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kdgm\Downloads\"/>
    </mc:Choice>
  </mc:AlternateContent>
  <xr:revisionPtr revIDLastSave="0" documentId="13_ncr:1_{888C9413-EF24-4BAD-B1AD-642FF57F7F12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EXIT (시뮬)" sheetId="2" r:id="rId1"/>
    <sheet name="손익" sheetId="3" r:id="rId2"/>
    <sheet name="Sheet1 (2)" sheetId="5" r:id="rId3"/>
    <sheet name="CASH FLOW" sheetId="4" r:id="rId4"/>
    <sheet name="수입" sheetId="6" r:id="rId5"/>
    <sheet name="PF상환 민감도" sheetId="7" r:id="rId6"/>
    <sheet name="보유세액" sheetId="8" r:id="rId7"/>
    <sheet name="면세비율" sheetId="9" r:id="rId8"/>
    <sheet name="Sheet3" sheetId="12" r:id="rId9"/>
    <sheet name="비용표" sheetId="13" r:id="rId10"/>
    <sheet name="Sheet1" sheetId="1" r:id="rId11"/>
  </sheets>
  <definedNames>
    <definedName name="__10">#REF!</definedName>
    <definedName name="__11">#REF!</definedName>
    <definedName name="__123Graph_A" hidden="1">#REF!</definedName>
    <definedName name="__123Graph_B" hidden="1">#REF!</definedName>
    <definedName name="__123Graph_D" hidden="1">#REF!</definedName>
    <definedName name="__6">#REF!</definedName>
    <definedName name="__7">#REF!</definedName>
    <definedName name="__8">#REF!</definedName>
    <definedName name="__9">#REF!</definedName>
    <definedName name="__A100000">#REF!</definedName>
    <definedName name="__A66000">#REF!</definedName>
    <definedName name="__A67000">#REF!</definedName>
    <definedName name="__A68000">#REF!</definedName>
    <definedName name="__A80000">#REF!</definedName>
    <definedName name="__C">#REF!</definedName>
    <definedName name="__CFA1">#REF!</definedName>
    <definedName name="__SEL1">#REF!</definedName>
    <definedName name="__SEL2">#REF!</definedName>
    <definedName name="__SEL3">#REF!</definedName>
    <definedName name="__zz1">#REF!</definedName>
    <definedName name="_1">#N/A</definedName>
    <definedName name="_10">#N/A</definedName>
    <definedName name="_11">#N/A</definedName>
    <definedName name="_12">#N/A</definedName>
    <definedName name="_13">#N/A</definedName>
    <definedName name="_14">#N/A</definedName>
    <definedName name="_15">#N/A</definedName>
    <definedName name="_16">#N/A</definedName>
    <definedName name="_17">#N/A</definedName>
    <definedName name="_18">#N/A</definedName>
    <definedName name="_19">#N/A</definedName>
    <definedName name="_1999_01_29">#REF!</definedName>
    <definedName name="_2">#N/A</definedName>
    <definedName name="_20">#N/A</definedName>
    <definedName name="_21">#N/A</definedName>
    <definedName name="_22">#N/A</definedName>
    <definedName name="_23">#N/A</definedName>
    <definedName name="_24">#N/A</definedName>
    <definedName name="_25">#N/A</definedName>
    <definedName name="_26">#N/A</definedName>
    <definedName name="_27">#N/A</definedName>
    <definedName name="_28">#N/A</definedName>
    <definedName name="_29">#N/A</definedName>
    <definedName name="_3">#N/A</definedName>
    <definedName name="_30">#N/A</definedName>
    <definedName name="_31">#N/A</definedName>
    <definedName name="_32">#N/A</definedName>
    <definedName name="_33">#N/A</definedName>
    <definedName name="_34">#N/A</definedName>
    <definedName name="_35">#N/A</definedName>
    <definedName name="_36">#N/A</definedName>
    <definedName name="_37">#N/A</definedName>
    <definedName name="_38">#N/A</definedName>
    <definedName name="_39">#N/A</definedName>
    <definedName name="_4">#N/A</definedName>
    <definedName name="_40">#N/A</definedName>
    <definedName name="_41">#N/A</definedName>
    <definedName name="_42">#N/A</definedName>
    <definedName name="_43">#N/A</definedName>
    <definedName name="_44">#N/A</definedName>
    <definedName name="_45">#N/A</definedName>
    <definedName name="_46">#N/A</definedName>
    <definedName name="_47">#N/A</definedName>
    <definedName name="_48">#N/A</definedName>
    <definedName name="_49">#N/A</definedName>
    <definedName name="_5">#N/A</definedName>
    <definedName name="_50">#N/A</definedName>
    <definedName name="_51">#N/A</definedName>
    <definedName name="_52">#N/A</definedName>
    <definedName name="_53">#N/A</definedName>
    <definedName name="_54">#N/A</definedName>
    <definedName name="_55">#N/A</definedName>
    <definedName name="_56">#N/A</definedName>
    <definedName name="_57">#N/A</definedName>
    <definedName name="_58">#N/A</definedName>
    <definedName name="_59">#N/A</definedName>
    <definedName name="_6">#N/A</definedName>
    <definedName name="_60">#N/A</definedName>
    <definedName name="_61">#N/A</definedName>
    <definedName name="_62">#N/A</definedName>
    <definedName name="_63">#N/A</definedName>
    <definedName name="_64">#N/A</definedName>
    <definedName name="_65">#N/A</definedName>
    <definedName name="_66">#N/A</definedName>
    <definedName name="_67">#N/A</definedName>
    <definedName name="_68">#N/A</definedName>
    <definedName name="_69">#N/A</definedName>
    <definedName name="_6차">#REF!</definedName>
    <definedName name="_7">#N/A</definedName>
    <definedName name="_70">#N/A</definedName>
    <definedName name="_71">#N/A</definedName>
    <definedName name="_72">#N/A</definedName>
    <definedName name="_73">#N/A</definedName>
    <definedName name="_74">#N/A</definedName>
    <definedName name="_75">#N/A</definedName>
    <definedName name="_76">#N/A</definedName>
    <definedName name="_77">#N/A</definedName>
    <definedName name="_78">#N/A</definedName>
    <definedName name="_79">#N/A</definedName>
    <definedName name="_8">#N/A</definedName>
    <definedName name="_80">#N/A</definedName>
    <definedName name="_81">#N/A</definedName>
    <definedName name="_82">#N/A</definedName>
    <definedName name="_83">#N/A</definedName>
    <definedName name="_84">#N/A</definedName>
    <definedName name="_85">#N/A</definedName>
    <definedName name="_86">#N/A</definedName>
    <definedName name="_87">#N/A</definedName>
    <definedName name="_88">#N/A</definedName>
    <definedName name="_89">#N/A</definedName>
    <definedName name="_9">#N/A</definedName>
    <definedName name="_90">#N/A</definedName>
    <definedName name="_91">#N/A</definedName>
    <definedName name="_92">#N/A</definedName>
    <definedName name="_93">#N/A</definedName>
    <definedName name="_94">#N/A</definedName>
    <definedName name="_95">#N/A</definedName>
    <definedName name="_96">#N/A</definedName>
    <definedName name="_97">#N/A</definedName>
    <definedName name="_98">#N/A</definedName>
    <definedName name="_99">#N/A</definedName>
    <definedName name="_A01">#REF!</definedName>
    <definedName name="_A010">#REF!</definedName>
    <definedName name="_A02">#REF!</definedName>
    <definedName name="_A020">#REF!</definedName>
    <definedName name="_A03">#REF!</definedName>
    <definedName name="_A04">#REF!</definedName>
    <definedName name="_A05">#REF!</definedName>
    <definedName name="_A050">#REF!</definedName>
    <definedName name="_A060">#REF!</definedName>
    <definedName name="_A070">#REF!</definedName>
    <definedName name="_A080">#REF!</definedName>
    <definedName name="_A090">#REF!</definedName>
    <definedName name="_a1">#REF!</definedName>
    <definedName name="_A100">#REF!</definedName>
    <definedName name="_A110">#REF!</definedName>
    <definedName name="_A120">#REF!</definedName>
    <definedName name="_A130">#REF!</definedName>
    <definedName name="_A140">#REF!</definedName>
    <definedName name="_A150">#REF!</definedName>
    <definedName name="_A160">#REF!</definedName>
    <definedName name="_A170">#REF!</definedName>
    <definedName name="_A180">#REF!</definedName>
    <definedName name="_A190">#REF!</definedName>
    <definedName name="_A200">#REF!</definedName>
    <definedName name="_A210">#REF!</definedName>
    <definedName name="_A220">#REF!</definedName>
    <definedName name="_A230">#REF!</definedName>
    <definedName name="_A240">#REF!</definedName>
    <definedName name="_A250">#REF!</definedName>
    <definedName name="_A260">#REF!</definedName>
    <definedName name="_A270">#REF!</definedName>
    <definedName name="_A280">#REF!</definedName>
    <definedName name="_A290">#REF!</definedName>
    <definedName name="_A300">#REF!</definedName>
    <definedName name="_A310">#REF!</definedName>
    <definedName name="_A320">#REF!</definedName>
    <definedName name="_A330">#REF!</definedName>
    <definedName name="_A340">#REF!</definedName>
    <definedName name="_A350">#REF!</definedName>
    <definedName name="_A360">#REF!</definedName>
    <definedName name="_A370">#REF!</definedName>
    <definedName name="_A380">#REF!</definedName>
    <definedName name="_A390">#REF!</definedName>
    <definedName name="_A400">#REF!</definedName>
    <definedName name="_A410">#REF!</definedName>
    <definedName name="_A420">#REF!</definedName>
    <definedName name="_A430">#REF!</definedName>
    <definedName name="_A440">#REF!</definedName>
    <definedName name="_A450">#REF!</definedName>
    <definedName name="_A460">#REF!</definedName>
    <definedName name="_A470">#REF!</definedName>
    <definedName name="_B02">#REF!</definedName>
    <definedName name="_b03">#REF!</definedName>
    <definedName name="_b05">#REF!</definedName>
    <definedName name="_b06">#REF!</definedName>
    <definedName name="_b07">#REF!</definedName>
    <definedName name="_b08">#REF!</definedName>
    <definedName name="_B10">#REF!</definedName>
    <definedName name="_B11">#REF!</definedName>
    <definedName name="_b12">#REF!</definedName>
    <definedName name="_b13">#REF!</definedName>
    <definedName name="_B14">#REF!</definedName>
    <definedName name="_b15">#REF!</definedName>
    <definedName name="_b17">#REF!</definedName>
    <definedName name="_b18">#REF!</definedName>
    <definedName name="_b19">#REF!</definedName>
    <definedName name="_B20">#REF!</definedName>
    <definedName name="_B21">#REF!</definedName>
    <definedName name="_B22">#REF!=#REF!</definedName>
    <definedName name="_B23">#REF!</definedName>
    <definedName name="_B24">#REF!</definedName>
    <definedName name="_B25">#REF!</definedName>
    <definedName name="_B37">#REF!</definedName>
    <definedName name="_B38">#REF!</definedName>
    <definedName name="_BOR2">#REF!</definedName>
    <definedName name="_C">#REF!</definedName>
    <definedName name="_C01">#REF!</definedName>
    <definedName name="_c02">#REF!</definedName>
    <definedName name="_D01">#REF!</definedName>
    <definedName name="_D02">#REF!</definedName>
    <definedName name="_DAN1">#REF!</definedName>
    <definedName name="_DAN10">#REF!</definedName>
    <definedName name="_DAN100">#REF!</definedName>
    <definedName name="_DAN101">#REF!</definedName>
    <definedName name="_DAN102">#REF!</definedName>
    <definedName name="_DAN103">#REF!</definedName>
    <definedName name="_DAN104">#REF!</definedName>
    <definedName name="_DAN105">#REF!</definedName>
    <definedName name="_DAN106">#REF!</definedName>
    <definedName name="_DAN107">#REF!</definedName>
    <definedName name="_DAN108">#REF!</definedName>
    <definedName name="_DAN109">#REF!</definedName>
    <definedName name="_DAN11">#REF!</definedName>
    <definedName name="_DAN110">#REF!</definedName>
    <definedName name="_DAN111">#REF!</definedName>
    <definedName name="_DAN112">#REF!</definedName>
    <definedName name="_DAN113">#REF!</definedName>
    <definedName name="_DAN114">#REF!</definedName>
    <definedName name="_DAN115">#REF!</definedName>
    <definedName name="_DAN116">#REF!</definedName>
    <definedName name="_DAN117">#REF!</definedName>
    <definedName name="_DAN118">#REF!</definedName>
    <definedName name="_DAN119">#REF!</definedName>
    <definedName name="_DAN12">#REF!</definedName>
    <definedName name="_DAN120">#REF!</definedName>
    <definedName name="_DAN121">#REF!</definedName>
    <definedName name="_DAN122">#REF!</definedName>
    <definedName name="_DAN123">#REF!</definedName>
    <definedName name="_DAN124">#REF!</definedName>
    <definedName name="_DAN125">#REF!</definedName>
    <definedName name="_DAN126">#REF!</definedName>
    <definedName name="_DAN127">#REF!</definedName>
    <definedName name="_DAN128">#REF!</definedName>
    <definedName name="_DAN129">#REF!</definedName>
    <definedName name="_DAN13">#REF!</definedName>
    <definedName name="_DAN130">#REF!</definedName>
    <definedName name="_DAN131">#REF!</definedName>
    <definedName name="_DAN132">#REF!</definedName>
    <definedName name="_DAN133">#REF!</definedName>
    <definedName name="_DAN134">#REF!</definedName>
    <definedName name="_DAN135">#REF!</definedName>
    <definedName name="_DAN136">#REF!</definedName>
    <definedName name="_DAN137">#REF!</definedName>
    <definedName name="_DAN138">#REF!</definedName>
    <definedName name="_DAN139">#REF!</definedName>
    <definedName name="_DAN14">#REF!</definedName>
    <definedName name="_DAN140">#REF!</definedName>
    <definedName name="_DAN141">#REF!</definedName>
    <definedName name="_DAN142">#REF!</definedName>
    <definedName name="_DAN143">#REF!</definedName>
    <definedName name="_DAN144">#REF!</definedName>
    <definedName name="_DAN145">#REF!</definedName>
    <definedName name="_DAN146">#REF!</definedName>
    <definedName name="_DAN147">#REF!</definedName>
    <definedName name="_DAN148">#REF!</definedName>
    <definedName name="_DAN149">#REF!</definedName>
    <definedName name="_DAN15">#REF!</definedName>
    <definedName name="_DAN150">#REF!</definedName>
    <definedName name="_DAN151">#REF!</definedName>
    <definedName name="_DAN152">#REF!</definedName>
    <definedName name="_DAN153">#REF!</definedName>
    <definedName name="_DAN16">#REF!</definedName>
    <definedName name="_DAN17">#REF!</definedName>
    <definedName name="_DAN18">#REF!</definedName>
    <definedName name="_DAN19">#REF!</definedName>
    <definedName name="_DAN2">#REF!</definedName>
    <definedName name="_DAN20">#REF!</definedName>
    <definedName name="_DAN21">#REF!</definedName>
    <definedName name="_DAN22">#REF!</definedName>
    <definedName name="_DAN23">#REF!</definedName>
    <definedName name="_DAN24">#REF!</definedName>
    <definedName name="_DAN25">#REF!</definedName>
    <definedName name="_DAN26">#REF!</definedName>
    <definedName name="_DAN27">#REF!</definedName>
    <definedName name="_DAN28">#REF!</definedName>
    <definedName name="_DAN29">#REF!</definedName>
    <definedName name="_DAN3">#REF!</definedName>
    <definedName name="_DAN30">#REF!</definedName>
    <definedName name="_DAN31">#REF!</definedName>
    <definedName name="_DAN32">#REF!</definedName>
    <definedName name="_DAN33">#REF!</definedName>
    <definedName name="_DAN34">#REF!</definedName>
    <definedName name="_DAN35">#REF!</definedName>
    <definedName name="_DAN36">#REF!</definedName>
    <definedName name="_DAN37">#REF!</definedName>
    <definedName name="_DAN38">#REF!</definedName>
    <definedName name="_DAN39">#REF!</definedName>
    <definedName name="_DAN4">#REF!</definedName>
    <definedName name="_DAN40">#REF!</definedName>
    <definedName name="_DAN41">#REF!</definedName>
    <definedName name="_DAN42">#REF!</definedName>
    <definedName name="_DAN43">#REF!</definedName>
    <definedName name="_DAN44">#REF!</definedName>
    <definedName name="_DAN45">#REF!</definedName>
    <definedName name="_DAN46">#REF!</definedName>
    <definedName name="_DAN47">#REF!</definedName>
    <definedName name="_DAN48">#REF!</definedName>
    <definedName name="_DAN49">#REF!</definedName>
    <definedName name="_DAN5">#REF!</definedName>
    <definedName name="_DAN50">#REF!</definedName>
    <definedName name="_DAN51">#REF!</definedName>
    <definedName name="_DAN52">#REF!</definedName>
    <definedName name="_DAN53">#REF!</definedName>
    <definedName name="_DAN54">#REF!</definedName>
    <definedName name="_DAN55">#REF!</definedName>
    <definedName name="_DAN56">#REF!</definedName>
    <definedName name="_DAN57">#REF!</definedName>
    <definedName name="_DAN58">#REF!</definedName>
    <definedName name="_DAN59">#REF!</definedName>
    <definedName name="_DAN6">#REF!</definedName>
    <definedName name="_DAN60">#REF!</definedName>
    <definedName name="_DAN61">#REF!</definedName>
    <definedName name="_DAN62">#REF!</definedName>
    <definedName name="_DAN63">#REF!</definedName>
    <definedName name="_DAN64">#REF!</definedName>
    <definedName name="_DAN65">#REF!</definedName>
    <definedName name="_DAN66">#REF!</definedName>
    <definedName name="_DAN67">#REF!</definedName>
    <definedName name="_DAN68">#REF!</definedName>
    <definedName name="_DAN69">#REF!</definedName>
    <definedName name="_DAN7">#REF!</definedName>
    <definedName name="_DAN70">#REF!</definedName>
    <definedName name="_DAN71">#REF!</definedName>
    <definedName name="_DAN72">#REF!</definedName>
    <definedName name="_DAN73">#REF!</definedName>
    <definedName name="_DAN74">#REF!</definedName>
    <definedName name="_DAN75">#REF!</definedName>
    <definedName name="_DAN76">#REF!</definedName>
    <definedName name="_DAN77">#REF!</definedName>
    <definedName name="_DAN78">#REF!</definedName>
    <definedName name="_DAN79">#REF!</definedName>
    <definedName name="_DAN8">#REF!</definedName>
    <definedName name="_DAN80">#REF!</definedName>
    <definedName name="_DAN81">#REF!</definedName>
    <definedName name="_DAN82">#REF!</definedName>
    <definedName name="_DAN83">#REF!</definedName>
    <definedName name="_DAN84">#REF!</definedName>
    <definedName name="_DAN85">#REF!</definedName>
    <definedName name="_DAN86">#REF!</definedName>
    <definedName name="_DAN87">#REF!</definedName>
    <definedName name="_DAN88">#REF!</definedName>
    <definedName name="_DAN89">#REF!</definedName>
    <definedName name="_DAN9">#REF!</definedName>
    <definedName name="_DAN90">#REF!</definedName>
    <definedName name="_DAN91">#REF!</definedName>
    <definedName name="_DAN92">#REF!</definedName>
    <definedName name="_DAN93">#REF!</definedName>
    <definedName name="_DAN94">#REF!</definedName>
    <definedName name="_DAN95">#REF!</definedName>
    <definedName name="_DAN96">#REF!</definedName>
    <definedName name="_DAN97">#REF!</definedName>
    <definedName name="_DAN98">#REF!</definedName>
    <definedName name="_DAN99">#REF!</definedName>
    <definedName name="_Dist_Bin" hidden="1">#REF!</definedName>
    <definedName name="_Dist_Values" hidden="1">#REF!</definedName>
    <definedName name="_E01">#REF!</definedName>
    <definedName name="_F01">#REF!</definedName>
    <definedName name="_F02">#REF!</definedName>
    <definedName name="_F03">#REF!</definedName>
    <definedName name="_F04">#REF!</definedName>
    <definedName name="_F05">#REF!</definedName>
    <definedName name="_F06">#REF!</definedName>
    <definedName name="_F07">#REF!</definedName>
    <definedName name="_F08">#REF!</definedName>
    <definedName name="_F09">#REF!</definedName>
    <definedName name="_F10">#REF!</definedName>
    <definedName name="_F11">#REF!</definedName>
    <definedName name="_F12">#REF!</definedName>
    <definedName name="_f13">#REF!</definedName>
    <definedName name="_f14">#REF!</definedName>
    <definedName name="_F15">#REF!</definedName>
    <definedName name="_F16">#REF!</definedName>
    <definedName name="_F17">#REF!</definedName>
    <definedName name="_F18">#REF!</definedName>
    <definedName name="_f19">#REF!</definedName>
    <definedName name="_f20">#REF!</definedName>
    <definedName name="_f21">#REF!</definedName>
    <definedName name="_Fill" hidden="1">#REF!</definedName>
    <definedName name="_xlnm._FilterDatabase" hidden="1">#REF!</definedName>
    <definedName name="_G01">#REF!</definedName>
    <definedName name="_G02">#REF!</definedName>
    <definedName name="_G03">#REF!</definedName>
    <definedName name="_G04">#REF!</definedName>
    <definedName name="_G07">#REF!</definedName>
    <definedName name="_G08">#REF!</definedName>
    <definedName name="_G09">#REF!</definedName>
    <definedName name="_g10">#REF!</definedName>
    <definedName name="_G11">#REF!</definedName>
    <definedName name="_G12">#REF!</definedName>
    <definedName name="_G13">#REF!</definedName>
    <definedName name="_H01">#REF!</definedName>
    <definedName name="_H02">#REF!</definedName>
    <definedName name="_H03">#REF!</definedName>
    <definedName name="_H04">#REF!</definedName>
    <definedName name="_H06">#REF!</definedName>
    <definedName name="_h07">#REF!</definedName>
    <definedName name="_h08">#REF!</definedName>
    <definedName name="_H09">#REF!</definedName>
    <definedName name="_H10">#REF!</definedName>
    <definedName name="_H11">#REF!</definedName>
    <definedName name="_H12">#REF!</definedName>
    <definedName name="_H13">#REF!</definedName>
    <definedName name="_H14">#REF!</definedName>
    <definedName name="_H15">#REF!</definedName>
    <definedName name="_H16">#REF!</definedName>
    <definedName name="_h17">#REF!</definedName>
    <definedName name="_H18">#REF!</definedName>
    <definedName name="_H19">#REF!</definedName>
    <definedName name="_I01">#REF!</definedName>
    <definedName name="_J01">#REF!</definedName>
    <definedName name="_K01">#REF!</definedName>
    <definedName name="_K02">#REF!=#REF!</definedName>
    <definedName name="_Key1" hidden="1">#REF!</definedName>
    <definedName name="_Key2" hidden="1">#REF!</definedName>
    <definedName name="_L01">#REF!</definedName>
    <definedName name="_L02">#REF!</definedName>
    <definedName name="_L03">#REF!</definedName>
    <definedName name="_l06">#REF!</definedName>
    <definedName name="_l07">#REF!</definedName>
    <definedName name="_L08">#REF!</definedName>
    <definedName name="_L09">#REF!</definedName>
    <definedName name="_M01">#REF!</definedName>
    <definedName name="_M02">#REF!</definedName>
    <definedName name="_M03">#REF!</definedName>
    <definedName name="_M04">#REF!</definedName>
    <definedName name="_NMB96">#REF!</definedName>
    <definedName name="_O01">#REF!</definedName>
    <definedName name="_O02">#REF!</definedName>
    <definedName name="_O03">#REF!=#REF!</definedName>
    <definedName name="_O04">#REF!</definedName>
    <definedName name="_O05">#REF!</definedName>
    <definedName name="_O08">#REF!</definedName>
    <definedName name="_O09">#REF!</definedName>
    <definedName name="_O10">#REF!</definedName>
    <definedName name="_O11">#REF!</definedName>
    <definedName name="_O12">#REF!</definedName>
    <definedName name="_O13">#REF!</definedName>
    <definedName name="_O14">#REF!</definedName>
    <definedName name="_O15">#REF!</definedName>
    <definedName name="_Order1" hidden="1">255</definedName>
    <definedName name="_Order2" hidden="1">255</definedName>
    <definedName name="_p01">#REF!</definedName>
    <definedName name="_Parse_Out" hidden="1">#REF!</definedName>
    <definedName name="_q01">#REF!</definedName>
    <definedName name="_Rat1">#REF!</definedName>
    <definedName name="_Rat2">#REF!</definedName>
    <definedName name="_Rat3">#REF!</definedName>
    <definedName name="_Rat4">#REF!</definedName>
    <definedName name="_Sort" hidden="1">#REF!</definedName>
    <definedName name="_wo1">#REF!</definedName>
    <definedName name="_YO1">#REF!</definedName>
    <definedName name="\0">#REF!</definedName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l">#N/A</definedName>
    <definedName name="\m">#N/A</definedName>
    <definedName name="\n">#N/A</definedName>
    <definedName name="\o">#N/A</definedName>
    <definedName name="\p">#N/A</definedName>
    <definedName name="\q">#REF!</definedName>
    <definedName name="\r">#N/A</definedName>
    <definedName name="\s">#N/A</definedName>
    <definedName name="\u">#N/A</definedName>
    <definedName name="\v">#N/A</definedName>
    <definedName name="\w">#REF!</definedName>
    <definedName name="\x">#N/A</definedName>
    <definedName name="\y">#N/A</definedName>
    <definedName name="\z">#N/A</definedName>
    <definedName name="A">#REF!</definedName>
    <definedName name="A_I">#REF!</definedName>
    <definedName name="A_I1">#REF!</definedName>
    <definedName name="A_I2">#REF!</definedName>
    <definedName name="A_I3">#REF!</definedName>
    <definedName name="A_I4">#REF!</definedName>
    <definedName name="A_P">#REF!</definedName>
    <definedName name="A315yoo1">#REF!</definedName>
    <definedName name="A8.36">#REF!</definedName>
    <definedName name="AA">#REF!</definedName>
    <definedName name="AAA">#REF!</definedName>
    <definedName name="AAAAAAA">#REF!</definedName>
    <definedName name="aam">#REF!</definedName>
    <definedName name="ab" hidden="1">1</definedName>
    <definedName name="abc" hidden="1">#REF!</definedName>
    <definedName name="abcd" hidden="1">#REF!</definedName>
    <definedName name="ac">#REF!</definedName>
    <definedName name="AM">#REF!</definedName>
    <definedName name="ANODE재">#REF!</definedName>
    <definedName name="AS">#REF!</definedName>
    <definedName name="AS1.0">#REF!</definedName>
    <definedName name="AS12.5">#REF!</definedName>
    <definedName name="ax">#REF!</definedName>
    <definedName name="az">#REF!</definedName>
    <definedName name="A머캐중층10불량">#REF!</definedName>
    <definedName name="A머캐중층15불량">#REF!</definedName>
    <definedName name="A머캐중층20불량">#REF!</definedName>
    <definedName name="A머캐표층15불량">#REF!</definedName>
    <definedName name="A머캐표층5불량">#REF!</definedName>
    <definedName name="A머캐표층7불량">#REF!</definedName>
    <definedName name="B">#REF!</definedName>
    <definedName name="B_I">#REF!</definedName>
    <definedName name="B_I1">#REF!</definedName>
    <definedName name="B_I2">#REF!</definedName>
    <definedName name="B_I3">#REF!</definedName>
    <definedName name="B_I4">#REF!</definedName>
    <definedName name="B_P">#REF!</definedName>
    <definedName name="Barley_Quota">#REF!</definedName>
    <definedName name="BASE">#REF!</definedName>
    <definedName name="BB">#REF!</definedName>
    <definedName name="bbb">#REF!</definedName>
    <definedName name="bcrclcl100rt">#REF!</definedName>
    <definedName name="bcrclcl100rtrkrk">#REF!</definedName>
    <definedName name="BDCODE">#N/A</definedName>
    <definedName name="BSD">#REF!</definedName>
    <definedName name="BUDGQTY">#REF!</definedName>
    <definedName name="C_">#REF!</definedName>
    <definedName name="cable">#REF!</definedName>
    <definedName name="CASH3">CHOOSE(#REF!,주거시설,종교시설,의료시설,업무시설,관람집회,전시시설,판매시설,숙박시설,위락시설,관련시설,방송통신시설,공장,교육연구시설,저장시설,관광휴게시설,체육시설,사회복지시설,위험물,근린생활시설,장례묘지관련,청소년수련시설,동물관련시설,공공용시설)</definedName>
    <definedName name="CASHA1">#REF!</definedName>
    <definedName name="CATEGORY">#N/A</definedName>
    <definedName name="CC">#REF!</definedName>
    <definedName name="ccc">#REF!</definedName>
    <definedName name="CF_Sum">#REF!</definedName>
    <definedName name="CFRATE">#REF!</definedName>
    <definedName name="CF요인" hidden="1">#REF!</definedName>
    <definedName name="CO">#REF!</definedName>
    <definedName name="CO0.6">#REF!</definedName>
    <definedName name="CO1.0">#REF!</definedName>
    <definedName name="CO20.0">#REF!</definedName>
    <definedName name="CODE">#REF!</definedName>
    <definedName name="CODE1">#REF!</definedName>
    <definedName name="CODE2">#REF!</definedName>
    <definedName name="CODE3">#REF!</definedName>
    <definedName name="CODE4">#REF!</definedName>
    <definedName name="CODE5">#REF!</definedName>
    <definedName name="CODE6">#REF!</definedName>
    <definedName name="CODE7">#REF!</definedName>
    <definedName name="COL">#REF!</definedName>
    <definedName name="COLL">#REF!</definedName>
    <definedName name="CONSOL">#REF!</definedName>
    <definedName name="CONSTANT">#REF!</definedName>
    <definedName name="COPY990">#REF!</definedName>
    <definedName name="CPU">#REF!</definedName>
    <definedName name="_xlnm.Criteria">#REF!</definedName>
    <definedName name="Criteria_MI">#REF!</definedName>
    <definedName name="CRT자료">#REF!</definedName>
    <definedName name="CTN">#REF!</definedName>
    <definedName name="CV">#REF!</definedName>
    <definedName name="CV38재">#REF!</definedName>
    <definedName name="CV8재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NGA">#REF!,#REF!</definedName>
    <definedName name="DANGA1">#REF!</definedName>
    <definedName name="DANGA10">#REF!</definedName>
    <definedName name="DANGA100">#REF!</definedName>
    <definedName name="DANGA101">#REF!</definedName>
    <definedName name="DANGA102">#REF!</definedName>
    <definedName name="DANGA103">#REF!</definedName>
    <definedName name="DANGA104">#REF!</definedName>
    <definedName name="DANGA105">#REF!</definedName>
    <definedName name="DANGA106">#REF!</definedName>
    <definedName name="DANGA107">#REF!</definedName>
    <definedName name="DANGA108">#REF!</definedName>
    <definedName name="DANGA109">#REF!</definedName>
    <definedName name="DANGA11">#REF!</definedName>
    <definedName name="DANGA110">#REF!</definedName>
    <definedName name="DANGA111">#REF!</definedName>
    <definedName name="DANGA112">#REF!</definedName>
    <definedName name="DANGA113">#REF!</definedName>
    <definedName name="DANGA114">#REF!</definedName>
    <definedName name="DANGA115">#REF!</definedName>
    <definedName name="DANGA116">#REF!</definedName>
    <definedName name="DANGA117">#REF!</definedName>
    <definedName name="DANGA118">#REF!</definedName>
    <definedName name="DANGA119">#REF!</definedName>
    <definedName name="DANGA12">#REF!</definedName>
    <definedName name="DANGA120">#REF!</definedName>
    <definedName name="DANGA121">#REF!</definedName>
    <definedName name="DANGA122">#REF!</definedName>
    <definedName name="DANGA123">#REF!</definedName>
    <definedName name="DANGA124">#REF!</definedName>
    <definedName name="DANGA125">#REF!</definedName>
    <definedName name="DANGA126">#REF!</definedName>
    <definedName name="DANGA127">#REF!</definedName>
    <definedName name="DANGA128">#REF!</definedName>
    <definedName name="DANGA129">#REF!</definedName>
    <definedName name="DANGA13">#REF!</definedName>
    <definedName name="DANGA130">#REF!</definedName>
    <definedName name="DANGA131">#REF!</definedName>
    <definedName name="DANGA132">#REF!</definedName>
    <definedName name="DANGA133">#REF!</definedName>
    <definedName name="DANGA134">#REF!</definedName>
    <definedName name="DANGA135">#REF!</definedName>
    <definedName name="DANGA136">#REF!</definedName>
    <definedName name="DANGA137">#REF!</definedName>
    <definedName name="DANGA138">#REF!</definedName>
    <definedName name="DANGA139">#REF!</definedName>
    <definedName name="DANGA14">#REF!</definedName>
    <definedName name="DANGA140">#REF!</definedName>
    <definedName name="DANGA141">#REF!</definedName>
    <definedName name="DANGA142">#REF!</definedName>
    <definedName name="DANGA143">#REF!</definedName>
    <definedName name="DANGA144">#REF!</definedName>
    <definedName name="DANGA145">#REF!</definedName>
    <definedName name="DANGA146">#REF!</definedName>
    <definedName name="DANGA147">#REF!</definedName>
    <definedName name="DANGA148">#REF!</definedName>
    <definedName name="DANGA149">#REF!</definedName>
    <definedName name="DANGA15">#REF!</definedName>
    <definedName name="DANGA150">#REF!</definedName>
    <definedName name="DANGA151">#REF!</definedName>
    <definedName name="DANGA152">#REF!</definedName>
    <definedName name="DANGA153">#REF!</definedName>
    <definedName name="DANGA154">#REF!</definedName>
    <definedName name="DANGA155">#REF!</definedName>
    <definedName name="DANGA156">#REF!</definedName>
    <definedName name="DANGA157">#REF!</definedName>
    <definedName name="DANGA158">#REF!</definedName>
    <definedName name="DANGA159">#REF!</definedName>
    <definedName name="DANGA16">#REF!</definedName>
    <definedName name="DANGA160">#REF!</definedName>
    <definedName name="DANGA161">#REF!</definedName>
    <definedName name="DANGA162">#REF!</definedName>
    <definedName name="DANGA163">#REF!</definedName>
    <definedName name="DANGA164">#REF!</definedName>
    <definedName name="DANGA165">#REF!</definedName>
    <definedName name="DANGA166">#REF!</definedName>
    <definedName name="DANGA167">#REF!</definedName>
    <definedName name="DANGA168">#REF!</definedName>
    <definedName name="DANGA169">#REF!</definedName>
    <definedName name="DANGA17">#REF!</definedName>
    <definedName name="DANGA170">#REF!</definedName>
    <definedName name="DANGA171">#REF!</definedName>
    <definedName name="DANGA172">#REF!</definedName>
    <definedName name="DANGA173">#REF!</definedName>
    <definedName name="DANGA174">#REF!</definedName>
    <definedName name="DANGA175">#REF!</definedName>
    <definedName name="DANGA176">#REF!</definedName>
    <definedName name="DANGA177">#REF!</definedName>
    <definedName name="DANGA178">#REF!</definedName>
    <definedName name="DANGA179">#REF!</definedName>
    <definedName name="DANGA18">#REF!</definedName>
    <definedName name="DANGA180">#REF!</definedName>
    <definedName name="DANGA181">#REF!</definedName>
    <definedName name="DANGA182">#REF!</definedName>
    <definedName name="DANGA183">#REF!</definedName>
    <definedName name="DANGA184">#REF!</definedName>
    <definedName name="DANGA185">#REF!</definedName>
    <definedName name="DANGA186">#REF!</definedName>
    <definedName name="DANGA187">#REF!</definedName>
    <definedName name="DANGA188">#REF!</definedName>
    <definedName name="DANGA189">#REF!</definedName>
    <definedName name="DANGA19">#REF!</definedName>
    <definedName name="DANGA190">#REF!</definedName>
    <definedName name="DANGA191">#REF!</definedName>
    <definedName name="DANGA192">#REF!</definedName>
    <definedName name="DANGA193">#REF!</definedName>
    <definedName name="DANGA194">#REF!</definedName>
    <definedName name="DANGA195">#REF!</definedName>
    <definedName name="DANGA196">#REF!</definedName>
    <definedName name="DANGA197">#REF!</definedName>
    <definedName name="DANGA198">#REF!</definedName>
    <definedName name="DANGA199">#REF!</definedName>
    <definedName name="DANGA2">#REF!</definedName>
    <definedName name="DANGA20">#REF!</definedName>
    <definedName name="DANGA200">#REF!</definedName>
    <definedName name="DANGA201">#REF!</definedName>
    <definedName name="DANGA202">#REF!</definedName>
    <definedName name="DANGA203">#REF!</definedName>
    <definedName name="DANGA204">#REF!</definedName>
    <definedName name="DANGA205">#REF!</definedName>
    <definedName name="DANGA206">#REF!</definedName>
    <definedName name="DANGA207">#REF!</definedName>
    <definedName name="DANGA208">#REF!</definedName>
    <definedName name="DANGA209">#REF!</definedName>
    <definedName name="DANGA21">#REF!</definedName>
    <definedName name="DANGA210">#REF!</definedName>
    <definedName name="DANGA211">#REF!</definedName>
    <definedName name="DANGA212">#REF!</definedName>
    <definedName name="DANGA213">#REF!</definedName>
    <definedName name="DANGA214">#REF!</definedName>
    <definedName name="DANGA215">#REF!</definedName>
    <definedName name="DANGA216">#REF!</definedName>
    <definedName name="DANGA217">#REF!</definedName>
    <definedName name="DANGA218">#REF!</definedName>
    <definedName name="DANGA219">#REF!</definedName>
    <definedName name="DANGA22">#REF!</definedName>
    <definedName name="DANGA220">#REF!</definedName>
    <definedName name="DANGA221">#REF!</definedName>
    <definedName name="DANGA222">#REF!</definedName>
    <definedName name="DANGA223">#REF!</definedName>
    <definedName name="DANGA224">#REF!</definedName>
    <definedName name="DANGA225">#REF!</definedName>
    <definedName name="DANGA226">#REF!</definedName>
    <definedName name="DANGA227">#REF!</definedName>
    <definedName name="DANGA228">#REF!</definedName>
    <definedName name="DANGA23">#REF!</definedName>
    <definedName name="DANGA24">#REF!</definedName>
    <definedName name="DANGA25">#REF!</definedName>
    <definedName name="DANGA26">#REF!</definedName>
    <definedName name="DANGA27">#REF!</definedName>
    <definedName name="DANGA28">#REF!</definedName>
    <definedName name="DANGA29">#REF!</definedName>
    <definedName name="DANGA3">#REF!</definedName>
    <definedName name="DANGA30">#REF!</definedName>
    <definedName name="DANGA31">#REF!</definedName>
    <definedName name="DANGA32">#REF!</definedName>
    <definedName name="DANGA33">#REF!</definedName>
    <definedName name="DANGA34">#REF!</definedName>
    <definedName name="DANGA35">#REF!</definedName>
    <definedName name="DANGA36">#REF!</definedName>
    <definedName name="DANGA37">#REF!</definedName>
    <definedName name="DANGA38">#REF!</definedName>
    <definedName name="DANGA39">#REF!</definedName>
    <definedName name="DANGA4">#REF!</definedName>
    <definedName name="DANGA40">#REF!</definedName>
    <definedName name="DANGA41">#REF!</definedName>
    <definedName name="DANGA42">#REF!</definedName>
    <definedName name="DANGA43">#REF!</definedName>
    <definedName name="DANGA44">#REF!</definedName>
    <definedName name="DANGA45">#REF!</definedName>
    <definedName name="DANGA46">#REF!</definedName>
    <definedName name="DANGA47">#REF!</definedName>
    <definedName name="DANGA48">#REF!</definedName>
    <definedName name="DANGA49">#REF!</definedName>
    <definedName name="DANGA5">#REF!</definedName>
    <definedName name="DANGA50">#REF!</definedName>
    <definedName name="DANGA51">#REF!</definedName>
    <definedName name="DANGA52">#REF!</definedName>
    <definedName name="DANGA53">#REF!</definedName>
    <definedName name="DANGA54">#REF!</definedName>
    <definedName name="DANGA55">#REF!</definedName>
    <definedName name="DANGA56">#REF!</definedName>
    <definedName name="DANGA57">#REF!</definedName>
    <definedName name="DANGA58">#REF!</definedName>
    <definedName name="DANGA59">#REF!</definedName>
    <definedName name="DANGA6">#REF!</definedName>
    <definedName name="DANGA60">#REF!</definedName>
    <definedName name="DANGA61">#REF!</definedName>
    <definedName name="DANGA62">#REF!</definedName>
    <definedName name="DANGA63">#REF!</definedName>
    <definedName name="DANGA64">#REF!</definedName>
    <definedName name="DANGA65">#REF!</definedName>
    <definedName name="DANGA66">#REF!</definedName>
    <definedName name="DANGA67">#REF!</definedName>
    <definedName name="DANGA68">#REF!</definedName>
    <definedName name="DANGA69">#REF!</definedName>
    <definedName name="DANGA7">#REF!</definedName>
    <definedName name="DANGA70">#REF!</definedName>
    <definedName name="DANGA71">#REF!</definedName>
    <definedName name="DANGA72">#REF!</definedName>
    <definedName name="DANGA73">#REF!</definedName>
    <definedName name="DANGA74">#REF!</definedName>
    <definedName name="DANGA75">#REF!</definedName>
    <definedName name="DANGA76">#REF!</definedName>
    <definedName name="DANGA77">#REF!</definedName>
    <definedName name="DANGA78">#REF!</definedName>
    <definedName name="DANGA79">#REF!</definedName>
    <definedName name="DANGA8">#REF!</definedName>
    <definedName name="DANGA80">#REF!</definedName>
    <definedName name="DANGA81">#REF!</definedName>
    <definedName name="DANGA82">#REF!</definedName>
    <definedName name="DANGA83">#REF!</definedName>
    <definedName name="DANGA84">#REF!</definedName>
    <definedName name="DANGA85">#REF!</definedName>
    <definedName name="DANGA86">#REF!</definedName>
    <definedName name="DANGA87">#REF!</definedName>
    <definedName name="DANGA88">#REF!</definedName>
    <definedName name="DANGA89">#REF!</definedName>
    <definedName name="DANGA9">#REF!</definedName>
    <definedName name="DANGA90">#REF!</definedName>
    <definedName name="DANGA91">#REF!</definedName>
    <definedName name="DANGA92">#REF!</definedName>
    <definedName name="DANGA93">#REF!</definedName>
    <definedName name="DANGA94">#REF!</definedName>
    <definedName name="DANGA95">#REF!</definedName>
    <definedName name="DANGA96">#REF!</definedName>
    <definedName name="DANGA97">#REF!</definedName>
    <definedName name="DANGA98">#REF!</definedName>
    <definedName name="DANGA99">#REF!</definedName>
    <definedName name="DATA">#REF!</definedName>
    <definedName name="_xlnm.Database">#REF!</definedName>
    <definedName name="Database_MI">#REF!</definedName>
    <definedName name="DB">#REF!</definedName>
    <definedName name="DBa">#REF!</definedName>
    <definedName name="DBb">#REF!</definedName>
    <definedName name="DD">#REF!</definedName>
    <definedName name="DEC.GH">#REF!</definedName>
    <definedName name="DEMO">#REF!</definedName>
    <definedName name="DETAIL">#N/A</definedName>
    <definedName name="dhtjsals">#REF!</definedName>
    <definedName name="dlkfajldjf" hidden="1">{#N/A,#N/A,FALSE,"지침";#N/A,#N/A,FALSE,"환경분석";#N/A,#N/A,FALSE,"Sheet16"}</definedName>
    <definedName name="DOGUB">#REF!</definedName>
    <definedName name="DRIVE">#REF!</definedName>
    <definedName name="DROW">#N/A</definedName>
    <definedName name="E">#REF!</definedName>
    <definedName name="EE">#REF!</definedName>
    <definedName name="eight">#REF!</definedName>
    <definedName name="eighteen">#REF!</definedName>
    <definedName name="eleven">#REF!</definedName>
    <definedName name="ELP">#REF!</definedName>
    <definedName name="_xlnm.Extract">#REF!</definedName>
    <definedName name="Extract_MI">#REF!</definedName>
    <definedName name="F">#N/A</definedName>
    <definedName name="F_CODE">#N/A</definedName>
    <definedName name="F_DESC">#N/A</definedName>
    <definedName name="F_LVL">#N/A</definedName>
    <definedName name="F_PAGE">#N/A</definedName>
    <definedName name="F_REMK">#N/A</definedName>
    <definedName name="F_SEQ">#N/A</definedName>
    <definedName name="F_SIZE">#N/A</definedName>
    <definedName name="F_UNIT">#N/A</definedName>
    <definedName name="FD">#REF!</definedName>
    <definedName name="FF">#REF!</definedName>
    <definedName name="fffffff">#REF!</definedName>
    <definedName name="FG12TBTB2RTDKDKGMLRT">#REF!</definedName>
    <definedName name="FG22TBTB3RTDKDKDK">#REF!</definedName>
    <definedName name="FG46TBTB4RTDKDK">#REF!</definedName>
    <definedName name="fifteen">#REF!</definedName>
    <definedName name="five">#REF!</definedName>
    <definedName name="FIXT">#REF!</definedName>
    <definedName name="four">#REF!</definedName>
    <definedName name="fourteen">#REF!</definedName>
    <definedName name="FX">#REF!</definedName>
    <definedName name="g">#REF!</definedName>
    <definedName name="GG">#REF!</definedName>
    <definedName name="GINPUT">#REF!</definedName>
    <definedName name="GONGJONG">#REF!</definedName>
    <definedName name="H">#N/A</definedName>
    <definedName name="HH">#REF!</definedName>
    <definedName name="HHH">#REF!</definedName>
    <definedName name="HIPVC28">#REF!</definedName>
    <definedName name="HIPVC36">#REF!</definedName>
    <definedName name="HIT">#REF!</definedName>
    <definedName name="htc_단가표_List">#REF!</definedName>
    <definedName name="I">#N/A</definedName>
    <definedName name="ID">#REF!,#REF!</definedName>
    <definedName name="INCREASED">#REF!</definedName>
    <definedName name="INETOTHER">#REF!</definedName>
    <definedName name="INETPPE">#REF!</definedName>
    <definedName name="INVERTER설치">#REF!</definedName>
    <definedName name="ITEM">#REF!</definedName>
    <definedName name="ITEMDESC">#REF!</definedName>
    <definedName name="ITNUM">#N/A</definedName>
    <definedName name="j">#REF!</definedName>
    <definedName name="JJ">#REF!</definedName>
    <definedName name="KA">#REF!</definedName>
    <definedName name="kim">#REF!</definedName>
    <definedName name="KIT">#REF!</definedName>
    <definedName name="KK">#REF!</definedName>
    <definedName name="L">#REF!</definedName>
    <definedName name="L1AS">#REF!</definedName>
    <definedName name="LEE">#REF!</definedName>
    <definedName name="LG">#REF!</definedName>
    <definedName name="LK">#REF!</definedName>
    <definedName name="LL">#REF!</definedName>
    <definedName name="lll">#REF!</definedName>
    <definedName name="lllllll">#REF!</definedName>
    <definedName name="LOC">#REF!</definedName>
    <definedName name="LOCA">#REF!</definedName>
    <definedName name="m">#REF!</definedName>
    <definedName name="Macro1">#REF!</definedName>
    <definedName name="Macro10">#REF!</definedName>
    <definedName name="Macro11">#REF!</definedName>
    <definedName name="Macro12">#REF!</definedName>
    <definedName name="Macro13">#REF!</definedName>
    <definedName name="Macro14">#REF!</definedName>
    <definedName name="Macro2">#REF!</definedName>
    <definedName name="Macro3">#REF!</definedName>
    <definedName name="Macro4">#REF!</definedName>
    <definedName name="Macro5">#REF!</definedName>
    <definedName name="Macro6">#REF!</definedName>
    <definedName name="Macro7">#REF!</definedName>
    <definedName name="Macro8">#REF!</definedName>
    <definedName name="Macro9">#REF!</definedName>
    <definedName name="Main">#REF!</definedName>
    <definedName name="MAINPART">#REF!</definedName>
    <definedName name="MEASURE">#REF!</definedName>
    <definedName name="MHELP">#REF!</definedName>
    <definedName name="mm" hidden="1">{#N/A,#N/A,TRUE,"토적및재료집계";#N/A,#N/A,TRUE,"토적및재료집계";#N/A,#N/A,TRUE,"단위량"}</definedName>
    <definedName name="MNHL">#REF!</definedName>
    <definedName name="MONEY">#REF!,#REF!</definedName>
    <definedName name="Months">#REF!</definedName>
    <definedName name="MOTOR__농형_전폐">#REF!</definedName>
    <definedName name="Mq">#REF!</definedName>
    <definedName name="M행">#REF!</definedName>
    <definedName name="n">#REF!</definedName>
    <definedName name="NHL">#REF!</definedName>
    <definedName name="nine">#REF!</definedName>
    <definedName name="ninteen">#REF!</definedName>
    <definedName name="NO">#N/A</definedName>
    <definedName name="NOMUBY">#REF!</definedName>
    <definedName name="N행">#REF!</definedName>
    <definedName name="ocf" hidden="1">#REF!</definedName>
    <definedName name="one">#REF!</definedName>
    <definedName name="oo">#REF!</definedName>
    <definedName name="opo" hidden="1">{#N/A,#N/A,FALSE,"지침";#N/A,#N/A,FALSE,"환경분석";#N/A,#N/A,FALSE,"Sheet16"}</definedName>
    <definedName name="O행">#REF!</definedName>
    <definedName name="PE">#REF!</definedName>
    <definedName name="PEE">#REF!</definedName>
    <definedName name="PH">#REF!</definedName>
    <definedName name="pp">#REF!,#REF!</definedName>
    <definedName name="ppp">#REF!</definedName>
    <definedName name="PQ점수">"Dialog Frame 1"</definedName>
    <definedName name="Premium_Beer">#REF!</definedName>
    <definedName name="print">#REF!</definedName>
    <definedName name="_xlnm.Print_Area" localSheetId="9">비용표!$B$2:$L$21</definedName>
    <definedName name="_xlnm.Print_Area" localSheetId="1">손익!$E$1:$AP$71</definedName>
    <definedName name="_xlnm.Print_Area">#REF!</definedName>
    <definedName name="PRINT_AREA_MI">#REF!</definedName>
    <definedName name="Print_title">#REF!,#REF!</definedName>
    <definedName name="_xlnm.Print_Titles">#REF!</definedName>
    <definedName name="Print_Titles_MI">#REF!,#REF!</definedName>
    <definedName name="printtitles">#REF!</definedName>
    <definedName name="PROJECT">#N/A</definedName>
    <definedName name="PYA">#REF!</definedName>
    <definedName name="PYB">#REF!</definedName>
    <definedName name="PYC">#REF!</definedName>
    <definedName name="PYD">#REF!</definedName>
    <definedName name="PYE">#REF!</definedName>
    <definedName name="PYF">#REF!</definedName>
    <definedName name="PYG">#REF!</definedName>
    <definedName name="P행">#REF!</definedName>
    <definedName name="Q">#REF!</definedName>
    <definedName name="Q0245되메우기불량">#REF!</definedName>
    <definedName name="Q0245사석불량">#REF!</definedName>
    <definedName name="Q0245사석야간">#REF!</definedName>
    <definedName name="Q0245토사불량">#REF!</definedName>
    <definedName name="Q0245토사야간">#REF!</definedName>
    <definedName name="Q04135되메우기불량">#REF!</definedName>
    <definedName name="Q04135사석불량">#REF!</definedName>
    <definedName name="Q04135사석야간">#REF!</definedName>
    <definedName name="Q04135토사불량">#REF!</definedName>
    <definedName name="Q04135토사야간">#REF!</definedName>
    <definedName name="Q0490되메우기">#REF!</definedName>
    <definedName name="Q0490되메우기불량">#REF!</definedName>
    <definedName name="Q0490토사불량">#REF!</definedName>
    <definedName name="Q0790되메우기불량">#REF!</definedName>
    <definedName name="QTY">#N/A</definedName>
    <definedName name="Q행">#REF!</definedName>
    <definedName name="R_">#REF!</definedName>
    <definedName name="Rab">#REF!</definedName>
    <definedName name="RATE">#REF!</definedName>
    <definedName name="Rb">#REF!</definedName>
    <definedName name="rdd" hidden="1">{#N/A,#N/A,FALSE,"지침";#N/A,#N/A,FALSE,"환경분석";#N/A,#N/A,FALSE,"Sheet16"}</definedName>
    <definedName name="_xlnm.Recorder">#REF!</definedName>
    <definedName name="refer">#REF!</definedName>
    <definedName name="REMK">#N/A</definedName>
    <definedName name="rlawpdnr" hidden="1">{#N/A,#N/A,FALSE,"지침";#N/A,#N/A,FALSE,"환경분석";#N/A,#N/A,FALSE,"Sheet16"}</definedName>
    <definedName name="ROUNDUP">#REF!</definedName>
    <definedName name="R행">#REF!</definedName>
    <definedName name="s">#REF!</definedName>
    <definedName name="sdfasars" hidden="1">{#N/A,#N/A,FALSE,"지침";#N/A,#N/A,FALSE,"환경분석";#N/A,#N/A,FALSE,"Sheet16"}</definedName>
    <definedName name="sdsss">#REF!</definedName>
    <definedName name="sell2">#REF!</definedName>
    <definedName name="sell3">#REF!</definedName>
    <definedName name="SEQU">#N/A</definedName>
    <definedName name="seven">#REF!</definedName>
    <definedName name="seventeen">#REF!</definedName>
    <definedName name="SEXP">#N/A</definedName>
    <definedName name="SH">CHOOSE(#REF!,주거시설,종교시설,의료시설,업무시설,청북지구,전시시설,판매시설,숙박시설,위락시설,관련시설,방송통신시설,공장,교육연구시설,저장시설,관광휴게시설,체육시설,사회복지시설,위험물,근린생활시설,장례묘지관련,청소년수련시설,동물관련시설,공공용시설)</definedName>
    <definedName name="shin123">#REF!</definedName>
    <definedName name="SIL">#REF!</definedName>
    <definedName name="six">#REF!</definedName>
    <definedName name="sixteen">#REF!</definedName>
    <definedName name="SIZE">#N/A</definedName>
    <definedName name="SLAB">#N/A</definedName>
    <definedName name="SMAT">#N/A</definedName>
    <definedName name="SMHR">#N/A</definedName>
    <definedName name="Soju_Effect">#REF!</definedName>
    <definedName name="SORTCODE">#N/A</definedName>
    <definedName name="SPLICE">#REF!</definedName>
    <definedName name="SS">#REF!</definedName>
    <definedName name="SubDic">#REF!</definedName>
    <definedName name="S행">#REF!</definedName>
    <definedName name="t">#REF!</definedName>
    <definedName name="T_AMOUNT">#N/A</definedName>
    <definedName name="T_UPRICE">#N/A</definedName>
    <definedName name="ta" hidden="1">{#N/A,#N/A,FALSE,"지침";#N/A,#N/A,FALSE,"환경분석";#N/A,#N/A,FALSE,"Sheet16"}</definedName>
    <definedName name="Tax_Reduction">#REF!</definedName>
    <definedName name="TEAM">#REF!</definedName>
    <definedName name="ten">#REF!</definedName>
    <definedName name="test">#REF!</definedName>
    <definedName name="thirteen">#REF!</definedName>
    <definedName name="three">#REF!</definedName>
    <definedName name="TITLE">#REF!</definedName>
    <definedName name="TNSQJS">#REF!</definedName>
    <definedName name="Total_Debt">#REF!+#REF!</definedName>
    <definedName name="TR510300간재">#REF!</definedName>
    <definedName name="TR510300노무">#REF!</definedName>
    <definedName name="TR510300손료">#REF!</definedName>
    <definedName name="tranche_ATax01_SUM">#REF!</definedName>
    <definedName name="tranche_ATax02_SUM">#REF!</definedName>
    <definedName name="tranche_CFSum">#REF!</definedName>
    <definedName name="tranche02_CF">#REF!</definedName>
    <definedName name="TT">#REF!</definedName>
    <definedName name="ttttt" hidden="1">{#N/A,#N/A,FALSE,"지침";#N/A,#N/A,FALSE,"환경분석";#N/A,#N/A,FALSE,"Sheet16"}</definedName>
    <definedName name="twelve">#REF!</definedName>
    <definedName name="twenty">#REF!</definedName>
    <definedName name="twenty_one">#REF!</definedName>
    <definedName name="twenty_two">#REF!</definedName>
    <definedName name="two">#REF!</definedName>
    <definedName name="T행">#REF!</definedName>
    <definedName name="U">#REF!</definedName>
    <definedName name="UNIT">#N/A</definedName>
    <definedName name="up" hidden="1">{#N/A,#N/A,FALSE,"지침";#N/A,#N/A,FALSE,"환경분석";#N/A,#N/A,FALSE,"Sheet16"}</definedName>
    <definedName name="usd">#REF!</definedName>
    <definedName name="uu">#REF!</definedName>
    <definedName name="U행">#REF!</definedName>
    <definedName name="v">#REF!</definedName>
    <definedName name="VALUE">#REF!</definedName>
    <definedName name="VV">#REF!</definedName>
    <definedName name="V행">#REF!</definedName>
    <definedName name="wkqcjf">#REF!</definedName>
    <definedName name="wrn.97." hidden="1">{#N/A,#N/A,FALSE,"지침";#N/A,#N/A,FALSE,"환경분석";#N/A,#N/A,FALSE,"Sheet16"}</definedName>
    <definedName name="wrn.건설기계사업소._.상반기보고." hidden="1">{#N/A,#N/A,FALSE,"사업총괄";#N/A,#N/A,FALSE,"장비사업";#N/A,#N/A,FALSE,"철구사업";#N/A,#N/A,FALSE,"준설사업"}</definedName>
    <definedName name="wrn.변경예산." hidden="1">{#N/A,#N/A,FALSE,"변경관리예산";#N/A,#N/A,FALSE,"변경장비예산";#N/A,#N/A,FALSE,"변경준설예산";#N/A,#N/A,FALSE,"변경철구예산"}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신용찬." hidden="1">{#N/A,#N/A,TRUE,"토적및재료집계";#N/A,#N/A,TRUE,"토적및재료집계";#N/A,#N/A,TRUE,"단위량"}</definedName>
    <definedName name="wrn.예상손익." hidden="1">{#N/A,#N/A,FALSE,"예상손익";#N/A,#N/A,FALSE,"관리분석";#N/A,#N/A,FALSE,"장비분석";#N/A,#N/A,FALSE,"준설분석";#N/A,#N/A,FALSE,"철구분석"}</definedName>
    <definedName name="WW">#REF!</definedName>
    <definedName name="W행">#REF!</definedName>
    <definedName name="x">#REF!</definedName>
    <definedName name="X행">#REF!</definedName>
    <definedName name="Y.S.KIM">#REF!,#REF!,#REF!,#REF!,#REF!,#REF!,#REF!,#REF!,#REF!,#REF!,#REF!,#REF!,#REF!,#REF!,#REF!,#REF!,#REF!,#REF!,#REF!</definedName>
    <definedName name="YOO">#REF!</definedName>
    <definedName name="yoo10">#REF!</definedName>
    <definedName name="yoo2">#REF!</definedName>
    <definedName name="yoo3">#REF!</definedName>
    <definedName name="yoo4">#REF!</definedName>
    <definedName name="YOO5">#REF!</definedName>
    <definedName name="YOO6">#REF!</definedName>
    <definedName name="YOO7">#REF!</definedName>
    <definedName name="yoo8">#REF!</definedName>
    <definedName name="YOO9">#REF!</definedName>
    <definedName name="YOON">#REF!</definedName>
    <definedName name="YOON2">#REF!</definedName>
    <definedName name="YOON3">#REF!</definedName>
    <definedName name="YOON4">#REF!</definedName>
    <definedName name="Youngnam_Market">#REF!</definedName>
    <definedName name="yyy" hidden="1">{#N/A,#N/A,FALSE,"지침";#N/A,#N/A,FALSE,"환경분석";#N/A,#N/A,FALSE,"Sheet16"}</definedName>
    <definedName name="z">#REF!</definedName>
    <definedName name="zero">#REF!</definedName>
    <definedName name="ZP">#REF!</definedName>
    <definedName name="zz">#REF!</definedName>
    <definedName name="ㄱ">#REF!</definedName>
    <definedName name="ㄱㄱㄱㄱ" hidden="1">{#N/A,#N/A,FALSE,"지침";#N/A,#N/A,FALSE,"환경분석";#N/A,#N/A,FALSE,"Sheet16"}</definedName>
    <definedName name="가10층">#REF!</definedName>
    <definedName name="가11층">#REF!</definedName>
    <definedName name="가12층">#REF!</definedName>
    <definedName name="가13층">#REF!</definedName>
    <definedName name="가14층">#REF!</definedName>
    <definedName name="가15층">#REF!</definedName>
    <definedName name="가16층">#REF!</definedName>
    <definedName name="가17층">#REF!</definedName>
    <definedName name="가18층">#REF!</definedName>
    <definedName name="가19층">#REF!</definedName>
    <definedName name="가20층">#REF!</definedName>
    <definedName name="가21층">#REF!</definedName>
    <definedName name="가22층">#REF!</definedName>
    <definedName name="가23층">#REF!</definedName>
    <definedName name="가24층">#REF!</definedName>
    <definedName name="가25층">#REF!</definedName>
    <definedName name="가2층">#REF!</definedName>
    <definedName name="가3층">#REF!</definedName>
    <definedName name="가4층">#REF!</definedName>
    <definedName name="가5층">#REF!</definedName>
    <definedName name="가6층">#REF!</definedName>
    <definedName name="가7층">#REF!</definedName>
    <definedName name="가8층">#REF!</definedName>
    <definedName name="가9층">#REF!</definedName>
    <definedName name="가로등부표1">#REF!</definedName>
    <definedName name="가로등부표2">#REF!,#REF!</definedName>
    <definedName name="가설공사안내">#REF!</definedName>
    <definedName name="가설사무실">#REF!</definedName>
    <definedName name="간직영노">#REF!</definedName>
    <definedName name="갑지">#REF!</definedName>
    <definedName name="개발서브리스">#REF!</definedName>
    <definedName name="개발싱가폴">#REF!</definedName>
    <definedName name="개발양수도3">#REF!</definedName>
    <definedName name="개발현지법인">#REF!</definedName>
    <definedName name="개발홍콩">#REF!</definedName>
    <definedName name="거실주방발코니바닥전체">#REF!</definedName>
    <definedName name="건축" hidden="1">{#N/A,#N/A,TRUE,"토적및재료집계";#N/A,#N/A,TRUE,"토적및재료집계";#N/A,#N/A,TRUE,"단위량"}</definedName>
    <definedName name="건축1">#REF!</definedName>
    <definedName name="건축공사">#REF!</definedName>
    <definedName name="건축팀별" hidden="1">{#N/A,#N/A,FALSE,"지침";#N/A,#N/A,FALSE,"환경분석";#N/A,#N/A,FALSE,"Sheet16"}</definedName>
    <definedName name="견적">#REF!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예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경남리스">#REF!</definedName>
    <definedName name="경매">#REF!</definedName>
    <definedName name="경매상황">#REF!</definedName>
    <definedName name="경인리스">#REF!</definedName>
    <definedName name="계01">#REF!</definedName>
    <definedName name="계02">#REF!</definedName>
    <definedName name="계03">#REF!</definedName>
    <definedName name="계04">#REF!</definedName>
    <definedName name="계05">#REF!</definedName>
    <definedName name="계06">#REF!</definedName>
    <definedName name="계07">#REF!</definedName>
    <definedName name="계08">#REF!</definedName>
    <definedName name="계09">#REF!</definedName>
    <definedName name="계10">#REF!</definedName>
    <definedName name="계11">#REF!</definedName>
    <definedName name="계12">#REF!</definedName>
    <definedName name="계13">#REF!</definedName>
    <definedName name="계14">#REF!</definedName>
    <definedName name="계15">#REF!</definedName>
    <definedName name="계16">#REF!</definedName>
    <definedName name="계17">#REF!</definedName>
    <definedName name="계18">#REF!</definedName>
    <definedName name="계19">#REF!</definedName>
    <definedName name="계20">#REF!</definedName>
    <definedName name="계21">#REF!</definedName>
    <definedName name="계룡산">#REF!</definedName>
    <definedName name="계수" hidden="1">{#N/A,#N/A,FALSE,"지침";#N/A,#N/A,FALSE,"환경분석";#N/A,#N/A,FALSE,"Sheet16"}</definedName>
    <definedName name="계수1">#REF!</definedName>
    <definedName name="계정">#REF!</definedName>
    <definedName name="계획표">#REF!</definedName>
    <definedName name="고재">#REF!</definedName>
    <definedName name="고케">#REF!</definedName>
    <definedName name="골재Q모래불량">#REF!</definedName>
    <definedName name="골재Q자갈불량">#REF!</definedName>
    <definedName name="골재Q잡석불량">#REF!</definedName>
    <definedName name="골조">#REF!</definedName>
    <definedName name="공">#REF!</definedName>
    <definedName name="공공용시설">#REF!</definedName>
    <definedName name="공기">#REF!</definedName>
    <definedName name="공문">#REF!</definedName>
    <definedName name="공사개요">#REF!</definedName>
    <definedName name="공사원가계산서" hidden="1">{#N/A,#N/A,TRUE,"토적및재료집계";#N/A,#N/A,TRUE,"토적및재료집계";#N/A,#N/A,TRUE,"단위량"}</definedName>
    <definedName name="공시지가">#REF!</definedName>
    <definedName name="공압축3.5간재">#REF!</definedName>
    <definedName name="공압축3.5노무">#REF!</definedName>
    <definedName name="공압축3.5노무야간">#REF!</definedName>
    <definedName name="공압축3.5손료">#REF!</definedName>
    <definedName name="공압축7.1간재">#REF!</definedName>
    <definedName name="공압축7.1노무">#REF!</definedName>
    <definedName name="공압축7.1노무야간">#REF!</definedName>
    <definedName name="공압축7.1손료">#REF!</definedName>
    <definedName name="공장">#REF!</definedName>
    <definedName name="공정량">#REF!</definedName>
    <definedName name="공정수량">#REF!</definedName>
    <definedName name="공정집계">#REF!</definedName>
    <definedName name="공종">#REF!</definedName>
    <definedName name="관광휴게시설">#REF!</definedName>
    <definedName name="관급">#REF!,#REF!,#REF!</definedName>
    <definedName name="관람집회">#REF!</definedName>
    <definedName name="관련시설">#REF!</definedName>
    <definedName name="관로총괄">#REF!</definedName>
    <definedName name="관용접300간재">#REF!</definedName>
    <definedName name="관용접300노무">#REF!</definedName>
    <definedName name="관절단300간재">#REF!</definedName>
    <definedName name="관절단300노무">#REF!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육연구시설">#REF!</definedName>
    <definedName name="구분">#REF!</definedName>
    <definedName name="국가별">#REF!</definedName>
    <definedName name="국민리스">#REF!</definedName>
    <definedName name="근린생활시설">#REF!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융비용">#REF!</definedName>
    <definedName name="기계설치대장소노무">#REF!</definedName>
    <definedName name="기말잔액">#REF!</definedName>
    <definedName name="기안갑">#REF!</definedName>
    <definedName name="기안을">#REF!</definedName>
    <definedName name="기일">#REF!</definedName>
    <definedName name="기타경비" hidden="1">{#N/A,#N/A,TRUE,"토적및재료집계";#N/A,#N/A,TRUE,"토적및재료집계";#N/A,#N/A,TRUE,"단위량"}</definedName>
    <definedName name="기타세">#REF!</definedName>
    <definedName name="기타주민세">#REF!</definedName>
    <definedName name="길동">#REF!</definedName>
    <definedName name="김제욱" hidden="1">{#N/A,#N/A,FALSE,"지침";#N/A,#N/A,FALSE,"환경분석";#N/A,#N/A,FALSE,"Sheet16"}</definedName>
    <definedName name="김학민">#REF!,#REF!</definedName>
    <definedName name="ㄴㅁㅇㅀㅍㅁㄴㅇ">CHOOSE(#REF!,주거시설,종교시설,의료시설,업무시설,관람집회,전시시설,판매시설,숙박시설,위락시설,관련시설,방송통신시설,공장,교육연구시설,저장시설,관광휴게시설,체육시설,사회복지시설,위험물,근린생활시설,장례묘지관련,청소년수련시설,동물관련시설,공공용시설)</definedName>
    <definedName name="ㄴㅇ">CHOOSE(#REF!,주거시설,종교시설,의료시설,업무시설,관람집회,전시시설,판매시설,숙박시설,위락시설,관련시설,방송통신시설,공장,교육연구시설,저장시설,관광휴게시설,체육시설,사회복지시설,위험물,근린생활시설,장례묘지관련,청소년수련시설,동물관련시설,공공용시설)</definedName>
    <definedName name="날짜">#REF!</definedName>
    <definedName name="내역서">#REF!</definedName>
    <definedName name="내전">#REF!</definedName>
    <definedName name="노무비">#REF!</definedName>
    <definedName name="노무비A">#REF!</definedName>
    <definedName name="노무비B">#REF!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임">#REF!</definedName>
    <definedName name="노임단가">#REF!</definedName>
    <definedName name="노출형">#REF!</definedName>
    <definedName name="ㄷ" hidden="1">{#N/A,#N/A,TRUE,"토적및재료집계";#N/A,#N/A,TRUE,"토적및재료집계";#N/A,#N/A,TRUE,"단위량"}</definedName>
    <definedName name="단가">#REF!,#REF!</definedName>
    <definedName name="단가비교표">#REF!,#REF!</definedName>
    <definedName name="단가산출서">#REF!</definedName>
    <definedName name="단가테이블">#REF!</definedName>
    <definedName name="단위">#REF!</definedName>
    <definedName name="단위량">#REF!</definedName>
    <definedName name="담보">#REF!</definedName>
    <definedName name="담보2">#REF!</definedName>
    <definedName name="담보평가">#REF!</definedName>
    <definedName name="담보평가액">#REF!</definedName>
    <definedName name="당초분양가" hidden="1">{#N/A,#N/A,FALSE,"변경관리예산";#N/A,#N/A,FALSE,"변경장비예산";#N/A,#N/A,FALSE,"변경준설예산";#N/A,#N/A,FALSE,"변경철구예산"}</definedName>
    <definedName name="당행회수경매비용현가">#REF!</definedName>
    <definedName name="대">#REF!</definedName>
    <definedName name="대구">#REF!</definedName>
    <definedName name="대구방범확정">#REF!</definedName>
    <definedName name="대미환율">#REF!</definedName>
    <definedName name="대비">#REF!</definedName>
    <definedName name="대전내역서_대전추가비교표_List">#REF!</definedName>
    <definedName name="대전조차2">#REF!</definedName>
    <definedName name="대출잔액">#REF!</definedName>
    <definedName name="대회">#REF!</definedName>
    <definedName name="덕소">#REF!</definedName>
    <definedName name="동국대불교병원">#REF!</definedName>
    <definedName name="동남리스">#REF!</definedName>
    <definedName name="동락내역">#REF!</definedName>
    <definedName name="동물관련시설">#REF!</definedName>
    <definedName name="동서별2">#REF!</definedName>
    <definedName name="동양종금">#REF!</definedName>
    <definedName name="ㄹ" hidden="1">{#N/A,#N/A,TRUE,"토적및재료집계";#N/A,#N/A,TRUE,"토적및재료집계";#N/A,#N/A,TRUE,"단위량"}</definedName>
    <definedName name="ㄹㄴㅇㄹㄴㅇㄹㄴㄱㄴㅇ" hidden="1">{#N/A,#N/A,FALSE,"지침";#N/A,#N/A,FALSE,"환경분석";#N/A,#N/A,FALSE,"Sheet16"}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램">#REF!</definedName>
    <definedName name="램머Q간재">#REF!</definedName>
    <definedName name="램머Q간재10">#REF!</definedName>
    <definedName name="램머Q간재야간">#REF!</definedName>
    <definedName name="램머Q노무">#REF!</definedName>
    <definedName name="램머Q노무10">#REF!</definedName>
    <definedName name="램머Q노무야간">#REF!</definedName>
    <definedName name="램머Q손료">#REF!</definedName>
    <definedName name="램머Q손료10">#REF!</definedName>
    <definedName name="램머Q손료야간">#REF!</definedName>
    <definedName name="램머간재">#REF!</definedName>
    <definedName name="램머노무">#REF!</definedName>
    <definedName name="램머노무야간">#REF!</definedName>
    <definedName name="램머손료">#REF!</definedName>
    <definedName name="ㅀ" hidden="1">{#N/A,#N/A,TRUE,"토적및재료집계";#N/A,#N/A,TRUE,"토적및재료집계";#N/A,#N/A,TRUE,"단위량"}</definedName>
    <definedName name="ㅁ">#REF!</definedName>
    <definedName name="ㅁ1100">#REF!</definedName>
    <definedName name="ㅁ1140">#REF!</definedName>
    <definedName name="ㅁ3000">#REF!</definedName>
    <definedName name="ㅁ332">#REF!</definedName>
    <definedName name="ㅁ500">#REF!</definedName>
    <definedName name="ㅁ700">#REF!</definedName>
    <definedName name="ㅁ750">#REF!</definedName>
    <definedName name="ㅁ808">#REF!</definedName>
    <definedName name="ㅁ886">#REF!</definedName>
    <definedName name="ㅁa1140">#REF!</definedName>
    <definedName name="ㅁㅁ">#REF!</definedName>
    <definedName name="ㅁㅁㅁ">#REF!</definedName>
    <definedName name="만">#REF!</definedName>
    <definedName name="만기보장수익율">#REF!</definedName>
    <definedName name="매매일">#REF!</definedName>
    <definedName name="매매주식수">#REF!</definedName>
    <definedName name="매입개방">#REF!</definedName>
    <definedName name="매출성장율">#REF!</definedName>
    <definedName name="매크로19">#REF!</definedName>
    <definedName name="멘트">#REF!</definedName>
    <definedName name="면적표">#REF!</definedName>
    <definedName name="모니터">#REF!</definedName>
    <definedName name="모래">#REF!</definedName>
    <definedName name="모래1">#REF!</definedName>
    <definedName name="모집공고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목포공항">[0]!영광원자력5,#REF!</definedName>
    <definedName name="무담보">#REF!</definedName>
    <definedName name="미">#REF!</definedName>
    <definedName name="미수이자">#REF!</definedName>
    <definedName name="밋션별">#REF!</definedName>
    <definedName name="ㅂ" hidden="1">{#N/A,#N/A,TRUE,"토적및재료집계";#N/A,#N/A,TRUE,"토적및재료집계";#N/A,#N/A,TRUE,"단위량"}</definedName>
    <definedName name="ㅂㅂ">#REF!</definedName>
    <definedName name="ㅂㅈㄷㄷㄷ">#N/A</definedName>
    <definedName name="발">#REF!</definedName>
    <definedName name="발행회사명">#REF!</definedName>
    <definedName name="방송통신시설">#REF!</definedName>
    <definedName name="배당기일">#REF!</definedName>
    <definedName name="배당액">#REF!</definedName>
    <definedName name="배전">#REF!</definedName>
    <definedName name="백">#REF!</definedName>
    <definedName name="백02간재">#REF!</definedName>
    <definedName name="백02간재티스제외">#REF!</definedName>
    <definedName name="백02노무">#REF!</definedName>
    <definedName name="백02노무야간">#REF!</definedName>
    <definedName name="백02손료">#REF!</definedName>
    <definedName name="백04간재">#REF!</definedName>
    <definedName name="백04간재티스제외">#REF!</definedName>
    <definedName name="백04노무">#REF!</definedName>
    <definedName name="백04노무야간">#REF!</definedName>
    <definedName name="백04손료">#REF!</definedName>
    <definedName name="백07간재">#REF!</definedName>
    <definedName name="백07노무">#REF!</definedName>
    <definedName name="백07손료">#REF!</definedName>
    <definedName name="백만">#REF!</definedName>
    <definedName name="법인세">#REF!</definedName>
    <definedName name="법인주민세">#REF!</definedName>
    <definedName name="법정">#REF!</definedName>
    <definedName name="변경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보인">#REF!</definedName>
    <definedName name="보존등기비2">[0]!영광원자력5,#REF!</definedName>
    <definedName name="보증기관">#REF!</definedName>
    <definedName name="보통인부">#REF!</definedName>
    <definedName name="보통인부노">#REF!</definedName>
    <definedName name="본점소재지">#REF!</definedName>
    <definedName name="부가세율표">#REF!</definedName>
    <definedName name="브02간재구조물">#REF!</definedName>
    <definedName name="브02노무">#REF!</definedName>
    <definedName name="브02노무야간">#REF!</definedName>
    <definedName name="브02손료">#REF!</definedName>
    <definedName name="브04간재구조물">#REF!</definedName>
    <definedName name="브04노무">#REF!</definedName>
    <definedName name="브04노무야간">#REF!</definedName>
    <definedName name="브04손료">#REF!</definedName>
    <definedName name="브레이드">#REF!</definedName>
    <definedName name="비계">#REF!</definedName>
    <definedName name="ㅅ" hidden="1">{#N/A,#N/A,TRUE,"토적및재료집계";#N/A,#N/A,TRUE,"토적및재료집계";#N/A,#N/A,TRUE,"단위량"}</definedName>
    <definedName name="사" hidden="1">{#N/A,#N/A,FALSE,"지침";#N/A,#N/A,FALSE,"환경분석";#N/A,#N/A,FALSE,"Sheet16"}</definedName>
    <definedName name="사1" hidden="1">{#N/A,#N/A,FALSE,"지침";#N/A,#N/A,FALSE,"환경분석";#N/A,#N/A,FALSE,"Sheet16"}</definedName>
    <definedName name="사팔">#REF!</definedName>
    <definedName name="사회복지시설">#REF!</definedName>
    <definedName name="산재보험">#REF!</definedName>
    <definedName name="산출근거">#REF!</definedName>
    <definedName name="상세손익">#REF!</definedName>
    <definedName name="상세손익2">#REF!</definedName>
    <definedName name="상차비사석20">#REF!</definedName>
    <definedName name="상차비토사20">#REF!</definedName>
    <definedName name="새거">#REF!</definedName>
    <definedName name="새것">#REF!</definedName>
    <definedName name="선택">CHOOSE(#REF!,CPU,램,프린터,모니터)</definedName>
    <definedName name="선택1">CHOOSE(#REF!,주거시설,종교시설,의료시설,업무시설,관람집회,전시시설,판매시설,숙박시설,위락시설,관련시설,방송통신시설,공장,교육연구시설,저장시설,관광휴게시설,체육시설,사회복지시설,위험물,근린생활시설,장례묘지관련,청소년수련시설,동물관련시설,공공용시설)</definedName>
    <definedName name="선택2">CHOOSE(#REF!,주거시설,종교시설,의료시설,업무시설,관람집회,전시시설,판매시설,숙박시설,위락시설,관련시설,방송통신시설,공장,교육연구시설,저장시설,관광휴게시설,체육시설,사회복지시설,위험물,근린생활시설,장례묘지관련,청소년수련시설,동물관련시설,공공용시설)</definedName>
    <definedName name="선택3">CHOOSE(#REF!,주거시설,종교시설,의료시설,업무시설,관람집회,전시시설,판매시설,숙박시설,위락시설,관련시설,방송통신시설,공장,교육연구시설,저장시설,관광휴게시설,체육시설,사회복지시설,위험물,근린생활시설,장례묘지관련,청소년수련시설,동물관련시설,공공용시설)</definedName>
    <definedName name="설문지" hidden="1">#REF!</definedName>
    <definedName name="설치간재">#REF!</definedName>
    <definedName name="설치직노">#REF!</definedName>
    <definedName name="설치직재">#REF!</definedName>
    <definedName name="세전" hidden="1">{#N/A,#N/A,FALSE,"지침";#N/A,#N/A,FALSE,"환경분석";#N/A,#N/A,FALSE,"Sheet16"}</definedName>
    <definedName name="세전익익" hidden="1">{#N/A,#N/A,FALSE,"지침";#N/A,#N/A,FALSE,"환경분석";#N/A,#N/A,FALSE,"Sheet16"}</definedName>
    <definedName name="소B7">#REF!</definedName>
    <definedName name="소갑">#REF!</definedName>
    <definedName name="소형B손료">#REF!</definedName>
    <definedName name="손료">#REF!</definedName>
    <definedName name="손익">#REF!</definedName>
    <definedName name="손익A1">#REF!</definedName>
    <definedName name="손익변경" hidden="1">{#N/A,#N/A,FALSE,"지침";#N/A,#N/A,FALSE,"환경분석";#N/A,#N/A,FALSE,"Sheet16"}</definedName>
    <definedName name="수1소B">#REF!</definedName>
    <definedName name="수금율">#REF!</definedName>
    <definedName name="수량">#REF!</definedName>
    <definedName name="수량산출">#REF!</definedName>
    <definedName name="수량산출서">#REF!</definedName>
    <definedName name="수불">#REF!</definedName>
    <definedName name="숙박시설">#REF!</definedName>
    <definedName name="스케줄">#REF!</definedName>
    <definedName name="시">#REF!</definedName>
    <definedName name="신고일">#REF!</definedName>
    <definedName name="신보리스">#REF!</definedName>
    <definedName name="신보리스2">#REF!</definedName>
    <definedName name="신보서브리스">#REF!</definedName>
    <definedName name="신보외화대출">#REF!</definedName>
    <definedName name="실적__2837억원">#REF!</definedName>
    <definedName name="실지배당액">#REF!</definedName>
    <definedName name="실지배당액현가">#REF!</definedName>
    <definedName name="십">#REF!</definedName>
    <definedName name="십만">#REF!</definedName>
    <definedName name="ㅇㅇ">#REF!</definedName>
    <definedName name="ㅇㅇㅇ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아그우" hidden="1">{#N/A,#N/A,FALSE,"지침";#N/A,#N/A,FALSE,"환경분석";#N/A,#N/A,FALSE,"Sheet16"}</definedName>
    <definedName name="아모레">#REF!</definedName>
    <definedName name="아연도28C">#REF!</definedName>
    <definedName name="안전관리">#REF!</definedName>
    <definedName name="안전관리비">#REF!</definedName>
    <definedName name="안직급">#REF!</definedName>
    <definedName name="압입압축기25간재">#REF!</definedName>
    <definedName name="압입압축기25노무">#REF!</definedName>
    <definedName name="압입압축기25손료">#REF!</definedName>
    <definedName name="압입운반차4.5간재">#REF!</definedName>
    <definedName name="압입운반차4.5노무">#REF!</definedName>
    <definedName name="압입운반차4.5손료">#REF!</definedName>
    <definedName name="압입운반차4간재">#REF!</definedName>
    <definedName name="압입운반차4노무">#REF!</definedName>
    <definedName name="압입운반차4손료">#REF!</definedName>
    <definedName name="양도자">#REF!</definedName>
    <definedName name="양도자등록번호">#REF!</definedName>
    <definedName name="양도자사업자번호">#REF!</definedName>
    <definedName name="양도자상호">#REF!</definedName>
    <definedName name="양도자주소">#REF!</definedName>
    <definedName name="양석">#REF!,#REF!,#REF!,#REF!,#REF!,#REF!,#REF!,#REF!,#REF!,#REF!,#REF!,#REF!,#REF!,#REF!,#REF!,#REF!,#REF!,#REF!,#REF!</definedName>
    <definedName name="양수자">#REF!</definedName>
    <definedName name="양수자등록번호">#REF!</definedName>
    <definedName name="양수자사업자번호">#REF!</definedName>
    <definedName name="양수자상호">#REF!</definedName>
    <definedName name="양수자주소">#REF!</definedName>
    <definedName name="업무시설">#REF!</definedName>
    <definedName name="영광원자력56호기">[0]!영광원자력5,#REF!</definedName>
    <definedName name="영구" hidden="1">{#N/A,#N/A,FALSE,"지침";#N/A,#N/A,FALSE,"환경분석";#N/A,#N/A,FALSE,"Sheet16"}</definedName>
    <definedName name="영업" hidden="1">{#N/A,#N/A,FALSE,"지침";#N/A,#N/A,FALSE,"환경분석";#N/A,#N/A,FALSE,"Sheet16"}</definedName>
    <definedName name="영업외" hidden="1">#REF!</definedName>
    <definedName name="영업외수" hidden="1">#REF!</definedName>
    <definedName name="영업현금" hidden="1">{#N/A,#N/A,FALSE,"지침";#N/A,#N/A,FALSE,"환경분석";#N/A,#N/A,FALSE,"Sheet16"}</definedName>
    <definedName name="영역">#REF!</definedName>
    <definedName name="영역1">#REF!</definedName>
    <definedName name="외노">#REF!</definedName>
    <definedName name="용접">#REF!</definedName>
    <definedName name="용접공">#REF!</definedName>
    <definedName name="운">#REF!</definedName>
    <definedName name="운전">#REF!</definedName>
    <definedName name="운전사">#REF!</definedName>
    <definedName name="운전사_운반">#REF!</definedName>
    <definedName name="운전조">#REF!</definedName>
    <definedName name="원">#REF!</definedName>
    <definedName name="월별영업">#REF!</definedName>
    <definedName name="위락시설">#REF!</definedName>
    <definedName name="위험물">#REF!</definedName>
    <definedName name="의료시설">#REF!</definedName>
    <definedName name="이슈" hidden="1">{#N/A,#N/A,FALSE,"지침";#N/A,#N/A,FALSE,"환경분석";#N/A,#N/A,FALSE,"Sheet16"}</definedName>
    <definedName name="이자율">#REF!</definedName>
    <definedName name="이준호">#REF!</definedName>
    <definedName name="이희선">#REF!,#REF!</definedName>
    <definedName name="인력품">#REF!</definedName>
    <definedName name="인쇄">#REF!,#REF!</definedName>
    <definedName name="일B0.6">#REF!</definedName>
    <definedName name="일B6">#REF!</definedName>
    <definedName name="일대">#REF!</definedName>
    <definedName name="일대1">#REF!</definedName>
    <definedName name="일련번호">#REF!</definedName>
    <definedName name="일위">#REF!,#REF!</definedName>
    <definedName name="일위1">#REF!</definedName>
    <definedName name="일위대가">#REF!</definedName>
    <definedName name="일위수량">#REF!</definedName>
    <definedName name="일정97" hidden="1">#REF!</definedName>
    <definedName name="임직급">#REF!</definedName>
    <definedName name="입">#REF!</definedName>
    <definedName name="입력">#REF!</definedName>
    <definedName name="자">#REF!</definedName>
    <definedName name="자유세">#REF!</definedName>
    <definedName name="자유주민세">#REF!</definedName>
    <definedName name="자재">#REF!</definedName>
    <definedName name="자재단가">#REF!</definedName>
    <definedName name="자재비">#REF!</definedName>
    <definedName name="자체상세">#REF!</definedName>
    <definedName name="작업">#REF!</definedName>
    <definedName name="잔존년수">#REF!</definedName>
    <definedName name="잔토Q135사석불량">#REF!</definedName>
    <definedName name="잔토Q135사석실가동불량">#REF!</definedName>
    <definedName name="잔토Q135토사불량">#REF!</definedName>
    <definedName name="잔토Q135토사실가동불량">#REF!</definedName>
    <definedName name="잔토Q45사석불량">#REF!</definedName>
    <definedName name="잔토Q45사석실가동불량">#REF!</definedName>
    <definedName name="잔토Q45토사불량">#REF!</definedName>
    <definedName name="잔토Q45토사실가동불량">#REF!</definedName>
    <definedName name="잔토Q90사석">#REF!</definedName>
    <definedName name="잔토Q90사석불량">#REF!</definedName>
    <definedName name="잔토Q90사석실가동">#REF!</definedName>
    <definedName name="잔토Q90사석실가동불량">#REF!</definedName>
    <definedName name="잔토Q90토사">#REF!</definedName>
    <definedName name="잔토Q90토사불량">#REF!</definedName>
    <definedName name="잔토Q90토사실가동">#REF!</definedName>
    <definedName name="잔토Q90토사실가동불량">#REF!</definedName>
    <definedName name="잔토Q인력사석불량">#REF!</definedName>
    <definedName name="잔토Q인력사석실가동불량">#REF!</definedName>
    <definedName name="잔토Q인력토사불량">#REF!</definedName>
    <definedName name="잔토Q인력토사실가동불량">#REF!</definedName>
    <definedName name="장기미수">#REF!</definedName>
    <definedName name="장례묘지관련">#REF!</definedName>
    <definedName name="장부가액">#REF!</definedName>
    <definedName name="장부가액합계">#REF!</definedName>
    <definedName name="재고회전율">#REF!</definedName>
    <definedName name="재료집계2">#REF!</definedName>
    <definedName name="재료집계3">#REF!</definedName>
    <definedName name="재료집계호남">#REF!</definedName>
    <definedName name="저압케이블공노">#REF!</definedName>
    <definedName name="저장시설">#REF!</definedName>
    <definedName name="저케">#REF!</definedName>
    <definedName name="전략기획팀1">#REF!</definedName>
    <definedName name="전략기획팀손익">#REF!</definedName>
    <definedName name="전시시설">#REF!</definedName>
    <definedName name="전자CF" hidden="1">{#N/A,#N/A,FALSE,"지침";#N/A,#N/A,FALSE,"환경분석";#N/A,#N/A,FALSE,"Sheet16"}</definedName>
    <definedName name="전화">#REF!</definedName>
    <definedName name="전화설치대수_사무소">#REF!</definedName>
    <definedName name="정류기재">#REF!</definedName>
    <definedName name="정리계획">#REF!</definedName>
    <definedName name="정직급">#REF!</definedName>
    <definedName name="제목">#REF!</definedName>
    <definedName name="제작비">#REF!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품별요소별단가">#REF!</definedName>
    <definedName name="조가선재">#REF!</definedName>
    <definedName name="조명율표">#REF!</definedName>
    <definedName name="조장">#REF!</definedName>
    <definedName name="조흥외화">#REF!</definedName>
    <definedName name="조흥캐피탈">#REF!</definedName>
    <definedName name="종">#REF!</definedName>
    <definedName name="종교시설">#REF!</definedName>
    <definedName name="주" hidden="1">{#N/A,#N/A,FALSE,"지침";#N/A,#N/A,FALSE,"환경분석";#N/A,#N/A,FALSE,"Sheet16"}</definedName>
    <definedName name="주거시설">#REF!</definedName>
    <definedName name="주당매매가액">#REF!</definedName>
    <definedName name="주당액면가액">#REF!</definedName>
    <definedName name="주부신수익권증서_400">#REF!</definedName>
    <definedName name="주소">#REF!</definedName>
    <definedName name="주소2">#REF!</definedName>
    <definedName name="주소3">#REF!</definedName>
    <definedName name="주택매출">#REF!</definedName>
    <definedName name="주택원가">#REF!</definedName>
    <definedName name="주택최종">#REF!</definedName>
    <definedName name="준공_및_잔금">#REF!</definedName>
    <definedName name="중기운전기사">#REF!</definedName>
    <definedName name="중기운전사">#REF!</definedName>
    <definedName name="중도금무이자">#REF!</definedName>
    <definedName name="중부리스">#REF!</definedName>
    <definedName name="지보7">#REF!</definedName>
    <definedName name="지보약">#REF!</definedName>
    <definedName name="지입">#REF!</definedName>
    <definedName name="지입자재">#REF!</definedName>
    <definedName name="직1CO">#REF!</definedName>
    <definedName name="직매54P" hidden="1">{#N/A,#N/A,TRUE,"토적및재료집계";#N/A,#N/A,TRUE,"토적및재료집계";#N/A,#N/A,TRUE,"단위량"}</definedName>
    <definedName name="직영노">#REF!</definedName>
    <definedName name="직종">#REF!</definedName>
    <definedName name="직직영노">#REF!</definedName>
    <definedName name="집계">#REF!</definedName>
    <definedName name="차이_부산동부">#REF!</definedName>
    <definedName name="차주번호">#REF!</definedName>
    <definedName name="차주번호2">#REF!</definedName>
    <definedName name="착암공">#REF!</definedName>
    <definedName name="창">#REF!</definedName>
    <definedName name="창고">#REF!</definedName>
    <definedName name="채무자번호">#REF!</definedName>
    <definedName name="천">#REF!</definedName>
    <definedName name="철공">#REF!</definedName>
    <definedName name="청북지구">#REF!</definedName>
    <definedName name="청소년수련시설">#REF!</definedName>
    <definedName name="체육시설">#REF!</definedName>
    <definedName name="총괄토탈">#REF!</definedName>
    <definedName name="총괄표">#REF!</definedName>
    <definedName name="총매매가액">#REF!</definedName>
    <definedName name="총원가">#REF!</definedName>
    <definedName name="총원가2">#REF!</definedName>
    <definedName name="추심기일">#REF!</definedName>
    <definedName name="추심기일2">#REF!</definedName>
    <definedName name="추심액">#REF!</definedName>
    <definedName name="출력">#REF!</definedName>
    <definedName name="출판" hidden="1">{#N/A,#N/A,FALSE,"지침";#N/A,#N/A,FALSE,"환경분석";#N/A,#N/A,FALSE,"Sheet16"}</definedName>
    <definedName name="출판C">#REF!</definedName>
    <definedName name="출판CF">#REF!</definedName>
    <definedName name="충돌">#N/A</definedName>
    <definedName name="캇타간재">#REF!</definedName>
    <definedName name="캇타노무">#REF!</definedName>
    <definedName name="캇타손료">#REF!</definedName>
    <definedName name="캐쉬" hidden="1">{#N/A,#N/A,FALSE,"지침";#N/A,#N/A,FALSE,"환경분석";#N/A,#N/A,FALSE,"Sheet16"}</definedName>
    <definedName name="케이블간지" hidden="1">{#N/A,#N/A,TRUE,"토적및재료집계";#N/A,#N/A,TRUE,"토적및재료집계";#N/A,#N/A,TRUE,"단위량"}</definedName>
    <definedName name="케이블공노">#REF!</definedName>
    <definedName name="코드">#REF!</definedName>
    <definedName name="콘크">#REF!</definedName>
    <definedName name="타사비교" hidden="1">{#N/A,#N/A,TRUE,"토적및재료집계";#N/A,#N/A,TRUE,"토적및재료집계";#N/A,#N/A,TRUE,"단위량"}</definedName>
    <definedName name="타입평">#REF!</definedName>
    <definedName name="토목산출_산출근거_List">#REF!</definedName>
    <definedName name="토적집계">#REF!</definedName>
    <definedName name="토지현황">#REF!</definedName>
    <definedName name="토지현황최근">#REF!</definedName>
    <definedName name="통영수량">#REF!</definedName>
    <definedName name="퇴직공제">#REF!</definedName>
    <definedName name="퇴직세">#REF!</definedName>
    <definedName name="퇴직주민세">#REF!</definedName>
    <definedName name="투입">#REF!</definedName>
    <definedName name="특고">#REF!</definedName>
    <definedName name="특별">#REF!</definedName>
    <definedName name="특별인부">#REF!</definedName>
    <definedName name="ㅍㅍ" hidden="1">{#N/A,#N/A,TRUE,"토적및재료집계";#N/A,#N/A,TRUE,"토적및재료집계";#N/A,#N/A,TRUE,"단위량"}</definedName>
    <definedName name="파이프펜던트">#REF!</definedName>
    <definedName name="판관비성장율">#REF!</definedName>
    <definedName name="판매시설">#REF!</definedName>
    <definedName name="퍼센트">#REF!</definedName>
    <definedName name="평형수준표48">#REF!</definedName>
    <definedName name="포장2월ocf" hidden="1">{#N/A,#N/A,FALSE,"지침";#N/A,#N/A,FALSE,"환경분석";#N/A,#N/A,FALSE,"Sheet16"}</definedName>
    <definedName name="포장ocf" hidden="1">{#N/A,#N/A,FALSE,"지침";#N/A,#N/A,FALSE,"환경분석";#N/A,#N/A,FALSE,"Sheet16"}</definedName>
    <definedName name="포항내역서">#REF!</definedName>
    <definedName name="표준공정율">#REF!</definedName>
    <definedName name="표지">#REF!</definedName>
    <definedName name="표지로">[0]!표지로</definedName>
    <definedName name="표품_통신_6_13">#REF!</definedName>
    <definedName name="품명">#REF!</definedName>
    <definedName name="품셈공종">#REF!</definedName>
    <definedName name="품셈단가">#REF!</definedName>
    <definedName name="프린터">#REF!</definedName>
    <definedName name="플랜트노">#REF!</definedName>
    <definedName name="피스표">#REF!</definedName>
    <definedName name="ㅎ200">#REF!</definedName>
    <definedName name="ㅎ384">#REF!</definedName>
    <definedName name="ㅎㅎㅎㅎㅎㅎㅎ">#REF!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한국리스여신">#REF!</definedName>
    <definedName name="한국리스여신1">#REF!</definedName>
    <definedName name="한미캐피탈">#REF!</definedName>
    <definedName name="한빛여신">#REF!</definedName>
    <definedName name="합판거푸집">#REF!</definedName>
    <definedName name="항고고려후배당기일">#REF!</definedName>
    <definedName name="현금">#REF!</definedName>
    <definedName name="현금2">#REF!</definedName>
    <definedName name="현금흐름">#REF!</definedName>
    <definedName name="현대리바트">#REF!</definedName>
    <definedName name="現代綜合商事經由分">#REF!</definedName>
    <definedName name="현장관리">#REF!</definedName>
    <definedName name="현천기자재비">#REF!</definedName>
    <definedName name="형틀">#REF!</definedName>
    <definedName name="호별가격">#REF!</definedName>
    <definedName name="호별시가안분">#REF!</definedName>
    <definedName name="화의">#REF!</definedName>
    <definedName name="환율">#REF!</definedName>
    <definedName name="흙빼기노무">#REF!</definedName>
    <definedName name="희선">#REF!,#REF!,#REF!,#REF!,#REF!,#REF!,#REF!,#REF!,#REF!,#REF!,#REF!,#REF!,#REF!,#REF!,#REF!,#REF!,#REF!,#REF!,#REF!</definedName>
    <definedName name="ㅏ271">#REF!</definedName>
    <definedName name="ㅐㅐㅐ" hidden="1">{#N/A,#N/A,FALSE,"지침";#N/A,#N/A,FALSE,"환경분석";#N/A,#N/A,FALSE,"Sheet16"}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">#REF!</definedName>
    <definedName name="ㅔㅐㅑㅔ">CHOOSE(#REF!,주거시설,종교시설,의료시설,업무시설,관람집회,전시시설,판매시설,숙박시설,위락시설,관련시설,방송통신시설,공장,교육연구시설,저장시설,관광휴게시설,체육시설,사회복지시설,위험물,근린생활시설,장례묘지관련,청소년수련시설,동물관련시설,공공용시설)</definedName>
    <definedName name="ㅕ422">#REF!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7254">#REF!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ㅕㅑㅛㅑ">CHOOSE(#REF!,CPU,램,프린터,모니터)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">#REF!</definedName>
    <definedName name="ㅠ109">#REF!</definedName>
    <definedName name="ㅠㅠㅠ" hidden="1">{#N/A,#N/A,FALSE,"지침";#N/A,#N/A,FALSE,"환경분석";#N/A,#N/A,FALSE,"Sheet16"}</definedName>
    <definedName name="ㅡㅡㅡ" hidden="1">{#N/A,#N/A,FALSE,"지침";#N/A,#N/A,FALSE,"환경분석";#N/A,#N/A,FALSE,"Sheet16"}</definedName>
    <definedName name="ㅣㅣㅣ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H10" i="6"/>
  <c r="I10" i="6"/>
  <c r="J10" i="6"/>
  <c r="K10" i="6"/>
  <c r="M10" i="6"/>
  <c r="N10" i="6"/>
  <c r="O10" i="6"/>
  <c r="P10" i="6"/>
  <c r="R10" i="6"/>
  <c r="S10" i="6"/>
  <c r="T10" i="6"/>
  <c r="U10" i="6"/>
  <c r="W10" i="6"/>
  <c r="X10" i="6"/>
  <c r="Y10" i="6"/>
  <c r="Z10" i="6"/>
  <c r="AA10" i="6"/>
  <c r="AC10" i="6"/>
  <c r="AD10" i="6"/>
  <c r="AE10" i="6"/>
  <c r="AF10" i="6"/>
  <c r="AH10" i="6"/>
  <c r="AI10" i="6"/>
  <c r="AJ10" i="6"/>
  <c r="AK10" i="6"/>
  <c r="AM10" i="6"/>
  <c r="AN10" i="6"/>
  <c r="AO10" i="6"/>
  <c r="AP10" i="6"/>
  <c r="AQ10" i="6"/>
  <c r="AR10" i="6"/>
  <c r="AS10" i="6"/>
  <c r="AT10" i="6"/>
  <c r="AU10" i="6"/>
  <c r="AV10" i="6"/>
  <c r="AW10" i="6"/>
  <c r="H11" i="6"/>
  <c r="I11" i="6"/>
  <c r="J11" i="6"/>
  <c r="K11" i="6"/>
  <c r="M11" i="6"/>
  <c r="N11" i="6"/>
  <c r="O11" i="6"/>
  <c r="P11" i="6"/>
  <c r="R11" i="6"/>
  <c r="S11" i="6"/>
  <c r="T11" i="6"/>
  <c r="U11" i="6"/>
  <c r="W11" i="6"/>
  <c r="X11" i="6"/>
  <c r="Y11" i="6"/>
  <c r="Z11" i="6"/>
  <c r="AA11" i="6"/>
  <c r="AC11" i="6"/>
  <c r="AD11" i="6"/>
  <c r="AE11" i="6"/>
  <c r="AF11" i="6"/>
  <c r="AH11" i="6"/>
  <c r="AI11" i="6"/>
  <c r="AJ11" i="6"/>
  <c r="AK11" i="6"/>
  <c r="AM11" i="6"/>
  <c r="AN11" i="6"/>
  <c r="AO11" i="6"/>
  <c r="AP11" i="6"/>
  <c r="AQ11" i="6"/>
  <c r="AR11" i="6"/>
  <c r="AS11" i="6"/>
  <c r="AT11" i="6"/>
  <c r="AU11" i="6"/>
  <c r="AV11" i="6"/>
  <c r="AW11" i="6"/>
  <c r="H12" i="6"/>
  <c r="I12" i="6"/>
  <c r="J12" i="6"/>
  <c r="K12" i="6"/>
  <c r="M12" i="6"/>
  <c r="N12" i="6"/>
  <c r="O12" i="6"/>
  <c r="P12" i="6"/>
  <c r="R12" i="6"/>
  <c r="S12" i="6"/>
  <c r="T12" i="6"/>
  <c r="U12" i="6"/>
  <c r="W12" i="6"/>
  <c r="X12" i="6"/>
  <c r="Y12" i="6"/>
  <c r="Z12" i="6"/>
  <c r="AA12" i="6"/>
  <c r="AC12" i="6"/>
  <c r="AD12" i="6"/>
  <c r="AE12" i="6"/>
  <c r="AF12" i="6"/>
  <c r="AH12" i="6"/>
  <c r="AI12" i="6"/>
  <c r="AJ12" i="6"/>
  <c r="AK12" i="6"/>
  <c r="AM12" i="6"/>
  <c r="AN12" i="6"/>
  <c r="AO12" i="6"/>
  <c r="AP12" i="6"/>
  <c r="AQ12" i="6"/>
  <c r="AR12" i="6"/>
  <c r="AS12" i="6"/>
  <c r="AT12" i="6"/>
  <c r="AU12" i="6"/>
  <c r="AV12" i="6"/>
  <c r="AW12" i="6"/>
  <c r="H13" i="6"/>
  <c r="I13" i="6"/>
  <c r="J13" i="6"/>
  <c r="K13" i="6"/>
  <c r="M13" i="6"/>
  <c r="N13" i="6"/>
  <c r="O13" i="6"/>
  <c r="P13" i="6"/>
  <c r="R13" i="6"/>
  <c r="S13" i="6"/>
  <c r="T13" i="6"/>
  <c r="U13" i="6"/>
  <c r="W13" i="6"/>
  <c r="X13" i="6"/>
  <c r="Y13" i="6"/>
  <c r="Z13" i="6"/>
  <c r="AA13" i="6"/>
  <c r="AC13" i="6"/>
  <c r="AD13" i="6"/>
  <c r="AE13" i="6"/>
  <c r="AF13" i="6"/>
  <c r="AH13" i="6"/>
  <c r="AI13" i="6"/>
  <c r="AJ13" i="6"/>
  <c r="AK13" i="6"/>
  <c r="AM13" i="6"/>
  <c r="AN13" i="6"/>
  <c r="AO13" i="6"/>
  <c r="AP13" i="6"/>
  <c r="AQ13" i="6"/>
  <c r="AR13" i="6"/>
  <c r="AS13" i="6"/>
  <c r="AT13" i="6"/>
  <c r="AU13" i="6"/>
  <c r="AV13" i="6"/>
  <c r="AW13" i="6"/>
  <c r="H14" i="6"/>
  <c r="I14" i="6"/>
  <c r="J14" i="6"/>
  <c r="K14" i="6"/>
  <c r="M14" i="6"/>
  <c r="N14" i="6"/>
  <c r="O14" i="6"/>
  <c r="P14" i="6"/>
  <c r="R14" i="6"/>
  <c r="S14" i="6"/>
  <c r="T14" i="6"/>
  <c r="U14" i="6"/>
  <c r="W14" i="6"/>
  <c r="X14" i="6"/>
  <c r="Y14" i="6"/>
  <c r="Z14" i="6"/>
  <c r="AA14" i="6"/>
  <c r="AC14" i="6"/>
  <c r="AD14" i="6"/>
  <c r="AE14" i="6"/>
  <c r="AF14" i="6"/>
  <c r="AH14" i="6"/>
  <c r="AI14" i="6"/>
  <c r="AJ14" i="6"/>
  <c r="AK14" i="6"/>
  <c r="AM14" i="6"/>
  <c r="AN14" i="6"/>
  <c r="AO14" i="6"/>
  <c r="AP14" i="6"/>
  <c r="AQ14" i="6"/>
  <c r="AR14" i="6"/>
  <c r="AS14" i="6"/>
  <c r="AT14" i="6"/>
  <c r="AU14" i="6"/>
  <c r="AV14" i="6"/>
  <c r="AW14" i="6"/>
  <c r="H15" i="6"/>
  <c r="I15" i="6"/>
  <c r="J15" i="6"/>
  <c r="K15" i="6"/>
  <c r="M15" i="6"/>
  <c r="N15" i="6"/>
  <c r="O15" i="6"/>
  <c r="P15" i="6"/>
  <c r="R15" i="6"/>
  <c r="S15" i="6"/>
  <c r="T15" i="6"/>
  <c r="U15" i="6"/>
  <c r="W15" i="6"/>
  <c r="X15" i="6"/>
  <c r="Y15" i="6"/>
  <c r="Z15" i="6"/>
  <c r="AA15" i="6"/>
  <c r="AC15" i="6"/>
  <c r="AD15" i="6"/>
  <c r="AE15" i="6"/>
  <c r="AF15" i="6"/>
  <c r="AH15" i="6"/>
  <c r="AI15" i="6"/>
  <c r="AJ15" i="6"/>
  <c r="AK15" i="6"/>
  <c r="AM15" i="6"/>
  <c r="AN15" i="6"/>
  <c r="AO15" i="6"/>
  <c r="AP15" i="6"/>
  <c r="AQ15" i="6"/>
  <c r="AR15" i="6"/>
  <c r="AS15" i="6"/>
  <c r="AT15" i="6"/>
  <c r="AU15" i="6"/>
  <c r="AV15" i="6"/>
  <c r="AW15" i="6"/>
  <c r="H16" i="6"/>
  <c r="I16" i="6"/>
  <c r="J16" i="6"/>
  <c r="K16" i="6"/>
  <c r="M16" i="6"/>
  <c r="N16" i="6"/>
  <c r="O16" i="6"/>
  <c r="P16" i="6"/>
  <c r="R16" i="6"/>
  <c r="S16" i="6"/>
  <c r="T16" i="6"/>
  <c r="U16" i="6"/>
  <c r="W16" i="6"/>
  <c r="X16" i="6"/>
  <c r="Y16" i="6"/>
  <c r="Z16" i="6"/>
  <c r="AA16" i="6"/>
  <c r="AC16" i="6"/>
  <c r="AD16" i="6"/>
  <c r="AE16" i="6"/>
  <c r="AF16" i="6"/>
  <c r="AH16" i="6"/>
  <c r="AI16" i="6"/>
  <c r="AJ16" i="6"/>
  <c r="AK16" i="6"/>
  <c r="AM16" i="6"/>
  <c r="AN16" i="6"/>
  <c r="AO16" i="6"/>
  <c r="AP16" i="6"/>
  <c r="AQ16" i="6"/>
  <c r="AR16" i="6"/>
  <c r="AS16" i="6"/>
  <c r="AT16" i="6"/>
  <c r="AU16" i="6"/>
  <c r="AV16" i="6"/>
  <c r="AW16" i="6"/>
  <c r="H17" i="6"/>
  <c r="I17" i="6"/>
  <c r="J17" i="6"/>
  <c r="K17" i="6"/>
  <c r="M17" i="6"/>
  <c r="N17" i="6"/>
  <c r="O17" i="6"/>
  <c r="P17" i="6"/>
  <c r="R17" i="6"/>
  <c r="S17" i="6"/>
  <c r="T17" i="6"/>
  <c r="U17" i="6"/>
  <c r="W17" i="6"/>
  <c r="X17" i="6"/>
  <c r="Y17" i="6"/>
  <c r="Z17" i="6"/>
  <c r="AA17" i="6"/>
  <c r="AC17" i="6"/>
  <c r="AD17" i="6"/>
  <c r="AE17" i="6"/>
  <c r="AF17" i="6"/>
  <c r="AH17" i="6"/>
  <c r="AI17" i="6"/>
  <c r="AJ17" i="6"/>
  <c r="AK17" i="6"/>
  <c r="AM17" i="6"/>
  <c r="AN17" i="6"/>
  <c r="AO17" i="6"/>
  <c r="AP17" i="6"/>
  <c r="AQ17" i="6"/>
  <c r="AR17" i="6"/>
  <c r="AS17" i="6"/>
  <c r="AT17" i="6"/>
  <c r="AU17" i="6"/>
  <c r="AV17" i="6"/>
  <c r="AW17" i="6"/>
  <c r="H18" i="6"/>
  <c r="I18" i="6"/>
  <c r="J18" i="6"/>
  <c r="K18" i="6"/>
  <c r="M18" i="6"/>
  <c r="N18" i="6"/>
  <c r="O18" i="6"/>
  <c r="P18" i="6"/>
  <c r="R18" i="6"/>
  <c r="S18" i="6"/>
  <c r="T18" i="6"/>
  <c r="U18" i="6"/>
  <c r="W18" i="6"/>
  <c r="X18" i="6"/>
  <c r="Y18" i="6"/>
  <c r="Z18" i="6"/>
  <c r="AA18" i="6"/>
  <c r="AC18" i="6"/>
  <c r="AD18" i="6"/>
  <c r="AE18" i="6"/>
  <c r="AF18" i="6"/>
  <c r="AH18" i="6"/>
  <c r="AI18" i="6"/>
  <c r="AJ18" i="6"/>
  <c r="AK18" i="6"/>
  <c r="AM18" i="6"/>
  <c r="AN18" i="6"/>
  <c r="AO18" i="6"/>
  <c r="AP18" i="6"/>
  <c r="AQ18" i="6"/>
  <c r="AR18" i="6"/>
  <c r="AS18" i="6"/>
  <c r="AT18" i="6"/>
  <c r="AU18" i="6"/>
  <c r="AV18" i="6"/>
  <c r="AW18" i="6"/>
  <c r="H19" i="6"/>
  <c r="I19" i="6"/>
  <c r="J19" i="6"/>
  <c r="K19" i="6"/>
  <c r="M19" i="6"/>
  <c r="N19" i="6"/>
  <c r="O19" i="6"/>
  <c r="P19" i="6"/>
  <c r="R19" i="6"/>
  <c r="S19" i="6"/>
  <c r="T19" i="6"/>
  <c r="U19" i="6"/>
  <c r="W19" i="6"/>
  <c r="X19" i="6"/>
  <c r="Y19" i="6"/>
  <c r="Z19" i="6"/>
  <c r="AA19" i="6"/>
  <c r="AC19" i="6"/>
  <c r="AD19" i="6"/>
  <c r="AE19" i="6"/>
  <c r="AF19" i="6"/>
  <c r="AH19" i="6"/>
  <c r="AI19" i="6"/>
  <c r="AJ19" i="6"/>
  <c r="AK19" i="6"/>
  <c r="AM19" i="6"/>
  <c r="AN19" i="6"/>
  <c r="AO19" i="6"/>
  <c r="AP19" i="6"/>
  <c r="AQ19" i="6"/>
  <c r="AR19" i="6"/>
  <c r="AS19" i="6"/>
  <c r="AT19" i="6"/>
  <c r="AU19" i="6"/>
  <c r="AV19" i="6"/>
  <c r="AW19" i="6"/>
  <c r="H20" i="6"/>
  <c r="I20" i="6"/>
  <c r="J20" i="6"/>
  <c r="K20" i="6"/>
  <c r="M20" i="6"/>
  <c r="N20" i="6"/>
  <c r="O20" i="6"/>
  <c r="P20" i="6"/>
  <c r="R20" i="6"/>
  <c r="S20" i="6"/>
  <c r="T20" i="6"/>
  <c r="U20" i="6"/>
  <c r="W20" i="6"/>
  <c r="X20" i="6"/>
  <c r="Y20" i="6"/>
  <c r="Z20" i="6"/>
  <c r="AA20" i="6"/>
  <c r="AC20" i="6"/>
  <c r="AD20" i="6"/>
  <c r="AE20" i="6"/>
  <c r="AF20" i="6"/>
  <c r="AH20" i="6"/>
  <c r="AI20" i="6"/>
  <c r="AJ20" i="6"/>
  <c r="AK20" i="6"/>
  <c r="AM20" i="6"/>
  <c r="AN20" i="6"/>
  <c r="AO20" i="6"/>
  <c r="AP20" i="6"/>
  <c r="AQ20" i="6"/>
  <c r="AR20" i="6"/>
  <c r="AS20" i="6"/>
  <c r="AT20" i="6"/>
  <c r="AU20" i="6"/>
  <c r="AV20" i="6"/>
  <c r="AW20" i="6"/>
  <c r="H21" i="6"/>
  <c r="I21" i="6"/>
  <c r="J21" i="6"/>
  <c r="K21" i="6"/>
  <c r="M21" i="6"/>
  <c r="N21" i="6"/>
  <c r="O21" i="6"/>
  <c r="P21" i="6"/>
  <c r="R21" i="6"/>
  <c r="S21" i="6"/>
  <c r="T21" i="6"/>
  <c r="U21" i="6"/>
  <c r="W21" i="6"/>
  <c r="X21" i="6"/>
  <c r="Y21" i="6"/>
  <c r="Z21" i="6"/>
  <c r="AA21" i="6"/>
  <c r="AC21" i="6"/>
  <c r="AD21" i="6"/>
  <c r="AE21" i="6"/>
  <c r="AF21" i="6"/>
  <c r="AH21" i="6"/>
  <c r="AI21" i="6"/>
  <c r="AJ21" i="6"/>
  <c r="AK21" i="6"/>
  <c r="AM21" i="6"/>
  <c r="AN21" i="6"/>
  <c r="AO21" i="6"/>
  <c r="AP21" i="6"/>
  <c r="AQ21" i="6"/>
  <c r="AR21" i="6"/>
  <c r="AS21" i="6"/>
  <c r="AT21" i="6"/>
  <c r="AU21" i="6"/>
  <c r="AV21" i="6"/>
  <c r="AW21" i="6"/>
  <c r="H22" i="6"/>
  <c r="I22" i="6"/>
  <c r="J22" i="6"/>
  <c r="K22" i="6"/>
  <c r="M22" i="6"/>
  <c r="N22" i="6"/>
  <c r="O22" i="6"/>
  <c r="P22" i="6"/>
  <c r="R22" i="6"/>
  <c r="S22" i="6"/>
  <c r="T22" i="6"/>
  <c r="U22" i="6"/>
  <c r="W22" i="6"/>
  <c r="X22" i="6"/>
  <c r="Y22" i="6"/>
  <c r="Z22" i="6"/>
  <c r="AA22" i="6"/>
  <c r="AC22" i="6"/>
  <c r="AD22" i="6"/>
  <c r="AE22" i="6"/>
  <c r="AF22" i="6"/>
  <c r="AH22" i="6"/>
  <c r="AI22" i="6"/>
  <c r="AJ22" i="6"/>
  <c r="AK22" i="6"/>
  <c r="AM22" i="6"/>
  <c r="AN22" i="6"/>
  <c r="AO22" i="6"/>
  <c r="AP22" i="6"/>
  <c r="AQ22" i="6"/>
  <c r="AR22" i="6"/>
  <c r="AS22" i="6"/>
  <c r="AT22" i="6"/>
  <c r="AU22" i="6"/>
  <c r="AV22" i="6"/>
  <c r="AW22" i="6"/>
  <c r="H23" i="6"/>
  <c r="I23" i="6"/>
  <c r="J23" i="6"/>
  <c r="K23" i="6"/>
  <c r="M23" i="6"/>
  <c r="N23" i="6"/>
  <c r="O23" i="6"/>
  <c r="P23" i="6"/>
  <c r="R23" i="6"/>
  <c r="S23" i="6"/>
  <c r="T23" i="6"/>
  <c r="U23" i="6"/>
  <c r="W23" i="6"/>
  <c r="X23" i="6"/>
  <c r="Y23" i="6"/>
  <c r="Z23" i="6"/>
  <c r="AA23" i="6"/>
  <c r="AC23" i="6"/>
  <c r="AD23" i="6"/>
  <c r="AE23" i="6"/>
  <c r="AF23" i="6"/>
  <c r="AH23" i="6"/>
  <c r="AI23" i="6"/>
  <c r="AJ23" i="6"/>
  <c r="AK23" i="6"/>
  <c r="AM23" i="6"/>
  <c r="AN23" i="6"/>
  <c r="AO23" i="6"/>
  <c r="AP23" i="6"/>
  <c r="AQ23" i="6"/>
  <c r="AR23" i="6"/>
  <c r="AS23" i="6"/>
  <c r="AT23" i="6"/>
  <c r="AU23" i="6"/>
  <c r="AV23" i="6"/>
  <c r="AW23" i="6"/>
  <c r="H24" i="6"/>
  <c r="I24" i="6"/>
  <c r="J24" i="6"/>
  <c r="K24" i="6"/>
  <c r="M24" i="6"/>
  <c r="N24" i="6"/>
  <c r="O24" i="6"/>
  <c r="P24" i="6"/>
  <c r="R24" i="6"/>
  <c r="S24" i="6"/>
  <c r="T24" i="6"/>
  <c r="U24" i="6"/>
  <c r="W24" i="6"/>
  <c r="X24" i="6"/>
  <c r="Y24" i="6"/>
  <c r="Z24" i="6"/>
  <c r="AA24" i="6"/>
  <c r="AC24" i="6"/>
  <c r="AD24" i="6"/>
  <c r="AE24" i="6"/>
  <c r="AF24" i="6"/>
  <c r="AH24" i="6"/>
  <c r="AI24" i="6"/>
  <c r="AJ24" i="6"/>
  <c r="AK24" i="6"/>
  <c r="AM24" i="6"/>
  <c r="AN24" i="6"/>
  <c r="AO24" i="6"/>
  <c r="AP24" i="6"/>
  <c r="AQ24" i="6"/>
  <c r="AR24" i="6"/>
  <c r="AS24" i="6"/>
  <c r="AT24" i="6"/>
  <c r="AU24" i="6"/>
  <c r="AV24" i="6"/>
  <c r="AW24" i="6"/>
  <c r="H25" i="6"/>
  <c r="I25" i="6"/>
  <c r="J25" i="6"/>
  <c r="K25" i="6"/>
  <c r="M25" i="6"/>
  <c r="N25" i="6"/>
  <c r="O25" i="6"/>
  <c r="P25" i="6"/>
  <c r="R25" i="6"/>
  <c r="S25" i="6"/>
  <c r="T25" i="6"/>
  <c r="U25" i="6"/>
  <c r="W25" i="6"/>
  <c r="X25" i="6"/>
  <c r="Y25" i="6"/>
  <c r="Z25" i="6"/>
  <c r="AA25" i="6"/>
  <c r="AC25" i="6"/>
  <c r="AD25" i="6"/>
  <c r="AE25" i="6"/>
  <c r="AF25" i="6"/>
  <c r="AH25" i="6"/>
  <c r="AI25" i="6"/>
  <c r="AJ25" i="6"/>
  <c r="AK25" i="6"/>
  <c r="AM25" i="6"/>
  <c r="AN25" i="6"/>
  <c r="AO25" i="6"/>
  <c r="AP25" i="6"/>
  <c r="AQ25" i="6"/>
  <c r="AR25" i="6"/>
  <c r="AS25" i="6"/>
  <c r="AT25" i="6"/>
  <c r="AU25" i="6"/>
  <c r="AV25" i="6"/>
  <c r="AW25" i="6"/>
  <c r="H26" i="6"/>
  <c r="I26" i="6"/>
  <c r="J26" i="6"/>
  <c r="K26" i="6"/>
  <c r="M26" i="6"/>
  <c r="N26" i="6"/>
  <c r="O26" i="6"/>
  <c r="P26" i="6"/>
  <c r="R26" i="6"/>
  <c r="S26" i="6"/>
  <c r="T26" i="6"/>
  <c r="U26" i="6"/>
  <c r="W26" i="6"/>
  <c r="X26" i="6"/>
  <c r="Y26" i="6"/>
  <c r="Z26" i="6"/>
  <c r="AA26" i="6"/>
  <c r="AC26" i="6"/>
  <c r="AD26" i="6"/>
  <c r="AE26" i="6"/>
  <c r="AF26" i="6"/>
  <c r="AH26" i="6"/>
  <c r="AI26" i="6"/>
  <c r="AJ26" i="6"/>
  <c r="AK26" i="6"/>
  <c r="AM26" i="6"/>
  <c r="AN26" i="6"/>
  <c r="AO26" i="6"/>
  <c r="AP26" i="6"/>
  <c r="AQ26" i="6"/>
  <c r="AR26" i="6"/>
  <c r="AS26" i="6"/>
  <c r="AT26" i="6"/>
  <c r="AU26" i="6"/>
  <c r="AV26" i="6"/>
  <c r="AW26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AX10" i="6"/>
  <c r="AY10" i="6"/>
  <c r="AX11" i="6"/>
  <c r="AY11" i="6"/>
  <c r="AX12" i="6"/>
  <c r="AY12" i="6"/>
  <c r="AX13" i="6"/>
  <c r="AY13" i="6"/>
  <c r="AX14" i="6"/>
  <c r="AY14" i="6"/>
  <c r="AX15" i="6"/>
  <c r="AY15" i="6"/>
  <c r="AX16" i="6"/>
  <c r="AY16" i="6"/>
  <c r="AX17" i="6"/>
  <c r="AY17" i="6"/>
  <c r="AX18" i="6"/>
  <c r="AY18" i="6"/>
  <c r="AX19" i="6"/>
  <c r="AY19" i="6"/>
  <c r="AX20" i="6"/>
  <c r="AY20" i="6"/>
  <c r="AX21" i="6"/>
  <c r="AY21" i="6"/>
  <c r="AX22" i="6"/>
  <c r="AY22" i="6"/>
  <c r="AX23" i="6"/>
  <c r="AY23" i="6"/>
  <c r="AX24" i="6"/>
  <c r="AY24" i="6"/>
  <c r="AX25" i="6"/>
  <c r="AY25" i="6"/>
  <c r="AX26" i="6"/>
  <c r="AY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C27" i="6"/>
  <c r="AD27" i="6"/>
  <c r="AE27" i="6"/>
  <c r="AF27" i="6"/>
  <c r="AH27" i="6"/>
  <c r="AI27" i="6"/>
  <c r="AJ27" i="6"/>
  <c r="AK27" i="6"/>
  <c r="AM27" i="6"/>
  <c r="AN27" i="6"/>
  <c r="AO27" i="6"/>
  <c r="AP27" i="6"/>
  <c r="AQ27" i="6"/>
  <c r="AW27" i="6"/>
  <c r="AX27" i="6"/>
  <c r="AY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C28" i="6"/>
  <c r="AD28" i="6"/>
  <c r="AE28" i="6"/>
  <c r="AF28" i="6"/>
  <c r="AH28" i="6"/>
  <c r="AI28" i="6"/>
  <c r="AJ28" i="6"/>
  <c r="AK28" i="6"/>
  <c r="AM28" i="6"/>
  <c r="AN28" i="6"/>
  <c r="AO28" i="6"/>
  <c r="AP28" i="6"/>
  <c r="AQ28" i="6"/>
  <c r="AW28" i="6"/>
  <c r="AX28" i="6"/>
  <c r="AY28" i="6"/>
  <c r="G27" i="6"/>
  <c r="G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C29" i="6"/>
  <c r="AD29" i="6"/>
  <c r="AE29" i="6"/>
  <c r="AF29" i="6"/>
  <c r="AH29" i="6"/>
  <c r="AI29" i="6"/>
  <c r="AJ29" i="6"/>
  <c r="AK29" i="6"/>
  <c r="AM29" i="6"/>
  <c r="AN29" i="6"/>
  <c r="AO29" i="6"/>
  <c r="AP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C30" i="6"/>
  <c r="AD30" i="6"/>
  <c r="AE30" i="6"/>
  <c r="AF30" i="6"/>
  <c r="AH30" i="6"/>
  <c r="AI30" i="6"/>
  <c r="AJ30" i="6"/>
  <c r="AK30" i="6"/>
  <c r="AM30" i="6"/>
  <c r="AN30" i="6"/>
  <c r="AO30" i="6"/>
  <c r="AP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H31" i="6"/>
  <c r="AI31" i="6"/>
  <c r="AJ31" i="6"/>
  <c r="AK31" i="6"/>
  <c r="AM31" i="6"/>
  <c r="AN31" i="6"/>
  <c r="AO31" i="6"/>
  <c r="AP31" i="6"/>
  <c r="G29" i="6"/>
  <c r="G30" i="6"/>
  <c r="G31" i="6"/>
  <c r="AZ10" i="6"/>
  <c r="BA10" i="6"/>
  <c r="BB10" i="6"/>
  <c r="AZ11" i="6"/>
  <c r="BA11" i="6"/>
  <c r="BB11" i="6"/>
  <c r="AZ12" i="6"/>
  <c r="BA12" i="6"/>
  <c r="BB12" i="6"/>
  <c r="AZ13" i="6"/>
  <c r="BA13" i="6"/>
  <c r="BB13" i="6"/>
  <c r="AZ14" i="6"/>
  <c r="BA14" i="6"/>
  <c r="BB14" i="6"/>
  <c r="AZ15" i="6"/>
  <c r="BA15" i="6"/>
  <c r="BB15" i="6"/>
  <c r="AZ16" i="6"/>
  <c r="BA16" i="6"/>
  <c r="BB16" i="6"/>
  <c r="AZ17" i="6"/>
  <c r="BA17" i="6"/>
  <c r="BB17" i="6"/>
  <c r="AZ18" i="6"/>
  <c r="BA18" i="6"/>
  <c r="BB18" i="6"/>
  <c r="AZ19" i="6"/>
  <c r="BA19" i="6"/>
  <c r="BB19" i="6"/>
  <c r="AZ20" i="6"/>
  <c r="BA20" i="6"/>
  <c r="BB20" i="6"/>
  <c r="AZ21" i="6"/>
  <c r="BA21" i="6"/>
  <c r="BB21" i="6"/>
  <c r="AZ22" i="6"/>
  <c r="BA22" i="6"/>
  <c r="BB22" i="6"/>
  <c r="AZ23" i="6"/>
  <c r="BA23" i="6"/>
  <c r="BB23" i="6"/>
  <c r="AZ24" i="6"/>
  <c r="BA24" i="6"/>
  <c r="BB24" i="6"/>
  <c r="AZ25" i="6"/>
  <c r="BA25" i="6"/>
  <c r="BB25" i="6"/>
  <c r="AZ26" i="6"/>
  <c r="BA26" i="6"/>
  <c r="BB26" i="6"/>
  <c r="AZ27" i="6"/>
  <c r="BA27" i="6"/>
  <c r="BB27" i="6"/>
  <c r="BC10" i="6"/>
  <c r="BD10" i="6"/>
  <c r="BE10" i="6"/>
  <c r="BC11" i="6"/>
  <c r="BD11" i="6"/>
  <c r="BE11" i="6"/>
  <c r="BC12" i="6"/>
  <c r="BD12" i="6"/>
  <c r="BE12" i="6"/>
  <c r="BC13" i="6"/>
  <c r="BD13" i="6"/>
  <c r="BE13" i="6"/>
  <c r="BC14" i="6"/>
  <c r="BD14" i="6"/>
  <c r="BE14" i="6"/>
  <c r="BC15" i="6"/>
  <c r="BD15" i="6"/>
  <c r="BE15" i="6"/>
  <c r="BC16" i="6"/>
  <c r="BD16" i="6"/>
  <c r="BE16" i="6"/>
  <c r="BC17" i="6"/>
  <c r="BD17" i="6"/>
  <c r="BE17" i="6"/>
  <c r="BC18" i="6"/>
  <c r="BD18" i="6"/>
  <c r="BE18" i="6"/>
  <c r="BC19" i="6"/>
  <c r="BD19" i="6"/>
  <c r="BE19" i="6"/>
  <c r="BC20" i="6"/>
  <c r="BD20" i="6"/>
  <c r="BE20" i="6"/>
  <c r="BC21" i="6"/>
  <c r="BD21" i="6"/>
  <c r="BE21" i="6"/>
  <c r="BC22" i="6"/>
  <c r="BD22" i="6"/>
  <c r="BE22" i="6"/>
  <c r="BC23" i="6"/>
  <c r="BD23" i="6"/>
  <c r="BE23" i="6"/>
  <c r="BC24" i="6"/>
  <c r="BD24" i="6"/>
  <c r="BE24" i="6"/>
  <c r="BC25" i="6"/>
  <c r="BD25" i="6"/>
  <c r="BE25" i="6"/>
  <c r="BC26" i="6"/>
  <c r="BD26" i="6"/>
  <c r="BE26" i="6"/>
  <c r="BC27" i="6"/>
  <c r="BD27" i="6"/>
  <c r="BE27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M4" i="6"/>
  <c r="AV4" i="6"/>
  <c r="AU4" i="6"/>
  <c r="AT4" i="6"/>
  <c r="AS4" i="6"/>
  <c r="AR4" i="6"/>
  <c r="I6" i="6"/>
  <c r="I7" i="3" l="1"/>
  <c r="F67" i="3"/>
  <c r="F68" i="3"/>
  <c r="F69" i="3"/>
  <c r="F29" i="3"/>
  <c r="F30" i="3"/>
  <c r="X65" i="3"/>
  <c r="J17" i="3"/>
  <c r="H17" i="3"/>
  <c r="X33" i="3"/>
  <c r="K20" i="13" l="1"/>
  <c r="F20" i="13"/>
  <c r="H20" i="13" s="1"/>
  <c r="J19" i="13"/>
  <c r="K19" i="13" s="1"/>
  <c r="F19" i="13"/>
  <c r="G19" i="13" s="1"/>
  <c r="H19" i="13" s="1"/>
  <c r="J18" i="13"/>
  <c r="K18" i="13" s="1"/>
  <c r="F18" i="13"/>
  <c r="G18" i="13" s="1"/>
  <c r="H18" i="13" s="1"/>
  <c r="J17" i="13"/>
  <c r="K17" i="13" s="1"/>
  <c r="F17" i="13"/>
  <c r="G17" i="13" s="1"/>
  <c r="J16" i="13"/>
  <c r="K16" i="13" s="1"/>
  <c r="F16" i="13"/>
  <c r="J15" i="13"/>
  <c r="K15" i="13" s="1"/>
  <c r="F15" i="13"/>
  <c r="K14" i="13"/>
  <c r="H14" i="13"/>
  <c r="G14" i="13"/>
  <c r="F14" i="13"/>
  <c r="J13" i="13"/>
  <c r="K13" i="13" s="1"/>
  <c r="H13" i="13" s="1"/>
  <c r="F13" i="13"/>
  <c r="F21" i="13" s="1"/>
  <c r="I12" i="13"/>
  <c r="K12" i="13" s="1"/>
  <c r="H12" i="13"/>
  <c r="G12" i="13"/>
  <c r="K11" i="13"/>
  <c r="H11" i="13" s="1"/>
  <c r="J11" i="13"/>
  <c r="G11" i="13" s="1"/>
  <c r="F11" i="13"/>
  <c r="J10" i="13"/>
  <c r="K10" i="13" s="1"/>
  <c r="F10" i="13"/>
  <c r="I9" i="13"/>
  <c r="J9" i="13" s="1"/>
  <c r="J21" i="13" s="1"/>
  <c r="F9" i="13"/>
  <c r="I8" i="13"/>
  <c r="K8" i="13" s="1"/>
  <c r="H8" i="13" s="1"/>
  <c r="G8" i="13"/>
  <c r="F8" i="13"/>
  <c r="I7" i="13"/>
  <c r="F7" i="13" s="1"/>
  <c r="N10" i="13" s="1"/>
  <c r="G7" i="13"/>
  <c r="I21" i="13"/>
  <c r="G24" i="12"/>
  <c r="E16" i="12"/>
  <c r="D7" i="12"/>
  <c r="F6" i="12"/>
  <c r="G6" i="12" s="1"/>
  <c r="E5" i="12"/>
  <c r="G5" i="12" s="1"/>
  <c r="G4" i="12"/>
  <c r="D21" i="9"/>
  <c r="E20" i="9"/>
  <c r="E19" i="9"/>
  <c r="E18" i="9"/>
  <c r="E17" i="9"/>
  <c r="E16" i="9"/>
  <c r="E15" i="9"/>
  <c r="E14" i="9"/>
  <c r="E13" i="9"/>
  <c r="E11" i="9"/>
  <c r="E10" i="9"/>
  <c r="E9" i="9"/>
  <c r="E8" i="9"/>
  <c r="D7" i="9"/>
  <c r="B7" i="9"/>
  <c r="D6" i="9"/>
  <c r="B6" i="9"/>
  <c r="D5" i="9"/>
  <c r="B5" i="9"/>
  <c r="D4" i="9"/>
  <c r="B4" i="9"/>
  <c r="I32" i="8"/>
  <c r="I34" i="8" s="1"/>
  <c r="I35" i="8" s="1"/>
  <c r="H32" i="8"/>
  <c r="H34" i="8" s="1"/>
  <c r="H35" i="8" s="1"/>
  <c r="C32" i="8"/>
  <c r="C37" i="8" s="1"/>
  <c r="C39" i="8" s="1"/>
  <c r="C40" i="8" s="1"/>
  <c r="C31" i="8"/>
  <c r="D30" i="8"/>
  <c r="G30" i="8" s="1"/>
  <c r="E29" i="8"/>
  <c r="F29" i="8" s="1"/>
  <c r="I18" i="8"/>
  <c r="H18" i="8"/>
  <c r="C18" i="8"/>
  <c r="C20" i="8" s="1"/>
  <c r="I17" i="8"/>
  <c r="I22" i="8" s="1"/>
  <c r="H17" i="8"/>
  <c r="H22" i="8" s="1"/>
  <c r="C14" i="8"/>
  <c r="O13" i="8"/>
  <c r="P13" i="8" s="1"/>
  <c r="G13" i="8"/>
  <c r="E13" i="8"/>
  <c r="D13" i="8"/>
  <c r="D6" i="8"/>
  <c r="E6" i="8" s="1"/>
  <c r="D5" i="8"/>
  <c r="E5" i="8" s="1"/>
  <c r="F5" i="8" s="1"/>
  <c r="G5" i="8" s="1"/>
  <c r="H5" i="8" s="1"/>
  <c r="I5" i="8" s="1"/>
  <c r="E4" i="8"/>
  <c r="F4" i="8" s="1"/>
  <c r="B23" i="7"/>
  <c r="M19" i="7"/>
  <c r="L19" i="7"/>
  <c r="K19" i="7"/>
  <c r="O14" i="7"/>
  <c r="N13" i="7"/>
  <c r="N14" i="7" s="1"/>
  <c r="I13" i="7"/>
  <c r="G13" i="7"/>
  <c r="D13" i="7"/>
  <c r="O12" i="7"/>
  <c r="N12" i="7"/>
  <c r="G12" i="7"/>
  <c r="D12" i="7"/>
  <c r="G11" i="7"/>
  <c r="D11" i="7"/>
  <c r="G7" i="7"/>
  <c r="F7" i="7"/>
  <c r="B6" i="7"/>
  <c r="D5" i="7"/>
  <c r="D6" i="7" s="1"/>
  <c r="E4" i="7"/>
  <c r="D4" i="7"/>
  <c r="F3" i="7"/>
  <c r="G3" i="7" s="1"/>
  <c r="B3" i="7"/>
  <c r="F248" i="6"/>
  <c r="F247" i="6"/>
  <c r="E239" i="6"/>
  <c r="E236" i="6"/>
  <c r="D229" i="6"/>
  <c r="BF227" i="6"/>
  <c r="BF226" i="6"/>
  <c r="BF225" i="6"/>
  <c r="BF224" i="6"/>
  <c r="BF223" i="6"/>
  <c r="BF222" i="6"/>
  <c r="BE220" i="6"/>
  <c r="BD220" i="6"/>
  <c r="BC220" i="6"/>
  <c r="BB220" i="6"/>
  <c r="BA220" i="6"/>
  <c r="AZ220" i="6"/>
  <c r="AY220" i="6"/>
  <c r="BE219" i="6"/>
  <c r="BD219" i="6"/>
  <c r="BC219" i="6"/>
  <c r="BB219" i="6"/>
  <c r="BA219" i="6"/>
  <c r="AZ219" i="6"/>
  <c r="AY219" i="6"/>
  <c r="AX219" i="6"/>
  <c r="BE218" i="6"/>
  <c r="BD218" i="6"/>
  <c r="BC218" i="6"/>
  <c r="BB218" i="6"/>
  <c r="BA218" i="6"/>
  <c r="AZ218" i="6"/>
  <c r="AY218" i="6"/>
  <c r="AX218" i="6"/>
  <c r="AW218" i="6"/>
  <c r="BE217" i="6"/>
  <c r="BD217" i="6"/>
  <c r="BC217" i="6"/>
  <c r="BB217" i="6"/>
  <c r="BA217" i="6"/>
  <c r="AZ217" i="6"/>
  <c r="AY217" i="6"/>
  <c r="AX217" i="6"/>
  <c r="AW217" i="6"/>
  <c r="AV217" i="6"/>
  <c r="BE216" i="6"/>
  <c r="BD216" i="6"/>
  <c r="BC216" i="6"/>
  <c r="BB216" i="6"/>
  <c r="BA216" i="6"/>
  <c r="AZ216" i="6"/>
  <c r="AY216" i="6"/>
  <c r="AX216" i="6"/>
  <c r="AW216" i="6"/>
  <c r="AV216" i="6"/>
  <c r="AU216" i="6"/>
  <c r="BE215" i="6"/>
  <c r="BD215" i="6"/>
  <c r="BC215" i="6"/>
  <c r="BB215" i="6"/>
  <c r="BA215" i="6"/>
  <c r="AZ215" i="6"/>
  <c r="AY215" i="6"/>
  <c r="AX215" i="6"/>
  <c r="AW215" i="6"/>
  <c r="AV215" i="6"/>
  <c r="AU215" i="6"/>
  <c r="BE214" i="6"/>
  <c r="BD214" i="6"/>
  <c r="BC214" i="6"/>
  <c r="BB214" i="6"/>
  <c r="BA214" i="6"/>
  <c r="AZ214" i="6"/>
  <c r="AY214" i="6"/>
  <c r="AX214" i="6"/>
  <c r="AW214" i="6"/>
  <c r="AV214" i="6"/>
  <c r="AU214" i="6"/>
  <c r="BE213" i="6"/>
  <c r="BD213" i="6"/>
  <c r="BC213" i="6"/>
  <c r="BB213" i="6"/>
  <c r="BA213" i="6"/>
  <c r="AZ213" i="6"/>
  <c r="AY213" i="6"/>
  <c r="AX213" i="6"/>
  <c r="AW213" i="6"/>
  <c r="AV213" i="6"/>
  <c r="AU213" i="6"/>
  <c r="BE212" i="6"/>
  <c r="BD212" i="6"/>
  <c r="BC212" i="6"/>
  <c r="BB212" i="6"/>
  <c r="BA212" i="6"/>
  <c r="AZ212" i="6"/>
  <c r="AY212" i="6"/>
  <c r="AX212" i="6"/>
  <c r="AW212" i="6"/>
  <c r="AV212" i="6"/>
  <c r="AU212" i="6"/>
  <c r="AQ212" i="6"/>
  <c r="BE211" i="6"/>
  <c r="BD211" i="6"/>
  <c r="BC211" i="6"/>
  <c r="BB211" i="6"/>
  <c r="BA211" i="6"/>
  <c r="AZ211" i="6"/>
  <c r="AY211" i="6"/>
  <c r="AX211" i="6"/>
  <c r="AW211" i="6"/>
  <c r="AV211" i="6"/>
  <c r="AU211" i="6"/>
  <c r="AQ211" i="6"/>
  <c r="AP211" i="6"/>
  <c r="BE210" i="6"/>
  <c r="BD210" i="6"/>
  <c r="BC210" i="6"/>
  <c r="BB210" i="6"/>
  <c r="BA210" i="6"/>
  <c r="AZ210" i="6"/>
  <c r="AY210" i="6"/>
  <c r="AX210" i="6"/>
  <c r="AW210" i="6"/>
  <c r="AV210" i="6"/>
  <c r="AU210" i="6"/>
  <c r="AQ210" i="6"/>
  <c r="AP210" i="6"/>
  <c r="AO210" i="6"/>
  <c r="BE209" i="6"/>
  <c r="BD209" i="6"/>
  <c r="BC209" i="6"/>
  <c r="BB209" i="6"/>
  <c r="BA209" i="6"/>
  <c r="AZ209" i="6"/>
  <c r="AY209" i="6"/>
  <c r="AX209" i="6"/>
  <c r="AW209" i="6"/>
  <c r="AV209" i="6"/>
  <c r="AU209" i="6"/>
  <c r="AQ209" i="6"/>
  <c r="AP209" i="6"/>
  <c r="AO209" i="6"/>
  <c r="AN209" i="6"/>
  <c r="BE208" i="6"/>
  <c r="BD208" i="6"/>
  <c r="BC208" i="6"/>
  <c r="BB208" i="6"/>
  <c r="BA208" i="6"/>
  <c r="AZ208" i="6"/>
  <c r="AY208" i="6"/>
  <c r="AX208" i="6"/>
  <c r="AW208" i="6"/>
  <c r="AV208" i="6"/>
  <c r="AU208" i="6"/>
  <c r="AQ208" i="6"/>
  <c r="AP208" i="6"/>
  <c r="AO208" i="6"/>
  <c r="AN208" i="6"/>
  <c r="AM208" i="6"/>
  <c r="BE207" i="6"/>
  <c r="BD207" i="6"/>
  <c r="BC207" i="6"/>
  <c r="BB207" i="6"/>
  <c r="BA207" i="6"/>
  <c r="AZ207" i="6"/>
  <c r="AY207" i="6"/>
  <c r="AX207" i="6"/>
  <c r="AW207" i="6"/>
  <c r="AV207" i="6"/>
  <c r="AU207" i="6"/>
  <c r="AQ207" i="6"/>
  <c r="AP207" i="6"/>
  <c r="AO207" i="6"/>
  <c r="AN207" i="6"/>
  <c r="AM207" i="6"/>
  <c r="AL207" i="6"/>
  <c r="BE206" i="6"/>
  <c r="BD206" i="6"/>
  <c r="BC206" i="6"/>
  <c r="BB206" i="6"/>
  <c r="BA206" i="6"/>
  <c r="AZ206" i="6"/>
  <c r="AY206" i="6"/>
  <c r="AX206" i="6"/>
  <c r="AW206" i="6"/>
  <c r="AV206" i="6"/>
  <c r="AU206" i="6"/>
  <c r="AQ206" i="6"/>
  <c r="AP206" i="6"/>
  <c r="AO206" i="6"/>
  <c r="AN206" i="6"/>
  <c r="AM206" i="6"/>
  <c r="AL206" i="6"/>
  <c r="BE205" i="6"/>
  <c r="BD205" i="6"/>
  <c r="BC205" i="6"/>
  <c r="BB205" i="6"/>
  <c r="BA205" i="6"/>
  <c r="AZ205" i="6"/>
  <c r="AY205" i="6"/>
  <c r="AX205" i="6"/>
  <c r="AW205" i="6"/>
  <c r="AV205" i="6"/>
  <c r="AU205" i="6"/>
  <c r="AQ205" i="6"/>
  <c r="AP205" i="6"/>
  <c r="AO205" i="6"/>
  <c r="AN205" i="6"/>
  <c r="AM205" i="6"/>
  <c r="AL205" i="6"/>
  <c r="AJ205" i="6"/>
  <c r="BE204" i="6"/>
  <c r="BD204" i="6"/>
  <c r="BC204" i="6"/>
  <c r="BB204" i="6"/>
  <c r="BA204" i="6"/>
  <c r="AZ204" i="6"/>
  <c r="AY204" i="6"/>
  <c r="AX204" i="6"/>
  <c r="AW204" i="6"/>
  <c r="AV204" i="6"/>
  <c r="AU204" i="6"/>
  <c r="AQ204" i="6"/>
  <c r="AP204" i="6"/>
  <c r="AO204" i="6"/>
  <c r="AN204" i="6"/>
  <c r="AM204" i="6"/>
  <c r="AL204" i="6"/>
  <c r="AJ204" i="6"/>
  <c r="AI204" i="6"/>
  <c r="BE203" i="6"/>
  <c r="BD203" i="6"/>
  <c r="BC203" i="6"/>
  <c r="BB203" i="6"/>
  <c r="BA203" i="6"/>
  <c r="AZ203" i="6"/>
  <c r="AY203" i="6"/>
  <c r="AX203" i="6"/>
  <c r="AW203" i="6"/>
  <c r="AV203" i="6"/>
  <c r="AU203" i="6"/>
  <c r="AQ203" i="6"/>
  <c r="AP203" i="6"/>
  <c r="AO203" i="6"/>
  <c r="AN203" i="6"/>
  <c r="AM203" i="6"/>
  <c r="AL203" i="6"/>
  <c r="AJ203" i="6"/>
  <c r="AI203" i="6"/>
  <c r="AH203" i="6"/>
  <c r="BE202" i="6"/>
  <c r="BD202" i="6"/>
  <c r="BC202" i="6"/>
  <c r="BB202" i="6"/>
  <c r="BA202" i="6"/>
  <c r="AZ202" i="6"/>
  <c r="AY202" i="6"/>
  <c r="AX202" i="6"/>
  <c r="AW202" i="6"/>
  <c r="AV202" i="6"/>
  <c r="AU202" i="6"/>
  <c r="AQ202" i="6"/>
  <c r="AP202" i="6"/>
  <c r="AO202" i="6"/>
  <c r="AN202" i="6"/>
  <c r="AM202" i="6"/>
  <c r="AL202" i="6"/>
  <c r="AJ202" i="6"/>
  <c r="AI202" i="6"/>
  <c r="AH202" i="6"/>
  <c r="AG202" i="6"/>
  <c r="BE201" i="6"/>
  <c r="BD201" i="6"/>
  <c r="BC201" i="6"/>
  <c r="BB201" i="6"/>
  <c r="BA201" i="6"/>
  <c r="AZ201" i="6"/>
  <c r="AY201" i="6"/>
  <c r="AX201" i="6"/>
  <c r="AW201" i="6"/>
  <c r="AV201" i="6"/>
  <c r="AU201" i="6"/>
  <c r="AQ201" i="6"/>
  <c r="AP201" i="6"/>
  <c r="AO201" i="6"/>
  <c r="AN201" i="6"/>
  <c r="AM201" i="6"/>
  <c r="AL201" i="6"/>
  <c r="AJ201" i="6"/>
  <c r="AI201" i="6"/>
  <c r="AH201" i="6"/>
  <c r="AG201" i="6"/>
  <c r="AF201" i="6"/>
  <c r="BE200" i="6"/>
  <c r="BD200" i="6"/>
  <c r="BC200" i="6"/>
  <c r="BB200" i="6"/>
  <c r="BA200" i="6"/>
  <c r="AZ200" i="6"/>
  <c r="AY200" i="6"/>
  <c r="AX200" i="6"/>
  <c r="AW200" i="6"/>
  <c r="AV200" i="6"/>
  <c r="AU200" i="6"/>
  <c r="AQ200" i="6"/>
  <c r="AP200" i="6"/>
  <c r="AO200" i="6"/>
  <c r="AN200" i="6"/>
  <c r="AM200" i="6"/>
  <c r="AL200" i="6"/>
  <c r="AJ200" i="6"/>
  <c r="AI200" i="6"/>
  <c r="AH200" i="6"/>
  <c r="AG200" i="6"/>
  <c r="AF200" i="6"/>
  <c r="BE199" i="6"/>
  <c r="BD199" i="6"/>
  <c r="BC199" i="6"/>
  <c r="BB199" i="6"/>
  <c r="BA199" i="6"/>
  <c r="AZ199" i="6"/>
  <c r="AY199" i="6"/>
  <c r="AX199" i="6"/>
  <c r="AW199" i="6"/>
  <c r="AV199" i="6"/>
  <c r="AU199" i="6"/>
  <c r="AQ199" i="6"/>
  <c r="AP199" i="6"/>
  <c r="AO199" i="6"/>
  <c r="AN199" i="6"/>
  <c r="AM199" i="6"/>
  <c r="AL199" i="6"/>
  <c r="AJ199" i="6"/>
  <c r="AI199" i="6"/>
  <c r="AH199" i="6"/>
  <c r="AG199" i="6"/>
  <c r="AF199" i="6"/>
  <c r="AD199" i="6"/>
  <c r="BE198" i="6"/>
  <c r="BD198" i="6"/>
  <c r="BC198" i="6"/>
  <c r="BB198" i="6"/>
  <c r="BA198" i="6"/>
  <c r="AZ198" i="6"/>
  <c r="AY198" i="6"/>
  <c r="AX198" i="6"/>
  <c r="AW198" i="6"/>
  <c r="AV198" i="6"/>
  <c r="AU198" i="6"/>
  <c r="AQ198" i="6"/>
  <c r="AP198" i="6"/>
  <c r="AO198" i="6"/>
  <c r="AN198" i="6"/>
  <c r="AM198" i="6"/>
  <c r="AL198" i="6"/>
  <c r="AJ198" i="6"/>
  <c r="AI198" i="6"/>
  <c r="AH198" i="6"/>
  <c r="AG198" i="6"/>
  <c r="AF198" i="6"/>
  <c r="AD198" i="6"/>
  <c r="AC198" i="6"/>
  <c r="BE197" i="6"/>
  <c r="BD197" i="6"/>
  <c r="BC197" i="6"/>
  <c r="BB197" i="6"/>
  <c r="BA197" i="6"/>
  <c r="AZ197" i="6"/>
  <c r="AY197" i="6"/>
  <c r="AX197" i="6"/>
  <c r="AW197" i="6"/>
  <c r="AV197" i="6"/>
  <c r="AU197" i="6"/>
  <c r="AQ197" i="6"/>
  <c r="AP197" i="6"/>
  <c r="AO197" i="6"/>
  <c r="AN197" i="6"/>
  <c r="AM197" i="6"/>
  <c r="AL197" i="6"/>
  <c r="AJ197" i="6"/>
  <c r="AI197" i="6"/>
  <c r="AH197" i="6"/>
  <c r="AG197" i="6"/>
  <c r="AF197" i="6"/>
  <c r="AD197" i="6"/>
  <c r="AC197" i="6"/>
  <c r="AB197" i="6"/>
  <c r="BE196" i="6"/>
  <c r="BD196" i="6"/>
  <c r="BC196" i="6"/>
  <c r="BB196" i="6"/>
  <c r="BA196" i="6"/>
  <c r="AZ196" i="6"/>
  <c r="AY196" i="6"/>
  <c r="AX196" i="6"/>
  <c r="AW196" i="6"/>
  <c r="AV196" i="6"/>
  <c r="AU196" i="6"/>
  <c r="AQ196" i="6"/>
  <c r="AP196" i="6"/>
  <c r="AO196" i="6"/>
  <c r="AN196" i="6"/>
  <c r="AM196" i="6"/>
  <c r="AL196" i="6"/>
  <c r="AJ196" i="6"/>
  <c r="AI196" i="6"/>
  <c r="AH196" i="6"/>
  <c r="AG196" i="6"/>
  <c r="AF196" i="6"/>
  <c r="AD196" i="6"/>
  <c r="AC196" i="6"/>
  <c r="AB196" i="6"/>
  <c r="AA196" i="6"/>
  <c r="BE195" i="6"/>
  <c r="BD195" i="6"/>
  <c r="BC195" i="6"/>
  <c r="BB195" i="6"/>
  <c r="BA195" i="6"/>
  <c r="AZ195" i="6"/>
  <c r="AY195" i="6"/>
  <c r="AX195" i="6"/>
  <c r="AW195" i="6"/>
  <c r="AV195" i="6"/>
  <c r="AU195" i="6"/>
  <c r="AQ195" i="6"/>
  <c r="AP195" i="6"/>
  <c r="AO195" i="6"/>
  <c r="AN195" i="6"/>
  <c r="AM195" i="6"/>
  <c r="AL195" i="6"/>
  <c r="AJ195" i="6"/>
  <c r="AI195" i="6"/>
  <c r="AH195" i="6"/>
  <c r="AG195" i="6"/>
  <c r="AF195" i="6"/>
  <c r="AD195" i="6"/>
  <c r="AC195" i="6"/>
  <c r="AB195" i="6"/>
  <c r="AA195" i="6"/>
  <c r="Z195" i="6"/>
  <c r="BE194" i="6"/>
  <c r="BD194" i="6"/>
  <c r="BC194" i="6"/>
  <c r="BB194" i="6"/>
  <c r="BA194" i="6"/>
  <c r="AZ194" i="6"/>
  <c r="AY194" i="6"/>
  <c r="AX194" i="6"/>
  <c r="AW194" i="6"/>
  <c r="AV194" i="6"/>
  <c r="AU194" i="6"/>
  <c r="AQ194" i="6"/>
  <c r="AP194" i="6"/>
  <c r="AO194" i="6"/>
  <c r="AN194" i="6"/>
  <c r="AM194" i="6"/>
  <c r="AL194" i="6"/>
  <c r="AJ194" i="6"/>
  <c r="AI194" i="6"/>
  <c r="AH194" i="6"/>
  <c r="AG194" i="6"/>
  <c r="AF194" i="6"/>
  <c r="AD194" i="6"/>
  <c r="AC194" i="6"/>
  <c r="AB194" i="6"/>
  <c r="AA194" i="6"/>
  <c r="Z194" i="6"/>
  <c r="BE193" i="6"/>
  <c r="BD193" i="6"/>
  <c r="BC193" i="6"/>
  <c r="BB193" i="6"/>
  <c r="BA193" i="6"/>
  <c r="AZ193" i="6"/>
  <c r="AY193" i="6"/>
  <c r="AX193" i="6"/>
  <c r="AW193" i="6"/>
  <c r="AV193" i="6"/>
  <c r="AU193" i="6"/>
  <c r="AQ193" i="6"/>
  <c r="AP193" i="6"/>
  <c r="AO193" i="6"/>
  <c r="AN193" i="6"/>
  <c r="AM193" i="6"/>
  <c r="AL193" i="6"/>
  <c r="AJ193" i="6"/>
  <c r="AI193" i="6"/>
  <c r="AH193" i="6"/>
  <c r="AG193" i="6"/>
  <c r="AF193" i="6"/>
  <c r="AD193" i="6"/>
  <c r="AC193" i="6"/>
  <c r="AB193" i="6"/>
  <c r="AA193" i="6"/>
  <c r="Z193" i="6"/>
  <c r="X193" i="6"/>
  <c r="BE192" i="6"/>
  <c r="BD192" i="6"/>
  <c r="BC192" i="6"/>
  <c r="BB192" i="6"/>
  <c r="BA192" i="6"/>
  <c r="AZ192" i="6"/>
  <c r="AY192" i="6"/>
  <c r="AX192" i="6"/>
  <c r="AW192" i="6"/>
  <c r="AV192" i="6"/>
  <c r="AU192" i="6"/>
  <c r="AQ192" i="6"/>
  <c r="AP192" i="6"/>
  <c r="AO192" i="6"/>
  <c r="AN192" i="6"/>
  <c r="AM192" i="6"/>
  <c r="AL192" i="6"/>
  <c r="AJ192" i="6"/>
  <c r="AI192" i="6"/>
  <c r="AH192" i="6"/>
  <c r="AG192" i="6"/>
  <c r="AF192" i="6"/>
  <c r="AD192" i="6"/>
  <c r="AC192" i="6"/>
  <c r="AB192" i="6"/>
  <c r="AA192" i="6"/>
  <c r="Z192" i="6"/>
  <c r="X192" i="6"/>
  <c r="W192" i="6"/>
  <c r="BE191" i="6"/>
  <c r="BD191" i="6"/>
  <c r="BC191" i="6"/>
  <c r="BB191" i="6"/>
  <c r="BA191" i="6"/>
  <c r="AZ191" i="6"/>
  <c r="AY191" i="6"/>
  <c r="AX191" i="6"/>
  <c r="AW191" i="6"/>
  <c r="AV191" i="6"/>
  <c r="AU191" i="6"/>
  <c r="AQ191" i="6"/>
  <c r="AP191" i="6"/>
  <c r="AO191" i="6"/>
  <c r="AN191" i="6"/>
  <c r="AM191" i="6"/>
  <c r="AL191" i="6"/>
  <c r="AJ191" i="6"/>
  <c r="AI191" i="6"/>
  <c r="AH191" i="6"/>
  <c r="AG191" i="6"/>
  <c r="AF191" i="6"/>
  <c r="AD191" i="6"/>
  <c r="AC191" i="6"/>
  <c r="AB191" i="6"/>
  <c r="AA191" i="6"/>
  <c r="Z191" i="6"/>
  <c r="X191" i="6"/>
  <c r="W191" i="6"/>
  <c r="V191" i="6"/>
  <c r="BE190" i="6"/>
  <c r="BD190" i="6"/>
  <c r="BC190" i="6"/>
  <c r="BB190" i="6"/>
  <c r="BA190" i="6"/>
  <c r="AZ190" i="6"/>
  <c r="AY190" i="6"/>
  <c r="AX190" i="6"/>
  <c r="AW190" i="6"/>
  <c r="AV190" i="6"/>
  <c r="AU190" i="6"/>
  <c r="AQ190" i="6"/>
  <c r="AP190" i="6"/>
  <c r="AO190" i="6"/>
  <c r="AN190" i="6"/>
  <c r="AM190" i="6"/>
  <c r="AL190" i="6"/>
  <c r="AJ190" i="6"/>
  <c r="AI190" i="6"/>
  <c r="AH190" i="6"/>
  <c r="AG190" i="6"/>
  <c r="AF190" i="6"/>
  <c r="AD190" i="6"/>
  <c r="AC190" i="6"/>
  <c r="AB190" i="6"/>
  <c r="AA190" i="6"/>
  <c r="Z190" i="6"/>
  <c r="X190" i="6"/>
  <c r="W190" i="6"/>
  <c r="V190" i="6"/>
  <c r="U190" i="6"/>
  <c r="BE189" i="6"/>
  <c r="BD189" i="6"/>
  <c r="BC189" i="6"/>
  <c r="BB189" i="6"/>
  <c r="BA189" i="6"/>
  <c r="AZ189" i="6"/>
  <c r="AY189" i="6"/>
  <c r="AX189" i="6"/>
  <c r="AW189" i="6"/>
  <c r="AV189" i="6"/>
  <c r="AU189" i="6"/>
  <c r="AQ189" i="6"/>
  <c r="AP189" i="6"/>
  <c r="AO189" i="6"/>
  <c r="AN189" i="6"/>
  <c r="AM189" i="6"/>
  <c r="AL189" i="6"/>
  <c r="AJ189" i="6"/>
  <c r="AI189" i="6"/>
  <c r="AH189" i="6"/>
  <c r="AG189" i="6"/>
  <c r="AF189" i="6"/>
  <c r="AD189" i="6"/>
  <c r="AC189" i="6"/>
  <c r="AB189" i="6"/>
  <c r="AA189" i="6"/>
  <c r="Z189" i="6"/>
  <c r="X189" i="6"/>
  <c r="W189" i="6"/>
  <c r="V189" i="6"/>
  <c r="U189" i="6"/>
  <c r="T189" i="6"/>
  <c r="BE188" i="6"/>
  <c r="BD188" i="6"/>
  <c r="BC188" i="6"/>
  <c r="BB188" i="6"/>
  <c r="BA188" i="6"/>
  <c r="AZ188" i="6"/>
  <c r="AY188" i="6"/>
  <c r="AX188" i="6"/>
  <c r="AW188" i="6"/>
  <c r="AV188" i="6"/>
  <c r="AU188" i="6"/>
  <c r="AQ188" i="6"/>
  <c r="AP188" i="6"/>
  <c r="AO188" i="6"/>
  <c r="AN188" i="6"/>
  <c r="AM188" i="6"/>
  <c r="AL188" i="6"/>
  <c r="AJ188" i="6"/>
  <c r="AI188" i="6"/>
  <c r="AH188" i="6"/>
  <c r="AG188" i="6"/>
  <c r="AF188" i="6"/>
  <c r="AD188" i="6"/>
  <c r="AC188" i="6"/>
  <c r="AB188" i="6"/>
  <c r="AA188" i="6"/>
  <c r="Z188" i="6"/>
  <c r="X188" i="6"/>
  <c r="W188" i="6"/>
  <c r="V188" i="6"/>
  <c r="U188" i="6"/>
  <c r="T188" i="6"/>
  <c r="BE187" i="6"/>
  <c r="BD187" i="6"/>
  <c r="BC187" i="6"/>
  <c r="BB187" i="6"/>
  <c r="BA187" i="6"/>
  <c r="AZ187" i="6"/>
  <c r="AY187" i="6"/>
  <c r="AX187" i="6"/>
  <c r="AW187" i="6"/>
  <c r="AV187" i="6"/>
  <c r="AU187" i="6"/>
  <c r="AQ187" i="6"/>
  <c r="AP187" i="6"/>
  <c r="AO187" i="6"/>
  <c r="AN187" i="6"/>
  <c r="AM187" i="6"/>
  <c r="AL187" i="6"/>
  <c r="AJ187" i="6"/>
  <c r="AI187" i="6"/>
  <c r="AH187" i="6"/>
  <c r="AG187" i="6"/>
  <c r="AF187" i="6"/>
  <c r="AD187" i="6"/>
  <c r="AC187" i="6"/>
  <c r="AB187" i="6"/>
  <c r="AA187" i="6"/>
  <c r="Z187" i="6"/>
  <c r="X187" i="6"/>
  <c r="W187" i="6"/>
  <c r="V187" i="6"/>
  <c r="U187" i="6"/>
  <c r="T187" i="6"/>
  <c r="R187" i="6"/>
  <c r="BE186" i="6"/>
  <c r="BD186" i="6"/>
  <c r="BC186" i="6"/>
  <c r="BB186" i="6"/>
  <c r="BA186" i="6"/>
  <c r="AZ186" i="6"/>
  <c r="AY186" i="6"/>
  <c r="AX186" i="6"/>
  <c r="AW186" i="6"/>
  <c r="AV186" i="6"/>
  <c r="AU186" i="6"/>
  <c r="AQ186" i="6"/>
  <c r="AP186" i="6"/>
  <c r="AO186" i="6"/>
  <c r="AN186" i="6"/>
  <c r="AM186" i="6"/>
  <c r="AL186" i="6"/>
  <c r="AJ186" i="6"/>
  <c r="AI186" i="6"/>
  <c r="AH186" i="6"/>
  <c r="AG186" i="6"/>
  <c r="AF186" i="6"/>
  <c r="AD186" i="6"/>
  <c r="AC186" i="6"/>
  <c r="AB186" i="6"/>
  <c r="AA186" i="6"/>
  <c r="Z186" i="6"/>
  <c r="X186" i="6"/>
  <c r="W186" i="6"/>
  <c r="V186" i="6"/>
  <c r="U186" i="6"/>
  <c r="T186" i="6"/>
  <c r="R186" i="6"/>
  <c r="Q186" i="6"/>
  <c r="BE185" i="6"/>
  <c r="BD185" i="6"/>
  <c r="BC185" i="6"/>
  <c r="BB185" i="6"/>
  <c r="BA185" i="6"/>
  <c r="AZ185" i="6"/>
  <c r="AY185" i="6"/>
  <c r="AX185" i="6"/>
  <c r="AW185" i="6"/>
  <c r="AV185" i="6"/>
  <c r="AU185" i="6"/>
  <c r="AQ185" i="6"/>
  <c r="AP185" i="6"/>
  <c r="AO185" i="6"/>
  <c r="AN185" i="6"/>
  <c r="AM185" i="6"/>
  <c r="AL185" i="6"/>
  <c r="AJ185" i="6"/>
  <c r="AI185" i="6"/>
  <c r="AH185" i="6"/>
  <c r="AG185" i="6"/>
  <c r="AF185" i="6"/>
  <c r="AD185" i="6"/>
  <c r="AC185" i="6"/>
  <c r="AB185" i="6"/>
  <c r="AA185" i="6"/>
  <c r="Z185" i="6"/>
  <c r="X185" i="6"/>
  <c r="W185" i="6"/>
  <c r="V185" i="6"/>
  <c r="U185" i="6"/>
  <c r="T185" i="6"/>
  <c r="R185" i="6"/>
  <c r="Q185" i="6"/>
  <c r="P185" i="6"/>
  <c r="BE184" i="6"/>
  <c r="BD184" i="6"/>
  <c r="BC184" i="6"/>
  <c r="BB184" i="6"/>
  <c r="BA184" i="6"/>
  <c r="AZ184" i="6"/>
  <c r="AY184" i="6"/>
  <c r="AX184" i="6"/>
  <c r="AW184" i="6"/>
  <c r="AV184" i="6"/>
  <c r="AU184" i="6"/>
  <c r="AQ184" i="6"/>
  <c r="AP184" i="6"/>
  <c r="AO184" i="6"/>
  <c r="AN184" i="6"/>
  <c r="AM184" i="6"/>
  <c r="AL184" i="6"/>
  <c r="AJ184" i="6"/>
  <c r="AI184" i="6"/>
  <c r="AH184" i="6"/>
  <c r="AG184" i="6"/>
  <c r="AF184" i="6"/>
  <c r="AD184" i="6"/>
  <c r="AC184" i="6"/>
  <c r="AB184" i="6"/>
  <c r="AA184" i="6"/>
  <c r="Z184" i="6"/>
  <c r="X184" i="6"/>
  <c r="W184" i="6"/>
  <c r="V184" i="6"/>
  <c r="U184" i="6"/>
  <c r="T184" i="6"/>
  <c r="R184" i="6"/>
  <c r="Q184" i="6"/>
  <c r="P184" i="6"/>
  <c r="O184" i="6"/>
  <c r="BE183" i="6"/>
  <c r="BD183" i="6"/>
  <c r="BC183" i="6"/>
  <c r="BB183" i="6"/>
  <c r="BA183" i="6"/>
  <c r="AZ183" i="6"/>
  <c r="AY183" i="6"/>
  <c r="AX183" i="6"/>
  <c r="AW183" i="6"/>
  <c r="AV183" i="6"/>
  <c r="AU183" i="6"/>
  <c r="AQ183" i="6"/>
  <c r="AP183" i="6"/>
  <c r="AO183" i="6"/>
  <c r="AN183" i="6"/>
  <c r="AM183" i="6"/>
  <c r="AL183" i="6"/>
  <c r="AJ183" i="6"/>
  <c r="AI183" i="6"/>
  <c r="AH183" i="6"/>
  <c r="AG183" i="6"/>
  <c r="AF183" i="6"/>
  <c r="AD183" i="6"/>
  <c r="AC183" i="6"/>
  <c r="AB183" i="6"/>
  <c r="AA183" i="6"/>
  <c r="Z183" i="6"/>
  <c r="X183" i="6"/>
  <c r="W183" i="6"/>
  <c r="V183" i="6"/>
  <c r="U183" i="6"/>
  <c r="T183" i="6"/>
  <c r="R183" i="6"/>
  <c r="Q183" i="6"/>
  <c r="P183" i="6"/>
  <c r="O183" i="6"/>
  <c r="N183" i="6"/>
  <c r="BE182" i="6"/>
  <c r="BD182" i="6"/>
  <c r="BC182" i="6"/>
  <c r="BB182" i="6"/>
  <c r="BA182" i="6"/>
  <c r="AZ182" i="6"/>
  <c r="AY182" i="6"/>
  <c r="AX182" i="6"/>
  <c r="AW182" i="6"/>
  <c r="AV182" i="6"/>
  <c r="AU182" i="6"/>
  <c r="AQ182" i="6"/>
  <c r="AP182" i="6"/>
  <c r="AO182" i="6"/>
  <c r="AN182" i="6"/>
  <c r="AM182" i="6"/>
  <c r="AL182" i="6"/>
  <c r="AJ182" i="6"/>
  <c r="AI182" i="6"/>
  <c r="AH182" i="6"/>
  <c r="AG182" i="6"/>
  <c r="AF182" i="6"/>
  <c r="AD182" i="6"/>
  <c r="AC182" i="6"/>
  <c r="AB182" i="6"/>
  <c r="AA182" i="6"/>
  <c r="Z182" i="6"/>
  <c r="X182" i="6"/>
  <c r="W182" i="6"/>
  <c r="V182" i="6"/>
  <c r="U182" i="6"/>
  <c r="T182" i="6"/>
  <c r="R182" i="6"/>
  <c r="Q182" i="6"/>
  <c r="P182" i="6"/>
  <c r="O182" i="6"/>
  <c r="N182" i="6"/>
  <c r="BE181" i="6"/>
  <c r="BD181" i="6"/>
  <c r="BC181" i="6"/>
  <c r="BB181" i="6"/>
  <c r="BA181" i="6"/>
  <c r="AZ181" i="6"/>
  <c r="AY181" i="6"/>
  <c r="AX181" i="6"/>
  <c r="AW181" i="6"/>
  <c r="AV181" i="6"/>
  <c r="AU181" i="6"/>
  <c r="AQ181" i="6"/>
  <c r="AP181" i="6"/>
  <c r="AO181" i="6"/>
  <c r="AN181" i="6"/>
  <c r="AM181" i="6"/>
  <c r="AL181" i="6"/>
  <c r="AJ181" i="6"/>
  <c r="AI181" i="6"/>
  <c r="AH181" i="6"/>
  <c r="AG181" i="6"/>
  <c r="AF181" i="6"/>
  <c r="AD181" i="6"/>
  <c r="AC181" i="6"/>
  <c r="AB181" i="6"/>
  <c r="AA181" i="6"/>
  <c r="Z181" i="6"/>
  <c r="X181" i="6"/>
  <c r="W181" i="6"/>
  <c r="V181" i="6"/>
  <c r="U181" i="6"/>
  <c r="T181" i="6"/>
  <c r="R181" i="6"/>
  <c r="Q181" i="6"/>
  <c r="P181" i="6"/>
  <c r="O181" i="6"/>
  <c r="N181" i="6"/>
  <c r="L181" i="6"/>
  <c r="BE180" i="6"/>
  <c r="BD180" i="6"/>
  <c r="BC180" i="6"/>
  <c r="BB180" i="6"/>
  <c r="BA180" i="6"/>
  <c r="AZ180" i="6"/>
  <c r="AY180" i="6"/>
  <c r="AX180" i="6"/>
  <c r="AW180" i="6"/>
  <c r="AV180" i="6"/>
  <c r="AU180" i="6"/>
  <c r="AQ180" i="6"/>
  <c r="AP180" i="6"/>
  <c r="AO180" i="6"/>
  <c r="AN180" i="6"/>
  <c r="AM180" i="6"/>
  <c r="AL180" i="6"/>
  <c r="AJ180" i="6"/>
  <c r="AI180" i="6"/>
  <c r="AH180" i="6"/>
  <c r="AG180" i="6"/>
  <c r="AF180" i="6"/>
  <c r="AD180" i="6"/>
  <c r="AC180" i="6"/>
  <c r="AB180" i="6"/>
  <c r="AA180" i="6"/>
  <c r="Z180" i="6"/>
  <c r="X180" i="6"/>
  <c r="W180" i="6"/>
  <c r="V180" i="6"/>
  <c r="U180" i="6"/>
  <c r="T180" i="6"/>
  <c r="R180" i="6"/>
  <c r="Q180" i="6"/>
  <c r="P180" i="6"/>
  <c r="O180" i="6"/>
  <c r="N180" i="6"/>
  <c r="L180" i="6"/>
  <c r="K180" i="6"/>
  <c r="BE179" i="6"/>
  <c r="BD179" i="6"/>
  <c r="BC179" i="6"/>
  <c r="BB179" i="6"/>
  <c r="BA179" i="6"/>
  <c r="AZ179" i="6"/>
  <c r="AY179" i="6"/>
  <c r="AX179" i="6"/>
  <c r="AW179" i="6"/>
  <c r="AV179" i="6"/>
  <c r="AU179" i="6"/>
  <c r="AQ179" i="6"/>
  <c r="AP179" i="6"/>
  <c r="AO179" i="6"/>
  <c r="AN179" i="6"/>
  <c r="AM179" i="6"/>
  <c r="AL179" i="6"/>
  <c r="AJ179" i="6"/>
  <c r="AI179" i="6"/>
  <c r="AH179" i="6"/>
  <c r="AG179" i="6"/>
  <c r="AF179" i="6"/>
  <c r="AD179" i="6"/>
  <c r="AC179" i="6"/>
  <c r="AB179" i="6"/>
  <c r="AA179" i="6"/>
  <c r="Z179" i="6"/>
  <c r="X179" i="6"/>
  <c r="W179" i="6"/>
  <c r="V179" i="6"/>
  <c r="U179" i="6"/>
  <c r="T179" i="6"/>
  <c r="R179" i="6"/>
  <c r="Q179" i="6"/>
  <c r="P179" i="6"/>
  <c r="O179" i="6"/>
  <c r="N179" i="6"/>
  <c r="L179" i="6"/>
  <c r="K179" i="6"/>
  <c r="J179" i="6"/>
  <c r="BE178" i="6"/>
  <c r="BD178" i="6"/>
  <c r="BC178" i="6"/>
  <c r="BB178" i="6"/>
  <c r="BA178" i="6"/>
  <c r="AZ178" i="6"/>
  <c r="AY178" i="6"/>
  <c r="AX178" i="6"/>
  <c r="AW178" i="6"/>
  <c r="AV178" i="6"/>
  <c r="AU178" i="6"/>
  <c r="AQ178" i="6"/>
  <c r="AP178" i="6"/>
  <c r="AO178" i="6"/>
  <c r="AN178" i="6"/>
  <c r="AM178" i="6"/>
  <c r="AL178" i="6"/>
  <c r="AJ178" i="6"/>
  <c r="AI178" i="6"/>
  <c r="AH178" i="6"/>
  <c r="AG178" i="6"/>
  <c r="AF178" i="6"/>
  <c r="AD178" i="6"/>
  <c r="AC178" i="6"/>
  <c r="AB178" i="6"/>
  <c r="AA178" i="6"/>
  <c r="Z178" i="6"/>
  <c r="X178" i="6"/>
  <c r="W178" i="6"/>
  <c r="V178" i="6"/>
  <c r="U178" i="6"/>
  <c r="T178" i="6"/>
  <c r="R178" i="6"/>
  <c r="Q178" i="6"/>
  <c r="P178" i="6"/>
  <c r="O178" i="6"/>
  <c r="N178" i="6"/>
  <c r="L178" i="6"/>
  <c r="K178" i="6"/>
  <c r="J178" i="6"/>
  <c r="I178" i="6"/>
  <c r="BE177" i="6"/>
  <c r="BD177" i="6"/>
  <c r="BC177" i="6"/>
  <c r="BB177" i="6"/>
  <c r="BA177" i="6"/>
  <c r="AZ177" i="6"/>
  <c r="AY177" i="6"/>
  <c r="AX177" i="6"/>
  <c r="AW177" i="6"/>
  <c r="AV177" i="6"/>
  <c r="AU177" i="6"/>
  <c r="AQ177" i="6"/>
  <c r="AP177" i="6"/>
  <c r="AO177" i="6"/>
  <c r="AN177" i="6"/>
  <c r="AM177" i="6"/>
  <c r="AL177" i="6"/>
  <c r="AJ177" i="6"/>
  <c r="AI177" i="6"/>
  <c r="AH177" i="6"/>
  <c r="AG177" i="6"/>
  <c r="AF177" i="6"/>
  <c r="AD177" i="6"/>
  <c r="AC177" i="6"/>
  <c r="AB177" i="6"/>
  <c r="AA177" i="6"/>
  <c r="Z177" i="6"/>
  <c r="X177" i="6"/>
  <c r="W177" i="6"/>
  <c r="V177" i="6"/>
  <c r="U177" i="6"/>
  <c r="T177" i="6"/>
  <c r="R177" i="6"/>
  <c r="Q177" i="6"/>
  <c r="P177" i="6"/>
  <c r="O177" i="6"/>
  <c r="N177" i="6"/>
  <c r="L177" i="6"/>
  <c r="K177" i="6"/>
  <c r="J177" i="6"/>
  <c r="I177" i="6"/>
  <c r="H177" i="6"/>
  <c r="E177" i="6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C177" i="6"/>
  <c r="F177" i="6" s="1"/>
  <c r="A177" i="6"/>
  <c r="BF172" i="6"/>
  <c r="BF171" i="6"/>
  <c r="BF170" i="6"/>
  <c r="BF169" i="6"/>
  <c r="BF168" i="6"/>
  <c r="BF167" i="6"/>
  <c r="BE165" i="6"/>
  <c r="BD165" i="6"/>
  <c r="BC165" i="6"/>
  <c r="BB165" i="6"/>
  <c r="BA165" i="6"/>
  <c r="AZ165" i="6"/>
  <c r="AY165" i="6"/>
  <c r="BE164" i="6"/>
  <c r="BD164" i="6"/>
  <c r="BC164" i="6"/>
  <c r="BB164" i="6"/>
  <c r="BA164" i="6"/>
  <c r="AZ164" i="6"/>
  <c r="AY164" i="6"/>
  <c r="AX164" i="6"/>
  <c r="BE163" i="6"/>
  <c r="BD163" i="6"/>
  <c r="BC163" i="6"/>
  <c r="BB163" i="6"/>
  <c r="BA163" i="6"/>
  <c r="AZ163" i="6"/>
  <c r="AY163" i="6"/>
  <c r="AX163" i="6"/>
  <c r="AW163" i="6"/>
  <c r="BE162" i="6"/>
  <c r="BD162" i="6"/>
  <c r="BC162" i="6"/>
  <c r="BB162" i="6"/>
  <c r="BA162" i="6"/>
  <c r="AZ162" i="6"/>
  <c r="AY162" i="6"/>
  <c r="AX162" i="6"/>
  <c r="AW162" i="6"/>
  <c r="AV162" i="6"/>
  <c r="BE161" i="6"/>
  <c r="BD161" i="6"/>
  <c r="BC161" i="6"/>
  <c r="BB161" i="6"/>
  <c r="BA161" i="6"/>
  <c r="AZ161" i="6"/>
  <c r="AY161" i="6"/>
  <c r="AX161" i="6"/>
  <c r="AW161" i="6"/>
  <c r="AV161" i="6"/>
  <c r="AU161" i="6"/>
  <c r="BE160" i="6"/>
  <c r="BD160" i="6"/>
  <c r="BC160" i="6"/>
  <c r="BB160" i="6"/>
  <c r="BA160" i="6"/>
  <c r="AZ160" i="6"/>
  <c r="AY160" i="6"/>
  <c r="AX160" i="6"/>
  <c r="AW160" i="6"/>
  <c r="AV160" i="6"/>
  <c r="AU160" i="6"/>
  <c r="BE159" i="6"/>
  <c r="BD159" i="6"/>
  <c r="BC159" i="6"/>
  <c r="BB159" i="6"/>
  <c r="BA159" i="6"/>
  <c r="AZ159" i="6"/>
  <c r="AY159" i="6"/>
  <c r="AX159" i="6"/>
  <c r="AW159" i="6"/>
  <c r="AV159" i="6"/>
  <c r="AU159" i="6"/>
  <c r="BE158" i="6"/>
  <c r="BD158" i="6"/>
  <c r="BC158" i="6"/>
  <c r="BB158" i="6"/>
  <c r="BA158" i="6"/>
  <c r="AZ158" i="6"/>
  <c r="AY158" i="6"/>
  <c r="AX158" i="6"/>
  <c r="AW158" i="6"/>
  <c r="AV158" i="6"/>
  <c r="AU158" i="6"/>
  <c r="BE157" i="6"/>
  <c r="BD157" i="6"/>
  <c r="BC157" i="6"/>
  <c r="BB157" i="6"/>
  <c r="BA157" i="6"/>
  <c r="AZ157" i="6"/>
  <c r="AY157" i="6"/>
  <c r="AX157" i="6"/>
  <c r="AW157" i="6"/>
  <c r="AV157" i="6"/>
  <c r="AU157" i="6"/>
  <c r="AQ157" i="6"/>
  <c r="BE156" i="6"/>
  <c r="BD156" i="6"/>
  <c r="BC156" i="6"/>
  <c r="BB156" i="6"/>
  <c r="BA156" i="6"/>
  <c r="AZ156" i="6"/>
  <c r="AY156" i="6"/>
  <c r="AX156" i="6"/>
  <c r="AW156" i="6"/>
  <c r="AV156" i="6"/>
  <c r="AU156" i="6"/>
  <c r="AQ156" i="6"/>
  <c r="AP156" i="6"/>
  <c r="BE155" i="6"/>
  <c r="BD155" i="6"/>
  <c r="BC155" i="6"/>
  <c r="BB155" i="6"/>
  <c r="BA155" i="6"/>
  <c r="AZ155" i="6"/>
  <c r="AY155" i="6"/>
  <c r="AX155" i="6"/>
  <c r="AW155" i="6"/>
  <c r="AV155" i="6"/>
  <c r="AU155" i="6"/>
  <c r="AQ155" i="6"/>
  <c r="AP155" i="6"/>
  <c r="AO155" i="6"/>
  <c r="BE154" i="6"/>
  <c r="BD154" i="6"/>
  <c r="BC154" i="6"/>
  <c r="BB154" i="6"/>
  <c r="BA154" i="6"/>
  <c r="AZ154" i="6"/>
  <c r="AY154" i="6"/>
  <c r="AX154" i="6"/>
  <c r="AW154" i="6"/>
  <c r="AV154" i="6"/>
  <c r="AU154" i="6"/>
  <c r="AQ154" i="6"/>
  <c r="AP154" i="6"/>
  <c r="AO154" i="6"/>
  <c r="AN154" i="6"/>
  <c r="BE153" i="6"/>
  <c r="BD153" i="6"/>
  <c r="BC153" i="6"/>
  <c r="BB153" i="6"/>
  <c r="BA153" i="6"/>
  <c r="AZ153" i="6"/>
  <c r="AY153" i="6"/>
  <c r="AX153" i="6"/>
  <c r="AW153" i="6"/>
  <c r="AV153" i="6"/>
  <c r="AU153" i="6"/>
  <c r="AQ153" i="6"/>
  <c r="AP153" i="6"/>
  <c r="AO153" i="6"/>
  <c r="AN153" i="6"/>
  <c r="AM153" i="6"/>
  <c r="BE152" i="6"/>
  <c r="BD152" i="6"/>
  <c r="BC152" i="6"/>
  <c r="BB152" i="6"/>
  <c r="BA152" i="6"/>
  <c r="AZ152" i="6"/>
  <c r="AY152" i="6"/>
  <c r="AX152" i="6"/>
  <c r="AW152" i="6"/>
  <c r="AV152" i="6"/>
  <c r="AU152" i="6"/>
  <c r="AQ152" i="6"/>
  <c r="AP152" i="6"/>
  <c r="AO152" i="6"/>
  <c r="AN152" i="6"/>
  <c r="AM152" i="6"/>
  <c r="AL152" i="6"/>
  <c r="BE151" i="6"/>
  <c r="BD151" i="6"/>
  <c r="BC151" i="6"/>
  <c r="BB151" i="6"/>
  <c r="BA151" i="6"/>
  <c r="AZ151" i="6"/>
  <c r="AY151" i="6"/>
  <c r="AX151" i="6"/>
  <c r="AW151" i="6"/>
  <c r="AV151" i="6"/>
  <c r="AU151" i="6"/>
  <c r="AQ151" i="6"/>
  <c r="AP151" i="6"/>
  <c r="AO151" i="6"/>
  <c r="AN151" i="6"/>
  <c r="AM151" i="6"/>
  <c r="AL151" i="6"/>
  <c r="BE150" i="6"/>
  <c r="BD150" i="6"/>
  <c r="BC150" i="6"/>
  <c r="BB150" i="6"/>
  <c r="BA150" i="6"/>
  <c r="AZ150" i="6"/>
  <c r="AY150" i="6"/>
  <c r="AX150" i="6"/>
  <c r="AW150" i="6"/>
  <c r="AV150" i="6"/>
  <c r="AU150" i="6"/>
  <c r="AQ150" i="6"/>
  <c r="AP150" i="6"/>
  <c r="AO150" i="6"/>
  <c r="AN150" i="6"/>
  <c r="AM150" i="6"/>
  <c r="AL150" i="6"/>
  <c r="AJ150" i="6"/>
  <c r="BE149" i="6"/>
  <c r="BD149" i="6"/>
  <c r="BC149" i="6"/>
  <c r="BB149" i="6"/>
  <c r="BA149" i="6"/>
  <c r="AZ149" i="6"/>
  <c r="AY149" i="6"/>
  <c r="AX149" i="6"/>
  <c r="AW149" i="6"/>
  <c r="AV149" i="6"/>
  <c r="AU149" i="6"/>
  <c r="AQ149" i="6"/>
  <c r="AP149" i="6"/>
  <c r="AO149" i="6"/>
  <c r="AN149" i="6"/>
  <c r="AM149" i="6"/>
  <c r="AL149" i="6"/>
  <c r="AJ149" i="6"/>
  <c r="AI149" i="6"/>
  <c r="BE148" i="6"/>
  <c r="BD148" i="6"/>
  <c r="BC148" i="6"/>
  <c r="BB148" i="6"/>
  <c r="BA148" i="6"/>
  <c r="AZ148" i="6"/>
  <c r="AY148" i="6"/>
  <c r="AX148" i="6"/>
  <c r="AW148" i="6"/>
  <c r="AV148" i="6"/>
  <c r="AU148" i="6"/>
  <c r="AQ148" i="6"/>
  <c r="AP148" i="6"/>
  <c r="AO148" i="6"/>
  <c r="AN148" i="6"/>
  <c r="AM148" i="6"/>
  <c r="AL148" i="6"/>
  <c r="AJ148" i="6"/>
  <c r="AI148" i="6"/>
  <c r="AH148" i="6"/>
  <c r="BE147" i="6"/>
  <c r="BD147" i="6"/>
  <c r="BC147" i="6"/>
  <c r="BB147" i="6"/>
  <c r="BA147" i="6"/>
  <c r="AZ147" i="6"/>
  <c r="AY147" i="6"/>
  <c r="AX147" i="6"/>
  <c r="AW147" i="6"/>
  <c r="AV147" i="6"/>
  <c r="AU147" i="6"/>
  <c r="AQ147" i="6"/>
  <c r="AP147" i="6"/>
  <c r="AO147" i="6"/>
  <c r="AN147" i="6"/>
  <c r="AM147" i="6"/>
  <c r="AL147" i="6"/>
  <c r="AJ147" i="6"/>
  <c r="AI147" i="6"/>
  <c r="AH147" i="6"/>
  <c r="AG147" i="6"/>
  <c r="BE146" i="6"/>
  <c r="BD146" i="6"/>
  <c r="BC146" i="6"/>
  <c r="BB146" i="6"/>
  <c r="BA146" i="6"/>
  <c r="AZ146" i="6"/>
  <c r="AY146" i="6"/>
  <c r="AX146" i="6"/>
  <c r="AW146" i="6"/>
  <c r="AV146" i="6"/>
  <c r="AU146" i="6"/>
  <c r="AQ146" i="6"/>
  <c r="AP146" i="6"/>
  <c r="AO146" i="6"/>
  <c r="AN146" i="6"/>
  <c r="AM146" i="6"/>
  <c r="AL146" i="6"/>
  <c r="AJ146" i="6"/>
  <c r="AI146" i="6"/>
  <c r="AH146" i="6"/>
  <c r="AG146" i="6"/>
  <c r="AF146" i="6"/>
  <c r="BE145" i="6"/>
  <c r="BD145" i="6"/>
  <c r="BC145" i="6"/>
  <c r="BB145" i="6"/>
  <c r="BA145" i="6"/>
  <c r="AZ145" i="6"/>
  <c r="AY145" i="6"/>
  <c r="AX145" i="6"/>
  <c r="AW145" i="6"/>
  <c r="AV145" i="6"/>
  <c r="AU145" i="6"/>
  <c r="AQ145" i="6"/>
  <c r="AP145" i="6"/>
  <c r="AO145" i="6"/>
  <c r="AN145" i="6"/>
  <c r="AM145" i="6"/>
  <c r="AL145" i="6"/>
  <c r="AJ145" i="6"/>
  <c r="AI145" i="6"/>
  <c r="AH145" i="6"/>
  <c r="AG145" i="6"/>
  <c r="AF145" i="6"/>
  <c r="BE144" i="6"/>
  <c r="BD144" i="6"/>
  <c r="BC144" i="6"/>
  <c r="BB144" i="6"/>
  <c r="BA144" i="6"/>
  <c r="AZ144" i="6"/>
  <c r="AY144" i="6"/>
  <c r="AX144" i="6"/>
  <c r="AW144" i="6"/>
  <c r="AV144" i="6"/>
  <c r="AU144" i="6"/>
  <c r="AQ144" i="6"/>
  <c r="AP144" i="6"/>
  <c r="AO144" i="6"/>
  <c r="AN144" i="6"/>
  <c r="AM144" i="6"/>
  <c r="AL144" i="6"/>
  <c r="AJ144" i="6"/>
  <c r="AI144" i="6"/>
  <c r="AH144" i="6"/>
  <c r="AG144" i="6"/>
  <c r="AF144" i="6"/>
  <c r="AD144" i="6"/>
  <c r="BE143" i="6"/>
  <c r="BD143" i="6"/>
  <c r="BC143" i="6"/>
  <c r="BB143" i="6"/>
  <c r="BA143" i="6"/>
  <c r="AZ143" i="6"/>
  <c r="AY143" i="6"/>
  <c r="AX143" i="6"/>
  <c r="AW143" i="6"/>
  <c r="AV143" i="6"/>
  <c r="AU143" i="6"/>
  <c r="AQ143" i="6"/>
  <c r="AP143" i="6"/>
  <c r="AO143" i="6"/>
  <c r="AN143" i="6"/>
  <c r="AM143" i="6"/>
  <c r="AL143" i="6"/>
  <c r="AJ143" i="6"/>
  <c r="AI143" i="6"/>
  <c r="AH143" i="6"/>
  <c r="AG143" i="6"/>
  <c r="AF143" i="6"/>
  <c r="AD143" i="6"/>
  <c r="AC143" i="6"/>
  <c r="BE142" i="6"/>
  <c r="BD142" i="6"/>
  <c r="BC142" i="6"/>
  <c r="BB142" i="6"/>
  <c r="BA142" i="6"/>
  <c r="AZ142" i="6"/>
  <c r="AY142" i="6"/>
  <c r="AX142" i="6"/>
  <c r="AW142" i="6"/>
  <c r="AV142" i="6"/>
  <c r="AU142" i="6"/>
  <c r="AQ142" i="6"/>
  <c r="AP142" i="6"/>
  <c r="AO142" i="6"/>
  <c r="AN142" i="6"/>
  <c r="AM142" i="6"/>
  <c r="AL142" i="6"/>
  <c r="AJ142" i="6"/>
  <c r="AI142" i="6"/>
  <c r="AH142" i="6"/>
  <c r="AG142" i="6"/>
  <c r="AF142" i="6"/>
  <c r="AD142" i="6"/>
  <c r="AC142" i="6"/>
  <c r="AB142" i="6"/>
  <c r="BE141" i="6"/>
  <c r="BD141" i="6"/>
  <c r="BC141" i="6"/>
  <c r="BB141" i="6"/>
  <c r="BA141" i="6"/>
  <c r="AZ141" i="6"/>
  <c r="AY141" i="6"/>
  <c r="AX141" i="6"/>
  <c r="AW141" i="6"/>
  <c r="AV141" i="6"/>
  <c r="AU141" i="6"/>
  <c r="AQ141" i="6"/>
  <c r="AP141" i="6"/>
  <c r="AO141" i="6"/>
  <c r="AN141" i="6"/>
  <c r="AM141" i="6"/>
  <c r="AL141" i="6"/>
  <c r="AJ141" i="6"/>
  <c r="AI141" i="6"/>
  <c r="AH141" i="6"/>
  <c r="AG141" i="6"/>
  <c r="AF141" i="6"/>
  <c r="AD141" i="6"/>
  <c r="AC141" i="6"/>
  <c r="AB141" i="6"/>
  <c r="AA141" i="6"/>
  <c r="BE140" i="6"/>
  <c r="BD140" i="6"/>
  <c r="BC140" i="6"/>
  <c r="BB140" i="6"/>
  <c r="BA140" i="6"/>
  <c r="AZ140" i="6"/>
  <c r="AY140" i="6"/>
  <c r="AX140" i="6"/>
  <c r="AW140" i="6"/>
  <c r="AV140" i="6"/>
  <c r="AU140" i="6"/>
  <c r="AQ140" i="6"/>
  <c r="AP140" i="6"/>
  <c r="AO140" i="6"/>
  <c r="AN140" i="6"/>
  <c r="AM140" i="6"/>
  <c r="AL140" i="6"/>
  <c r="AJ140" i="6"/>
  <c r="AI140" i="6"/>
  <c r="AH140" i="6"/>
  <c r="AG140" i="6"/>
  <c r="AF140" i="6"/>
  <c r="AD140" i="6"/>
  <c r="AC140" i="6"/>
  <c r="AB140" i="6"/>
  <c r="AA140" i="6"/>
  <c r="Z140" i="6"/>
  <c r="BE139" i="6"/>
  <c r="BD139" i="6"/>
  <c r="BC139" i="6"/>
  <c r="BB139" i="6"/>
  <c r="BA139" i="6"/>
  <c r="AZ139" i="6"/>
  <c r="AY139" i="6"/>
  <c r="AX139" i="6"/>
  <c r="AW139" i="6"/>
  <c r="AV139" i="6"/>
  <c r="AU139" i="6"/>
  <c r="AQ139" i="6"/>
  <c r="AP139" i="6"/>
  <c r="AO139" i="6"/>
  <c r="AN139" i="6"/>
  <c r="AM139" i="6"/>
  <c r="AL139" i="6"/>
  <c r="AJ139" i="6"/>
  <c r="AI139" i="6"/>
  <c r="AH139" i="6"/>
  <c r="AG139" i="6"/>
  <c r="AF139" i="6"/>
  <c r="AD139" i="6"/>
  <c r="AC139" i="6"/>
  <c r="AB139" i="6"/>
  <c r="AA139" i="6"/>
  <c r="Z139" i="6"/>
  <c r="BE138" i="6"/>
  <c r="BD138" i="6"/>
  <c r="BC138" i="6"/>
  <c r="BB138" i="6"/>
  <c r="BA138" i="6"/>
  <c r="AZ138" i="6"/>
  <c r="AY138" i="6"/>
  <c r="AX138" i="6"/>
  <c r="AW138" i="6"/>
  <c r="AV138" i="6"/>
  <c r="AU138" i="6"/>
  <c r="AQ138" i="6"/>
  <c r="AP138" i="6"/>
  <c r="AO138" i="6"/>
  <c r="AN138" i="6"/>
  <c r="AM138" i="6"/>
  <c r="AL138" i="6"/>
  <c r="AJ138" i="6"/>
  <c r="AI138" i="6"/>
  <c r="AH138" i="6"/>
  <c r="AG138" i="6"/>
  <c r="AF138" i="6"/>
  <c r="AD138" i="6"/>
  <c r="AC138" i="6"/>
  <c r="AB138" i="6"/>
  <c r="AA138" i="6"/>
  <c r="Z138" i="6"/>
  <c r="X138" i="6"/>
  <c r="BE137" i="6"/>
  <c r="BD137" i="6"/>
  <c r="BC137" i="6"/>
  <c r="BB137" i="6"/>
  <c r="BA137" i="6"/>
  <c r="AZ137" i="6"/>
  <c r="AY137" i="6"/>
  <c r="AX137" i="6"/>
  <c r="AW137" i="6"/>
  <c r="AV137" i="6"/>
  <c r="AU137" i="6"/>
  <c r="AQ137" i="6"/>
  <c r="AP137" i="6"/>
  <c r="AO137" i="6"/>
  <c r="AN137" i="6"/>
  <c r="AM137" i="6"/>
  <c r="AL137" i="6"/>
  <c r="AJ137" i="6"/>
  <c r="AI137" i="6"/>
  <c r="AH137" i="6"/>
  <c r="AG137" i="6"/>
  <c r="AF137" i="6"/>
  <c r="AD137" i="6"/>
  <c r="AC137" i="6"/>
  <c r="AB137" i="6"/>
  <c r="AA137" i="6"/>
  <c r="Z137" i="6"/>
  <c r="X137" i="6"/>
  <c r="W137" i="6"/>
  <c r="BE136" i="6"/>
  <c r="BD136" i="6"/>
  <c r="BC136" i="6"/>
  <c r="BB136" i="6"/>
  <c r="BA136" i="6"/>
  <c r="AZ136" i="6"/>
  <c r="AY136" i="6"/>
  <c r="AX136" i="6"/>
  <c r="AW136" i="6"/>
  <c r="AV136" i="6"/>
  <c r="AU136" i="6"/>
  <c r="AQ136" i="6"/>
  <c r="AP136" i="6"/>
  <c r="AO136" i="6"/>
  <c r="AN136" i="6"/>
  <c r="AM136" i="6"/>
  <c r="AL136" i="6"/>
  <c r="AJ136" i="6"/>
  <c r="AI136" i="6"/>
  <c r="AH136" i="6"/>
  <c r="AG136" i="6"/>
  <c r="AF136" i="6"/>
  <c r="AD136" i="6"/>
  <c r="AC136" i="6"/>
  <c r="AB136" i="6"/>
  <c r="AA136" i="6"/>
  <c r="Z136" i="6"/>
  <c r="X136" i="6"/>
  <c r="W136" i="6"/>
  <c r="V136" i="6"/>
  <c r="BE135" i="6"/>
  <c r="BD135" i="6"/>
  <c r="BC135" i="6"/>
  <c r="BB135" i="6"/>
  <c r="BA135" i="6"/>
  <c r="AZ135" i="6"/>
  <c r="AY135" i="6"/>
  <c r="AX135" i="6"/>
  <c r="AW135" i="6"/>
  <c r="AV135" i="6"/>
  <c r="AU135" i="6"/>
  <c r="AQ135" i="6"/>
  <c r="AP135" i="6"/>
  <c r="AO135" i="6"/>
  <c r="AN135" i="6"/>
  <c r="AM135" i="6"/>
  <c r="AL135" i="6"/>
  <c r="AJ135" i="6"/>
  <c r="AI135" i="6"/>
  <c r="AH135" i="6"/>
  <c r="AG135" i="6"/>
  <c r="AF135" i="6"/>
  <c r="AD135" i="6"/>
  <c r="AC135" i="6"/>
  <c r="AB135" i="6"/>
  <c r="AA135" i="6"/>
  <c r="Z135" i="6"/>
  <c r="X135" i="6"/>
  <c r="W135" i="6"/>
  <c r="V135" i="6"/>
  <c r="U135" i="6"/>
  <c r="BE134" i="6"/>
  <c r="BD134" i="6"/>
  <c r="BC134" i="6"/>
  <c r="BB134" i="6"/>
  <c r="BA134" i="6"/>
  <c r="AZ134" i="6"/>
  <c r="AY134" i="6"/>
  <c r="AX134" i="6"/>
  <c r="AW134" i="6"/>
  <c r="AV134" i="6"/>
  <c r="AU134" i="6"/>
  <c r="AQ134" i="6"/>
  <c r="AP134" i="6"/>
  <c r="AO134" i="6"/>
  <c r="AN134" i="6"/>
  <c r="AM134" i="6"/>
  <c r="AL134" i="6"/>
  <c r="AJ134" i="6"/>
  <c r="AI134" i="6"/>
  <c r="AH134" i="6"/>
  <c r="AG134" i="6"/>
  <c r="AF134" i="6"/>
  <c r="AD134" i="6"/>
  <c r="AC134" i="6"/>
  <c r="AB134" i="6"/>
  <c r="AA134" i="6"/>
  <c r="Z134" i="6"/>
  <c r="X134" i="6"/>
  <c r="W134" i="6"/>
  <c r="V134" i="6"/>
  <c r="U134" i="6"/>
  <c r="T134" i="6"/>
  <c r="BE133" i="6"/>
  <c r="BD133" i="6"/>
  <c r="BC133" i="6"/>
  <c r="BB133" i="6"/>
  <c r="BA133" i="6"/>
  <c r="AZ133" i="6"/>
  <c r="AY133" i="6"/>
  <c r="AX133" i="6"/>
  <c r="AW133" i="6"/>
  <c r="AV133" i="6"/>
  <c r="AU133" i="6"/>
  <c r="AQ133" i="6"/>
  <c r="AP133" i="6"/>
  <c r="AO133" i="6"/>
  <c r="AN133" i="6"/>
  <c r="AM133" i="6"/>
  <c r="AL133" i="6"/>
  <c r="AJ133" i="6"/>
  <c r="AI133" i="6"/>
  <c r="AH133" i="6"/>
  <c r="AG133" i="6"/>
  <c r="AF133" i="6"/>
  <c r="AD133" i="6"/>
  <c r="AC133" i="6"/>
  <c r="AB133" i="6"/>
  <c r="AA133" i="6"/>
  <c r="Z133" i="6"/>
  <c r="X133" i="6"/>
  <c r="W133" i="6"/>
  <c r="V133" i="6"/>
  <c r="U133" i="6"/>
  <c r="T133" i="6"/>
  <c r="BE132" i="6"/>
  <c r="BD132" i="6"/>
  <c r="BC132" i="6"/>
  <c r="BB132" i="6"/>
  <c r="BA132" i="6"/>
  <c r="AZ132" i="6"/>
  <c r="AY132" i="6"/>
  <c r="AX132" i="6"/>
  <c r="AW132" i="6"/>
  <c r="AV132" i="6"/>
  <c r="AU132" i="6"/>
  <c r="AQ132" i="6"/>
  <c r="AP132" i="6"/>
  <c r="AO132" i="6"/>
  <c r="AN132" i="6"/>
  <c r="AM132" i="6"/>
  <c r="AL132" i="6"/>
  <c r="AJ132" i="6"/>
  <c r="AI132" i="6"/>
  <c r="AH132" i="6"/>
  <c r="AG132" i="6"/>
  <c r="AF132" i="6"/>
  <c r="AD132" i="6"/>
  <c r="AC132" i="6"/>
  <c r="AB132" i="6"/>
  <c r="AA132" i="6"/>
  <c r="Z132" i="6"/>
  <c r="X132" i="6"/>
  <c r="W132" i="6"/>
  <c r="V132" i="6"/>
  <c r="U132" i="6"/>
  <c r="T132" i="6"/>
  <c r="R132" i="6"/>
  <c r="BE131" i="6"/>
  <c r="BD131" i="6"/>
  <c r="BC131" i="6"/>
  <c r="BB131" i="6"/>
  <c r="BA131" i="6"/>
  <c r="AZ131" i="6"/>
  <c r="AY131" i="6"/>
  <c r="AX131" i="6"/>
  <c r="AW131" i="6"/>
  <c r="AV131" i="6"/>
  <c r="AU131" i="6"/>
  <c r="AQ131" i="6"/>
  <c r="AP131" i="6"/>
  <c r="AO131" i="6"/>
  <c r="AN131" i="6"/>
  <c r="AM131" i="6"/>
  <c r="AL131" i="6"/>
  <c r="AJ131" i="6"/>
  <c r="AI131" i="6"/>
  <c r="AH131" i="6"/>
  <c r="AG131" i="6"/>
  <c r="AF131" i="6"/>
  <c r="AD131" i="6"/>
  <c r="AC131" i="6"/>
  <c r="AB131" i="6"/>
  <c r="AA131" i="6"/>
  <c r="Z131" i="6"/>
  <c r="X131" i="6"/>
  <c r="W131" i="6"/>
  <c r="V131" i="6"/>
  <c r="U131" i="6"/>
  <c r="T131" i="6"/>
  <c r="R131" i="6"/>
  <c r="Q131" i="6"/>
  <c r="BE130" i="6"/>
  <c r="BD130" i="6"/>
  <c r="BC130" i="6"/>
  <c r="BB130" i="6"/>
  <c r="BA130" i="6"/>
  <c r="AZ130" i="6"/>
  <c r="AY130" i="6"/>
  <c r="AX130" i="6"/>
  <c r="AW130" i="6"/>
  <c r="AV130" i="6"/>
  <c r="AU130" i="6"/>
  <c r="AQ130" i="6"/>
  <c r="AP130" i="6"/>
  <c r="AO130" i="6"/>
  <c r="AN130" i="6"/>
  <c r="AM130" i="6"/>
  <c r="AL130" i="6"/>
  <c r="AJ130" i="6"/>
  <c r="AI130" i="6"/>
  <c r="AH130" i="6"/>
  <c r="AG130" i="6"/>
  <c r="AF130" i="6"/>
  <c r="AD130" i="6"/>
  <c r="AC130" i="6"/>
  <c r="AB130" i="6"/>
  <c r="AA130" i="6"/>
  <c r="Z130" i="6"/>
  <c r="X130" i="6"/>
  <c r="W130" i="6"/>
  <c r="V130" i="6"/>
  <c r="U130" i="6"/>
  <c r="T130" i="6"/>
  <c r="R130" i="6"/>
  <c r="Q130" i="6"/>
  <c r="P130" i="6"/>
  <c r="D130" i="6"/>
  <c r="D131" i="6" s="1"/>
  <c r="BE129" i="6"/>
  <c r="BD129" i="6"/>
  <c r="BC129" i="6"/>
  <c r="BB129" i="6"/>
  <c r="BA129" i="6"/>
  <c r="AZ129" i="6"/>
  <c r="AY129" i="6"/>
  <c r="AX129" i="6"/>
  <c r="AW129" i="6"/>
  <c r="AV129" i="6"/>
  <c r="AU129" i="6"/>
  <c r="AQ129" i="6"/>
  <c r="AP129" i="6"/>
  <c r="AO129" i="6"/>
  <c r="AN129" i="6"/>
  <c r="AM129" i="6"/>
  <c r="AL129" i="6"/>
  <c r="AJ129" i="6"/>
  <c r="AI129" i="6"/>
  <c r="AH129" i="6"/>
  <c r="AG129" i="6"/>
  <c r="AF129" i="6"/>
  <c r="AD129" i="6"/>
  <c r="AC129" i="6"/>
  <c r="AB129" i="6"/>
  <c r="AA129" i="6"/>
  <c r="Z129" i="6"/>
  <c r="X129" i="6"/>
  <c r="W129" i="6"/>
  <c r="V129" i="6"/>
  <c r="U129" i="6"/>
  <c r="T129" i="6"/>
  <c r="R129" i="6"/>
  <c r="Q129" i="6"/>
  <c r="P129" i="6"/>
  <c r="O129" i="6"/>
  <c r="BE128" i="6"/>
  <c r="BD128" i="6"/>
  <c r="BC128" i="6"/>
  <c r="BB128" i="6"/>
  <c r="BA128" i="6"/>
  <c r="AZ128" i="6"/>
  <c r="AY128" i="6"/>
  <c r="AX128" i="6"/>
  <c r="AW128" i="6"/>
  <c r="AV128" i="6"/>
  <c r="AU128" i="6"/>
  <c r="AQ128" i="6"/>
  <c r="AP128" i="6"/>
  <c r="AO128" i="6"/>
  <c r="AN128" i="6"/>
  <c r="AM128" i="6"/>
  <c r="AL128" i="6"/>
  <c r="AJ128" i="6"/>
  <c r="AI128" i="6"/>
  <c r="AH128" i="6"/>
  <c r="AG128" i="6"/>
  <c r="AF128" i="6"/>
  <c r="AD128" i="6"/>
  <c r="AC128" i="6"/>
  <c r="AB128" i="6"/>
  <c r="AA128" i="6"/>
  <c r="Z128" i="6"/>
  <c r="X128" i="6"/>
  <c r="W128" i="6"/>
  <c r="V128" i="6"/>
  <c r="U128" i="6"/>
  <c r="T128" i="6"/>
  <c r="R128" i="6"/>
  <c r="Q128" i="6"/>
  <c r="P128" i="6"/>
  <c r="O128" i="6"/>
  <c r="N128" i="6"/>
  <c r="BE127" i="6"/>
  <c r="BD127" i="6"/>
  <c r="BC127" i="6"/>
  <c r="BB127" i="6"/>
  <c r="BA127" i="6"/>
  <c r="AZ127" i="6"/>
  <c r="AY127" i="6"/>
  <c r="AX127" i="6"/>
  <c r="AW127" i="6"/>
  <c r="AV127" i="6"/>
  <c r="AU127" i="6"/>
  <c r="AQ127" i="6"/>
  <c r="AP127" i="6"/>
  <c r="AO127" i="6"/>
  <c r="AN127" i="6"/>
  <c r="AM127" i="6"/>
  <c r="AL127" i="6"/>
  <c r="AJ127" i="6"/>
  <c r="AI127" i="6"/>
  <c r="AH127" i="6"/>
  <c r="AG127" i="6"/>
  <c r="AF127" i="6"/>
  <c r="AD127" i="6"/>
  <c r="AC127" i="6"/>
  <c r="AB127" i="6"/>
  <c r="AA127" i="6"/>
  <c r="Z127" i="6"/>
  <c r="X127" i="6"/>
  <c r="W127" i="6"/>
  <c r="V127" i="6"/>
  <c r="U127" i="6"/>
  <c r="T127" i="6"/>
  <c r="R127" i="6"/>
  <c r="Q127" i="6"/>
  <c r="P127" i="6"/>
  <c r="O127" i="6"/>
  <c r="N127" i="6"/>
  <c r="BE126" i="6"/>
  <c r="BD126" i="6"/>
  <c r="BC126" i="6"/>
  <c r="BB126" i="6"/>
  <c r="BA126" i="6"/>
  <c r="AZ126" i="6"/>
  <c r="AY126" i="6"/>
  <c r="AX126" i="6"/>
  <c r="AW126" i="6"/>
  <c r="AV126" i="6"/>
  <c r="AU126" i="6"/>
  <c r="AQ126" i="6"/>
  <c r="AP126" i="6"/>
  <c r="AO126" i="6"/>
  <c r="AN126" i="6"/>
  <c r="AM126" i="6"/>
  <c r="AL126" i="6"/>
  <c r="AJ126" i="6"/>
  <c r="AI126" i="6"/>
  <c r="AH126" i="6"/>
  <c r="AG126" i="6"/>
  <c r="AF126" i="6"/>
  <c r="AD126" i="6"/>
  <c r="AC126" i="6"/>
  <c r="AB126" i="6"/>
  <c r="AA126" i="6"/>
  <c r="Z126" i="6"/>
  <c r="X126" i="6"/>
  <c r="W126" i="6"/>
  <c r="V126" i="6"/>
  <c r="U126" i="6"/>
  <c r="T126" i="6"/>
  <c r="R126" i="6"/>
  <c r="Q126" i="6"/>
  <c r="P126" i="6"/>
  <c r="O126" i="6"/>
  <c r="N126" i="6"/>
  <c r="L126" i="6"/>
  <c r="BE125" i="6"/>
  <c r="BD125" i="6"/>
  <c r="BC125" i="6"/>
  <c r="BB125" i="6"/>
  <c r="BA125" i="6"/>
  <c r="AZ125" i="6"/>
  <c r="AY125" i="6"/>
  <c r="AX125" i="6"/>
  <c r="AW125" i="6"/>
  <c r="AV125" i="6"/>
  <c r="AU125" i="6"/>
  <c r="AQ125" i="6"/>
  <c r="AP125" i="6"/>
  <c r="AO125" i="6"/>
  <c r="AN125" i="6"/>
  <c r="AM125" i="6"/>
  <c r="AL125" i="6"/>
  <c r="AJ125" i="6"/>
  <c r="AI125" i="6"/>
  <c r="AH125" i="6"/>
  <c r="AG125" i="6"/>
  <c r="AF125" i="6"/>
  <c r="AD125" i="6"/>
  <c r="AC125" i="6"/>
  <c r="AB125" i="6"/>
  <c r="AA125" i="6"/>
  <c r="Z125" i="6"/>
  <c r="X125" i="6"/>
  <c r="W125" i="6"/>
  <c r="V125" i="6"/>
  <c r="U125" i="6"/>
  <c r="T125" i="6"/>
  <c r="R125" i="6"/>
  <c r="Q125" i="6"/>
  <c r="P125" i="6"/>
  <c r="O125" i="6"/>
  <c r="N125" i="6"/>
  <c r="L125" i="6"/>
  <c r="K125" i="6"/>
  <c r="BE124" i="6"/>
  <c r="BD124" i="6"/>
  <c r="BC124" i="6"/>
  <c r="BB124" i="6"/>
  <c r="BA124" i="6"/>
  <c r="AZ124" i="6"/>
  <c r="AY124" i="6"/>
  <c r="AX124" i="6"/>
  <c r="AW124" i="6"/>
  <c r="AV124" i="6"/>
  <c r="AU124" i="6"/>
  <c r="AQ124" i="6"/>
  <c r="AP124" i="6"/>
  <c r="AO124" i="6"/>
  <c r="AN124" i="6"/>
  <c r="AM124" i="6"/>
  <c r="AL124" i="6"/>
  <c r="AJ124" i="6"/>
  <c r="AI124" i="6"/>
  <c r="AH124" i="6"/>
  <c r="AG124" i="6"/>
  <c r="AF124" i="6"/>
  <c r="AD124" i="6"/>
  <c r="AC124" i="6"/>
  <c r="AB124" i="6"/>
  <c r="AA124" i="6"/>
  <c r="Z124" i="6"/>
  <c r="X124" i="6"/>
  <c r="W124" i="6"/>
  <c r="V124" i="6"/>
  <c r="U124" i="6"/>
  <c r="T124" i="6"/>
  <c r="R124" i="6"/>
  <c r="Q124" i="6"/>
  <c r="P124" i="6"/>
  <c r="O124" i="6"/>
  <c r="N124" i="6"/>
  <c r="L124" i="6"/>
  <c r="K124" i="6"/>
  <c r="J124" i="6"/>
  <c r="BE123" i="6"/>
  <c r="BD123" i="6"/>
  <c r="BC123" i="6"/>
  <c r="BB123" i="6"/>
  <c r="BA123" i="6"/>
  <c r="AZ123" i="6"/>
  <c r="AY123" i="6"/>
  <c r="AX123" i="6"/>
  <c r="AW123" i="6"/>
  <c r="AV123" i="6"/>
  <c r="AU123" i="6"/>
  <c r="AQ123" i="6"/>
  <c r="AP123" i="6"/>
  <c r="AO123" i="6"/>
  <c r="AN123" i="6"/>
  <c r="AM123" i="6"/>
  <c r="AL123" i="6"/>
  <c r="AJ123" i="6"/>
  <c r="AI123" i="6"/>
  <c r="AH123" i="6"/>
  <c r="AG123" i="6"/>
  <c r="AF123" i="6"/>
  <c r="AD123" i="6"/>
  <c r="AC123" i="6"/>
  <c r="AB123" i="6"/>
  <c r="AA123" i="6"/>
  <c r="Z123" i="6"/>
  <c r="X123" i="6"/>
  <c r="W123" i="6"/>
  <c r="V123" i="6"/>
  <c r="U123" i="6"/>
  <c r="T123" i="6"/>
  <c r="R123" i="6"/>
  <c r="Q123" i="6"/>
  <c r="P123" i="6"/>
  <c r="O123" i="6"/>
  <c r="N123" i="6"/>
  <c r="L123" i="6"/>
  <c r="K123" i="6"/>
  <c r="J123" i="6"/>
  <c r="I123" i="6"/>
  <c r="BE122" i="6"/>
  <c r="BD122" i="6"/>
  <c r="BC122" i="6"/>
  <c r="BB122" i="6"/>
  <c r="BA122" i="6"/>
  <c r="AZ122" i="6"/>
  <c r="AY122" i="6"/>
  <c r="AX122" i="6"/>
  <c r="AW122" i="6"/>
  <c r="AV122" i="6"/>
  <c r="AU122" i="6"/>
  <c r="AQ122" i="6"/>
  <c r="AP122" i="6"/>
  <c r="AO122" i="6"/>
  <c r="AN122" i="6"/>
  <c r="AM122" i="6"/>
  <c r="AL122" i="6"/>
  <c r="AJ122" i="6"/>
  <c r="AI122" i="6"/>
  <c r="AH122" i="6"/>
  <c r="AG122" i="6"/>
  <c r="AF122" i="6"/>
  <c r="AD122" i="6"/>
  <c r="AC122" i="6"/>
  <c r="AB122" i="6"/>
  <c r="AA122" i="6"/>
  <c r="Z122" i="6"/>
  <c r="X122" i="6"/>
  <c r="W122" i="6"/>
  <c r="V122" i="6"/>
  <c r="U122" i="6"/>
  <c r="T122" i="6"/>
  <c r="R122" i="6"/>
  <c r="Q122" i="6"/>
  <c r="P122" i="6"/>
  <c r="O122" i="6"/>
  <c r="N122" i="6"/>
  <c r="L122" i="6"/>
  <c r="K122" i="6"/>
  <c r="J122" i="6"/>
  <c r="I122" i="6"/>
  <c r="H122" i="6"/>
  <c r="E122" i="6"/>
  <c r="E123" i="6" s="1"/>
  <c r="E124" i="6" s="1"/>
  <c r="E125" i="6" s="1"/>
  <c r="E126" i="6" s="1"/>
  <c r="E127" i="6" s="1"/>
  <c r="E128" i="6" s="1"/>
  <c r="E129" i="6" s="1"/>
  <c r="BF116" i="6"/>
  <c r="BF115" i="6"/>
  <c r="BF114" i="6"/>
  <c r="BF113" i="6"/>
  <c r="BF112" i="6"/>
  <c r="BE111" i="6"/>
  <c r="BD111" i="6"/>
  <c r="BC111" i="6"/>
  <c r="BB111" i="6"/>
  <c r="BA111" i="6"/>
  <c r="BE110" i="6"/>
  <c r="BD110" i="6"/>
  <c r="BC110" i="6"/>
  <c r="BB110" i="6"/>
  <c r="BA110" i="6"/>
  <c r="AZ110" i="6"/>
  <c r="BE109" i="6"/>
  <c r="BD109" i="6"/>
  <c r="BC109" i="6"/>
  <c r="BB109" i="6"/>
  <c r="BA109" i="6"/>
  <c r="AZ109" i="6"/>
  <c r="AY109" i="6"/>
  <c r="BE108" i="6"/>
  <c r="BD108" i="6"/>
  <c r="BC108" i="6"/>
  <c r="BB108" i="6"/>
  <c r="BA108" i="6"/>
  <c r="AZ108" i="6"/>
  <c r="AY108" i="6"/>
  <c r="AX108" i="6"/>
  <c r="BE107" i="6"/>
  <c r="BD107" i="6"/>
  <c r="BC107" i="6"/>
  <c r="BB107" i="6"/>
  <c r="BA107" i="6"/>
  <c r="AZ107" i="6"/>
  <c r="AY107" i="6"/>
  <c r="AX107" i="6"/>
  <c r="AW107" i="6"/>
  <c r="BE106" i="6"/>
  <c r="BD106" i="6"/>
  <c r="BC106" i="6"/>
  <c r="BB106" i="6"/>
  <c r="BA106" i="6"/>
  <c r="AZ106" i="6"/>
  <c r="AY106" i="6"/>
  <c r="AX106" i="6"/>
  <c r="AW106" i="6"/>
  <c r="AV106" i="6"/>
  <c r="D106" i="6"/>
  <c r="D118" i="6" s="1"/>
  <c r="BE105" i="6"/>
  <c r="BD105" i="6"/>
  <c r="BC105" i="6"/>
  <c r="BB105" i="6"/>
  <c r="BA105" i="6"/>
  <c r="AZ105" i="6"/>
  <c r="AY105" i="6"/>
  <c r="AX105" i="6"/>
  <c r="AW105" i="6"/>
  <c r="AV105" i="6"/>
  <c r="AU105" i="6"/>
  <c r="BE104" i="6"/>
  <c r="BD104" i="6"/>
  <c r="BC104" i="6"/>
  <c r="BB104" i="6"/>
  <c r="BA104" i="6"/>
  <c r="AZ104" i="6"/>
  <c r="AY104" i="6"/>
  <c r="AX104" i="6"/>
  <c r="AW104" i="6"/>
  <c r="AV104" i="6"/>
  <c r="AU104" i="6"/>
  <c r="BE103" i="6"/>
  <c r="BD103" i="6"/>
  <c r="BC103" i="6"/>
  <c r="BB103" i="6"/>
  <c r="BA103" i="6"/>
  <c r="AZ103" i="6"/>
  <c r="AY103" i="6"/>
  <c r="AX103" i="6"/>
  <c r="AW103" i="6"/>
  <c r="AV103" i="6"/>
  <c r="AU103" i="6"/>
  <c r="BE102" i="6"/>
  <c r="BD102" i="6"/>
  <c r="BC102" i="6"/>
  <c r="BB102" i="6"/>
  <c r="BA102" i="6"/>
  <c r="AZ102" i="6"/>
  <c r="AY102" i="6"/>
  <c r="AX102" i="6"/>
  <c r="AW102" i="6"/>
  <c r="AV102" i="6"/>
  <c r="AU102" i="6"/>
  <c r="BE101" i="6"/>
  <c r="BD101" i="6"/>
  <c r="BC101" i="6"/>
  <c r="BB101" i="6"/>
  <c r="BA101" i="6"/>
  <c r="AZ101" i="6"/>
  <c r="AY101" i="6"/>
  <c r="AX101" i="6"/>
  <c r="AW101" i="6"/>
  <c r="AV101" i="6"/>
  <c r="AU101" i="6"/>
  <c r="AQ101" i="6"/>
  <c r="BE100" i="6"/>
  <c r="BD100" i="6"/>
  <c r="BC100" i="6"/>
  <c r="BB100" i="6"/>
  <c r="BA100" i="6"/>
  <c r="AZ100" i="6"/>
  <c r="AY100" i="6"/>
  <c r="AX100" i="6"/>
  <c r="AW100" i="6"/>
  <c r="AV100" i="6"/>
  <c r="AU100" i="6"/>
  <c r="AQ100" i="6"/>
  <c r="AP100" i="6"/>
  <c r="BE99" i="6"/>
  <c r="BD99" i="6"/>
  <c r="BC99" i="6"/>
  <c r="BB99" i="6"/>
  <c r="BA99" i="6"/>
  <c r="AZ99" i="6"/>
  <c r="AY99" i="6"/>
  <c r="AX99" i="6"/>
  <c r="AW99" i="6"/>
  <c r="AV99" i="6"/>
  <c r="AU99" i="6"/>
  <c r="AQ99" i="6"/>
  <c r="AP99" i="6"/>
  <c r="AO99" i="6"/>
  <c r="BE98" i="6"/>
  <c r="BD98" i="6"/>
  <c r="BC98" i="6"/>
  <c r="BB98" i="6"/>
  <c r="BA98" i="6"/>
  <c r="AZ98" i="6"/>
  <c r="AY98" i="6"/>
  <c r="AX98" i="6"/>
  <c r="AW98" i="6"/>
  <c r="AV98" i="6"/>
  <c r="AU98" i="6"/>
  <c r="AQ98" i="6"/>
  <c r="AP98" i="6"/>
  <c r="AO98" i="6"/>
  <c r="AN98" i="6"/>
  <c r="BE97" i="6"/>
  <c r="BD97" i="6"/>
  <c r="BC97" i="6"/>
  <c r="BB97" i="6"/>
  <c r="BA97" i="6"/>
  <c r="AZ97" i="6"/>
  <c r="AY97" i="6"/>
  <c r="AX97" i="6"/>
  <c r="AW97" i="6"/>
  <c r="AV97" i="6"/>
  <c r="AU97" i="6"/>
  <c r="AQ97" i="6"/>
  <c r="AP97" i="6"/>
  <c r="AO97" i="6"/>
  <c r="AN97" i="6"/>
  <c r="BE96" i="6"/>
  <c r="BD96" i="6"/>
  <c r="BC96" i="6"/>
  <c r="BB96" i="6"/>
  <c r="BA96" i="6"/>
  <c r="AZ96" i="6"/>
  <c r="AY96" i="6"/>
  <c r="AX96" i="6"/>
  <c r="AW96" i="6"/>
  <c r="AV96" i="6"/>
  <c r="AU96" i="6"/>
  <c r="AQ96" i="6"/>
  <c r="AP96" i="6"/>
  <c r="AO96" i="6"/>
  <c r="AN96" i="6"/>
  <c r="AL96" i="6"/>
  <c r="BE95" i="6"/>
  <c r="BD95" i="6"/>
  <c r="BC95" i="6"/>
  <c r="BB95" i="6"/>
  <c r="BA95" i="6"/>
  <c r="AZ95" i="6"/>
  <c r="AY95" i="6"/>
  <c r="AX95" i="6"/>
  <c r="AW95" i="6"/>
  <c r="AV95" i="6"/>
  <c r="AU95" i="6"/>
  <c r="AQ95" i="6"/>
  <c r="AP95" i="6"/>
  <c r="AO95" i="6"/>
  <c r="AN95" i="6"/>
  <c r="AL95" i="6"/>
  <c r="AK95" i="6"/>
  <c r="BE94" i="6"/>
  <c r="BD94" i="6"/>
  <c r="BC94" i="6"/>
  <c r="BB94" i="6"/>
  <c r="BA94" i="6"/>
  <c r="AZ94" i="6"/>
  <c r="AY94" i="6"/>
  <c r="AX94" i="6"/>
  <c r="AW94" i="6"/>
  <c r="AV94" i="6"/>
  <c r="AU94" i="6"/>
  <c r="AQ94" i="6"/>
  <c r="AP94" i="6"/>
  <c r="AO94" i="6"/>
  <c r="AN94" i="6"/>
  <c r="AL94" i="6"/>
  <c r="AK94" i="6"/>
  <c r="AJ94" i="6"/>
  <c r="BE93" i="6"/>
  <c r="BD93" i="6"/>
  <c r="BC93" i="6"/>
  <c r="BB93" i="6"/>
  <c r="BA93" i="6"/>
  <c r="AZ93" i="6"/>
  <c r="AY93" i="6"/>
  <c r="AX93" i="6"/>
  <c r="AW93" i="6"/>
  <c r="AV93" i="6"/>
  <c r="AU93" i="6"/>
  <c r="AQ93" i="6"/>
  <c r="AP93" i="6"/>
  <c r="AO93" i="6"/>
  <c r="AN93" i="6"/>
  <c r="AL93" i="6"/>
  <c r="AK93" i="6"/>
  <c r="AJ93" i="6"/>
  <c r="AI93" i="6"/>
  <c r="BE92" i="6"/>
  <c r="BD92" i="6"/>
  <c r="BC92" i="6"/>
  <c r="BB92" i="6"/>
  <c r="BA92" i="6"/>
  <c r="AZ92" i="6"/>
  <c r="AY92" i="6"/>
  <c r="AX92" i="6"/>
  <c r="AW92" i="6"/>
  <c r="AV92" i="6"/>
  <c r="AU92" i="6"/>
  <c r="AQ92" i="6"/>
  <c r="AP92" i="6"/>
  <c r="AO92" i="6"/>
  <c r="AN92" i="6"/>
  <c r="AL92" i="6"/>
  <c r="AK92" i="6"/>
  <c r="AJ92" i="6"/>
  <c r="AI92" i="6"/>
  <c r="BE91" i="6"/>
  <c r="BD91" i="6"/>
  <c r="BC91" i="6"/>
  <c r="BB91" i="6"/>
  <c r="BA91" i="6"/>
  <c r="AZ91" i="6"/>
  <c r="AY91" i="6"/>
  <c r="AX91" i="6"/>
  <c r="AW91" i="6"/>
  <c r="AV91" i="6"/>
  <c r="AU91" i="6"/>
  <c r="AQ91" i="6"/>
  <c r="AP91" i="6"/>
  <c r="AO91" i="6"/>
  <c r="AN91" i="6"/>
  <c r="AL91" i="6"/>
  <c r="AK91" i="6"/>
  <c r="AJ91" i="6"/>
  <c r="AI91" i="6"/>
  <c r="AG91" i="6"/>
  <c r="BE90" i="6"/>
  <c r="BD90" i="6"/>
  <c r="BC90" i="6"/>
  <c r="BB90" i="6"/>
  <c r="BA90" i="6"/>
  <c r="AZ90" i="6"/>
  <c r="AY90" i="6"/>
  <c r="AX90" i="6"/>
  <c r="AW90" i="6"/>
  <c r="AV90" i="6"/>
  <c r="AU90" i="6"/>
  <c r="AQ90" i="6"/>
  <c r="AP90" i="6"/>
  <c r="AO90" i="6"/>
  <c r="AN90" i="6"/>
  <c r="AL90" i="6"/>
  <c r="AK90" i="6"/>
  <c r="AJ90" i="6"/>
  <c r="AI90" i="6"/>
  <c r="AG90" i="6"/>
  <c r="AF90" i="6"/>
  <c r="BE89" i="6"/>
  <c r="BD89" i="6"/>
  <c r="BC89" i="6"/>
  <c r="BB89" i="6"/>
  <c r="BA89" i="6"/>
  <c r="AZ89" i="6"/>
  <c r="AY89" i="6"/>
  <c r="AX89" i="6"/>
  <c r="AW89" i="6"/>
  <c r="AV89" i="6"/>
  <c r="AU89" i="6"/>
  <c r="AQ89" i="6"/>
  <c r="AP89" i="6"/>
  <c r="AO89" i="6"/>
  <c r="AN89" i="6"/>
  <c r="AL89" i="6"/>
  <c r="AK89" i="6"/>
  <c r="AJ89" i="6"/>
  <c r="AI89" i="6"/>
  <c r="AG89" i="6"/>
  <c r="AF89" i="6"/>
  <c r="AE89" i="6"/>
  <c r="BE88" i="6"/>
  <c r="BD88" i="6"/>
  <c r="BC88" i="6"/>
  <c r="BB88" i="6"/>
  <c r="BA88" i="6"/>
  <c r="AZ88" i="6"/>
  <c r="AY88" i="6"/>
  <c r="AX88" i="6"/>
  <c r="AW88" i="6"/>
  <c r="AV88" i="6"/>
  <c r="AU88" i="6"/>
  <c r="AQ88" i="6"/>
  <c r="AP88" i="6"/>
  <c r="AO88" i="6"/>
  <c r="AN88" i="6"/>
  <c r="AL88" i="6"/>
  <c r="AK88" i="6"/>
  <c r="AJ88" i="6"/>
  <c r="AI88" i="6"/>
  <c r="AG88" i="6"/>
  <c r="AF88" i="6"/>
  <c r="AE88" i="6"/>
  <c r="AD88" i="6"/>
  <c r="BE87" i="6"/>
  <c r="BD87" i="6"/>
  <c r="BC87" i="6"/>
  <c r="BB87" i="6"/>
  <c r="BA87" i="6"/>
  <c r="AZ87" i="6"/>
  <c r="AY87" i="6"/>
  <c r="AX87" i="6"/>
  <c r="AW87" i="6"/>
  <c r="AV87" i="6"/>
  <c r="AU87" i="6"/>
  <c r="AQ87" i="6"/>
  <c r="AP87" i="6"/>
  <c r="AO87" i="6"/>
  <c r="AN87" i="6"/>
  <c r="AL87" i="6"/>
  <c r="AK87" i="6"/>
  <c r="AJ87" i="6"/>
  <c r="AI87" i="6"/>
  <c r="AG87" i="6"/>
  <c r="AF87" i="6"/>
  <c r="AE87" i="6"/>
  <c r="AD87" i="6"/>
  <c r="BE86" i="6"/>
  <c r="BD86" i="6"/>
  <c r="BC86" i="6"/>
  <c r="BB86" i="6"/>
  <c r="BA86" i="6"/>
  <c r="AZ86" i="6"/>
  <c r="AY86" i="6"/>
  <c r="AX86" i="6"/>
  <c r="AW86" i="6"/>
  <c r="AV86" i="6"/>
  <c r="AU86" i="6"/>
  <c r="AQ86" i="6"/>
  <c r="AP86" i="6"/>
  <c r="AO86" i="6"/>
  <c r="AN86" i="6"/>
  <c r="AL86" i="6"/>
  <c r="AK86" i="6"/>
  <c r="AJ86" i="6"/>
  <c r="AI86" i="6"/>
  <c r="AG86" i="6"/>
  <c r="AF86" i="6"/>
  <c r="AE86" i="6"/>
  <c r="AD86" i="6"/>
  <c r="AB86" i="6"/>
  <c r="BE85" i="6"/>
  <c r="BD85" i="6"/>
  <c r="BC85" i="6"/>
  <c r="BB85" i="6"/>
  <c r="BA85" i="6"/>
  <c r="AZ85" i="6"/>
  <c r="AY85" i="6"/>
  <c r="AX85" i="6"/>
  <c r="AW85" i="6"/>
  <c r="AV85" i="6"/>
  <c r="AU85" i="6"/>
  <c r="AQ85" i="6"/>
  <c r="AP85" i="6"/>
  <c r="AO85" i="6"/>
  <c r="AN85" i="6"/>
  <c r="AL85" i="6"/>
  <c r="AK85" i="6"/>
  <c r="AJ85" i="6"/>
  <c r="AI85" i="6"/>
  <c r="AG85" i="6"/>
  <c r="AF85" i="6"/>
  <c r="AE85" i="6"/>
  <c r="AD85" i="6"/>
  <c r="AB85" i="6"/>
  <c r="AA85" i="6"/>
  <c r="BE84" i="6"/>
  <c r="BD84" i="6"/>
  <c r="BC84" i="6"/>
  <c r="BB84" i="6"/>
  <c r="BA84" i="6"/>
  <c r="AZ84" i="6"/>
  <c r="AY84" i="6"/>
  <c r="AX84" i="6"/>
  <c r="AW84" i="6"/>
  <c r="AV84" i="6"/>
  <c r="AU84" i="6"/>
  <c r="AQ84" i="6"/>
  <c r="AP84" i="6"/>
  <c r="AO84" i="6"/>
  <c r="AN84" i="6"/>
  <c r="AL84" i="6"/>
  <c r="AK84" i="6"/>
  <c r="AJ84" i="6"/>
  <c r="AI84" i="6"/>
  <c r="AG84" i="6"/>
  <c r="AF84" i="6"/>
  <c r="AE84" i="6"/>
  <c r="AD84" i="6"/>
  <c r="AB84" i="6"/>
  <c r="AA84" i="6"/>
  <c r="Z84" i="6"/>
  <c r="BE83" i="6"/>
  <c r="BD83" i="6"/>
  <c r="BC83" i="6"/>
  <c r="BB83" i="6"/>
  <c r="BA83" i="6"/>
  <c r="AZ83" i="6"/>
  <c r="AY83" i="6"/>
  <c r="AX83" i="6"/>
  <c r="AW83" i="6"/>
  <c r="AV83" i="6"/>
  <c r="AU83" i="6"/>
  <c r="AQ83" i="6"/>
  <c r="AP83" i="6"/>
  <c r="AO83" i="6"/>
  <c r="AN83" i="6"/>
  <c r="AL83" i="6"/>
  <c r="AK83" i="6"/>
  <c r="AJ83" i="6"/>
  <c r="AI83" i="6"/>
  <c r="AG83" i="6"/>
  <c r="AF83" i="6"/>
  <c r="AE83" i="6"/>
  <c r="AD83" i="6"/>
  <c r="AB83" i="6"/>
  <c r="AA83" i="6"/>
  <c r="Z83" i="6"/>
  <c r="BE82" i="6"/>
  <c r="BD82" i="6"/>
  <c r="BC82" i="6"/>
  <c r="BB82" i="6"/>
  <c r="BA82" i="6"/>
  <c r="AZ82" i="6"/>
  <c r="AY82" i="6"/>
  <c r="AX82" i="6"/>
  <c r="AW82" i="6"/>
  <c r="AV82" i="6"/>
  <c r="AU82" i="6"/>
  <c r="AQ82" i="6"/>
  <c r="AP82" i="6"/>
  <c r="AO82" i="6"/>
  <c r="AN82" i="6"/>
  <c r="AL82" i="6"/>
  <c r="AK82" i="6"/>
  <c r="AJ82" i="6"/>
  <c r="AI82" i="6"/>
  <c r="AG82" i="6"/>
  <c r="AF82" i="6"/>
  <c r="AE82" i="6"/>
  <c r="AD82" i="6"/>
  <c r="AB82" i="6"/>
  <c r="AA82" i="6"/>
  <c r="Z82" i="6"/>
  <c r="X82" i="6"/>
  <c r="BE81" i="6"/>
  <c r="BD81" i="6"/>
  <c r="BC81" i="6"/>
  <c r="BB81" i="6"/>
  <c r="BA81" i="6"/>
  <c r="AZ81" i="6"/>
  <c r="AY81" i="6"/>
  <c r="AX81" i="6"/>
  <c r="AW81" i="6"/>
  <c r="AV81" i="6"/>
  <c r="AU81" i="6"/>
  <c r="AQ81" i="6"/>
  <c r="AP81" i="6"/>
  <c r="AO81" i="6"/>
  <c r="AN81" i="6"/>
  <c r="AL81" i="6"/>
  <c r="AK81" i="6"/>
  <c r="AJ81" i="6"/>
  <c r="AI81" i="6"/>
  <c r="AG81" i="6"/>
  <c r="AF81" i="6"/>
  <c r="AE81" i="6"/>
  <c r="AD81" i="6"/>
  <c r="AB81" i="6"/>
  <c r="AA81" i="6"/>
  <c r="Z81" i="6"/>
  <c r="X81" i="6"/>
  <c r="W81" i="6"/>
  <c r="BE80" i="6"/>
  <c r="BD80" i="6"/>
  <c r="BC80" i="6"/>
  <c r="BB80" i="6"/>
  <c r="BA80" i="6"/>
  <c r="AZ80" i="6"/>
  <c r="AY80" i="6"/>
  <c r="AX80" i="6"/>
  <c r="AW80" i="6"/>
  <c r="AV80" i="6"/>
  <c r="AU80" i="6"/>
  <c r="AQ80" i="6"/>
  <c r="AP80" i="6"/>
  <c r="AO80" i="6"/>
  <c r="AN80" i="6"/>
  <c r="AL80" i="6"/>
  <c r="AK80" i="6"/>
  <c r="AJ80" i="6"/>
  <c r="AI80" i="6"/>
  <c r="AG80" i="6"/>
  <c r="AF80" i="6"/>
  <c r="AE80" i="6"/>
  <c r="AD80" i="6"/>
  <c r="AB80" i="6"/>
  <c r="AA80" i="6"/>
  <c r="Z80" i="6"/>
  <c r="X80" i="6"/>
  <c r="W80" i="6"/>
  <c r="V80" i="6"/>
  <c r="BE79" i="6"/>
  <c r="BD79" i="6"/>
  <c r="BC79" i="6"/>
  <c r="BB79" i="6"/>
  <c r="BA79" i="6"/>
  <c r="AZ79" i="6"/>
  <c r="AY79" i="6"/>
  <c r="AX79" i="6"/>
  <c r="AW79" i="6"/>
  <c r="AV79" i="6"/>
  <c r="AU79" i="6"/>
  <c r="AQ79" i="6"/>
  <c r="AP79" i="6"/>
  <c r="AO79" i="6"/>
  <c r="AN79" i="6"/>
  <c r="AL79" i="6"/>
  <c r="AK79" i="6"/>
  <c r="AJ79" i="6"/>
  <c r="AI79" i="6"/>
  <c r="AG79" i="6"/>
  <c r="AF79" i="6"/>
  <c r="AE79" i="6"/>
  <c r="AD79" i="6"/>
  <c r="AB79" i="6"/>
  <c r="AA79" i="6"/>
  <c r="Z79" i="6"/>
  <c r="X79" i="6"/>
  <c r="W79" i="6"/>
  <c r="V79" i="6"/>
  <c r="BE78" i="6"/>
  <c r="BD78" i="6"/>
  <c r="BC78" i="6"/>
  <c r="BB78" i="6"/>
  <c r="BA78" i="6"/>
  <c r="AZ78" i="6"/>
  <c r="AY78" i="6"/>
  <c r="AX78" i="6"/>
  <c r="AW78" i="6"/>
  <c r="AV78" i="6"/>
  <c r="AU78" i="6"/>
  <c r="AQ78" i="6"/>
  <c r="AP78" i="6"/>
  <c r="AO78" i="6"/>
  <c r="AN78" i="6"/>
  <c r="AL78" i="6"/>
  <c r="AK78" i="6"/>
  <c r="AJ78" i="6"/>
  <c r="AI78" i="6"/>
  <c r="AG78" i="6"/>
  <c r="AF78" i="6"/>
  <c r="AE78" i="6"/>
  <c r="AD78" i="6"/>
  <c r="AB78" i="6"/>
  <c r="AA78" i="6"/>
  <c r="Z78" i="6"/>
  <c r="X78" i="6"/>
  <c r="W78" i="6"/>
  <c r="V78" i="6"/>
  <c r="T78" i="6"/>
  <c r="BE77" i="6"/>
  <c r="BD77" i="6"/>
  <c r="BC77" i="6"/>
  <c r="BB77" i="6"/>
  <c r="BA77" i="6"/>
  <c r="AZ77" i="6"/>
  <c r="AY77" i="6"/>
  <c r="AX77" i="6"/>
  <c r="AW77" i="6"/>
  <c r="AV77" i="6"/>
  <c r="AU77" i="6"/>
  <c r="AQ77" i="6"/>
  <c r="AP77" i="6"/>
  <c r="AO77" i="6"/>
  <c r="AN77" i="6"/>
  <c r="AL77" i="6"/>
  <c r="AK77" i="6"/>
  <c r="AJ77" i="6"/>
  <c r="AI77" i="6"/>
  <c r="AG77" i="6"/>
  <c r="AF77" i="6"/>
  <c r="AE77" i="6"/>
  <c r="AD77" i="6"/>
  <c r="AB77" i="6"/>
  <c r="AA77" i="6"/>
  <c r="Z77" i="6"/>
  <c r="X77" i="6"/>
  <c r="W77" i="6"/>
  <c r="V77" i="6"/>
  <c r="T77" i="6"/>
  <c r="S77" i="6"/>
  <c r="BE76" i="6"/>
  <c r="BD76" i="6"/>
  <c r="BC76" i="6"/>
  <c r="BB76" i="6"/>
  <c r="BA76" i="6"/>
  <c r="AZ76" i="6"/>
  <c r="AY76" i="6"/>
  <c r="AX76" i="6"/>
  <c r="AW76" i="6"/>
  <c r="AV76" i="6"/>
  <c r="AU76" i="6"/>
  <c r="AQ76" i="6"/>
  <c r="AP76" i="6"/>
  <c r="AO76" i="6"/>
  <c r="AN76" i="6"/>
  <c r="AL76" i="6"/>
  <c r="AK76" i="6"/>
  <c r="AJ76" i="6"/>
  <c r="AI76" i="6"/>
  <c r="AG76" i="6"/>
  <c r="AF76" i="6"/>
  <c r="AE76" i="6"/>
  <c r="AD76" i="6"/>
  <c r="AB76" i="6"/>
  <c r="AA76" i="6"/>
  <c r="Z76" i="6"/>
  <c r="X76" i="6"/>
  <c r="W76" i="6"/>
  <c r="V76" i="6"/>
  <c r="T76" i="6"/>
  <c r="S76" i="6"/>
  <c r="R76" i="6"/>
  <c r="BE75" i="6"/>
  <c r="BD75" i="6"/>
  <c r="BC75" i="6"/>
  <c r="BB75" i="6"/>
  <c r="BA75" i="6"/>
  <c r="AZ75" i="6"/>
  <c r="AY75" i="6"/>
  <c r="AX75" i="6"/>
  <c r="AW75" i="6"/>
  <c r="AV75" i="6"/>
  <c r="AU75" i="6"/>
  <c r="AQ75" i="6"/>
  <c r="AP75" i="6"/>
  <c r="AO75" i="6"/>
  <c r="AN75" i="6"/>
  <c r="AL75" i="6"/>
  <c r="AK75" i="6"/>
  <c r="AJ75" i="6"/>
  <c r="AI75" i="6"/>
  <c r="AG75" i="6"/>
  <c r="AF75" i="6"/>
  <c r="AE75" i="6"/>
  <c r="AD75" i="6"/>
  <c r="AB75" i="6"/>
  <c r="AA75" i="6"/>
  <c r="Z75" i="6"/>
  <c r="X75" i="6"/>
  <c r="W75" i="6"/>
  <c r="V75" i="6"/>
  <c r="T75" i="6"/>
  <c r="S75" i="6"/>
  <c r="R75" i="6"/>
  <c r="BE74" i="6"/>
  <c r="BD74" i="6"/>
  <c r="BC74" i="6"/>
  <c r="BB74" i="6"/>
  <c r="BA74" i="6"/>
  <c r="AZ74" i="6"/>
  <c r="AY74" i="6"/>
  <c r="AX74" i="6"/>
  <c r="AW74" i="6"/>
  <c r="AV74" i="6"/>
  <c r="AU74" i="6"/>
  <c r="AQ74" i="6"/>
  <c r="AP74" i="6"/>
  <c r="AO74" i="6"/>
  <c r="AN74" i="6"/>
  <c r="AL74" i="6"/>
  <c r="AK74" i="6"/>
  <c r="AJ74" i="6"/>
  <c r="AI74" i="6"/>
  <c r="AG74" i="6"/>
  <c r="AF74" i="6"/>
  <c r="AE74" i="6"/>
  <c r="AD74" i="6"/>
  <c r="AB74" i="6"/>
  <c r="AA74" i="6"/>
  <c r="Z74" i="6"/>
  <c r="X74" i="6"/>
  <c r="W74" i="6"/>
  <c r="V74" i="6"/>
  <c r="T74" i="6"/>
  <c r="S74" i="6"/>
  <c r="R74" i="6"/>
  <c r="P74" i="6"/>
  <c r="BE73" i="6"/>
  <c r="BD73" i="6"/>
  <c r="BC73" i="6"/>
  <c r="BB73" i="6"/>
  <c r="BA73" i="6"/>
  <c r="AZ73" i="6"/>
  <c r="AY73" i="6"/>
  <c r="AX73" i="6"/>
  <c r="AW73" i="6"/>
  <c r="AV73" i="6"/>
  <c r="AU73" i="6"/>
  <c r="AQ73" i="6"/>
  <c r="AP73" i="6"/>
  <c r="AO73" i="6"/>
  <c r="AN73" i="6"/>
  <c r="AL73" i="6"/>
  <c r="AK73" i="6"/>
  <c r="AJ73" i="6"/>
  <c r="AI73" i="6"/>
  <c r="AG73" i="6"/>
  <c r="AF73" i="6"/>
  <c r="AE73" i="6"/>
  <c r="AD73" i="6"/>
  <c r="AB73" i="6"/>
  <c r="AA73" i="6"/>
  <c r="Z73" i="6"/>
  <c r="X73" i="6"/>
  <c r="W73" i="6"/>
  <c r="V73" i="6"/>
  <c r="T73" i="6"/>
  <c r="S73" i="6"/>
  <c r="R73" i="6"/>
  <c r="P73" i="6"/>
  <c r="O73" i="6"/>
  <c r="BE72" i="6"/>
  <c r="BD72" i="6"/>
  <c r="BC72" i="6"/>
  <c r="BB72" i="6"/>
  <c r="BA72" i="6"/>
  <c r="AZ72" i="6"/>
  <c r="AY72" i="6"/>
  <c r="AX72" i="6"/>
  <c r="AW72" i="6"/>
  <c r="AV72" i="6"/>
  <c r="AU72" i="6"/>
  <c r="AQ72" i="6"/>
  <c r="AP72" i="6"/>
  <c r="AO72" i="6"/>
  <c r="AN72" i="6"/>
  <c r="AL72" i="6"/>
  <c r="AK72" i="6"/>
  <c r="AJ72" i="6"/>
  <c r="AI72" i="6"/>
  <c r="AG72" i="6"/>
  <c r="AF72" i="6"/>
  <c r="AE72" i="6"/>
  <c r="AD72" i="6"/>
  <c r="AB72" i="6"/>
  <c r="AA72" i="6"/>
  <c r="Z72" i="6"/>
  <c r="X72" i="6"/>
  <c r="W72" i="6"/>
  <c r="V72" i="6"/>
  <c r="T72" i="6"/>
  <c r="S72" i="6"/>
  <c r="R72" i="6"/>
  <c r="P72" i="6"/>
  <c r="O72" i="6"/>
  <c r="N72" i="6"/>
  <c r="BE71" i="6"/>
  <c r="BD71" i="6"/>
  <c r="BC71" i="6"/>
  <c r="BB71" i="6"/>
  <c r="BA71" i="6"/>
  <c r="AZ71" i="6"/>
  <c r="AY71" i="6"/>
  <c r="AX71" i="6"/>
  <c r="AW71" i="6"/>
  <c r="AV71" i="6"/>
  <c r="AU71" i="6"/>
  <c r="AQ71" i="6"/>
  <c r="AP71" i="6"/>
  <c r="AO71" i="6"/>
  <c r="AN71" i="6"/>
  <c r="AL71" i="6"/>
  <c r="AK71" i="6"/>
  <c r="AJ71" i="6"/>
  <c r="AI71" i="6"/>
  <c r="AG71" i="6"/>
  <c r="AF71" i="6"/>
  <c r="AE71" i="6"/>
  <c r="AD71" i="6"/>
  <c r="AB71" i="6"/>
  <c r="AA71" i="6"/>
  <c r="Z71" i="6"/>
  <c r="X71" i="6"/>
  <c r="W71" i="6"/>
  <c r="V71" i="6"/>
  <c r="T71" i="6"/>
  <c r="S71" i="6"/>
  <c r="R71" i="6"/>
  <c r="P71" i="6"/>
  <c r="O71" i="6"/>
  <c r="N71" i="6"/>
  <c r="BE70" i="6"/>
  <c r="BD70" i="6"/>
  <c r="BC70" i="6"/>
  <c r="BB70" i="6"/>
  <c r="BA70" i="6"/>
  <c r="AZ70" i="6"/>
  <c r="AY70" i="6"/>
  <c r="AX70" i="6"/>
  <c r="AW70" i="6"/>
  <c r="AV70" i="6"/>
  <c r="AU70" i="6"/>
  <c r="AQ70" i="6"/>
  <c r="AP70" i="6"/>
  <c r="AO70" i="6"/>
  <c r="AN70" i="6"/>
  <c r="AL70" i="6"/>
  <c r="AK70" i="6"/>
  <c r="AJ70" i="6"/>
  <c r="AI70" i="6"/>
  <c r="AG70" i="6"/>
  <c r="AF70" i="6"/>
  <c r="AE70" i="6"/>
  <c r="AD70" i="6"/>
  <c r="AB70" i="6"/>
  <c r="AA70" i="6"/>
  <c r="Z70" i="6"/>
  <c r="X70" i="6"/>
  <c r="W70" i="6"/>
  <c r="V70" i="6"/>
  <c r="T70" i="6"/>
  <c r="S70" i="6"/>
  <c r="R70" i="6"/>
  <c r="P70" i="6"/>
  <c r="O70" i="6"/>
  <c r="N70" i="6"/>
  <c r="L70" i="6"/>
  <c r="BE69" i="6"/>
  <c r="BD69" i="6"/>
  <c r="BC69" i="6"/>
  <c r="BB69" i="6"/>
  <c r="BA69" i="6"/>
  <c r="AZ69" i="6"/>
  <c r="AY69" i="6"/>
  <c r="AX69" i="6"/>
  <c r="AW69" i="6"/>
  <c r="AV69" i="6"/>
  <c r="AU69" i="6"/>
  <c r="AQ69" i="6"/>
  <c r="AP69" i="6"/>
  <c r="AO69" i="6"/>
  <c r="AN69" i="6"/>
  <c r="AL69" i="6"/>
  <c r="AK69" i="6"/>
  <c r="AJ69" i="6"/>
  <c r="AI69" i="6"/>
  <c r="AG69" i="6"/>
  <c r="AF69" i="6"/>
  <c r="AE69" i="6"/>
  <c r="AD69" i="6"/>
  <c r="AB69" i="6"/>
  <c r="AA69" i="6"/>
  <c r="Z69" i="6"/>
  <c r="X69" i="6"/>
  <c r="W69" i="6"/>
  <c r="V69" i="6"/>
  <c r="T69" i="6"/>
  <c r="S69" i="6"/>
  <c r="R69" i="6"/>
  <c r="P69" i="6"/>
  <c r="O69" i="6"/>
  <c r="N69" i="6"/>
  <c r="L69" i="6"/>
  <c r="K69" i="6"/>
  <c r="BE68" i="6"/>
  <c r="BD68" i="6"/>
  <c r="BC68" i="6"/>
  <c r="BB68" i="6"/>
  <c r="BA68" i="6"/>
  <c r="AZ68" i="6"/>
  <c r="AY68" i="6"/>
  <c r="AX68" i="6"/>
  <c r="AW68" i="6"/>
  <c r="AV68" i="6"/>
  <c r="AU68" i="6"/>
  <c r="AQ68" i="6"/>
  <c r="AP68" i="6"/>
  <c r="AO68" i="6"/>
  <c r="AN68" i="6"/>
  <c r="AL68" i="6"/>
  <c r="AK68" i="6"/>
  <c r="AJ68" i="6"/>
  <c r="AI68" i="6"/>
  <c r="AG68" i="6"/>
  <c r="AF68" i="6"/>
  <c r="AE68" i="6"/>
  <c r="AD68" i="6"/>
  <c r="AB68" i="6"/>
  <c r="AA68" i="6"/>
  <c r="Z68" i="6"/>
  <c r="X68" i="6"/>
  <c r="W68" i="6"/>
  <c r="V68" i="6"/>
  <c r="T68" i="6"/>
  <c r="S68" i="6"/>
  <c r="R68" i="6"/>
  <c r="P68" i="6"/>
  <c r="O68" i="6"/>
  <c r="N68" i="6"/>
  <c r="L68" i="6"/>
  <c r="K68" i="6"/>
  <c r="J68" i="6"/>
  <c r="BE67" i="6"/>
  <c r="BD67" i="6"/>
  <c r="BC67" i="6"/>
  <c r="BB67" i="6"/>
  <c r="BA67" i="6"/>
  <c r="AZ67" i="6"/>
  <c r="AY67" i="6"/>
  <c r="AX67" i="6"/>
  <c r="AW67" i="6"/>
  <c r="AV67" i="6"/>
  <c r="AU67" i="6"/>
  <c r="AQ67" i="6"/>
  <c r="AP67" i="6"/>
  <c r="AO67" i="6"/>
  <c r="AN67" i="6"/>
  <c r="AL67" i="6"/>
  <c r="AK67" i="6"/>
  <c r="AJ67" i="6"/>
  <c r="AI67" i="6"/>
  <c r="AG67" i="6"/>
  <c r="AF67" i="6"/>
  <c r="AE67" i="6"/>
  <c r="AD67" i="6"/>
  <c r="AB67" i="6"/>
  <c r="AA67" i="6"/>
  <c r="Z67" i="6"/>
  <c r="X67" i="6"/>
  <c r="W67" i="6"/>
  <c r="V67" i="6"/>
  <c r="T67" i="6"/>
  <c r="S67" i="6"/>
  <c r="R67" i="6"/>
  <c r="P67" i="6"/>
  <c r="O67" i="6"/>
  <c r="N67" i="6"/>
  <c r="L67" i="6"/>
  <c r="K67" i="6"/>
  <c r="J67" i="6"/>
  <c r="I67" i="6"/>
  <c r="BE66" i="6"/>
  <c r="BD66" i="6"/>
  <c r="BC66" i="6"/>
  <c r="BB66" i="6"/>
  <c r="BA66" i="6"/>
  <c r="AZ66" i="6"/>
  <c r="AY66" i="6"/>
  <c r="AX66" i="6"/>
  <c r="AW66" i="6"/>
  <c r="AV66" i="6"/>
  <c r="AU66" i="6"/>
  <c r="AQ66" i="6"/>
  <c r="AP66" i="6"/>
  <c r="AO66" i="6"/>
  <c r="AN66" i="6"/>
  <c r="AL66" i="6"/>
  <c r="AK66" i="6"/>
  <c r="AJ66" i="6"/>
  <c r="AI66" i="6"/>
  <c r="AG66" i="6"/>
  <c r="AF66" i="6"/>
  <c r="AE66" i="6"/>
  <c r="AD66" i="6"/>
  <c r="AB66" i="6"/>
  <c r="AA66" i="6"/>
  <c r="Z66" i="6"/>
  <c r="X66" i="6"/>
  <c r="W66" i="6"/>
  <c r="V66" i="6"/>
  <c r="T66" i="6"/>
  <c r="S66" i="6"/>
  <c r="R66" i="6"/>
  <c r="P66" i="6"/>
  <c r="O66" i="6"/>
  <c r="N66" i="6"/>
  <c r="L66" i="6"/>
  <c r="K66" i="6"/>
  <c r="J66" i="6"/>
  <c r="I66" i="6"/>
  <c r="H66" i="6"/>
  <c r="E66" i="6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D17" i="6"/>
  <c r="AG11" i="4" s="1"/>
  <c r="E10" i="6"/>
  <c r="E11" i="6" s="1"/>
  <c r="E12" i="6" s="1"/>
  <c r="E13" i="6" s="1"/>
  <c r="E14" i="6" s="1"/>
  <c r="E15" i="6" s="1"/>
  <c r="E16" i="6" s="1"/>
  <c r="B10" i="6"/>
  <c r="Z7" i="4" s="1"/>
  <c r="Y7" i="4" s="1"/>
  <c r="A10" i="6"/>
  <c r="H7" i="6"/>
  <c r="AA4" i="4" s="1"/>
  <c r="BY129" i="4"/>
  <c r="BY128" i="4"/>
  <c r="BY126" i="4"/>
  <c r="D126" i="4"/>
  <c r="D129" i="4" s="1"/>
  <c r="BY125" i="4"/>
  <c r="D125" i="4"/>
  <c r="D128" i="4" s="1"/>
  <c r="D124" i="4"/>
  <c r="D127" i="4" s="1"/>
  <c r="Z120" i="4"/>
  <c r="F25" i="12" s="1"/>
  <c r="G25" i="12" s="1"/>
  <c r="E115" i="4"/>
  <c r="CA111" i="4"/>
  <c r="CA109" i="4"/>
  <c r="AC107" i="4"/>
  <c r="AD107" i="4" s="1"/>
  <c r="AE107" i="4" s="1"/>
  <c r="AF107" i="4" s="1"/>
  <c r="AG107" i="4" s="1"/>
  <c r="AH107" i="4" s="1"/>
  <c r="AI107" i="4" s="1"/>
  <c r="AJ107" i="4" s="1"/>
  <c r="AK107" i="4" s="1"/>
  <c r="AL107" i="4" s="1"/>
  <c r="AM107" i="4" s="1"/>
  <c r="AN107" i="4" s="1"/>
  <c r="AO107" i="4" s="1"/>
  <c r="AP107" i="4" s="1"/>
  <c r="AQ107" i="4" s="1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AB107" i="4"/>
  <c r="Z107" i="4"/>
  <c r="V107" i="4"/>
  <c r="CA106" i="4"/>
  <c r="CA104" i="4"/>
  <c r="B104" i="4"/>
  <c r="BX101" i="4"/>
  <c r="BW101" i="4"/>
  <c r="BV101" i="4"/>
  <c r="BU101" i="4"/>
  <c r="BT101" i="4"/>
  <c r="BS101" i="4"/>
  <c r="BR101" i="4"/>
  <c r="BQ101" i="4"/>
  <c r="BP101" i="4"/>
  <c r="BO101" i="4"/>
  <c r="BN101" i="4"/>
  <c r="Y100" i="4"/>
  <c r="Y99" i="4"/>
  <c r="BX98" i="4"/>
  <c r="BW98" i="4"/>
  <c r="BV98" i="4"/>
  <c r="BV96" i="4" s="1"/>
  <c r="BU98" i="4"/>
  <c r="BT98" i="4"/>
  <c r="BS98" i="4"/>
  <c r="BR98" i="4"/>
  <c r="BR96" i="4" s="1"/>
  <c r="BQ98" i="4"/>
  <c r="BP98" i="4"/>
  <c r="BO98" i="4"/>
  <c r="BO96" i="4" s="1"/>
  <c r="BN98" i="4"/>
  <c r="BN96" i="4" s="1"/>
  <c r="BM98" i="4"/>
  <c r="BM96" i="4" s="1"/>
  <c r="BL98" i="4"/>
  <c r="BL96" i="4" s="1"/>
  <c r="BJ98" i="4"/>
  <c r="BJ96" i="4" s="1"/>
  <c r="BH98" i="4"/>
  <c r="BH96" i="4" s="1"/>
  <c r="BF98" i="4"/>
  <c r="BF96" i="4" s="1"/>
  <c r="BD98" i="4"/>
  <c r="BD96" i="4" s="1"/>
  <c r="BB98" i="4"/>
  <c r="BB96" i="4" s="1"/>
  <c r="AZ98" i="4"/>
  <c r="AZ96" i="4" s="1"/>
  <c r="AX98" i="4"/>
  <c r="AX96" i="4" s="1"/>
  <c r="AV98" i="4"/>
  <c r="AV96" i="4" s="1"/>
  <c r="AT98" i="4"/>
  <c r="AT96" i="4" s="1"/>
  <c r="AR98" i="4"/>
  <c r="AP98" i="4"/>
  <c r="AN98" i="4"/>
  <c r="AN96" i="4" s="1"/>
  <c r="AL98" i="4"/>
  <c r="AJ98" i="4"/>
  <c r="AH98" i="4"/>
  <c r="AH96" i="4" s="1"/>
  <c r="AF98" i="4"/>
  <c r="AD98" i="4"/>
  <c r="AB98" i="4"/>
  <c r="AB96" i="4" s="1"/>
  <c r="Z98" i="4"/>
  <c r="Y98" i="4"/>
  <c r="X98" i="4"/>
  <c r="BX96" i="4"/>
  <c r="BW96" i="4"/>
  <c r="BU96" i="4"/>
  <c r="BT96" i="4"/>
  <c r="BS96" i="4"/>
  <c r="BQ96" i="4"/>
  <c r="BP96" i="4"/>
  <c r="AR96" i="4"/>
  <c r="AP96" i="4"/>
  <c r="AL96" i="4"/>
  <c r="AJ96" i="4"/>
  <c r="AF96" i="4"/>
  <c r="AD96" i="4"/>
  <c r="Z96" i="4"/>
  <c r="Y96" i="4"/>
  <c r="V96" i="4"/>
  <c r="V93" i="4"/>
  <c r="F92" i="4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BY91" i="4"/>
  <c r="CA91" i="4" s="1"/>
  <c r="G88" i="4"/>
  <c r="F88" i="4"/>
  <c r="AA85" i="4"/>
  <c r="Z85" i="4"/>
  <c r="D85" i="4"/>
  <c r="AA84" i="4"/>
  <c r="Z84" i="4"/>
  <c r="C84" i="4"/>
  <c r="AA83" i="4"/>
  <c r="Z83" i="4"/>
  <c r="AA82" i="4"/>
  <c r="Z82" i="4"/>
  <c r="D82" i="4"/>
  <c r="C82" i="4"/>
  <c r="E63" i="6" s="1"/>
  <c r="BY80" i="4"/>
  <c r="E80" i="4"/>
  <c r="CA80" i="4" s="1"/>
  <c r="BY78" i="4"/>
  <c r="E78" i="4"/>
  <c r="CA78" i="4" s="1"/>
  <c r="E76" i="4"/>
  <c r="D76" i="4"/>
  <c r="D78" i="4" s="1"/>
  <c r="D80" i="4" s="1"/>
  <c r="BY74" i="4"/>
  <c r="E74" i="4"/>
  <c r="CA74" i="4" s="1"/>
  <c r="C74" i="4"/>
  <c r="BY72" i="4"/>
  <c r="E72" i="4"/>
  <c r="C72" i="4"/>
  <c r="E70" i="4"/>
  <c r="C70" i="4"/>
  <c r="B68" i="4"/>
  <c r="B67" i="4"/>
  <c r="BY66" i="4"/>
  <c r="E66" i="4"/>
  <c r="CA66" i="4" s="1"/>
  <c r="B66" i="4"/>
  <c r="B65" i="4"/>
  <c r="B64" i="4"/>
  <c r="B63" i="4"/>
  <c r="BY62" i="4"/>
  <c r="B62" i="4"/>
  <c r="B61" i="4"/>
  <c r="B60" i="4"/>
  <c r="AE59" i="4"/>
  <c r="AJ59" i="4" s="1"/>
  <c r="AO59" i="4" s="1"/>
  <c r="AU59" i="4" s="1"/>
  <c r="AZ59" i="4" s="1"/>
  <c r="BE59" i="4" s="1"/>
  <c r="B59" i="4"/>
  <c r="BE58" i="4"/>
  <c r="AS58" i="4"/>
  <c r="AG58" i="4"/>
  <c r="B58" i="4"/>
  <c r="I57" i="4"/>
  <c r="B57" i="4"/>
  <c r="B56" i="4"/>
  <c r="B55" i="4"/>
  <c r="B54" i="4"/>
  <c r="B53" i="4"/>
  <c r="B52" i="4"/>
  <c r="B51" i="4"/>
  <c r="C50" i="4"/>
  <c r="C49" i="4"/>
  <c r="C48" i="4"/>
  <c r="C47" i="4"/>
  <c r="Z46" i="4"/>
  <c r="AA46" i="4" s="1"/>
  <c r="C46" i="4"/>
  <c r="C45" i="4"/>
  <c r="C44" i="4"/>
  <c r="B43" i="4"/>
  <c r="B42" i="4"/>
  <c r="B41" i="4"/>
  <c r="AE40" i="4"/>
  <c r="X40" i="4"/>
  <c r="V40" i="4"/>
  <c r="K40" i="4"/>
  <c r="B40" i="4"/>
  <c r="U39" i="4"/>
  <c r="K39" i="4"/>
  <c r="B39" i="4"/>
  <c r="B38" i="4"/>
  <c r="B37" i="4"/>
  <c r="B36" i="4"/>
  <c r="B35" i="4"/>
  <c r="H34" i="4"/>
  <c r="H31" i="4" s="1"/>
  <c r="H33" i="4" s="1"/>
  <c r="B34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J33" i="4"/>
  <c r="G33" i="4"/>
  <c r="F33" i="4"/>
  <c r="BL30" i="4"/>
  <c r="BY30" i="4" s="1"/>
  <c r="CA30" i="4" s="1"/>
  <c r="BL29" i="4"/>
  <c r="BY29" i="4" s="1"/>
  <c r="CA29" i="4" s="1"/>
  <c r="BL28" i="4"/>
  <c r="BY28" i="4" s="1"/>
  <c r="CA28" i="4" s="1"/>
  <c r="BY27" i="4"/>
  <c r="CA27" i="4" s="1"/>
  <c r="BY26" i="4"/>
  <c r="CA26" i="4" s="1"/>
  <c r="BY25" i="4"/>
  <c r="CA25" i="4" s="1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E22" i="4"/>
  <c r="BX19" i="4"/>
  <c r="BW19" i="4"/>
  <c r="BV19" i="4"/>
  <c r="BU19" i="4"/>
  <c r="BT19" i="4"/>
  <c r="BS19" i="4"/>
  <c r="BR19" i="4"/>
  <c r="BQ19" i="4"/>
  <c r="BP19" i="4"/>
  <c r="BO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G19" i="4"/>
  <c r="AF19" i="4"/>
  <c r="AE19" i="4"/>
  <c r="AD19" i="4"/>
  <c r="AC19" i="4"/>
  <c r="AB19" i="4"/>
  <c r="AA19" i="4"/>
  <c r="Z19" i="4"/>
  <c r="B16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B12" i="4"/>
  <c r="BX11" i="4"/>
  <c r="BW11" i="4"/>
  <c r="BV11" i="4"/>
  <c r="BU11" i="4"/>
  <c r="BT11" i="4"/>
  <c r="BS11" i="4"/>
  <c r="BR11" i="4"/>
  <c r="BQ11" i="4"/>
  <c r="BP11" i="4"/>
  <c r="BO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F11" i="4"/>
  <c r="AE11" i="4"/>
  <c r="AD11" i="4"/>
  <c r="AC11" i="4"/>
  <c r="AB11" i="4"/>
  <c r="AA11" i="4"/>
  <c r="Z11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Z4" i="4"/>
  <c r="G70" i="3"/>
  <c r="AR69" i="3"/>
  <c r="AT69" i="3" s="1"/>
  <c r="AL68" i="3"/>
  <c r="C80" i="4" s="1"/>
  <c r="AJ68" i="3"/>
  <c r="C78" i="4" s="1"/>
  <c r="AH68" i="3"/>
  <c r="C76" i="4" s="1"/>
  <c r="I67" i="3"/>
  <c r="E66" i="3"/>
  <c r="AR65" i="3"/>
  <c r="G63" i="3"/>
  <c r="G62" i="3"/>
  <c r="G61" i="3"/>
  <c r="I60" i="3"/>
  <c r="G60" i="3"/>
  <c r="AU59" i="3"/>
  <c r="CB66" i="4" s="1"/>
  <c r="AT59" i="3"/>
  <c r="G59" i="3"/>
  <c r="E59" i="3"/>
  <c r="Q58" i="3"/>
  <c r="AS7" i="3" s="1"/>
  <c r="E9" i="4" s="1"/>
  <c r="AR57" i="3"/>
  <c r="AR55" i="3"/>
  <c r="AS55" i="3" s="1"/>
  <c r="G55" i="3"/>
  <c r="G54" i="3"/>
  <c r="I53" i="3"/>
  <c r="I54" i="3" s="1"/>
  <c r="I55" i="3" s="1"/>
  <c r="G53" i="3"/>
  <c r="G52" i="3"/>
  <c r="E52" i="3"/>
  <c r="AR50" i="3"/>
  <c r="E59" i="4" s="1"/>
  <c r="Z49" i="3"/>
  <c r="R15" i="2" s="1"/>
  <c r="R17" i="2" s="1"/>
  <c r="R19" i="2" s="1"/>
  <c r="R21" i="2" s="1"/>
  <c r="Z48" i="3"/>
  <c r="AD67" i="3" s="1"/>
  <c r="AL47" i="3"/>
  <c r="J46" i="3"/>
  <c r="H46" i="3"/>
  <c r="AR45" i="3"/>
  <c r="X44" i="3"/>
  <c r="AR44" i="3" s="1"/>
  <c r="AU44" i="3" s="1"/>
  <c r="CB54" i="4" s="1"/>
  <c r="N44" i="3"/>
  <c r="N46" i="3" s="1"/>
  <c r="L44" i="3"/>
  <c r="M44" i="3" s="1"/>
  <c r="M46" i="3" s="1"/>
  <c r="K44" i="3"/>
  <c r="K46" i="3" s="1"/>
  <c r="I44" i="3"/>
  <c r="I46" i="3" s="1"/>
  <c r="J43" i="3"/>
  <c r="K43" i="3" s="1"/>
  <c r="H43" i="3"/>
  <c r="I43" i="3" s="1"/>
  <c r="G43" i="3"/>
  <c r="AR42" i="3"/>
  <c r="AU42" i="3" s="1"/>
  <c r="CB52" i="4" s="1"/>
  <c r="L41" i="3"/>
  <c r="M41" i="3" s="1"/>
  <c r="K41" i="3"/>
  <c r="I41" i="3"/>
  <c r="L40" i="3"/>
  <c r="K40" i="3"/>
  <c r="I40" i="3"/>
  <c r="H38" i="3"/>
  <c r="J35" i="3" s="1"/>
  <c r="G38" i="3"/>
  <c r="Z36" i="3" s="1"/>
  <c r="X36" i="3" s="1"/>
  <c r="AR36" i="3" s="1"/>
  <c r="I36" i="3"/>
  <c r="I35" i="3"/>
  <c r="X34" i="3"/>
  <c r="AR34" i="3" s="1"/>
  <c r="I34" i="3"/>
  <c r="AR33" i="3"/>
  <c r="AS33" i="3" s="1"/>
  <c r="AT33" i="3" s="1"/>
  <c r="I33" i="3"/>
  <c r="X32" i="3"/>
  <c r="I32" i="3"/>
  <c r="H31" i="3"/>
  <c r="J25" i="3" s="1"/>
  <c r="G31" i="3"/>
  <c r="I28" i="3"/>
  <c r="I27" i="3"/>
  <c r="I26" i="3"/>
  <c r="I25" i="3"/>
  <c r="AF24" i="3"/>
  <c r="AF23" i="3"/>
  <c r="L21" i="3"/>
  <c r="M21" i="3" s="1"/>
  <c r="M20" i="3"/>
  <c r="K20" i="3"/>
  <c r="I20" i="3"/>
  <c r="O19" i="3"/>
  <c r="M19" i="3"/>
  <c r="AR17" i="3"/>
  <c r="E34" i="4" s="1"/>
  <c r="H14" i="3"/>
  <c r="C15" i="8" s="1"/>
  <c r="AB21" i="3" s="1"/>
  <c r="I13" i="3"/>
  <c r="I12" i="3"/>
  <c r="AA16" i="3" s="1"/>
  <c r="AA17" i="3" s="1"/>
  <c r="AD17" i="3" s="1"/>
  <c r="P9" i="3"/>
  <c r="Q21" i="2"/>
  <c r="O21" i="2"/>
  <c r="P19" i="2"/>
  <c r="D19" i="2"/>
  <c r="P17" i="2"/>
  <c r="P15" i="2"/>
  <c r="D15" i="2"/>
  <c r="B6" i="2"/>
  <c r="B5" i="2"/>
  <c r="B2" i="2"/>
  <c r="F6" i="7" l="1"/>
  <c r="G6" i="7" s="1"/>
  <c r="H17" i="13"/>
  <c r="G89" i="4"/>
  <c r="AH19" i="4"/>
  <c r="E30" i="8"/>
  <c r="F89" i="4"/>
  <c r="F4" i="7"/>
  <c r="G4" i="7" s="1"/>
  <c r="K7" i="13"/>
  <c r="H7" i="13" s="1"/>
  <c r="Q15" i="3"/>
  <c r="CA72" i="4"/>
  <c r="E130" i="6"/>
  <c r="D132" i="6"/>
  <c r="AI19" i="4"/>
  <c r="E131" i="6"/>
  <c r="E132" i="6" s="1"/>
  <c r="E17" i="6"/>
  <c r="AS42" i="3"/>
  <c r="AT42" i="3" s="1"/>
  <c r="BC61" i="6"/>
  <c r="BV8" i="4" s="1"/>
  <c r="N40" i="3"/>
  <c r="P40" i="3" s="1"/>
  <c r="N41" i="3"/>
  <c r="P41" i="3" s="1"/>
  <c r="C34" i="8"/>
  <c r="C35" i="8" s="1"/>
  <c r="C41" i="8" s="1"/>
  <c r="AU69" i="3"/>
  <c r="G65" i="3"/>
  <c r="AT65" i="3"/>
  <c r="E107" i="4" s="1"/>
  <c r="AU65" i="3"/>
  <c r="CB107" i="4" s="1"/>
  <c r="I37" i="8"/>
  <c r="I39" i="8" s="1"/>
  <c r="I40" i="8" s="1"/>
  <c r="AU50" i="3"/>
  <c r="CB59" i="4" s="1"/>
  <c r="N25" i="3"/>
  <c r="O25" i="3" s="1"/>
  <c r="J27" i="3"/>
  <c r="M40" i="3"/>
  <c r="BD61" i="6"/>
  <c r="BW8" i="4" s="1"/>
  <c r="I31" i="3"/>
  <c r="G58" i="3"/>
  <c r="X10" i="3" s="1"/>
  <c r="AR10" i="3" s="1"/>
  <c r="AS10" i="3" s="1"/>
  <c r="AU10" i="3" s="1"/>
  <c r="CB24" i="4" s="1"/>
  <c r="D12" i="9"/>
  <c r="D23" i="9" s="1"/>
  <c r="AA7" i="4"/>
  <c r="AB7" i="4" s="1"/>
  <c r="AB86" i="4" s="1"/>
  <c r="J26" i="3"/>
  <c r="L46" i="3"/>
  <c r="G47" i="3"/>
  <c r="N26" i="3"/>
  <c r="O26" i="3" s="1"/>
  <c r="N28" i="3"/>
  <c r="O28" i="3" s="1"/>
  <c r="AZ61" i="6"/>
  <c r="BS8" i="4" s="1"/>
  <c r="S17" i="2"/>
  <c r="T17" i="2" s="1"/>
  <c r="BY15" i="4"/>
  <c r="E15" i="4" s="1"/>
  <c r="CA15" i="4" s="1"/>
  <c r="BY23" i="4"/>
  <c r="E23" i="4" s="1"/>
  <c r="CA23" i="4" s="1"/>
  <c r="AS34" i="3"/>
  <c r="E46" i="4" s="1"/>
  <c r="S21" i="2"/>
  <c r="T21" i="2" s="1"/>
  <c r="K25" i="3"/>
  <c r="L25" i="3"/>
  <c r="AS36" i="3"/>
  <c r="AU36" i="3" s="1"/>
  <c r="CB48" i="4" s="1"/>
  <c r="L35" i="3"/>
  <c r="K35" i="3"/>
  <c r="BM59" i="4"/>
  <c r="BN59" i="4" s="1"/>
  <c r="BY59" i="4" s="1"/>
  <c r="CA59" i="4" s="1"/>
  <c r="F105" i="4"/>
  <c r="F90" i="4"/>
  <c r="G90" i="4" s="1"/>
  <c r="H47" i="3"/>
  <c r="AR32" i="3"/>
  <c r="AT50" i="3"/>
  <c r="J32" i="3"/>
  <c r="E45" i="4"/>
  <c r="N35" i="3"/>
  <c r="O35" i="3" s="1"/>
  <c r="J36" i="3"/>
  <c r="Z62" i="3"/>
  <c r="X62" i="3" s="1"/>
  <c r="N34" i="3"/>
  <c r="O34" i="3" s="1"/>
  <c r="S19" i="2"/>
  <c r="T19" i="2" s="1"/>
  <c r="I34" i="4"/>
  <c r="U34" i="4" s="1"/>
  <c r="BN34" i="4" s="1"/>
  <c r="J33" i="3"/>
  <c r="AU33" i="3"/>
  <c r="CB45" i="4" s="1"/>
  <c r="L43" i="3"/>
  <c r="M43" i="3" s="1"/>
  <c r="O44" i="3"/>
  <c r="O46" i="3" s="1"/>
  <c r="I38" i="3"/>
  <c r="C17" i="8"/>
  <c r="S15" i="2"/>
  <c r="T15" i="2" s="1"/>
  <c r="I14" i="3"/>
  <c r="AT17" i="3"/>
  <c r="N27" i="3"/>
  <c r="O27" i="3" s="1"/>
  <c r="J28" i="3"/>
  <c r="N32" i="3"/>
  <c r="P44" i="3"/>
  <c r="AU17" i="3"/>
  <c r="CB34" i="4" s="1"/>
  <c r="N36" i="3"/>
  <c r="O36" i="3" s="1"/>
  <c r="Y86" i="4"/>
  <c r="X7" i="4"/>
  <c r="B4" i="7"/>
  <c r="B3" i="2" s="1"/>
  <c r="G12" i="2" s="1"/>
  <c r="A65" i="6"/>
  <c r="D83" i="4"/>
  <c r="J34" i="3"/>
  <c r="E64" i="4"/>
  <c r="AU57" i="3"/>
  <c r="CB64" i="4" s="1"/>
  <c r="AT57" i="3"/>
  <c r="AS45" i="3"/>
  <c r="AU45" i="3" s="1"/>
  <c r="CB55" i="4" s="1"/>
  <c r="N33" i="3"/>
  <c r="O33" i="3" s="1"/>
  <c r="AS44" i="3"/>
  <c r="AT44" i="3" s="1"/>
  <c r="B5" i="7"/>
  <c r="B4" i="2" s="1"/>
  <c r="K12" i="2" s="1"/>
  <c r="A121" i="6"/>
  <c r="D84" i="4"/>
  <c r="I61" i="3"/>
  <c r="D13" i="12"/>
  <c r="E62" i="4"/>
  <c r="CA62" i="4" s="1"/>
  <c r="D16" i="12"/>
  <c r="AT55" i="3"/>
  <c r="AU55" i="3"/>
  <c r="CB62" i="4" s="1"/>
  <c r="G8" i="6"/>
  <c r="Y92" i="4"/>
  <c r="Z92" i="4" s="1"/>
  <c r="AA92" i="4" s="1"/>
  <c r="AB92" i="4" s="1"/>
  <c r="AC92" i="4" s="1"/>
  <c r="AD92" i="4" s="1"/>
  <c r="AE92" i="4" s="1"/>
  <c r="AF92" i="4" s="1"/>
  <c r="AG92" i="4" s="1"/>
  <c r="AH92" i="4" s="1"/>
  <c r="AI92" i="4" s="1"/>
  <c r="AJ92" i="4" s="1"/>
  <c r="AK92" i="4" s="1"/>
  <c r="AL92" i="4" s="1"/>
  <c r="AM92" i="4" s="1"/>
  <c r="AN92" i="4" s="1"/>
  <c r="AO92" i="4" s="1"/>
  <c r="AP92" i="4" s="1"/>
  <c r="AQ92" i="4" s="1"/>
  <c r="AR92" i="4" s="1"/>
  <c r="AS92" i="4" s="1"/>
  <c r="AT92" i="4" s="1"/>
  <c r="AU92" i="4" s="1"/>
  <c r="AV92" i="4" s="1"/>
  <c r="AW92" i="4" s="1"/>
  <c r="AX92" i="4" s="1"/>
  <c r="AY92" i="4" s="1"/>
  <c r="AZ92" i="4" s="1"/>
  <c r="BA92" i="4" s="1"/>
  <c r="BB92" i="4" s="1"/>
  <c r="BC92" i="4" s="1"/>
  <c r="BD92" i="4" s="1"/>
  <c r="BE92" i="4" s="1"/>
  <c r="BF92" i="4" s="1"/>
  <c r="BG92" i="4" s="1"/>
  <c r="BH92" i="4" s="1"/>
  <c r="BI92" i="4" s="1"/>
  <c r="BJ92" i="4" s="1"/>
  <c r="BK92" i="4" s="1"/>
  <c r="BL92" i="4" s="1"/>
  <c r="BM92" i="4" s="1"/>
  <c r="BN92" i="4" s="1"/>
  <c r="BO92" i="4" s="1"/>
  <c r="BP92" i="4" s="1"/>
  <c r="BQ92" i="4" s="1"/>
  <c r="BR92" i="4" s="1"/>
  <c r="BS92" i="4" s="1"/>
  <c r="BT92" i="4" s="1"/>
  <c r="BU92" i="4" s="1"/>
  <c r="BV92" i="4" s="1"/>
  <c r="BW92" i="4" s="1"/>
  <c r="BX92" i="4" s="1"/>
  <c r="X92" i="4"/>
  <c r="E175" i="6"/>
  <c r="C85" i="4"/>
  <c r="E230" i="6" s="1"/>
  <c r="U70" i="4"/>
  <c r="AB46" i="4"/>
  <c r="AC46" i="4" s="1"/>
  <c r="AD46" i="4" s="1"/>
  <c r="C83" i="4"/>
  <c r="E119" i="6" s="1"/>
  <c r="W107" i="4"/>
  <c r="X107" i="4" s="1"/>
  <c r="Y107" i="4" s="1"/>
  <c r="Z103" i="4"/>
  <c r="B66" i="6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A61" i="6"/>
  <c r="BB61" i="6"/>
  <c r="BE61" i="6"/>
  <c r="I7" i="6"/>
  <c r="BB117" i="6"/>
  <c r="BC117" i="6"/>
  <c r="BD117" i="6"/>
  <c r="D18" i="6"/>
  <c r="BA117" i="6"/>
  <c r="BE117" i="6"/>
  <c r="S177" i="6"/>
  <c r="G177" i="6"/>
  <c r="M177" i="6"/>
  <c r="C178" i="6"/>
  <c r="F6" i="8"/>
  <c r="E31" i="8"/>
  <c r="E14" i="8"/>
  <c r="G10" i="13"/>
  <c r="H10" i="13" s="1"/>
  <c r="H13" i="8"/>
  <c r="F13" i="8"/>
  <c r="I13" i="8" s="1"/>
  <c r="Q13" i="8"/>
  <c r="P14" i="8"/>
  <c r="E15" i="8" s="1"/>
  <c r="E21" i="9"/>
  <c r="G15" i="13"/>
  <c r="H15" i="13" s="1"/>
  <c r="I41" i="8"/>
  <c r="G4" i="8"/>
  <c r="G29" i="8"/>
  <c r="D14" i="8"/>
  <c r="E7" i="12"/>
  <c r="H37" i="8"/>
  <c r="H39" i="8" s="1"/>
  <c r="H40" i="8" s="1"/>
  <c r="H41" i="8" s="1"/>
  <c r="F7" i="12"/>
  <c r="K9" i="13"/>
  <c r="H9" i="13" s="1"/>
  <c r="D19" i="8"/>
  <c r="D31" i="8"/>
  <c r="D14" i="7"/>
  <c r="O14" i="8"/>
  <c r="D15" i="8" s="1"/>
  <c r="G13" i="13"/>
  <c r="C21" i="8"/>
  <c r="G16" i="13"/>
  <c r="H16" i="13" s="1"/>
  <c r="F5" i="7"/>
  <c r="G5" i="7" s="1"/>
  <c r="K6" i="13"/>
  <c r="G9" i="13"/>
  <c r="O40" i="3" l="1"/>
  <c r="H30" i="8"/>
  <c r="F30" i="8"/>
  <c r="I30" i="8" s="1"/>
  <c r="E52" i="4"/>
  <c r="BY107" i="4"/>
  <c r="F23" i="12"/>
  <c r="G23" i="12" s="1"/>
  <c r="K36" i="4"/>
  <c r="CA107" i="4"/>
  <c r="G21" i="13"/>
  <c r="Y177" i="6"/>
  <c r="D133" i="6"/>
  <c r="AJ19" i="4"/>
  <c r="AH11" i="4"/>
  <c r="AI48" i="4" s="1"/>
  <c r="D19" i="6"/>
  <c r="Q41" i="3"/>
  <c r="H68" i="3" s="1"/>
  <c r="Q40" i="3"/>
  <c r="P43" i="3"/>
  <c r="Q43" i="3" s="1"/>
  <c r="AC7" i="4"/>
  <c r="AD7" i="4" s="1"/>
  <c r="X81" i="4"/>
  <c r="J31" i="3"/>
  <c r="K31" i="3" s="1"/>
  <c r="I8" i="6"/>
  <c r="N43" i="3"/>
  <c r="O43" i="3" s="1"/>
  <c r="X77" i="4"/>
  <c r="Z35" i="3"/>
  <c r="X35" i="3" s="1"/>
  <c r="AR35" i="3" s="1"/>
  <c r="O41" i="3"/>
  <c r="AA86" i="4"/>
  <c r="H8" i="6"/>
  <c r="AU34" i="3"/>
  <c r="CB46" i="4" s="1"/>
  <c r="AT36" i="3"/>
  <c r="L27" i="3"/>
  <c r="K27" i="3"/>
  <c r="E48" i="4"/>
  <c r="BD48" i="4" s="1"/>
  <c r="K26" i="3"/>
  <c r="L26" i="3"/>
  <c r="AT45" i="3"/>
  <c r="AT10" i="3"/>
  <c r="E24" i="4" s="1"/>
  <c r="AG24" i="4" s="1"/>
  <c r="G71" i="3"/>
  <c r="H42" i="8"/>
  <c r="H43" i="8" s="1"/>
  <c r="H8" i="8" s="1"/>
  <c r="E17" i="8"/>
  <c r="E18" i="8" s="1"/>
  <c r="D17" i="8"/>
  <c r="D18" i="8" s="1"/>
  <c r="D20" i="8" s="1"/>
  <c r="I42" i="8"/>
  <c r="I43" i="8" s="1"/>
  <c r="I8" i="8" s="1"/>
  <c r="AE177" i="6"/>
  <c r="BU12" i="4"/>
  <c r="F14" i="12"/>
  <c r="D14" i="12"/>
  <c r="G14" i="12" s="1"/>
  <c r="C22" i="8"/>
  <c r="C23" i="8" s="1"/>
  <c r="R20" i="7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X49" i="3"/>
  <c r="BT12" i="4"/>
  <c r="L33" i="3"/>
  <c r="K33" i="3"/>
  <c r="Z45" i="4"/>
  <c r="Y45" i="4"/>
  <c r="X45" i="4"/>
  <c r="AT34" i="3"/>
  <c r="BT8" i="4"/>
  <c r="L32" i="3"/>
  <c r="K32" i="3"/>
  <c r="J38" i="3"/>
  <c r="K38" i="3" s="1"/>
  <c r="F110" i="4"/>
  <c r="F106" i="4"/>
  <c r="F14" i="7"/>
  <c r="AE46" i="4"/>
  <c r="E55" i="4"/>
  <c r="BA48" i="4"/>
  <c r="G7" i="12"/>
  <c r="F17" i="12"/>
  <c r="D17" i="12"/>
  <c r="AR62" i="3"/>
  <c r="P25" i="3"/>
  <c r="M25" i="3"/>
  <c r="I62" i="3"/>
  <c r="L36" i="3"/>
  <c r="K36" i="3"/>
  <c r="E14" i="7"/>
  <c r="G6" i="8"/>
  <c r="F31" i="8"/>
  <c r="F14" i="8"/>
  <c r="BV12" i="4"/>
  <c r="BI64" i="4"/>
  <c r="BY64" i="4" s="1"/>
  <c r="CA64" i="4" s="1"/>
  <c r="X86" i="4"/>
  <c r="W7" i="4"/>
  <c r="X103" i="4" s="1"/>
  <c r="P46" i="3"/>
  <c r="Q44" i="3"/>
  <c r="Q46" i="3" s="1"/>
  <c r="P35" i="3"/>
  <c r="M35" i="3"/>
  <c r="N31" i="3"/>
  <c r="BW12" i="4"/>
  <c r="K21" i="13"/>
  <c r="H6" i="13"/>
  <c r="H21" i="13" s="1"/>
  <c r="R13" i="8"/>
  <c r="R14" i="8" s="1"/>
  <c r="G15" i="8" s="1"/>
  <c r="G17" i="8" s="1"/>
  <c r="G22" i="8" s="1"/>
  <c r="Q14" i="8"/>
  <c r="F15" i="8" s="1"/>
  <c r="BX12" i="4"/>
  <c r="B122" i="6"/>
  <c r="B67" i="6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D10" i="12"/>
  <c r="K88" i="4"/>
  <c r="K31" i="4"/>
  <c r="K33" i="4" s="1"/>
  <c r="E18" i="6"/>
  <c r="E19" i="6" s="1"/>
  <c r="AS35" i="3"/>
  <c r="E47" i="4" s="1"/>
  <c r="Y103" i="4"/>
  <c r="O32" i="3"/>
  <c r="N38" i="3"/>
  <c r="O38" i="3" s="1"/>
  <c r="BX8" i="4"/>
  <c r="G228" i="6"/>
  <c r="J7" i="6"/>
  <c r="AB4" i="4"/>
  <c r="BY34" i="4"/>
  <c r="F20" i="12"/>
  <c r="G20" i="12" s="1"/>
  <c r="BY70" i="4"/>
  <c r="CA70" i="4" s="1"/>
  <c r="X79" i="4"/>
  <c r="E54" i="4"/>
  <c r="K34" i="3"/>
  <c r="L34" i="3"/>
  <c r="L28" i="3"/>
  <c r="K28" i="3"/>
  <c r="AS32" i="3"/>
  <c r="E44" i="4" s="1"/>
  <c r="BU8" i="4"/>
  <c r="C42" i="8"/>
  <c r="C43" i="8" s="1"/>
  <c r="C179" i="6"/>
  <c r="F178" i="6"/>
  <c r="BN52" i="4"/>
  <c r="BY52" i="4" s="1"/>
  <c r="CA52" i="4" s="1"/>
  <c r="I47" i="3"/>
  <c r="K68" i="3"/>
  <c r="AA48" i="4" l="1"/>
  <c r="AY48" i="4"/>
  <c r="AH24" i="4"/>
  <c r="D134" i="6"/>
  <c r="AK19" i="4"/>
  <c r="E133" i="6"/>
  <c r="AK177" i="6"/>
  <c r="AT177" i="6" s="1"/>
  <c r="D20" i="6"/>
  <c r="AI11" i="4"/>
  <c r="AJ48" i="4" s="1"/>
  <c r="AU48" i="4"/>
  <c r="AD48" i="4"/>
  <c r="H67" i="3"/>
  <c r="AV48" i="4"/>
  <c r="AO24" i="4"/>
  <c r="BH48" i="4"/>
  <c r="J8" i="6"/>
  <c r="AF24" i="4"/>
  <c r="BL24" i="4"/>
  <c r="C6" i="7"/>
  <c r="D5" i="2" s="1"/>
  <c r="M21" i="2" s="1"/>
  <c r="Z24" i="4"/>
  <c r="AA24" i="4"/>
  <c r="AB24" i="4"/>
  <c r="AC24" i="4"/>
  <c r="AD24" i="4"/>
  <c r="BM24" i="4"/>
  <c r="BK24" i="4"/>
  <c r="AE24" i="4"/>
  <c r="BG48" i="4"/>
  <c r="BF48" i="4"/>
  <c r="AX48" i="4"/>
  <c r="AC48" i="4"/>
  <c r="BC48" i="4"/>
  <c r="AZ48" i="4"/>
  <c r="AG48" i="4"/>
  <c r="BJ48" i="4"/>
  <c r="BE48" i="4"/>
  <c r="AW48" i="4"/>
  <c r="AB48" i="4"/>
  <c r="BB48" i="4"/>
  <c r="AH48" i="4"/>
  <c r="BI48" i="4"/>
  <c r="AE48" i="4"/>
  <c r="AF48" i="4"/>
  <c r="L31" i="3"/>
  <c r="M31" i="3" s="1"/>
  <c r="K89" i="4"/>
  <c r="BN45" i="4"/>
  <c r="P26" i="3"/>
  <c r="M26" i="3"/>
  <c r="AT35" i="3"/>
  <c r="AU35" i="3"/>
  <c r="CB47" i="4" s="1"/>
  <c r="M27" i="3"/>
  <c r="P27" i="3"/>
  <c r="BJ47" i="4"/>
  <c r="AX47" i="4"/>
  <c r="BI47" i="4"/>
  <c r="AW47" i="4"/>
  <c r="BH47" i="4"/>
  <c r="AV47" i="4"/>
  <c r="BG47" i="4"/>
  <c r="AU47" i="4"/>
  <c r="AI47" i="4"/>
  <c r="BF47" i="4"/>
  <c r="AH47" i="4"/>
  <c r="BE47" i="4"/>
  <c r="AG47" i="4"/>
  <c r="BD47" i="4"/>
  <c r="AF47" i="4"/>
  <c r="BC47" i="4"/>
  <c r="AE47" i="4"/>
  <c r="BB47" i="4"/>
  <c r="AD47" i="4"/>
  <c r="AZ47" i="4"/>
  <c r="AB47" i="4"/>
  <c r="AC47" i="4"/>
  <c r="AA47" i="4"/>
  <c r="BA47" i="4"/>
  <c r="AY47" i="4"/>
  <c r="C8" i="8"/>
  <c r="C7" i="8"/>
  <c r="X44" i="4"/>
  <c r="AJ44" i="4"/>
  <c r="Q35" i="3"/>
  <c r="G18" i="8"/>
  <c r="AF46" i="4"/>
  <c r="AG46" i="4" s="1"/>
  <c r="D21" i="8"/>
  <c r="G19" i="8"/>
  <c r="E19" i="8"/>
  <c r="E20" i="8" s="1"/>
  <c r="I63" i="3"/>
  <c r="M33" i="3"/>
  <c r="P33" i="3"/>
  <c r="P34" i="3"/>
  <c r="M34" i="3"/>
  <c r="H70" i="3"/>
  <c r="AA9" i="3"/>
  <c r="F17" i="8"/>
  <c r="F18" i="8" s="1"/>
  <c r="H6" i="8"/>
  <c r="G31" i="8"/>
  <c r="G14" i="8"/>
  <c r="H52" i="3"/>
  <c r="F25" i="3"/>
  <c r="F52" i="3" s="1"/>
  <c r="G14" i="7"/>
  <c r="AD68" i="3"/>
  <c r="J47" i="3"/>
  <c r="K47" i="3" s="1"/>
  <c r="V7" i="4"/>
  <c r="Y73" i="4"/>
  <c r="BY73" i="4" s="1"/>
  <c r="E73" i="4" s="1"/>
  <c r="CA73" i="4" s="1"/>
  <c r="C4" i="9"/>
  <c r="E4" i="9" s="1"/>
  <c r="Q25" i="3"/>
  <c r="AR49" i="3"/>
  <c r="AS49" i="3" s="1"/>
  <c r="AE49" i="3"/>
  <c r="P68" i="3"/>
  <c r="M68" i="3" s="1"/>
  <c r="Y54" i="4"/>
  <c r="BN54" i="4" s="1"/>
  <c r="Z20" i="4"/>
  <c r="M28" i="3"/>
  <c r="P28" i="3"/>
  <c r="F111" i="4"/>
  <c r="AY55" i="4"/>
  <c r="M178" i="6"/>
  <c r="H178" i="6"/>
  <c r="S178" i="6"/>
  <c r="AU32" i="3"/>
  <c r="CB44" i="4" s="1"/>
  <c r="BY45" i="4"/>
  <c r="CA45" i="4" s="1"/>
  <c r="AS177" i="6"/>
  <c r="AR177" i="6"/>
  <c r="AS62" i="3"/>
  <c r="E68" i="4" s="1"/>
  <c r="K8" i="6"/>
  <c r="AD86" i="4"/>
  <c r="AE7" i="4"/>
  <c r="AA81" i="4"/>
  <c r="AA79" i="4"/>
  <c r="C180" i="6"/>
  <c r="F179" i="6"/>
  <c r="CA34" i="4"/>
  <c r="D11" i="12"/>
  <c r="F11" i="12"/>
  <c r="AT32" i="3"/>
  <c r="L38" i="3"/>
  <c r="P32" i="3"/>
  <c r="M32" i="3"/>
  <c r="P36" i="3"/>
  <c r="M36" i="3"/>
  <c r="K7" i="6"/>
  <c r="AC4" i="4"/>
  <c r="B177" i="6"/>
  <c r="B123" i="6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O31" i="3"/>
  <c r="N47" i="3"/>
  <c r="G17" i="12"/>
  <c r="I21" i="2" l="1"/>
  <c r="X58" i="3"/>
  <c r="AR58" i="3" s="1"/>
  <c r="AJ47" i="4"/>
  <c r="AI24" i="4"/>
  <c r="E134" i="6"/>
  <c r="D135" i="6"/>
  <c r="AL19" i="4"/>
  <c r="Y178" i="6"/>
  <c r="D21" i="6"/>
  <c r="AJ11" i="4"/>
  <c r="E20" i="6"/>
  <c r="BF177" i="6"/>
  <c r="BG177" i="6" s="1"/>
  <c r="K21" i="2"/>
  <c r="G21" i="2"/>
  <c r="K67" i="3"/>
  <c r="AB21" i="2"/>
  <c r="H19" i="3"/>
  <c r="P31" i="3"/>
  <c r="Q31" i="3" s="1"/>
  <c r="BN44" i="4"/>
  <c r="BY44" i="4" s="1"/>
  <c r="CA44" i="4" s="1"/>
  <c r="C6" i="9"/>
  <c r="E6" i="9" s="1"/>
  <c r="Q27" i="3"/>
  <c r="F27" i="3"/>
  <c r="F54" i="3" s="1"/>
  <c r="H54" i="3"/>
  <c r="G11" i="12"/>
  <c r="H53" i="3"/>
  <c r="F26" i="3"/>
  <c r="F53" i="3" s="1"/>
  <c r="AU62" i="3"/>
  <c r="CB68" i="4" s="1"/>
  <c r="C5" i="9"/>
  <c r="E5" i="9" s="1"/>
  <c r="Q26" i="3"/>
  <c r="BM68" i="4"/>
  <c r="BL68" i="4"/>
  <c r="BK68" i="4"/>
  <c r="AH46" i="4"/>
  <c r="C9" i="8"/>
  <c r="C10" i="8" s="1"/>
  <c r="V86" i="4"/>
  <c r="V88" i="4" s="1"/>
  <c r="V89" i="4" s="1"/>
  <c r="U7" i="4"/>
  <c r="V103" i="4" s="1"/>
  <c r="S179" i="6"/>
  <c r="M179" i="6"/>
  <c r="I179" i="6"/>
  <c r="Q68" i="3"/>
  <c r="W103" i="4"/>
  <c r="AT62" i="3"/>
  <c r="B178" i="6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C181" i="6"/>
  <c r="F180" i="6"/>
  <c r="K52" i="3"/>
  <c r="J52" i="3"/>
  <c r="M52" i="3" s="1"/>
  <c r="E21" i="8"/>
  <c r="H19" i="8"/>
  <c r="H20" i="8" s="1"/>
  <c r="H21" i="8" s="1"/>
  <c r="H23" i="8" s="1"/>
  <c r="H7" i="8" s="1"/>
  <c r="H9" i="8" s="1"/>
  <c r="H10" i="8" s="1"/>
  <c r="F19" i="8"/>
  <c r="F20" i="8" s="1"/>
  <c r="H62" i="3"/>
  <c r="F35" i="3"/>
  <c r="F62" i="3" s="1"/>
  <c r="Q36" i="3"/>
  <c r="Q32" i="3"/>
  <c r="P38" i="3"/>
  <c r="Q34" i="3"/>
  <c r="G20" i="8"/>
  <c r="G21" i="8" s="1"/>
  <c r="G23" i="8" s="1"/>
  <c r="G7" i="8" s="1"/>
  <c r="L7" i="6"/>
  <c r="AD4" i="4"/>
  <c r="M38" i="3"/>
  <c r="J19" i="3"/>
  <c r="AE178" i="6"/>
  <c r="AU49" i="3"/>
  <c r="CB58" i="4" s="1"/>
  <c r="AT49" i="3"/>
  <c r="E58" i="4" s="1"/>
  <c r="Q33" i="3"/>
  <c r="D22" i="8"/>
  <c r="D23" i="8" s="1"/>
  <c r="H58" i="3"/>
  <c r="AA7" i="3"/>
  <c r="H31" i="8"/>
  <c r="H14" i="8"/>
  <c r="I6" i="8"/>
  <c r="C7" i="9"/>
  <c r="E7" i="9" s="1"/>
  <c r="Q28" i="3"/>
  <c r="Z21" i="4"/>
  <c r="Z22" i="4" s="1"/>
  <c r="F18" i="12"/>
  <c r="G18" i="12" s="1"/>
  <c r="L47" i="3"/>
  <c r="M47" i="3" s="1"/>
  <c r="BE55" i="4"/>
  <c r="BN55" i="4" s="1"/>
  <c r="BY55" i="4" s="1"/>
  <c r="CA55" i="4" s="1"/>
  <c r="H55" i="3"/>
  <c r="F28" i="3"/>
  <c r="F55" i="3" s="1"/>
  <c r="H21" i="3"/>
  <c r="I21" i="3" s="1"/>
  <c r="I19" i="3"/>
  <c r="BY54" i="4"/>
  <c r="CA54" i="4" s="1"/>
  <c r="O47" i="3"/>
  <c r="N20" i="3"/>
  <c r="H228" i="6"/>
  <c r="L8" i="6"/>
  <c r="B243" i="6" s="1"/>
  <c r="AE86" i="4"/>
  <c r="AF7" i="4"/>
  <c r="AA68" i="3"/>
  <c r="X43" i="3"/>
  <c r="E65" i="4" l="1"/>
  <c r="AT58" i="3"/>
  <c r="AU58" i="3"/>
  <c r="CB65" i="4" s="1"/>
  <c r="E135" i="6"/>
  <c r="D136" i="6"/>
  <c r="AM19" i="4"/>
  <c r="E136" i="6"/>
  <c r="AK178" i="6"/>
  <c r="AS178" i="6" s="1"/>
  <c r="E21" i="6"/>
  <c r="AK48" i="4"/>
  <c r="AK47" i="4"/>
  <c r="AJ24" i="4"/>
  <c r="D22" i="6"/>
  <c r="AK11" i="4"/>
  <c r="P67" i="3"/>
  <c r="K70" i="3"/>
  <c r="P47" i="3"/>
  <c r="N12" i="3" s="1"/>
  <c r="O12" i="3" s="1"/>
  <c r="BY68" i="4"/>
  <c r="CA68" i="4" s="1"/>
  <c r="O48" i="3"/>
  <c r="K53" i="3"/>
  <c r="J53" i="3"/>
  <c r="M53" i="3" s="1"/>
  <c r="P53" i="3" s="1"/>
  <c r="K54" i="3"/>
  <c r="J54" i="3"/>
  <c r="M54" i="3" s="1"/>
  <c r="P54" i="3" s="1"/>
  <c r="P52" i="3"/>
  <c r="H230" i="6"/>
  <c r="I231" i="6" s="1"/>
  <c r="J21" i="3"/>
  <c r="K21" i="3" s="1"/>
  <c r="K19" i="3"/>
  <c r="N21" i="3"/>
  <c r="O21" i="3" s="1"/>
  <c r="P20" i="3"/>
  <c r="Q20" i="3" s="1"/>
  <c r="O20" i="3"/>
  <c r="J55" i="3"/>
  <c r="M55" i="3" s="1"/>
  <c r="K55" i="3"/>
  <c r="BI38" i="4"/>
  <c r="I228" i="6"/>
  <c r="V105" i="4"/>
  <c r="AI46" i="4"/>
  <c r="H61" i="3"/>
  <c r="F34" i="3"/>
  <c r="F61" i="3" s="1"/>
  <c r="M7" i="6"/>
  <c r="AE4" i="4"/>
  <c r="M180" i="6"/>
  <c r="J180" i="6"/>
  <c r="S180" i="6"/>
  <c r="F32" i="3"/>
  <c r="F59" i="3" s="1"/>
  <c r="H59" i="3"/>
  <c r="P19" i="3"/>
  <c r="Y179" i="6"/>
  <c r="AE179" i="6" s="1"/>
  <c r="AK179" i="6" s="1"/>
  <c r="E12" i="9"/>
  <c r="J230" i="6"/>
  <c r="K231" i="6" s="1"/>
  <c r="AD85" i="4" s="1"/>
  <c r="F33" i="3"/>
  <c r="F60" i="3" s="1"/>
  <c r="H60" i="3"/>
  <c r="J62" i="3"/>
  <c r="K62" i="3"/>
  <c r="I31" i="8"/>
  <c r="I14" i="8"/>
  <c r="C182" i="6"/>
  <c r="F181" i="6"/>
  <c r="AB19" i="3"/>
  <c r="AR18" i="3"/>
  <c r="E22" i="9"/>
  <c r="Q38" i="3"/>
  <c r="N13" i="3"/>
  <c r="O13" i="3" s="1"/>
  <c r="AR43" i="3"/>
  <c r="AW65" i="4"/>
  <c r="Y65" i="4"/>
  <c r="U58" i="4"/>
  <c r="F21" i="8"/>
  <c r="I19" i="8"/>
  <c r="I20" i="8" s="1"/>
  <c r="I230" i="6"/>
  <c r="J231" i="6" s="1"/>
  <c r="AC85" i="4" s="1"/>
  <c r="M8" i="6"/>
  <c r="AG7" i="4"/>
  <c r="D7" i="8"/>
  <c r="AA20" i="4"/>
  <c r="H63" i="3"/>
  <c r="F36" i="3"/>
  <c r="F63" i="3" s="1"/>
  <c r="E22" i="8"/>
  <c r="E23" i="8" s="1"/>
  <c r="E7" i="8" s="1"/>
  <c r="U86" i="4"/>
  <c r="T7" i="4"/>
  <c r="U103" i="4" s="1"/>
  <c r="U77" i="4"/>
  <c r="U81" i="4"/>
  <c r="U79" i="4"/>
  <c r="Q23" i="3" l="1"/>
  <c r="Q47" i="3"/>
  <c r="AR178" i="6"/>
  <c r="E24" i="9"/>
  <c r="AT178" i="6"/>
  <c r="BF178" i="6" s="1"/>
  <c r="BG178" i="6" s="1"/>
  <c r="D137" i="6"/>
  <c r="AN19" i="4"/>
  <c r="AK24" i="4"/>
  <c r="BY24" i="4" s="1"/>
  <c r="CA24" i="4" s="1"/>
  <c r="AL47" i="4"/>
  <c r="AL48" i="4"/>
  <c r="D23" i="6"/>
  <c r="AL11" i="4"/>
  <c r="E22" i="6"/>
  <c r="M67" i="3"/>
  <c r="P70" i="3"/>
  <c r="K58" i="3"/>
  <c r="M58" i="3"/>
  <c r="I58" i="3" s="1"/>
  <c r="AH7" i="3" s="1"/>
  <c r="AA8" i="3"/>
  <c r="H65" i="3"/>
  <c r="F21" i="12"/>
  <c r="G21" i="12" s="1"/>
  <c r="N8" i="6"/>
  <c r="AG86" i="4"/>
  <c r="AH7" i="4"/>
  <c r="AD79" i="4"/>
  <c r="AD81" i="4"/>
  <c r="E35" i="4"/>
  <c r="AU18" i="3"/>
  <c r="CB35" i="4" s="1"/>
  <c r="AT18" i="3"/>
  <c r="Y38" i="4"/>
  <c r="G22" i="9"/>
  <c r="E23" i="9"/>
  <c r="E25" i="9" s="1"/>
  <c r="BN58" i="4"/>
  <c r="BY58" i="4" s="1"/>
  <c r="CA58" i="4" s="1"/>
  <c r="AB20" i="4"/>
  <c r="X19" i="3"/>
  <c r="AB20" i="3"/>
  <c r="X20" i="3" s="1"/>
  <c r="AR20" i="3" s="1"/>
  <c r="N7" i="6"/>
  <c r="AF4" i="4"/>
  <c r="J63" i="3"/>
  <c r="K63" i="3"/>
  <c r="AB85" i="4"/>
  <c r="BJ65" i="4"/>
  <c r="BY65" i="4" s="1"/>
  <c r="CA65" i="4" s="1"/>
  <c r="C183" i="6"/>
  <c r="F182" i="6"/>
  <c r="J60" i="3"/>
  <c r="K60" i="3"/>
  <c r="E53" i="4"/>
  <c r="AT43" i="3"/>
  <c r="AU43" i="3"/>
  <c r="CB53" i="4" s="1"/>
  <c r="S181" i="6"/>
  <c r="M181" i="6"/>
  <c r="K181" i="6"/>
  <c r="L230" i="6" s="1"/>
  <c r="M231" i="6" s="1"/>
  <c r="J228" i="6"/>
  <c r="K230" i="6"/>
  <c r="L231" i="6" s="1"/>
  <c r="AE85" i="4" s="1"/>
  <c r="S7" i="4"/>
  <c r="T103" i="4" s="1"/>
  <c r="AA21" i="4"/>
  <c r="AA22" i="4" s="1"/>
  <c r="I21" i="8"/>
  <c r="I23" i="8" s="1"/>
  <c r="I7" i="8" s="1"/>
  <c r="I9" i="8" s="1"/>
  <c r="I10" i="8" s="1"/>
  <c r="B20" i="8"/>
  <c r="J61" i="3"/>
  <c r="K61" i="3"/>
  <c r="P55" i="3"/>
  <c r="P58" i="3" s="1"/>
  <c r="F22" i="8"/>
  <c r="B22" i="8" s="1"/>
  <c r="O68" i="3"/>
  <c r="O61" i="3"/>
  <c r="O63" i="3"/>
  <c r="O60" i="3"/>
  <c r="O67" i="3"/>
  <c r="O59" i="3"/>
  <c r="O62" i="3"/>
  <c r="AT179" i="6"/>
  <c r="AS179" i="6"/>
  <c r="AR179" i="6"/>
  <c r="AJ46" i="4"/>
  <c r="AA55" i="3"/>
  <c r="Q19" i="3"/>
  <c r="P21" i="3"/>
  <c r="I16" i="3"/>
  <c r="AA43" i="3"/>
  <c r="Y180" i="6"/>
  <c r="N14" i="3"/>
  <c r="O14" i="3" s="1"/>
  <c r="F32" i="8" s="1"/>
  <c r="AK38" i="4"/>
  <c r="M62" i="3"/>
  <c r="J59" i="3"/>
  <c r="K59" i="3"/>
  <c r="O54" i="3"/>
  <c r="O53" i="3"/>
  <c r="O52" i="3"/>
  <c r="O55" i="3"/>
  <c r="E23" i="6" l="1"/>
  <c r="AO19" i="4"/>
  <c r="D162" i="6"/>
  <c r="E137" i="6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AM47" i="4"/>
  <c r="AM48" i="4"/>
  <c r="D24" i="6"/>
  <c r="E24" i="6" s="1"/>
  <c r="AM11" i="4"/>
  <c r="X9" i="3"/>
  <c r="I70" i="3"/>
  <c r="AH9" i="3" s="1"/>
  <c r="Q67" i="3"/>
  <c r="Q70" i="3" s="1"/>
  <c r="AS9" i="3" s="1"/>
  <c r="E17" i="4" s="1"/>
  <c r="M70" i="3"/>
  <c r="J58" i="3"/>
  <c r="F23" i="8"/>
  <c r="F7" i="8" s="1"/>
  <c r="B7" i="8" s="1"/>
  <c r="AF85" i="4"/>
  <c r="F37" i="8"/>
  <c r="F39" i="8" s="1"/>
  <c r="F40" i="8" s="1"/>
  <c r="F34" i="8"/>
  <c r="F35" i="8" s="1"/>
  <c r="O58" i="3"/>
  <c r="B21" i="8"/>
  <c r="H71" i="3"/>
  <c r="Q48" i="3"/>
  <c r="P48" i="3" s="1"/>
  <c r="Q21" i="3"/>
  <c r="AA23" i="3" s="1"/>
  <c r="X23" i="3" s="1"/>
  <c r="E32" i="8"/>
  <c r="Y181" i="6"/>
  <c r="AE181" i="6" s="1"/>
  <c r="AK181" i="6" s="1"/>
  <c r="F12" i="12"/>
  <c r="G12" i="12" s="1"/>
  <c r="AZ53" i="4"/>
  <c r="BK53" i="4" s="1"/>
  <c r="AE180" i="6"/>
  <c r="M60" i="3"/>
  <c r="AU20" i="3"/>
  <c r="CB37" i="4" s="1"/>
  <c r="AS20" i="3"/>
  <c r="D32" i="8"/>
  <c r="G32" i="8"/>
  <c r="S86" i="4"/>
  <c r="S88" i="4" s="1"/>
  <c r="S89" i="4" s="1"/>
  <c r="R7" i="4"/>
  <c r="X7" i="3"/>
  <c r="AR19" i="3"/>
  <c r="U35" i="4"/>
  <c r="AW38" i="4"/>
  <c r="M63" i="3"/>
  <c r="M59" i="3"/>
  <c r="K65" i="3"/>
  <c r="K71" i="3" s="1"/>
  <c r="L60" i="3" s="1"/>
  <c r="O65" i="3"/>
  <c r="AB21" i="4"/>
  <c r="AB22" i="4" s="1"/>
  <c r="BF179" i="6"/>
  <c r="BG179" i="6" s="1"/>
  <c r="Q62" i="3"/>
  <c r="P62" i="3" s="1"/>
  <c r="O70" i="3"/>
  <c r="AC20" i="4"/>
  <c r="M182" i="6"/>
  <c r="L182" i="6"/>
  <c r="M230" i="6" s="1"/>
  <c r="N231" i="6" s="1"/>
  <c r="S182" i="6"/>
  <c r="AK46" i="4"/>
  <c r="C184" i="6"/>
  <c r="F183" i="6"/>
  <c r="F17" i="9"/>
  <c r="G17" i="9" s="1"/>
  <c r="F13" i="9"/>
  <c r="G13" i="9" s="1"/>
  <c r="F9" i="9"/>
  <c r="G9" i="9" s="1"/>
  <c r="F6" i="9"/>
  <c r="G6" i="9" s="1"/>
  <c r="F4" i="9"/>
  <c r="G4" i="9" s="1"/>
  <c r="F20" i="9"/>
  <c r="G20" i="9" s="1"/>
  <c r="F16" i="9"/>
  <c r="G16" i="9" s="1"/>
  <c r="F8" i="9"/>
  <c r="G8" i="9" s="1"/>
  <c r="F19" i="9"/>
  <c r="G19" i="9" s="1"/>
  <c r="F15" i="9"/>
  <c r="G15" i="9" s="1"/>
  <c r="F11" i="9"/>
  <c r="G11" i="9" s="1"/>
  <c r="F7" i="9"/>
  <c r="G7" i="9" s="1"/>
  <c r="F5" i="9"/>
  <c r="G5" i="9" s="1"/>
  <c r="F18" i="9"/>
  <c r="G18" i="9" s="1"/>
  <c r="F14" i="9"/>
  <c r="G14" i="9" s="1"/>
  <c r="F10" i="9"/>
  <c r="G10" i="9" s="1"/>
  <c r="O7" i="6"/>
  <c r="AG4" i="4"/>
  <c r="K228" i="6"/>
  <c r="M61" i="3"/>
  <c r="O8" i="6"/>
  <c r="AH86" i="4"/>
  <c r="AI7" i="4"/>
  <c r="BN19" i="4" l="1"/>
  <c r="BY19" i="4" s="1"/>
  <c r="E19" i="4" s="1"/>
  <c r="CA19" i="4" s="1"/>
  <c r="D174" i="6"/>
  <c r="D25" i="6"/>
  <c r="AN11" i="4"/>
  <c r="AN48" i="4"/>
  <c r="AN47" i="4"/>
  <c r="B23" i="8"/>
  <c r="AB37" i="3"/>
  <c r="X37" i="3" s="1"/>
  <c r="AR37" i="3" s="1"/>
  <c r="AS37" i="3" s="1"/>
  <c r="E49" i="4" s="1"/>
  <c r="AX49" i="4" s="1"/>
  <c r="AR9" i="3"/>
  <c r="L61" i="3"/>
  <c r="L63" i="3"/>
  <c r="AG85" i="4"/>
  <c r="AR181" i="6"/>
  <c r="BJ49" i="4"/>
  <c r="BI49" i="4"/>
  <c r="AK49" i="4"/>
  <c r="AV49" i="4"/>
  <c r="AJ49" i="4"/>
  <c r="AU49" i="4"/>
  <c r="AI49" i="4"/>
  <c r="AT49" i="4"/>
  <c r="AH49" i="4"/>
  <c r="AN49" i="4"/>
  <c r="AB49" i="4"/>
  <c r="BA49" i="4"/>
  <c r="AY49" i="4"/>
  <c r="AO49" i="4"/>
  <c r="AM49" i="4"/>
  <c r="AC49" i="4"/>
  <c r="AA49" i="4"/>
  <c r="AR7" i="3"/>
  <c r="AT20" i="3"/>
  <c r="O71" i="3"/>
  <c r="O72" i="3" s="1"/>
  <c r="R86" i="4"/>
  <c r="R88" i="4" s="1"/>
  <c r="R89" i="4" s="1"/>
  <c r="Q7" i="4"/>
  <c r="E37" i="4"/>
  <c r="C185" i="6"/>
  <c r="F184" i="6"/>
  <c r="Q59" i="3"/>
  <c r="P59" i="3" s="1"/>
  <c r="M65" i="3"/>
  <c r="L228" i="6"/>
  <c r="S103" i="4"/>
  <c r="S105" i="4" s="1"/>
  <c r="AT181" i="6"/>
  <c r="AS181" i="6"/>
  <c r="F41" i="8"/>
  <c r="G12" i="9"/>
  <c r="Y182" i="6"/>
  <c r="AE182" i="6" s="1"/>
  <c r="AU37" i="3"/>
  <c r="CB49" i="4" s="1"/>
  <c r="E37" i="8"/>
  <c r="E39" i="8" s="1"/>
  <c r="E40" i="8" s="1"/>
  <c r="E34" i="8"/>
  <c r="E35" i="8" s="1"/>
  <c r="F8" i="12"/>
  <c r="AA22" i="3"/>
  <c r="AA26" i="3"/>
  <c r="X26" i="3" s="1"/>
  <c r="AA41" i="3"/>
  <c r="AA24" i="3"/>
  <c r="X24" i="3" s="1"/>
  <c r="Q63" i="3"/>
  <c r="P63" i="3" s="1"/>
  <c r="Q61" i="3"/>
  <c r="P61" i="3" s="1"/>
  <c r="BN35" i="4"/>
  <c r="P7" i="6"/>
  <c r="AH4" i="4"/>
  <c r="Q60" i="3"/>
  <c r="P60" i="3" s="1"/>
  <c r="G21" i="9"/>
  <c r="AC21" i="4"/>
  <c r="AK180" i="6"/>
  <c r="P8" i="6"/>
  <c r="AJ7" i="4"/>
  <c r="AL46" i="4"/>
  <c r="AM46" i="4" s="1"/>
  <c r="L67" i="3"/>
  <c r="L68" i="3"/>
  <c r="L54" i="3"/>
  <c r="L53" i="3"/>
  <c r="L52" i="3"/>
  <c r="L62" i="3"/>
  <c r="L55" i="3"/>
  <c r="G34" i="8"/>
  <c r="G35" i="8" s="1"/>
  <c r="G37" i="8"/>
  <c r="G39" i="8" s="1"/>
  <c r="G40" i="8" s="1"/>
  <c r="AD20" i="4"/>
  <c r="M183" i="6"/>
  <c r="S183" i="6"/>
  <c r="L59" i="3"/>
  <c r="E36" i="4"/>
  <c r="AU19" i="3"/>
  <c r="CB36" i="4" s="1"/>
  <c r="AT19" i="3"/>
  <c r="D37" i="8"/>
  <c r="D39" i="8" s="1"/>
  <c r="D40" i="8" s="1"/>
  <c r="D34" i="8"/>
  <c r="D35" i="8" s="1"/>
  <c r="BN53" i="4"/>
  <c r="BY53" i="4" s="1"/>
  <c r="CA53" i="4" s="1"/>
  <c r="AZ49" i="4" l="1"/>
  <c r="BC49" i="4"/>
  <c r="AE49" i="4"/>
  <c r="BD49" i="4"/>
  <c r="AQ49" i="4"/>
  <c r="AT37" i="3"/>
  <c r="AS49" i="4"/>
  <c r="AD49" i="4"/>
  <c r="AP49" i="4"/>
  <c r="BB49" i="4"/>
  <c r="AR49" i="4"/>
  <c r="BE49" i="4"/>
  <c r="AO48" i="4"/>
  <c r="AO47" i="4"/>
  <c r="D26" i="6"/>
  <c r="AO11" i="4"/>
  <c r="BF181" i="6"/>
  <c r="BG181" i="6" s="1"/>
  <c r="E25" i="6"/>
  <c r="E26" i="6" s="1"/>
  <c r="BH49" i="4"/>
  <c r="AL49" i="4"/>
  <c r="AF49" i="4"/>
  <c r="BF49" i="4"/>
  <c r="AW49" i="4"/>
  <c r="AT9" i="3"/>
  <c r="E16" i="4" s="1"/>
  <c r="AU9" i="3"/>
  <c r="CB16" i="4" s="1"/>
  <c r="AG49" i="4"/>
  <c r="BG49" i="4"/>
  <c r="D41" i="8"/>
  <c r="D42" i="8" s="1"/>
  <c r="D43" i="8" s="1"/>
  <c r="G23" i="9"/>
  <c r="F28" i="9" s="1"/>
  <c r="E49" i="3" s="1"/>
  <c r="L70" i="3"/>
  <c r="P7" i="4"/>
  <c r="Q103" i="4" s="1"/>
  <c r="M228" i="6"/>
  <c r="G41" i="8"/>
  <c r="AA25" i="3"/>
  <c r="AA27" i="3"/>
  <c r="F42" i="8"/>
  <c r="F43" i="8" s="1"/>
  <c r="F8" i="8" s="1"/>
  <c r="F185" i="6"/>
  <c r="C186" i="6"/>
  <c r="AR180" i="6"/>
  <c r="AT180" i="6"/>
  <c r="Y37" i="4"/>
  <c r="BY35" i="4"/>
  <c r="R103" i="4"/>
  <c r="R105" i="4" s="1"/>
  <c r="Y183" i="6"/>
  <c r="AE183" i="6" s="1"/>
  <c r="AC22" i="4"/>
  <c r="Q7" i="6"/>
  <c r="AI4" i="4"/>
  <c r="AK182" i="6"/>
  <c r="AS182" i="6" s="1"/>
  <c r="AE20" i="4"/>
  <c r="N230" i="6"/>
  <c r="O231" i="6" s="1"/>
  <c r="U36" i="4"/>
  <c r="BN36" i="4" s="1"/>
  <c r="E41" i="8"/>
  <c r="L65" i="3"/>
  <c r="G8" i="12"/>
  <c r="AD21" i="4"/>
  <c r="AD22" i="4" s="1"/>
  <c r="J65" i="3"/>
  <c r="I65" i="3"/>
  <c r="AH8" i="3" s="1"/>
  <c r="M71" i="3"/>
  <c r="AN46" i="4"/>
  <c r="AO46" i="4" s="1"/>
  <c r="AP46" i="4" s="1"/>
  <c r="P65" i="3"/>
  <c r="L58" i="3"/>
  <c r="Q8" i="6"/>
  <c r="AJ86" i="4"/>
  <c r="AK7" i="4"/>
  <c r="AG81" i="4"/>
  <c r="AG79" i="4"/>
  <c r="AS180" i="6"/>
  <c r="Q65" i="3"/>
  <c r="S184" i="6"/>
  <c r="N184" i="6"/>
  <c r="O230" i="6" s="1"/>
  <c r="P231" i="6" s="1"/>
  <c r="AI85" i="4" s="1"/>
  <c r="AU7" i="3"/>
  <c r="CB8" i="4" s="1"/>
  <c r="AT7" i="3"/>
  <c r="E8" i="4" s="1"/>
  <c r="Y184" i="6" l="1"/>
  <c r="BF180" i="6"/>
  <c r="BG180" i="6" s="1"/>
  <c r="AP48" i="4"/>
  <c r="AP47" i="4"/>
  <c r="AP11" i="4"/>
  <c r="BN49" i="4"/>
  <c r="BY49" i="4" s="1"/>
  <c r="CA49" i="4" s="1"/>
  <c r="C5" i="7"/>
  <c r="D4" i="2" s="1"/>
  <c r="C122" i="6"/>
  <c r="E18" i="4"/>
  <c r="F49" i="3"/>
  <c r="L71" i="3"/>
  <c r="D8" i="8"/>
  <c r="AZ38" i="4"/>
  <c r="F9" i="8"/>
  <c r="F10" i="8" s="1"/>
  <c r="CA35" i="4"/>
  <c r="E42" i="8"/>
  <c r="E43" i="8" s="1"/>
  <c r="E8" i="8" s="1"/>
  <c r="C3" i="7"/>
  <c r="C10" i="6"/>
  <c r="E10" i="4"/>
  <c r="AK183" i="6"/>
  <c r="AR183" i="6" s="1"/>
  <c r="R7" i="6"/>
  <c r="AJ4" i="4"/>
  <c r="AF20" i="4"/>
  <c r="BW9" i="4"/>
  <c r="BW10" i="4" s="1"/>
  <c r="BS9" i="4"/>
  <c r="BS10" i="4" s="1"/>
  <c r="BV9" i="4"/>
  <c r="BV10" i="4" s="1"/>
  <c r="BX9" i="4"/>
  <c r="BX10" i="4" s="1"/>
  <c r="BT9" i="4"/>
  <c r="BT10" i="4" s="1"/>
  <c r="BU9" i="4"/>
  <c r="BU10" i="4" s="1"/>
  <c r="B41" i="8"/>
  <c r="P86" i="4"/>
  <c r="P88" i="4" s="1"/>
  <c r="P89" i="4" s="1"/>
  <c r="O7" i="4"/>
  <c r="R8" i="6"/>
  <c r="AK86" i="4"/>
  <c r="AL7" i="4"/>
  <c r="G42" i="8"/>
  <c r="D243" i="6"/>
  <c r="B244" i="6"/>
  <c r="N228" i="6"/>
  <c r="AS8" i="3"/>
  <c r="Q71" i="3"/>
  <c r="Q72" i="3" s="1"/>
  <c r="X8" i="3"/>
  <c r="P71" i="3"/>
  <c r="F10" i="12"/>
  <c r="G10" i="12" s="1"/>
  <c r="BY36" i="4"/>
  <c r="CA36" i="4" s="1"/>
  <c r="BN37" i="4"/>
  <c r="BY37" i="4" s="1"/>
  <c r="CA37" i="4" s="1"/>
  <c r="C187" i="6"/>
  <c r="F186" i="6"/>
  <c r="I71" i="3"/>
  <c r="AE47" i="3"/>
  <c r="X47" i="3" s="1"/>
  <c r="N54" i="3"/>
  <c r="N67" i="3"/>
  <c r="N53" i="3"/>
  <c r="N68" i="3"/>
  <c r="N52" i="3"/>
  <c r="N55" i="3"/>
  <c r="N62" i="3"/>
  <c r="N59" i="3"/>
  <c r="N63" i="3"/>
  <c r="N60" i="3"/>
  <c r="N61" i="3"/>
  <c r="AR182" i="6"/>
  <c r="BF182" i="6" s="1"/>
  <c r="BG182" i="6" s="1"/>
  <c r="G28" i="9"/>
  <c r="S185" i="6"/>
  <c r="Y185" i="6" s="1"/>
  <c r="O185" i="6"/>
  <c r="AE184" i="6"/>
  <c r="AT182" i="6"/>
  <c r="AH85" i="4"/>
  <c r="AE21" i="4"/>
  <c r="AE22" i="4" s="1"/>
  <c r="AQ46" i="4"/>
  <c r="AA28" i="3"/>
  <c r="X27" i="3"/>
  <c r="AQ47" i="4" l="1"/>
  <c r="AQ48" i="4"/>
  <c r="AS183" i="6"/>
  <c r="AQ11" i="4"/>
  <c r="AT183" i="6"/>
  <c r="BF183" i="6" s="1"/>
  <c r="BG183" i="6" s="1"/>
  <c r="E27" i="6"/>
  <c r="F122" i="6"/>
  <c r="C123" i="6"/>
  <c r="M15" i="2"/>
  <c r="M19" i="2"/>
  <c r="K19" i="2"/>
  <c r="K15" i="2"/>
  <c r="M17" i="2"/>
  <c r="K17" i="2"/>
  <c r="B42" i="8"/>
  <c r="N70" i="3"/>
  <c r="G43" i="8"/>
  <c r="G8" i="8" s="1"/>
  <c r="B8" i="8" s="1"/>
  <c r="B9" i="8" s="1"/>
  <c r="X21" i="3" s="1"/>
  <c r="AE185" i="6"/>
  <c r="AK185" i="6" s="1"/>
  <c r="AA29" i="3"/>
  <c r="X28" i="3"/>
  <c r="AR28" i="3" s="1"/>
  <c r="AR46" i="4"/>
  <c r="AS46" i="4" s="1"/>
  <c r="N58" i="3"/>
  <c r="N65" i="3"/>
  <c r="AF21" i="4"/>
  <c r="AF22" i="4" s="1"/>
  <c r="D2" i="2"/>
  <c r="AB38" i="4"/>
  <c r="D9" i="8"/>
  <c r="D10" i="8" s="1"/>
  <c r="S8" i="6"/>
  <c r="F243" i="6" s="1"/>
  <c r="AM7" i="4"/>
  <c r="E13" i="4"/>
  <c r="AS14" i="3"/>
  <c r="AN38" i="4"/>
  <c r="E9" i="8"/>
  <c r="E10" i="8" s="1"/>
  <c r="H49" i="3"/>
  <c r="I49" i="3" s="1"/>
  <c r="J49" i="3" s="1"/>
  <c r="K49" i="3" s="1"/>
  <c r="L49" i="3" s="1"/>
  <c r="C188" i="6"/>
  <c r="F187" i="6"/>
  <c r="AR8" i="3"/>
  <c r="AB56" i="3"/>
  <c r="X56" i="3" s="1"/>
  <c r="AR56" i="3" s="1"/>
  <c r="AB38" i="3"/>
  <c r="X38" i="3" s="1"/>
  <c r="X6" i="3"/>
  <c r="X14" i="3" s="1"/>
  <c r="X61" i="3" s="1"/>
  <c r="AR47" i="3"/>
  <c r="AG20" i="4"/>
  <c r="O86" i="4"/>
  <c r="O88" i="4" s="1"/>
  <c r="O89" i="4" s="1"/>
  <c r="N7" i="4"/>
  <c r="O103" i="4" s="1"/>
  <c r="AK184" i="6"/>
  <c r="AS184" i="6" s="1"/>
  <c r="AR27" i="3"/>
  <c r="S7" i="6"/>
  <c r="AK4" i="4"/>
  <c r="C11" i="6"/>
  <c r="F10" i="6"/>
  <c r="O228" i="6"/>
  <c r="P230" i="6"/>
  <c r="Q231" i="6" s="1"/>
  <c r="S186" i="6"/>
  <c r="P186" i="6"/>
  <c r="P103" i="4"/>
  <c r="P105" i="4" s="1"/>
  <c r="G9" i="8" l="1"/>
  <c r="G10" i="8" s="1"/>
  <c r="E28" i="6"/>
  <c r="AR47" i="4"/>
  <c r="AR48" i="4"/>
  <c r="AR11" i="4"/>
  <c r="AT184" i="6"/>
  <c r="BL38" i="4"/>
  <c r="F123" i="6"/>
  <c r="C124" i="6"/>
  <c r="M122" i="6"/>
  <c r="S122" i="6"/>
  <c r="G122" i="6"/>
  <c r="AJ21" i="3"/>
  <c r="AG21" i="3" s="1"/>
  <c r="AQ24" i="3"/>
  <c r="B43" i="8"/>
  <c r="N71" i="3"/>
  <c r="AS185" i="6"/>
  <c r="AT185" i="6"/>
  <c r="AJ85" i="4"/>
  <c r="F188" i="6"/>
  <c r="C189" i="6"/>
  <c r="AR21" i="3"/>
  <c r="X16" i="3"/>
  <c r="AH20" i="4"/>
  <c r="D31" i="9"/>
  <c r="E94" i="4"/>
  <c r="X22" i="3"/>
  <c r="AH22" i="3" s="1"/>
  <c r="AR23" i="3"/>
  <c r="AS23" i="3" s="1"/>
  <c r="AQ23" i="3"/>
  <c r="AS28" i="3"/>
  <c r="E41" i="4" s="1"/>
  <c r="M7" i="4"/>
  <c r="N103" i="4" s="1"/>
  <c r="AR38" i="3"/>
  <c r="X31" i="3"/>
  <c r="AQ65" i="3"/>
  <c r="AQ10" i="3"/>
  <c r="AQ9" i="3"/>
  <c r="AQ7" i="3"/>
  <c r="T7" i="6"/>
  <c r="AL4" i="4"/>
  <c r="P228" i="6"/>
  <c r="O105" i="4"/>
  <c r="E63" i="4"/>
  <c r="AU56" i="3"/>
  <c r="CB63" i="4" s="1"/>
  <c r="AT56" i="3"/>
  <c r="AR185" i="6"/>
  <c r="AQ8" i="3"/>
  <c r="AG21" i="4"/>
  <c r="AG22" i="4" s="1"/>
  <c r="AU8" i="3"/>
  <c r="CB12" i="4" s="1"/>
  <c r="AT8" i="3"/>
  <c r="E12" i="4" s="1"/>
  <c r="AR14" i="3"/>
  <c r="AT14" i="3" s="1"/>
  <c r="T8" i="6"/>
  <c r="AM86" i="4"/>
  <c r="AN7" i="4"/>
  <c r="AJ81" i="4"/>
  <c r="AJ79" i="4"/>
  <c r="AT46" i="4"/>
  <c r="E56" i="4"/>
  <c r="AT47" i="3"/>
  <c r="AU47" i="3"/>
  <c r="CB56" i="4" s="1"/>
  <c r="AR184" i="6"/>
  <c r="BF184" i="6" s="1"/>
  <c r="BG184" i="6" s="1"/>
  <c r="E15" i="2"/>
  <c r="C15" i="2"/>
  <c r="E21" i="2"/>
  <c r="C17" i="2"/>
  <c r="E17" i="2"/>
  <c r="C21" i="2"/>
  <c r="E19" i="2"/>
  <c r="C19" i="2"/>
  <c r="AQ47" i="3"/>
  <c r="Q230" i="6"/>
  <c r="R231" i="6" s="1"/>
  <c r="AK85" i="4" s="1"/>
  <c r="X29" i="3"/>
  <c r="AA30" i="3"/>
  <c r="C12" i="6"/>
  <c r="F11" i="6"/>
  <c r="Y186" i="6"/>
  <c r="AS27" i="3"/>
  <c r="AU27" i="3" s="1"/>
  <c r="CB40" i="4" s="1"/>
  <c r="S187" i="6"/>
  <c r="Y187" i="6" s="1"/>
  <c r="Q187" i="6"/>
  <c r="BF185" i="6" l="1"/>
  <c r="BG185" i="6" s="1"/>
  <c r="E29" i="6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AS48" i="4"/>
  <c r="AS47" i="4"/>
  <c r="Y122" i="6"/>
  <c r="AE122" i="6" s="1"/>
  <c r="AK122" i="6" s="1"/>
  <c r="AS11" i="4"/>
  <c r="AT63" i="4" s="1"/>
  <c r="D50" i="6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G173" i="6"/>
  <c r="Z16" i="4" s="1"/>
  <c r="Z17" i="4" s="1"/>
  <c r="Z18" i="4" s="1"/>
  <c r="H175" i="6"/>
  <c r="I176" i="6" s="1"/>
  <c r="AB84" i="4" s="1"/>
  <c r="C125" i="6"/>
  <c r="F124" i="6"/>
  <c r="H123" i="6"/>
  <c r="S123" i="6"/>
  <c r="M123" i="6"/>
  <c r="E97" i="4"/>
  <c r="AR24" i="3"/>
  <c r="AS24" i="3" s="1"/>
  <c r="AT24" i="3" s="1"/>
  <c r="E40" i="4"/>
  <c r="BK40" i="4" s="1"/>
  <c r="Z41" i="4"/>
  <c r="AC41" i="4"/>
  <c r="AQ63" i="4"/>
  <c r="AN63" i="4"/>
  <c r="AK63" i="4"/>
  <c r="AH63" i="4"/>
  <c r="AE63" i="4"/>
  <c r="AB63" i="4"/>
  <c r="AS38" i="3"/>
  <c r="AU38" i="3" s="1"/>
  <c r="CB50" i="4" s="1"/>
  <c r="S188" i="6"/>
  <c r="R188" i="6"/>
  <c r="Y188" i="6" s="1"/>
  <c r="Z56" i="4"/>
  <c r="M86" i="4"/>
  <c r="M88" i="4" s="1"/>
  <c r="M89" i="4" s="1"/>
  <c r="L7" i="4"/>
  <c r="AT27" i="3"/>
  <c r="AA31" i="3"/>
  <c r="AA54" i="3" s="1"/>
  <c r="X54" i="3" s="1"/>
  <c r="AR54" i="3" s="1"/>
  <c r="X30" i="3"/>
  <c r="AR30" i="3" s="1"/>
  <c r="AU46" i="4"/>
  <c r="AV46" i="4" s="1"/>
  <c r="C13" i="6"/>
  <c r="F12" i="6"/>
  <c r="AI20" i="4"/>
  <c r="AR29" i="3"/>
  <c r="C4" i="7"/>
  <c r="C66" i="6"/>
  <c r="E14" i="4"/>
  <c r="Z6" i="4"/>
  <c r="AA6" i="4" s="1"/>
  <c r="AB6" i="4" s="1"/>
  <c r="AQ94" i="4"/>
  <c r="AO94" i="4"/>
  <c r="BI94" i="4"/>
  <c r="AK94" i="4"/>
  <c r="BG94" i="4"/>
  <c r="AI94" i="4"/>
  <c r="BE94" i="4"/>
  <c r="AG94" i="4"/>
  <c r="BC94" i="4"/>
  <c r="AE94" i="4"/>
  <c r="BA94" i="4"/>
  <c r="AC94" i="4"/>
  <c r="AY94" i="4"/>
  <c r="AA94" i="4"/>
  <c r="AU94" i="4"/>
  <c r="BK94" i="4"/>
  <c r="AW94" i="4"/>
  <c r="AS94" i="4"/>
  <c r="AM94" i="4"/>
  <c r="W94" i="4"/>
  <c r="W97" i="4" s="1"/>
  <c r="Q228" i="6"/>
  <c r="R230" i="6"/>
  <c r="S231" i="6" s="1"/>
  <c r="AL85" i="4" s="1"/>
  <c r="BX13" i="4"/>
  <c r="BX14" i="4" s="1"/>
  <c r="BT13" i="4"/>
  <c r="BT14" i="4" s="1"/>
  <c r="BW13" i="4"/>
  <c r="BW14" i="4" s="1"/>
  <c r="BU13" i="4"/>
  <c r="BU14" i="4" s="1"/>
  <c r="BV13" i="4"/>
  <c r="BV14" i="4" s="1"/>
  <c r="U7" i="6"/>
  <c r="AM4" i="4"/>
  <c r="E31" i="9"/>
  <c r="F31" i="9" s="1"/>
  <c r="G31" i="9" s="1"/>
  <c r="H31" i="9" s="1"/>
  <c r="E38" i="4"/>
  <c r="AU21" i="3"/>
  <c r="CB38" i="4" s="1"/>
  <c r="AT21" i="3"/>
  <c r="F189" i="6"/>
  <c r="C190" i="6"/>
  <c r="AH21" i="4"/>
  <c r="AH22" i="4" s="1"/>
  <c r="AE186" i="6"/>
  <c r="AK186" i="6" s="1"/>
  <c r="AT186" i="6" s="1"/>
  <c r="AT28" i="3"/>
  <c r="AU28" i="3"/>
  <c r="CB41" i="4" s="1"/>
  <c r="AQ31" i="3"/>
  <c r="AE187" i="6"/>
  <c r="U8" i="6"/>
  <c r="D244" i="6" s="1"/>
  <c r="AN86" i="4"/>
  <c r="AO7" i="4"/>
  <c r="AG16" i="3"/>
  <c r="AQ16" i="3"/>
  <c r="BN11" i="4" l="1"/>
  <c r="BY11" i="4" s="1"/>
  <c r="E11" i="4" s="1"/>
  <c r="CA11" i="4" s="1"/>
  <c r="D62" i="6"/>
  <c r="AT48" i="4"/>
  <c r="BN48" i="4" s="1"/>
  <c r="BY48" i="4" s="1"/>
  <c r="CA48" i="4" s="1"/>
  <c r="AT47" i="4"/>
  <c r="BN47" i="4" s="1"/>
  <c r="BY47" i="4" s="1"/>
  <c r="CA47" i="4" s="1"/>
  <c r="AR186" i="6"/>
  <c r="Y123" i="6"/>
  <c r="AE123" i="6" s="1"/>
  <c r="AK123" i="6" s="1"/>
  <c r="AT123" i="6" s="1"/>
  <c r="AS122" i="6"/>
  <c r="AT122" i="6"/>
  <c r="AR122" i="6"/>
  <c r="C126" i="6"/>
  <c r="F125" i="6"/>
  <c r="AD31" i="3"/>
  <c r="M124" i="6"/>
  <c r="I124" i="6"/>
  <c r="S124" i="6"/>
  <c r="I175" i="6"/>
  <c r="J176" i="6" s="1"/>
  <c r="AC84" i="4" s="1"/>
  <c r="H173" i="6"/>
  <c r="AA16" i="4" s="1"/>
  <c r="AA17" i="4" s="1"/>
  <c r="AA18" i="4" s="1"/>
  <c r="AU24" i="3"/>
  <c r="AA97" i="4"/>
  <c r="AA98" i="4" s="1"/>
  <c r="AA96" i="4" s="1"/>
  <c r="AK97" i="4"/>
  <c r="AK98" i="4" s="1"/>
  <c r="AK96" i="4" s="1"/>
  <c r="AC97" i="4"/>
  <c r="AC98" i="4" s="1"/>
  <c r="AC96" i="4" s="1"/>
  <c r="AI97" i="4"/>
  <c r="AI98" i="4" s="1"/>
  <c r="AI96" i="4" s="1"/>
  <c r="BE97" i="4"/>
  <c r="BE98" i="4" s="1"/>
  <c r="BE96" i="4" s="1"/>
  <c r="AQ97" i="4"/>
  <c r="AQ98" i="4" s="1"/>
  <c r="AQ96" i="4" s="1"/>
  <c r="BC97" i="4"/>
  <c r="BC98" i="4" s="1"/>
  <c r="BC96" i="4" s="1"/>
  <c r="AG97" i="4"/>
  <c r="AG98" i="4" s="1"/>
  <c r="E98" i="4"/>
  <c r="AO97" i="4"/>
  <c r="AO98" i="4" s="1"/>
  <c r="AO96" i="4" s="1"/>
  <c r="AE97" i="4"/>
  <c r="AE98" i="4" s="1"/>
  <c r="AE96" i="4" s="1"/>
  <c r="BK97" i="4"/>
  <c r="BA97" i="4"/>
  <c r="BA98" i="4" s="1"/>
  <c r="BA96" i="4" s="1"/>
  <c r="AU97" i="4"/>
  <c r="AU98" i="4" s="1"/>
  <c r="AU96" i="4" s="1"/>
  <c r="AW97" i="4"/>
  <c r="AW98" i="4" s="1"/>
  <c r="AM97" i="4"/>
  <c r="AM98" i="4" s="1"/>
  <c r="AM96" i="4" s="1"/>
  <c r="AY97" i="4"/>
  <c r="AY98" i="4" s="1"/>
  <c r="AY96" i="4" s="1"/>
  <c r="BI97" i="4"/>
  <c r="BI98" i="4" s="1"/>
  <c r="BG97" i="4"/>
  <c r="BG98" i="4" s="1"/>
  <c r="BG96" i="4" s="1"/>
  <c r="AS97" i="4"/>
  <c r="AS98" i="4" s="1"/>
  <c r="AS96" i="4" s="1"/>
  <c r="E50" i="4"/>
  <c r="AC50" i="4" s="1"/>
  <c r="BY63" i="4"/>
  <c r="CA63" i="4" s="1"/>
  <c r="AC66" i="3"/>
  <c r="AC6" i="4"/>
  <c r="AD6" i="4" s="1"/>
  <c r="AE6" i="4" s="1"/>
  <c r="BP95" i="4"/>
  <c r="BP93" i="4" s="1"/>
  <c r="BD95" i="4"/>
  <c r="BD93" i="4" s="1"/>
  <c r="BE99" i="4" s="1"/>
  <c r="BE100" i="4" s="1"/>
  <c r="BE101" i="4" s="1"/>
  <c r="AR95" i="4"/>
  <c r="AR93" i="4" s="1"/>
  <c r="AS99" i="4" s="1"/>
  <c r="AS100" i="4" s="1"/>
  <c r="AS101" i="4" s="1"/>
  <c r="AF95" i="4"/>
  <c r="AF93" i="4" s="1"/>
  <c r="AG99" i="4" s="1"/>
  <c r="AG100" i="4" s="1"/>
  <c r="AG101" i="4" s="1"/>
  <c r="BO95" i="4"/>
  <c r="BO93" i="4" s="1"/>
  <c r="BM95" i="4"/>
  <c r="BM93" i="4" s="1"/>
  <c r="BX95" i="4"/>
  <c r="BX93" i="4" s="1"/>
  <c r="BL95" i="4"/>
  <c r="BL93" i="4" s="1"/>
  <c r="AZ95" i="4"/>
  <c r="AZ93" i="4" s="1"/>
  <c r="BA99" i="4" s="1"/>
  <c r="BA100" i="4" s="1"/>
  <c r="BA101" i="4" s="1"/>
  <c r="AN95" i="4"/>
  <c r="AN93" i="4" s="1"/>
  <c r="AO99" i="4" s="1"/>
  <c r="AO100" i="4" s="1"/>
  <c r="AO101" i="4" s="1"/>
  <c r="AB95" i="4"/>
  <c r="AB93" i="4" s="1"/>
  <c r="AC99" i="4" s="1"/>
  <c r="AC100" i="4" s="1"/>
  <c r="AC101" i="4" s="1"/>
  <c r="BW95" i="4"/>
  <c r="BW93" i="4" s="1"/>
  <c r="BV95" i="4"/>
  <c r="BV93" i="4" s="1"/>
  <c r="BJ95" i="4"/>
  <c r="BJ93" i="4" s="1"/>
  <c r="BK99" i="4" s="1"/>
  <c r="BK100" i="4" s="1"/>
  <c r="BK101" i="4" s="1"/>
  <c r="AX95" i="4"/>
  <c r="AX93" i="4" s="1"/>
  <c r="AY99" i="4" s="1"/>
  <c r="AY100" i="4" s="1"/>
  <c r="AY101" i="4" s="1"/>
  <c r="AL95" i="4"/>
  <c r="AL93" i="4" s="1"/>
  <c r="AM99" i="4" s="1"/>
  <c r="AM100" i="4" s="1"/>
  <c r="AM101" i="4" s="1"/>
  <c r="Z95" i="4"/>
  <c r="Z93" i="4" s="1"/>
  <c r="AA99" i="4" s="1"/>
  <c r="AA100" i="4" s="1"/>
  <c r="AA101" i="4" s="1"/>
  <c r="BU95" i="4"/>
  <c r="BU93" i="4" s="1"/>
  <c r="Y95" i="4"/>
  <c r="Y93" i="4" s="1"/>
  <c r="Z99" i="4" s="1"/>
  <c r="BT95" i="4"/>
  <c r="BT93" i="4" s="1"/>
  <c r="BH95" i="4"/>
  <c r="BH93" i="4" s="1"/>
  <c r="BI99" i="4" s="1"/>
  <c r="BI100" i="4" s="1"/>
  <c r="BI101" i="4" s="1"/>
  <c r="AV95" i="4"/>
  <c r="AV93" i="4" s="1"/>
  <c r="AW99" i="4" s="1"/>
  <c r="AW100" i="4" s="1"/>
  <c r="AW101" i="4" s="1"/>
  <c r="AJ95" i="4"/>
  <c r="AJ93" i="4" s="1"/>
  <c r="AK99" i="4" s="1"/>
  <c r="AK100" i="4" s="1"/>
  <c r="AK101" i="4" s="1"/>
  <c r="X95" i="4"/>
  <c r="BR95" i="4"/>
  <c r="BR93" i="4" s="1"/>
  <c r="BF95" i="4"/>
  <c r="BF93" i="4" s="1"/>
  <c r="BG99" i="4" s="1"/>
  <c r="BG100" i="4" s="1"/>
  <c r="BG101" i="4" s="1"/>
  <c r="AT95" i="4"/>
  <c r="AT93" i="4" s="1"/>
  <c r="AU99" i="4" s="1"/>
  <c r="AU100" i="4" s="1"/>
  <c r="AU101" i="4" s="1"/>
  <c r="AH95" i="4"/>
  <c r="AH93" i="4" s="1"/>
  <c r="AI99" i="4" s="1"/>
  <c r="AI100" i="4" s="1"/>
  <c r="AI101" i="4" s="1"/>
  <c r="BS95" i="4"/>
  <c r="BS93" i="4" s="1"/>
  <c r="BQ95" i="4"/>
  <c r="BQ93" i="4" s="1"/>
  <c r="BN95" i="4"/>
  <c r="BN93" i="4" s="1"/>
  <c r="BB95" i="4"/>
  <c r="BB93" i="4" s="1"/>
  <c r="BC99" i="4" s="1"/>
  <c r="BC100" i="4" s="1"/>
  <c r="BC101" i="4" s="1"/>
  <c r="AE39" i="4"/>
  <c r="Z39" i="4"/>
  <c r="X39" i="4"/>
  <c r="AP95" i="4"/>
  <c r="AP93" i="4" s="1"/>
  <c r="AQ99" i="4" s="1"/>
  <c r="AQ100" i="4" s="1"/>
  <c r="AQ101" i="4" s="1"/>
  <c r="AD95" i="4"/>
  <c r="AD93" i="4" s="1"/>
  <c r="AE99" i="4" s="1"/>
  <c r="AE100" i="4" s="1"/>
  <c r="AE101" i="4" s="1"/>
  <c r="E95" i="4"/>
  <c r="F190" i="6"/>
  <c r="C201" i="6"/>
  <c r="C191" i="6"/>
  <c r="F22" i="12"/>
  <c r="G22" i="12" s="1"/>
  <c r="S189" i="6"/>
  <c r="BY94" i="4"/>
  <c r="CA94" i="4" s="1"/>
  <c r="W95" i="4"/>
  <c r="AE95" i="4"/>
  <c r="AE93" i="4" s="1"/>
  <c r="BN56" i="4"/>
  <c r="BY56" i="4" s="1"/>
  <c r="CA56" i="4" s="1"/>
  <c r="AE188" i="6"/>
  <c r="AQ95" i="4"/>
  <c r="AQ93" i="4" s="1"/>
  <c r="BA95" i="4"/>
  <c r="BA93" i="4" s="1"/>
  <c r="F15" i="12"/>
  <c r="G15" i="12" s="1"/>
  <c r="V7" i="6"/>
  <c r="AN4" i="4"/>
  <c r="AM95" i="4"/>
  <c r="AM93" i="4" s="1"/>
  <c r="BC95" i="4"/>
  <c r="BC93" i="4" s="1"/>
  <c r="C14" i="6"/>
  <c r="F13" i="6"/>
  <c r="AF41" i="4"/>
  <c r="R228" i="6"/>
  <c r="AS95" i="4"/>
  <c r="AS93" i="4" s="1"/>
  <c r="AT99" i="4" s="1"/>
  <c r="AT100" i="4" s="1"/>
  <c r="AT101" i="4" s="1"/>
  <c r="AG95" i="4"/>
  <c r="AG93" i="4" s="1"/>
  <c r="AS29" i="3"/>
  <c r="AT29" i="3" s="1"/>
  <c r="L86" i="4"/>
  <c r="L88" i="4" s="1"/>
  <c r="L89" i="4" s="1"/>
  <c r="K7" i="4"/>
  <c r="L103" i="4" s="1"/>
  <c r="AC95" i="4"/>
  <c r="AC93" i="4" s="1"/>
  <c r="AD99" i="4" s="1"/>
  <c r="AD100" i="4" s="1"/>
  <c r="AD101" i="4" s="1"/>
  <c r="AS186" i="6"/>
  <c r="BN38" i="4"/>
  <c r="BY38" i="4" s="1"/>
  <c r="BK95" i="4"/>
  <c r="BK93" i="4" s="1"/>
  <c r="AI95" i="4"/>
  <c r="AI93" i="4" s="1"/>
  <c r="AJ99" i="4" s="1"/>
  <c r="AJ100" i="4" s="1"/>
  <c r="AJ101" i="4" s="1"/>
  <c r="AS30" i="3"/>
  <c r="AU30" i="3" s="1"/>
  <c r="CB43" i="4" s="1"/>
  <c r="W98" i="4"/>
  <c r="W96" i="4" s="1"/>
  <c r="AW46" i="4"/>
  <c r="AU95" i="4"/>
  <c r="AU93" i="4" s="1"/>
  <c r="BG95" i="4"/>
  <c r="BG93" i="4" s="1"/>
  <c r="AS54" i="3"/>
  <c r="E61" i="4" s="1"/>
  <c r="BE95" i="4"/>
  <c r="BE93" i="4" s="1"/>
  <c r="S230" i="6"/>
  <c r="T231" i="6" s="1"/>
  <c r="AM85" i="4" s="1"/>
  <c r="BI96" i="4"/>
  <c r="AK95" i="4"/>
  <c r="AK93" i="4" s="1"/>
  <c r="AL99" i="4" s="1"/>
  <c r="AL100" i="4" s="1"/>
  <c r="AL101" i="4" s="1"/>
  <c r="AI21" i="4"/>
  <c r="AI22" i="4" s="1"/>
  <c r="AK187" i="6"/>
  <c r="AW95" i="4"/>
  <c r="AW93" i="4" s="1"/>
  <c r="AJ20" i="4"/>
  <c r="BI95" i="4"/>
  <c r="BI93" i="4" s="1"/>
  <c r="C67" i="6"/>
  <c r="F66" i="6"/>
  <c r="AT38" i="3"/>
  <c r="AY95" i="4"/>
  <c r="AY93" i="4" s="1"/>
  <c r="V8" i="6"/>
  <c r="B245" i="6" s="1"/>
  <c r="AP7" i="4"/>
  <c r="BN40" i="4"/>
  <c r="AA95" i="4"/>
  <c r="AA93" i="4" s="1"/>
  <c r="AO95" i="4"/>
  <c r="AO93" i="4" s="1"/>
  <c r="AP99" i="4" s="1"/>
  <c r="AP100" i="4" s="1"/>
  <c r="AP101" i="4" s="1"/>
  <c r="D3" i="2"/>
  <c r="M103" i="4"/>
  <c r="M105" i="4" s="1"/>
  <c r="AK188" i="6"/>
  <c r="AT188" i="6" s="1"/>
  <c r="AR99" i="4" l="1"/>
  <c r="AR100" i="4" s="1"/>
  <c r="AR101" i="4" s="1"/>
  <c r="AZ99" i="4"/>
  <c r="AZ100" i="4" s="1"/>
  <c r="AZ101" i="4" s="1"/>
  <c r="AV99" i="4"/>
  <c r="AV100" i="4" s="1"/>
  <c r="AV101" i="4" s="1"/>
  <c r="AB99" i="4"/>
  <c r="AB100" i="4" s="1"/>
  <c r="AB101" i="4" s="1"/>
  <c r="BF122" i="6"/>
  <c r="BG122" i="6" s="1"/>
  <c r="BF186" i="6"/>
  <c r="BG186" i="6" s="1"/>
  <c r="AR188" i="6"/>
  <c r="AF99" i="4"/>
  <c r="AF100" i="4" s="1"/>
  <c r="AF101" i="4" s="1"/>
  <c r="BH99" i="4"/>
  <c r="BH100" i="4" s="1"/>
  <c r="BH101" i="4" s="1"/>
  <c r="AR123" i="6"/>
  <c r="AA50" i="4"/>
  <c r="AF50" i="4"/>
  <c r="AG96" i="4"/>
  <c r="AH99" i="4" s="1"/>
  <c r="AH100" i="4" s="1"/>
  <c r="AH101" i="4" s="1"/>
  <c r="C127" i="6"/>
  <c r="F126" i="6"/>
  <c r="AB50" i="4"/>
  <c r="Y124" i="6"/>
  <c r="AE124" i="6" s="1"/>
  <c r="AN99" i="4"/>
  <c r="AN100" i="4" s="1"/>
  <c r="AN101" i="4" s="1"/>
  <c r="S125" i="6"/>
  <c r="J125" i="6"/>
  <c r="M125" i="6"/>
  <c r="BF99" i="4"/>
  <c r="BF100" i="4" s="1"/>
  <c r="BF101" i="4" s="1"/>
  <c r="BB99" i="4"/>
  <c r="BB100" i="4" s="1"/>
  <c r="BB101" i="4" s="1"/>
  <c r="AS123" i="6"/>
  <c r="I173" i="6"/>
  <c r="AB16" i="4" s="1"/>
  <c r="AB17" i="4" s="1"/>
  <c r="AB18" i="4" s="1"/>
  <c r="J175" i="6"/>
  <c r="K176" i="6" s="1"/>
  <c r="AD84" i="4" s="1"/>
  <c r="K175" i="6"/>
  <c r="L176" i="6" s="1"/>
  <c r="AE84" i="4" s="1"/>
  <c r="BD99" i="4"/>
  <c r="BD100" i="4" s="1"/>
  <c r="BD101" i="4" s="1"/>
  <c r="BY97" i="4"/>
  <c r="CA97" i="4" s="1"/>
  <c r="AW96" i="4"/>
  <c r="AD50" i="4"/>
  <c r="BK98" i="4"/>
  <c r="BK96" i="4" s="1"/>
  <c r="E96" i="4"/>
  <c r="D97" i="4" s="1"/>
  <c r="AT30" i="3"/>
  <c r="E42" i="4"/>
  <c r="Y42" i="4" s="1"/>
  <c r="E43" i="4"/>
  <c r="Y43" i="4" s="1"/>
  <c r="AX99" i="4"/>
  <c r="AX100" i="4" s="1"/>
  <c r="AX101" i="4" s="1"/>
  <c r="BJ99" i="4"/>
  <c r="BJ101" i="4" s="1"/>
  <c r="BY95" i="4"/>
  <c r="CA95" i="4" s="1"/>
  <c r="AE50" i="4"/>
  <c r="AZ61" i="4"/>
  <c r="BE61" i="4"/>
  <c r="L105" i="4"/>
  <c r="F67" i="6"/>
  <c r="C68" i="6"/>
  <c r="AS188" i="6"/>
  <c r="C202" i="6"/>
  <c r="C192" i="6"/>
  <c r="F191" i="6"/>
  <c r="X88" i="4"/>
  <c r="X89" i="4" s="1"/>
  <c r="X105" i="4" s="1"/>
  <c r="F13" i="12"/>
  <c r="G13" i="12" s="1"/>
  <c r="AK20" i="4"/>
  <c r="C212" i="6"/>
  <c r="F201" i="6"/>
  <c r="AF66" i="3"/>
  <c r="AF6" i="4"/>
  <c r="AT187" i="6"/>
  <c r="AJ21" i="4"/>
  <c r="AJ22" i="4" s="1"/>
  <c r="T190" i="6"/>
  <c r="Y190" i="6" s="1"/>
  <c r="M66" i="6"/>
  <c r="Q66" i="6"/>
  <c r="G66" i="6"/>
  <c r="AI41" i="4"/>
  <c r="AR187" i="6"/>
  <c r="W8" i="6"/>
  <c r="AP86" i="4"/>
  <c r="AQ7" i="4"/>
  <c r="AM81" i="4"/>
  <c r="AM79" i="4"/>
  <c r="BY40" i="4"/>
  <c r="CA40" i="4" s="1"/>
  <c r="AS187" i="6"/>
  <c r="T230" i="6"/>
  <c r="U231" i="6" s="1"/>
  <c r="AN85" i="4" s="1"/>
  <c r="AU29" i="3"/>
  <c r="CB42" i="4" s="1"/>
  <c r="W7" i="6"/>
  <c r="AO4" i="4"/>
  <c r="Y189" i="6"/>
  <c r="AE189" i="6" s="1"/>
  <c r="Z100" i="4"/>
  <c r="S228" i="6"/>
  <c r="E93" i="4"/>
  <c r="D95" i="4" s="1"/>
  <c r="AU23" i="3"/>
  <c r="AT23" i="3"/>
  <c r="AT54" i="3"/>
  <c r="W93" i="4"/>
  <c r="BY93" i="4" s="1"/>
  <c r="AU54" i="3"/>
  <c r="CB61" i="4" s="1"/>
  <c r="CA38" i="4"/>
  <c r="F14" i="6"/>
  <c r="C15" i="6"/>
  <c r="BN46" i="4"/>
  <c r="BY46" i="4" s="1"/>
  <c r="CA46" i="4" s="1"/>
  <c r="I17" i="2"/>
  <c r="G17" i="2"/>
  <c r="I19" i="2"/>
  <c r="G19" i="2"/>
  <c r="I15" i="2"/>
  <c r="G15" i="2"/>
  <c r="AC17" i="2"/>
  <c r="D7" i="2"/>
  <c r="AC19" i="2"/>
  <c r="AC15" i="2"/>
  <c r="AC21" i="2"/>
  <c r="X21" i="2" s="1"/>
  <c r="J7" i="4"/>
  <c r="BF123" i="6" l="1"/>
  <c r="BG123" i="6" s="1"/>
  <c r="U230" i="6"/>
  <c r="V231" i="6" s="1"/>
  <c r="AO85" i="4" s="1"/>
  <c r="BF188" i="6"/>
  <c r="BG188" i="6" s="1"/>
  <c r="BF187" i="6"/>
  <c r="BG187" i="6" s="1"/>
  <c r="AE190" i="6"/>
  <c r="Y125" i="6"/>
  <c r="AE125" i="6" s="1"/>
  <c r="AK125" i="6" s="1"/>
  <c r="AT125" i="6" s="1"/>
  <c r="D98" i="4"/>
  <c r="AK124" i="6"/>
  <c r="AS124" i="6" s="1"/>
  <c r="C128" i="6"/>
  <c r="F127" i="6"/>
  <c r="J173" i="6"/>
  <c r="AC16" i="4" s="1"/>
  <c r="AC17" i="4" s="1"/>
  <c r="AC18" i="4" s="1"/>
  <c r="M126" i="6"/>
  <c r="K126" i="6"/>
  <c r="L175" i="6" s="1"/>
  <c r="M176" i="6" s="1"/>
  <c r="AF84" i="4" s="1"/>
  <c r="S126" i="6"/>
  <c r="BL99" i="4"/>
  <c r="BY99" i="4" s="1"/>
  <c r="BY96" i="4"/>
  <c r="CA96" i="4" s="1"/>
  <c r="W43" i="4"/>
  <c r="BK43" i="4" s="1"/>
  <c r="BN43" i="4" s="1"/>
  <c r="D96" i="4"/>
  <c r="BY98" i="4"/>
  <c r="CA98" i="4" s="1"/>
  <c r="BK61" i="4"/>
  <c r="Z101" i="4"/>
  <c r="Z102" i="4" s="1"/>
  <c r="AG6" i="4"/>
  <c r="AG50" i="4"/>
  <c r="AK189" i="6"/>
  <c r="AS189" i="6" s="1"/>
  <c r="X7" i="6"/>
  <c r="AP4" i="4"/>
  <c r="AE201" i="6"/>
  <c r="AK201" i="6" s="1"/>
  <c r="U191" i="6"/>
  <c r="Y191" i="6" s="1"/>
  <c r="AB17" i="2"/>
  <c r="G117" i="6"/>
  <c r="H119" i="6"/>
  <c r="I120" i="6" s="1"/>
  <c r="F212" i="6"/>
  <c r="C223" i="6"/>
  <c r="F223" i="6" s="1"/>
  <c r="BG223" i="6" s="1"/>
  <c r="F192" i="6"/>
  <c r="C203" i="6"/>
  <c r="C193" i="6"/>
  <c r="F68" i="6"/>
  <c r="C69" i="6"/>
  <c r="BN61" i="4"/>
  <c r="BY61" i="4" s="1"/>
  <c r="CA61" i="4" s="1"/>
  <c r="AL41" i="4"/>
  <c r="C213" i="6"/>
  <c r="F202" i="6"/>
  <c r="Q67" i="6"/>
  <c r="M67" i="6"/>
  <c r="H67" i="6"/>
  <c r="J86" i="4"/>
  <c r="J88" i="4" s="1"/>
  <c r="J89" i="4" s="1"/>
  <c r="I7" i="4"/>
  <c r="J103" i="4" s="1"/>
  <c r="AB15" i="2"/>
  <c r="AR189" i="6"/>
  <c r="W15" i="2"/>
  <c r="W17" i="2" s="1"/>
  <c r="W19" i="2" s="1"/>
  <c r="BK42" i="4"/>
  <c r="BN42" i="4" s="1"/>
  <c r="T228" i="6"/>
  <c r="AL20" i="4"/>
  <c r="K103" i="4"/>
  <c r="K105" i="4" s="1"/>
  <c r="U66" i="6"/>
  <c r="AK21" i="4"/>
  <c r="AK22" i="4" s="1"/>
  <c r="AB19" i="2"/>
  <c r="F15" i="6"/>
  <c r="C16" i="6"/>
  <c r="CA93" i="4"/>
  <c r="E99" i="4"/>
  <c r="D94" i="4"/>
  <c r="D93" i="4" s="1"/>
  <c r="X8" i="6"/>
  <c r="AQ86" i="4"/>
  <c r="AR7" i="4"/>
  <c r="W88" i="4" l="1"/>
  <c r="W89" i="4" s="1"/>
  <c r="W105" i="4" s="1"/>
  <c r="F16" i="12"/>
  <c r="G16" i="12" s="1"/>
  <c r="AT124" i="6"/>
  <c r="AR124" i="6"/>
  <c r="AT189" i="6"/>
  <c r="BF189" i="6" s="1"/>
  <c r="BG189" i="6" s="1"/>
  <c r="AK190" i="6"/>
  <c r="AT190" i="6" s="1"/>
  <c r="Y126" i="6"/>
  <c r="AE126" i="6" s="1"/>
  <c r="AK126" i="6" s="1"/>
  <c r="AR125" i="6"/>
  <c r="M127" i="6"/>
  <c r="S127" i="6"/>
  <c r="L127" i="6"/>
  <c r="L173" i="6" s="1"/>
  <c r="AE16" i="4" s="1"/>
  <c r="AE17" i="4" s="1"/>
  <c r="AE18" i="4" s="1"/>
  <c r="BY43" i="4"/>
  <c r="CA43" i="4" s="1"/>
  <c r="K173" i="6"/>
  <c r="AD16" i="4" s="1"/>
  <c r="AD17" i="4" s="1"/>
  <c r="AS125" i="6"/>
  <c r="F128" i="6"/>
  <c r="C129" i="6"/>
  <c r="BY42" i="4"/>
  <c r="CA42" i="4" s="1"/>
  <c r="Y66" i="6"/>
  <c r="AC66" i="6" s="1"/>
  <c r="Z12" i="4"/>
  <c r="E100" i="4"/>
  <c r="D99" i="4"/>
  <c r="CA99" i="4"/>
  <c r="C70" i="6"/>
  <c r="F69" i="6"/>
  <c r="U228" i="6"/>
  <c r="V230" i="6"/>
  <c r="W231" i="6" s="1"/>
  <c r="AP85" i="4" s="1"/>
  <c r="F213" i="6"/>
  <c r="C224" i="6"/>
  <c r="F224" i="6" s="1"/>
  <c r="BG224" i="6" s="1"/>
  <c r="Y7" i="6"/>
  <c r="AQ4" i="4"/>
  <c r="U67" i="6"/>
  <c r="Y67" i="6" s="1"/>
  <c r="V192" i="6"/>
  <c r="W230" i="6" s="1"/>
  <c r="X231" i="6" s="1"/>
  <c r="AQ85" i="4" s="1"/>
  <c r="AF202" i="6"/>
  <c r="C194" i="6"/>
  <c r="F193" i="6"/>
  <c r="C204" i="6"/>
  <c r="AM20" i="4"/>
  <c r="AO41" i="4"/>
  <c r="AP212" i="6"/>
  <c r="AT212" i="6" s="1"/>
  <c r="AR201" i="6"/>
  <c r="AA102" i="4"/>
  <c r="AA103" i="4"/>
  <c r="I68" i="6"/>
  <c r="Q68" i="6"/>
  <c r="M68" i="6"/>
  <c r="H117" i="6"/>
  <c r="AH6" i="4"/>
  <c r="AH50" i="4"/>
  <c r="AL21" i="4"/>
  <c r="AL22" i="4" s="1"/>
  <c r="I119" i="6"/>
  <c r="J120" i="6" s="1"/>
  <c r="AC83" i="4" s="1"/>
  <c r="AS201" i="6"/>
  <c r="C17" i="6"/>
  <c r="F16" i="6"/>
  <c r="F203" i="6"/>
  <c r="C214" i="6"/>
  <c r="I86" i="4"/>
  <c r="H7" i="4"/>
  <c r="I103" i="4" s="1"/>
  <c r="I71" i="4"/>
  <c r="AB83" i="4"/>
  <c r="AT201" i="6"/>
  <c r="Y8" i="6"/>
  <c r="AS7" i="4"/>
  <c r="J105" i="4"/>
  <c r="AE191" i="6"/>
  <c r="AK191" i="6" s="1"/>
  <c r="Y127" i="6" l="1"/>
  <c r="AE127" i="6" s="1"/>
  <c r="AK127" i="6" s="1"/>
  <c r="BF125" i="6"/>
  <c r="BG125" i="6" s="1"/>
  <c r="BF124" i="6"/>
  <c r="BG124" i="6" s="1"/>
  <c r="BF201" i="6"/>
  <c r="BG201" i="6" s="1"/>
  <c r="AR190" i="6"/>
  <c r="AS190" i="6"/>
  <c r="AD18" i="4"/>
  <c r="AT127" i="6"/>
  <c r="AR127" i="6"/>
  <c r="AS127" i="6"/>
  <c r="C130" i="6"/>
  <c r="F129" i="6"/>
  <c r="M128" i="6"/>
  <c r="M173" i="6" s="1"/>
  <c r="AF16" i="4" s="1"/>
  <c r="AF17" i="4" s="1"/>
  <c r="AF18" i="4" s="1"/>
  <c r="S128" i="6"/>
  <c r="Y128" i="6" s="1"/>
  <c r="M175" i="6"/>
  <c r="N176" i="6" s="1"/>
  <c r="AG84" i="4" s="1"/>
  <c r="AS126" i="6"/>
  <c r="AR126" i="6"/>
  <c r="AT126" i="6"/>
  <c r="U68" i="6"/>
  <c r="Y68" i="6" s="1"/>
  <c r="AH66" i="6"/>
  <c r="AM66" i="6" s="1"/>
  <c r="AF228" i="6"/>
  <c r="V228" i="6"/>
  <c r="AR191" i="6"/>
  <c r="AI6" i="4"/>
  <c r="AI50" i="4"/>
  <c r="AQ213" i="6"/>
  <c r="AR213" i="6" s="1"/>
  <c r="AC67" i="6"/>
  <c r="AA12" i="4"/>
  <c r="D100" i="4"/>
  <c r="BL100" i="4"/>
  <c r="C225" i="6"/>
  <c r="F225" i="6" s="1"/>
  <c r="BG225" i="6" s="1"/>
  <c r="F214" i="6"/>
  <c r="Y192" i="6"/>
  <c r="AN20" i="4"/>
  <c r="AG203" i="6"/>
  <c r="F204" i="6"/>
  <c r="C215" i="6"/>
  <c r="J119" i="6"/>
  <c r="K120" i="6" s="1"/>
  <c r="AD83" i="4" s="1"/>
  <c r="AR41" i="4"/>
  <c r="Z7" i="6"/>
  <c r="AR4" i="4"/>
  <c r="AB102" i="4"/>
  <c r="AB103" i="4"/>
  <c r="AP228" i="6"/>
  <c r="W193" i="6"/>
  <c r="X230" i="6" s="1"/>
  <c r="Y231" i="6" s="1"/>
  <c r="AR85" i="4" s="1"/>
  <c r="Z13" i="4"/>
  <c r="Z14" i="4" s="1"/>
  <c r="AS191" i="6"/>
  <c r="D245" i="6"/>
  <c r="F244" i="6"/>
  <c r="BY71" i="4"/>
  <c r="E71" i="4" s="1"/>
  <c r="E19" i="12"/>
  <c r="I88" i="4"/>
  <c r="I31" i="4"/>
  <c r="AR212" i="6"/>
  <c r="BF212" i="6" s="1"/>
  <c r="BG212" i="6" s="1"/>
  <c r="AM21" i="4"/>
  <c r="AM22" i="4" s="1"/>
  <c r="C195" i="6"/>
  <c r="F194" i="6"/>
  <c r="C205" i="6"/>
  <c r="AT191" i="6"/>
  <c r="Q69" i="6"/>
  <c r="M69" i="6"/>
  <c r="J69" i="6"/>
  <c r="AK202" i="6"/>
  <c r="AS202" i="6" s="1"/>
  <c r="Z8" i="6"/>
  <c r="AS86" i="4"/>
  <c r="AT7" i="4"/>
  <c r="AP79" i="4"/>
  <c r="AP81" i="4"/>
  <c r="G7" i="4"/>
  <c r="Y75" i="4"/>
  <c r="C18" i="6"/>
  <c r="F17" i="6"/>
  <c r="I117" i="6"/>
  <c r="AS212" i="6"/>
  <c r="C71" i="6"/>
  <c r="F70" i="6"/>
  <c r="N175" i="6" l="1"/>
  <c r="O176" i="6" s="1"/>
  <c r="AH84" i="4" s="1"/>
  <c r="BF127" i="6"/>
  <c r="BG127" i="6" s="1"/>
  <c r="BF126" i="6"/>
  <c r="BG126" i="6" s="1"/>
  <c r="BF191" i="6"/>
  <c r="BG191" i="6" s="1"/>
  <c r="Y193" i="6"/>
  <c r="AE193" i="6" s="1"/>
  <c r="AT202" i="6"/>
  <c r="BF190" i="6"/>
  <c r="BG190" i="6" s="1"/>
  <c r="AE192" i="6"/>
  <c r="AE128" i="6"/>
  <c r="AK128" i="6" s="1"/>
  <c r="AT128" i="6" s="1"/>
  <c r="N129" i="6"/>
  <c r="S129" i="6"/>
  <c r="Y129" i="6" s="1"/>
  <c r="F130" i="6"/>
  <c r="C131" i="6"/>
  <c r="U69" i="6"/>
  <c r="Y69" i="6" s="1"/>
  <c r="AC69" i="6" s="1"/>
  <c r="AT66" i="6"/>
  <c r="AR66" i="6"/>
  <c r="AS66" i="6"/>
  <c r="BL101" i="4"/>
  <c r="M70" i="6"/>
  <c r="K70" i="6"/>
  <c r="L119" i="6" s="1"/>
  <c r="M120" i="6" s="1"/>
  <c r="AF83" i="4" s="1"/>
  <c r="Q70" i="6"/>
  <c r="CA71" i="4"/>
  <c r="AG228" i="6"/>
  <c r="AT213" i="6"/>
  <c r="AJ6" i="4"/>
  <c r="AJ50" i="4"/>
  <c r="AC102" i="4"/>
  <c r="AC103" i="4"/>
  <c r="J117" i="6"/>
  <c r="K119" i="6"/>
  <c r="L120" i="6" s="1"/>
  <c r="AE83" i="4" s="1"/>
  <c r="BY75" i="4"/>
  <c r="E75" i="4" s="1"/>
  <c r="CA75" i="4" s="1"/>
  <c r="F71" i="6"/>
  <c r="C72" i="6"/>
  <c r="F7" i="4"/>
  <c r="G103" i="4" s="1"/>
  <c r="AO20" i="4"/>
  <c r="AA13" i="4"/>
  <c r="AA14" i="4" s="1"/>
  <c r="X194" i="6"/>
  <c r="Y194" i="6" s="1"/>
  <c r="W228" i="6"/>
  <c r="AA7" i="6"/>
  <c r="AS4" i="4"/>
  <c r="C226" i="6"/>
  <c r="F226" i="6" s="1"/>
  <c r="BG226" i="6" s="1"/>
  <c r="F215" i="6"/>
  <c r="BM100" i="4"/>
  <c r="BM101" i="4" s="1"/>
  <c r="AH204" i="6"/>
  <c r="AH67" i="6"/>
  <c r="AR202" i="6"/>
  <c r="AA8" i="6"/>
  <c r="AT86" i="4"/>
  <c r="AU7" i="4"/>
  <c r="AN21" i="4"/>
  <c r="AN22" i="4" s="1"/>
  <c r="I33" i="4"/>
  <c r="I89" i="4" s="1"/>
  <c r="I105" i="4" s="1"/>
  <c r="BY31" i="4"/>
  <c r="E31" i="4" s="1"/>
  <c r="BI20" i="4"/>
  <c r="AT214" i="6"/>
  <c r="AS214" i="6"/>
  <c r="AR214" i="6"/>
  <c r="AQ228" i="6"/>
  <c r="F18" i="6"/>
  <c r="C19" i="6"/>
  <c r="AK203" i="6"/>
  <c r="AT203" i="6" s="1"/>
  <c r="F205" i="6"/>
  <c r="C216" i="6"/>
  <c r="AY20" i="4"/>
  <c r="AB12" i="4"/>
  <c r="C196" i="6"/>
  <c r="F195" i="6"/>
  <c r="C206" i="6"/>
  <c r="H103" i="4"/>
  <c r="G19" i="12"/>
  <c r="E26" i="12"/>
  <c r="E27" i="12" s="1"/>
  <c r="AC68" i="6"/>
  <c r="AH68" i="6" s="1"/>
  <c r="AM68" i="6" s="1"/>
  <c r="AT68" i="6" s="1"/>
  <c r="AU41" i="4"/>
  <c r="AS213" i="6"/>
  <c r="AR203" i="6" l="1"/>
  <c r="BF202" i="6"/>
  <c r="BG202" i="6" s="1"/>
  <c r="AR128" i="6"/>
  <c r="AK204" i="6"/>
  <c r="AS204" i="6" s="1"/>
  <c r="BF213" i="6"/>
  <c r="BG213" i="6" s="1"/>
  <c r="AE194" i="6"/>
  <c r="AK192" i="6"/>
  <c r="AR192" i="6" s="1"/>
  <c r="AS128" i="6"/>
  <c r="BF128" i="6" s="1"/>
  <c r="BG128" i="6" s="1"/>
  <c r="AE129" i="6"/>
  <c r="AK129" i="6" s="1"/>
  <c r="F131" i="6"/>
  <c r="C132" i="6"/>
  <c r="O130" i="6"/>
  <c r="S130" i="6"/>
  <c r="N173" i="6"/>
  <c r="AG16" i="4" s="1"/>
  <c r="AG17" i="4" s="1"/>
  <c r="AG18" i="4" s="1"/>
  <c r="O175" i="6"/>
  <c r="P176" i="6" s="1"/>
  <c r="AI84" i="4" s="1"/>
  <c r="BF66" i="6"/>
  <c r="BG66" i="6" s="1"/>
  <c r="BY100" i="4"/>
  <c r="BY101" i="4" s="1"/>
  <c r="G104" i="4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G105" i="4"/>
  <c r="C227" i="6"/>
  <c r="F216" i="6"/>
  <c r="C20" i="6"/>
  <c r="F19" i="6"/>
  <c r="AB7" i="6"/>
  <c r="AT4" i="4"/>
  <c r="AI205" i="6"/>
  <c r="AK205" i="6" s="1"/>
  <c r="AS205" i="6" s="1"/>
  <c r="AO21" i="4"/>
  <c r="AO22" i="4" s="1"/>
  <c r="Q71" i="6"/>
  <c r="M71" i="6"/>
  <c r="L71" i="6"/>
  <c r="M119" i="6" s="1"/>
  <c r="N120" i="6" s="1"/>
  <c r="E69" i="4"/>
  <c r="CA31" i="4"/>
  <c r="AP20" i="4"/>
  <c r="U70" i="6"/>
  <c r="Y70" i="6" s="1"/>
  <c r="Y230" i="6"/>
  <c r="Z231" i="6" s="1"/>
  <c r="AS85" i="4" s="1"/>
  <c r="BF214" i="6"/>
  <c r="BG214" i="6" s="1"/>
  <c r="C73" i="6"/>
  <c r="F72" i="6"/>
  <c r="F206" i="6"/>
  <c r="C217" i="6"/>
  <c r="F217" i="6" s="1"/>
  <c r="BI21" i="4"/>
  <c r="BI22" i="4" s="1"/>
  <c r="AM67" i="6"/>
  <c r="AS67" i="6" s="1"/>
  <c r="Y195" i="6"/>
  <c r="AZ20" i="4"/>
  <c r="AK6" i="4"/>
  <c r="AK50" i="4"/>
  <c r="AS68" i="6"/>
  <c r="AX41" i="4"/>
  <c r="C207" i="6"/>
  <c r="C197" i="6"/>
  <c r="F196" i="6"/>
  <c r="AR68" i="6"/>
  <c r="AB13" i="4"/>
  <c r="AB14" i="4" s="1"/>
  <c r="AR204" i="6"/>
  <c r="X228" i="6"/>
  <c r="AD102" i="4"/>
  <c r="AD103" i="4"/>
  <c r="AK193" i="6"/>
  <c r="AR193" i="6" s="1"/>
  <c r="AT215" i="6"/>
  <c r="AS215" i="6"/>
  <c r="K117" i="6"/>
  <c r="AH69" i="6"/>
  <c r="AM69" i="6" s="1"/>
  <c r="BJ20" i="4"/>
  <c r="AY21" i="4"/>
  <c r="AY22" i="4" s="1"/>
  <c r="AB8" i="6"/>
  <c r="B246" i="6" s="1"/>
  <c r="AV7" i="4"/>
  <c r="AH228" i="6"/>
  <c r="AK194" i="6"/>
  <c r="AT194" i="6" s="1"/>
  <c r="AS203" i="6"/>
  <c r="BF203" i="6" s="1"/>
  <c r="BG203" i="6" s="1"/>
  <c r="AC12" i="4"/>
  <c r="X67" i="3"/>
  <c r="Y130" i="6" l="1"/>
  <c r="AE130" i="6" s="1"/>
  <c r="AT205" i="6"/>
  <c r="AT204" i="6"/>
  <c r="BF204" i="6" s="1"/>
  <c r="BG204" i="6" s="1"/>
  <c r="AS193" i="6"/>
  <c r="AS192" i="6"/>
  <c r="AT192" i="6"/>
  <c r="AS129" i="6"/>
  <c r="AR129" i="6"/>
  <c r="AT129" i="6"/>
  <c r="CA100" i="4"/>
  <c r="CA101" i="4" s="1"/>
  <c r="O173" i="6"/>
  <c r="AH16" i="4" s="1"/>
  <c r="AH17" i="4" s="1"/>
  <c r="AH18" i="4" s="1"/>
  <c r="F132" i="6"/>
  <c r="C133" i="6"/>
  <c r="BF68" i="6"/>
  <c r="BG68" i="6" s="1"/>
  <c r="S131" i="6"/>
  <c r="P131" i="6"/>
  <c r="Q175" i="6" s="1"/>
  <c r="R176" i="6" s="1"/>
  <c r="AK84" i="4" s="1"/>
  <c r="P175" i="6"/>
  <c r="Q176" i="6" s="1"/>
  <c r="AJ84" i="4" s="1"/>
  <c r="AR67" i="6"/>
  <c r="AR69" i="6"/>
  <c r="AR205" i="6"/>
  <c r="AT193" i="6"/>
  <c r="AI66" i="3"/>
  <c r="AL6" i="4"/>
  <c r="AL50" i="4"/>
  <c r="AA230" i="6"/>
  <c r="AB231" i="6" s="1"/>
  <c r="AU85" i="4" s="1"/>
  <c r="AG83" i="4"/>
  <c r="Z196" i="6"/>
  <c r="AE196" i="6" s="1"/>
  <c r="BJ21" i="4"/>
  <c r="BJ22" i="4" s="1"/>
  <c r="AD12" i="4"/>
  <c r="C208" i="6"/>
  <c r="F197" i="6"/>
  <c r="C198" i="6"/>
  <c r="U71" i="6"/>
  <c r="Y71" i="6" s="1"/>
  <c r="G106" i="4"/>
  <c r="AZ21" i="4"/>
  <c r="AZ22" i="4" s="1"/>
  <c r="AE195" i="6"/>
  <c r="U69" i="4"/>
  <c r="AI228" i="6"/>
  <c r="C218" i="6"/>
  <c r="F218" i="6" s="1"/>
  <c r="F207" i="6"/>
  <c r="AP21" i="4"/>
  <c r="AP22" i="4" s="1"/>
  <c r="Y228" i="6"/>
  <c r="Z230" i="6"/>
  <c r="AA231" i="6" s="1"/>
  <c r="AT85" i="4" s="1"/>
  <c r="AS69" i="6"/>
  <c r="C21" i="6"/>
  <c r="F20" i="6"/>
  <c r="AD104" i="4"/>
  <c r="BF215" i="6"/>
  <c r="BG215" i="6" s="1"/>
  <c r="BA41" i="4"/>
  <c r="L117" i="6"/>
  <c r="AT69" i="6"/>
  <c r="AT216" i="6"/>
  <c r="AS194" i="6"/>
  <c r="C74" i="6"/>
  <c r="F73" i="6"/>
  <c r="AU217" i="6"/>
  <c r="AR194" i="6"/>
  <c r="C228" i="6"/>
  <c r="C229" i="6" s="1"/>
  <c r="F227" i="6"/>
  <c r="AT67" i="6"/>
  <c r="BA20" i="4"/>
  <c r="AJ206" i="6"/>
  <c r="AC70" i="6"/>
  <c r="AC13" i="4"/>
  <c r="AC14" i="4" s="1"/>
  <c r="AQ20" i="4"/>
  <c r="AC8" i="6"/>
  <c r="D246" i="6" s="1"/>
  <c r="AV86" i="4"/>
  <c r="AW7" i="4"/>
  <c r="AS81" i="4"/>
  <c r="AS79" i="4"/>
  <c r="X48" i="3"/>
  <c r="AR67" i="3"/>
  <c r="AE102" i="4"/>
  <c r="AE103" i="4"/>
  <c r="Q72" i="6"/>
  <c r="M72" i="6"/>
  <c r="AC7" i="6"/>
  <c r="AU4" i="4"/>
  <c r="BF67" i="6" l="1"/>
  <c r="BG67" i="6" s="1"/>
  <c r="BF193" i="6"/>
  <c r="BG193" i="6" s="1"/>
  <c r="BF129" i="6"/>
  <c r="BG129" i="6" s="1"/>
  <c r="AK196" i="6"/>
  <c r="AT196" i="6" s="1"/>
  <c r="BF205" i="6"/>
  <c r="BG205" i="6" s="1"/>
  <c r="BF192" i="6"/>
  <c r="BG192" i="6" s="1"/>
  <c r="AK195" i="6"/>
  <c r="AS195" i="6" s="1"/>
  <c r="AS196" i="6"/>
  <c r="Y131" i="6"/>
  <c r="AE131" i="6" s="1"/>
  <c r="AK131" i="6" s="1"/>
  <c r="BF194" i="6"/>
  <c r="BG194" i="6" s="1"/>
  <c r="S132" i="6"/>
  <c r="Q132" i="6"/>
  <c r="R175" i="6" s="1"/>
  <c r="S176" i="6" s="1"/>
  <c r="AL84" i="4" s="1"/>
  <c r="AK130" i="6"/>
  <c r="F133" i="6"/>
  <c r="C134" i="6"/>
  <c r="P173" i="6"/>
  <c r="AI16" i="4" s="1"/>
  <c r="AI17" i="4" s="1"/>
  <c r="AI18" i="4" s="1"/>
  <c r="BF69" i="6"/>
  <c r="BG69" i="6" s="1"/>
  <c r="AD8" i="6"/>
  <c r="AW86" i="4"/>
  <c r="AX7" i="4"/>
  <c r="N73" i="6"/>
  <c r="Q73" i="6"/>
  <c r="C22" i="6"/>
  <c r="F21" i="6"/>
  <c r="C209" i="6"/>
  <c r="F198" i="6"/>
  <c r="C199" i="6"/>
  <c r="BA21" i="4"/>
  <c r="BA22" i="4" s="1"/>
  <c r="BG227" i="6"/>
  <c r="G108" i="4"/>
  <c r="C219" i="6"/>
  <c r="F219" i="6" s="1"/>
  <c r="F208" i="6"/>
  <c r="BD41" i="4"/>
  <c r="BF216" i="6"/>
  <c r="BG216" i="6" s="1"/>
  <c r="AK207" i="6"/>
  <c r="AT207" i="6" s="1"/>
  <c r="BB20" i="4"/>
  <c r="AH70" i="6"/>
  <c r="AM70" i="6" s="1"/>
  <c r="AS70" i="6" s="1"/>
  <c r="AT67" i="3"/>
  <c r="AU67" i="3"/>
  <c r="AV218" i="6"/>
  <c r="AC71" i="6"/>
  <c r="AH71" i="6" s="1"/>
  <c r="AM71" i="6" s="1"/>
  <c r="AR48" i="3"/>
  <c r="AL48" i="3"/>
  <c r="AE48" i="3"/>
  <c r="AA67" i="3" s="1"/>
  <c r="AJ228" i="6"/>
  <c r="BF217" i="6"/>
  <c r="BG217" i="6" s="1"/>
  <c r="AU228" i="6"/>
  <c r="F74" i="6"/>
  <c r="C75" i="6"/>
  <c r="AA197" i="6"/>
  <c r="AK206" i="6"/>
  <c r="D9" i="12"/>
  <c r="U88" i="4"/>
  <c r="U89" i="4" s="1"/>
  <c r="U105" i="4" s="1"/>
  <c r="AM6" i="4"/>
  <c r="AM50" i="4"/>
  <c r="N119" i="6"/>
  <c r="O120" i="6" s="1"/>
  <c r="M117" i="6"/>
  <c r="AE12" i="4"/>
  <c r="BO69" i="4"/>
  <c r="BY69" i="4" s="1"/>
  <c r="CA69" i="4" s="1"/>
  <c r="Z228" i="6"/>
  <c r="AR20" i="4"/>
  <c r="AD13" i="4"/>
  <c r="AD14" i="4" s="1"/>
  <c r="AQ21" i="4"/>
  <c r="AQ22" i="4" s="1"/>
  <c r="AD7" i="6"/>
  <c r="AV4" i="4"/>
  <c r="U72" i="6"/>
  <c r="AF103" i="4"/>
  <c r="AF102" i="4"/>
  <c r="AE104" i="4"/>
  <c r="AR196" i="6"/>
  <c r="BF196" i="6" l="1"/>
  <c r="BG196" i="6" s="1"/>
  <c r="AT195" i="6"/>
  <c r="AR195" i="6"/>
  <c r="AR207" i="6"/>
  <c r="Y132" i="6"/>
  <c r="AE132" i="6" s="1"/>
  <c r="AK132" i="6" s="1"/>
  <c r="AS207" i="6"/>
  <c r="BF207" i="6" s="1"/>
  <c r="BG207" i="6" s="1"/>
  <c r="AR131" i="6"/>
  <c r="AS131" i="6"/>
  <c r="F134" i="6"/>
  <c r="C135" i="6"/>
  <c r="AT130" i="6"/>
  <c r="AS130" i="6"/>
  <c r="Q173" i="6"/>
  <c r="AJ16" i="4" s="1"/>
  <c r="AJ17" i="4" s="1"/>
  <c r="AJ18" i="4" s="1"/>
  <c r="R133" i="6"/>
  <c r="S133" i="6"/>
  <c r="AT131" i="6"/>
  <c r="AR130" i="6"/>
  <c r="AF104" i="4"/>
  <c r="AR70" i="6"/>
  <c r="AS71" i="6"/>
  <c r="AE13" i="4"/>
  <c r="AE14" i="4" s="1"/>
  <c r="BC20" i="4"/>
  <c r="BF218" i="6"/>
  <c r="BG218" i="6" s="1"/>
  <c r="AV228" i="6"/>
  <c r="BG41" i="4"/>
  <c r="Y72" i="6"/>
  <c r="N117" i="6"/>
  <c r="O119" i="6"/>
  <c r="P120" i="6" s="1"/>
  <c r="AI83" i="4" s="1"/>
  <c r="F22" i="6"/>
  <c r="C23" i="6"/>
  <c r="AF12" i="4"/>
  <c r="F75" i="6"/>
  <c r="C76" i="6"/>
  <c r="C210" i="6"/>
  <c r="F199" i="6"/>
  <c r="C200" i="6"/>
  <c r="AH83" i="4"/>
  <c r="O74" i="6"/>
  <c r="Q74" i="6"/>
  <c r="AS48" i="3"/>
  <c r="AL208" i="6"/>
  <c r="AR208" i="6" s="1"/>
  <c r="AB198" i="6"/>
  <c r="AE8" i="6"/>
  <c r="F245" i="6" s="1"/>
  <c r="AY7" i="4"/>
  <c r="AT71" i="6"/>
  <c r="BB21" i="4"/>
  <c r="BB22" i="4" s="1"/>
  <c r="D26" i="12"/>
  <c r="F9" i="12"/>
  <c r="F26" i="12" s="1"/>
  <c r="F27" i="12" s="1"/>
  <c r="AR206" i="6"/>
  <c r="AS206" i="6"/>
  <c r="AT206" i="6"/>
  <c r="AW219" i="6"/>
  <c r="F209" i="6"/>
  <c r="C220" i="6"/>
  <c r="F220" i="6" s="1"/>
  <c r="AA228" i="6"/>
  <c r="AB230" i="6"/>
  <c r="AC231" i="6" s="1"/>
  <c r="AV85" i="4" s="1"/>
  <c r="Q20" i="7"/>
  <c r="G109" i="4"/>
  <c r="G110" i="4"/>
  <c r="AR71" i="6"/>
  <c r="U73" i="6"/>
  <c r="Y73" i="6" s="1"/>
  <c r="AE197" i="6"/>
  <c r="AS20" i="4"/>
  <c r="BN20" i="4"/>
  <c r="AG102" i="4"/>
  <c r="AG103" i="4"/>
  <c r="AG104" i="4" s="1"/>
  <c r="AN6" i="4"/>
  <c r="AN50" i="4"/>
  <c r="AE7" i="6"/>
  <c r="AW4" i="4"/>
  <c r="AR21" i="4"/>
  <c r="AR22" i="4" s="1"/>
  <c r="AT70" i="6"/>
  <c r="S175" i="6" l="1"/>
  <c r="T176" i="6" s="1"/>
  <c r="AM84" i="4" s="1"/>
  <c r="BF195" i="6"/>
  <c r="BG195" i="6" s="1"/>
  <c r="AT208" i="6"/>
  <c r="AS208" i="6"/>
  <c r="BF206" i="6"/>
  <c r="BG206" i="6" s="1"/>
  <c r="AR132" i="6"/>
  <c r="AT132" i="6"/>
  <c r="AS132" i="6"/>
  <c r="BF131" i="6"/>
  <c r="BG131" i="6" s="1"/>
  <c r="BF70" i="6"/>
  <c r="BG70" i="6" s="1"/>
  <c r="C146" i="6"/>
  <c r="C136" i="6"/>
  <c r="F135" i="6"/>
  <c r="Y133" i="6"/>
  <c r="AE133" i="6" s="1"/>
  <c r="AK133" i="6" s="1"/>
  <c r="S134" i="6"/>
  <c r="Y134" i="6" s="1"/>
  <c r="R173" i="6"/>
  <c r="AK16" i="4" s="1"/>
  <c r="AK17" i="4" s="1"/>
  <c r="AK18" i="4" s="1"/>
  <c r="BF130" i="6"/>
  <c r="BG130" i="6" s="1"/>
  <c r="U74" i="6"/>
  <c r="Y74" i="6" s="1"/>
  <c r="BF71" i="6"/>
  <c r="BG71" i="6" s="1"/>
  <c r="AB228" i="6"/>
  <c r="AC230" i="6"/>
  <c r="AD231" i="6" s="1"/>
  <c r="AW85" i="4" s="1"/>
  <c r="AF13" i="4"/>
  <c r="AF14" i="4" s="1"/>
  <c r="AO6" i="4"/>
  <c r="AO50" i="4"/>
  <c r="AE198" i="6"/>
  <c r="AK198" i="6" s="1"/>
  <c r="AS198" i="6" s="1"/>
  <c r="BC21" i="4"/>
  <c r="BC22" i="4" s="1"/>
  <c r="R61" i="6"/>
  <c r="AC199" i="6"/>
  <c r="AG12" i="4"/>
  <c r="S20" i="7"/>
  <c r="Q21" i="7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B15" i="2"/>
  <c r="AS21" i="4"/>
  <c r="AS22" i="4" s="1"/>
  <c r="AT20" i="4"/>
  <c r="AF7" i="6"/>
  <c r="AX4" i="4"/>
  <c r="AH102" i="4"/>
  <c r="AH103" i="4"/>
  <c r="AH104" i="4" s="1"/>
  <c r="AC73" i="6"/>
  <c r="AH73" i="6" s="1"/>
  <c r="G9" i="12"/>
  <c r="BF208" i="6"/>
  <c r="BG208" i="6" s="1"/>
  <c r="AL228" i="6"/>
  <c r="C221" i="6"/>
  <c r="F221" i="6" s="1"/>
  <c r="F210" i="6"/>
  <c r="AF8" i="6"/>
  <c r="AY86" i="4"/>
  <c r="AZ7" i="4"/>
  <c r="AV81" i="4"/>
  <c r="AV79" i="4"/>
  <c r="AK197" i="6"/>
  <c r="AT197" i="6" s="1"/>
  <c r="BN21" i="4"/>
  <c r="BN22" i="4" s="1"/>
  <c r="G111" i="4"/>
  <c r="G26" i="12"/>
  <c r="D27" i="12"/>
  <c r="G27" i="12" s="1"/>
  <c r="AC72" i="6"/>
  <c r="AH72" i="6" s="1"/>
  <c r="BO20" i="4"/>
  <c r="BK41" i="4"/>
  <c r="AX220" i="6"/>
  <c r="AT48" i="3"/>
  <c r="E57" i="4" s="1"/>
  <c r="O117" i="6"/>
  <c r="P119" i="6"/>
  <c r="Q120" i="6" s="1"/>
  <c r="AJ83" i="4" s="1"/>
  <c r="F76" i="6"/>
  <c r="C77" i="6"/>
  <c r="F23" i="6"/>
  <c r="C34" i="6"/>
  <c r="C24" i="6"/>
  <c r="C211" i="6"/>
  <c r="F200" i="6"/>
  <c r="AM209" i="6"/>
  <c r="AS209" i="6" s="1"/>
  <c r="AU48" i="3"/>
  <c r="CB57" i="4" s="1"/>
  <c r="Q75" i="6"/>
  <c r="P75" i="6"/>
  <c r="BF219" i="6"/>
  <c r="BG219" i="6" s="1"/>
  <c r="AW228" i="6"/>
  <c r="BF132" i="6" l="1"/>
  <c r="BG132" i="6" s="1"/>
  <c r="U75" i="6"/>
  <c r="AS133" i="6"/>
  <c r="AE134" i="6"/>
  <c r="AK134" i="6" s="1"/>
  <c r="T175" i="6"/>
  <c r="U176" i="6" s="1"/>
  <c r="AN84" i="4" s="1"/>
  <c r="S173" i="6"/>
  <c r="AL16" i="4" s="1"/>
  <c r="AL17" i="4" s="1"/>
  <c r="AL18" i="4" s="1"/>
  <c r="T135" i="6"/>
  <c r="Y135" i="6" s="1"/>
  <c r="AE135" i="6" s="1"/>
  <c r="AK135" i="6" s="1"/>
  <c r="AT135" i="6" s="1"/>
  <c r="AT133" i="6"/>
  <c r="C137" i="6"/>
  <c r="F136" i="6"/>
  <c r="C147" i="6"/>
  <c r="AR133" i="6"/>
  <c r="C157" i="6"/>
  <c r="F146" i="6"/>
  <c r="BE20" i="4"/>
  <c r="P117" i="6"/>
  <c r="AM228" i="6"/>
  <c r="Q119" i="6"/>
  <c r="R120" i="6" s="1"/>
  <c r="AK83" i="4" s="1"/>
  <c r="AR209" i="6"/>
  <c r="AH12" i="4"/>
  <c r="AM72" i="6"/>
  <c r="AS72" i="6" s="1"/>
  <c r="AT209" i="6"/>
  <c r="BN57" i="4"/>
  <c r="BY57" i="4" s="1"/>
  <c r="CA57" i="4" s="1"/>
  <c r="BN41" i="4"/>
  <c r="BY41" i="4" s="1"/>
  <c r="CA41" i="4" s="1"/>
  <c r="AK8" i="4"/>
  <c r="AT198" i="6"/>
  <c r="AT21" i="4"/>
  <c r="AT22" i="4" s="1"/>
  <c r="AC74" i="6"/>
  <c r="AH74" i="6" s="1"/>
  <c r="C35" i="6"/>
  <c r="C25" i="6"/>
  <c r="F24" i="6"/>
  <c r="AR198" i="6"/>
  <c r="S61" i="6"/>
  <c r="C45" i="6"/>
  <c r="F34" i="6"/>
  <c r="AG8" i="6"/>
  <c r="B247" i="6" s="1"/>
  <c r="AZ86" i="4"/>
  <c r="BA7" i="4"/>
  <c r="AD200" i="6"/>
  <c r="AE200" i="6" s="1"/>
  <c r="BF220" i="6"/>
  <c r="BG220" i="6" s="1"/>
  <c r="AX228" i="6"/>
  <c r="C222" i="6"/>
  <c r="F222" i="6" s="1"/>
  <c r="BG222" i="6" s="1"/>
  <c r="F211" i="6"/>
  <c r="AR197" i="6"/>
  <c r="AC228" i="6"/>
  <c r="AD230" i="6"/>
  <c r="AE231" i="6" s="1"/>
  <c r="AX85" i="4" s="1"/>
  <c r="AN210" i="6"/>
  <c r="AR210" i="6" s="1"/>
  <c r="B17" i="2"/>
  <c r="AE199" i="6"/>
  <c r="AP6" i="4"/>
  <c r="AP50" i="4"/>
  <c r="AU20" i="4"/>
  <c r="AM73" i="6"/>
  <c r="AS73" i="6" s="1"/>
  <c r="AG13" i="4"/>
  <c r="AG14" i="4" s="1"/>
  <c r="Y75" i="6"/>
  <c r="AC75" i="6" s="1"/>
  <c r="AI102" i="4"/>
  <c r="AI103" i="4"/>
  <c r="AI104" i="4" s="1"/>
  <c r="BP20" i="4"/>
  <c r="F77" i="6"/>
  <c r="C78" i="6"/>
  <c r="Q76" i="6"/>
  <c r="U76" i="6" s="1"/>
  <c r="Y76" i="6" s="1"/>
  <c r="BO21" i="4"/>
  <c r="BO22" i="4" s="1"/>
  <c r="AS197" i="6"/>
  <c r="BD221" i="6"/>
  <c r="BD228" i="6" s="1"/>
  <c r="BC221" i="6"/>
  <c r="BC228" i="6" s="1"/>
  <c r="BB221" i="6"/>
  <c r="BB228" i="6" s="1"/>
  <c r="BA221" i="6"/>
  <c r="BA228" i="6" s="1"/>
  <c r="AZ221" i="6"/>
  <c r="AZ228" i="6" s="1"/>
  <c r="AY221" i="6"/>
  <c r="BE221" i="6"/>
  <c r="BE228" i="6" s="1"/>
  <c r="AG7" i="6"/>
  <c r="AY4" i="4"/>
  <c r="BF209" i="6" l="1"/>
  <c r="BG209" i="6" s="1"/>
  <c r="BF198" i="6"/>
  <c r="BG198" i="6" s="1"/>
  <c r="AE230" i="6"/>
  <c r="AF231" i="6" s="1"/>
  <c r="AY85" i="4" s="1"/>
  <c r="BF133" i="6"/>
  <c r="BG133" i="6" s="1"/>
  <c r="AR134" i="6"/>
  <c r="BF134" i="6" s="1"/>
  <c r="BG134" i="6" s="1"/>
  <c r="AT134" i="6"/>
  <c r="AS134" i="6"/>
  <c r="U136" i="6"/>
  <c r="V175" i="6" s="1"/>
  <c r="W176" i="6" s="1"/>
  <c r="AP84" i="4" s="1"/>
  <c r="Y136" i="6"/>
  <c r="AE136" i="6" s="1"/>
  <c r="AK136" i="6" s="1"/>
  <c r="AT136" i="6" s="1"/>
  <c r="C148" i="6"/>
  <c r="C138" i="6"/>
  <c r="F137" i="6"/>
  <c r="U175" i="6"/>
  <c r="V176" i="6" s="1"/>
  <c r="AO84" i="4" s="1"/>
  <c r="T173" i="6"/>
  <c r="AM16" i="4" s="1"/>
  <c r="AM17" i="4" s="1"/>
  <c r="AM18" i="4" s="1"/>
  <c r="AR135" i="6"/>
  <c r="AS135" i="6"/>
  <c r="F157" i="6"/>
  <c r="C168" i="6"/>
  <c r="F168" i="6" s="1"/>
  <c r="BG168" i="6" s="1"/>
  <c r="AE146" i="6"/>
  <c r="AK146" i="6" s="1"/>
  <c r="AR146" i="6" s="1"/>
  <c r="C158" i="6"/>
  <c r="F147" i="6"/>
  <c r="AT72" i="6"/>
  <c r="B19" i="2"/>
  <c r="AH8" i="6"/>
  <c r="D247" i="6" s="1"/>
  <c r="BB7" i="4"/>
  <c r="AH13" i="4"/>
  <c r="AH14" i="4" s="1"/>
  <c r="AE228" i="6"/>
  <c r="BF221" i="6"/>
  <c r="BG221" i="6" s="1"/>
  <c r="AY228" i="6"/>
  <c r="Q117" i="6"/>
  <c r="R119" i="6"/>
  <c r="S120" i="6" s="1"/>
  <c r="AL83" i="4" s="1"/>
  <c r="BS20" i="4"/>
  <c r="AC76" i="6"/>
  <c r="AH76" i="6" s="1"/>
  <c r="AM76" i="6" s="1"/>
  <c r="AO211" i="6"/>
  <c r="AS211" i="6" s="1"/>
  <c r="AN228" i="6"/>
  <c r="T61" i="6"/>
  <c r="BP21" i="4"/>
  <c r="BP22" i="4" s="1"/>
  <c r="AT210" i="6"/>
  <c r="AM74" i="6"/>
  <c r="AS74" i="6" s="1"/>
  <c r="C56" i="6"/>
  <c r="F56" i="6" s="1"/>
  <c r="F45" i="6"/>
  <c r="BF20" i="4"/>
  <c r="BE21" i="4"/>
  <c r="BE22" i="4" s="1"/>
  <c r="AV20" i="4"/>
  <c r="BW20" i="4"/>
  <c r="AG230" i="6"/>
  <c r="AH231" i="6" s="1"/>
  <c r="BA85" i="4" s="1"/>
  <c r="AH7" i="6"/>
  <c r="AZ4" i="4"/>
  <c r="AR73" i="6"/>
  <c r="AS210" i="6"/>
  <c r="AH75" i="6"/>
  <c r="AK9" i="4"/>
  <c r="AK10" i="4" s="1"/>
  <c r="AR72" i="6"/>
  <c r="AI12" i="4"/>
  <c r="AT73" i="6"/>
  <c r="BT20" i="4"/>
  <c r="F78" i="6"/>
  <c r="C79" i="6"/>
  <c r="BU20" i="4"/>
  <c r="R77" i="6"/>
  <c r="AU21" i="4"/>
  <c r="AU22" i="4" s="1"/>
  <c r="AJ103" i="4"/>
  <c r="AJ104" i="4" s="1"/>
  <c r="AJ102" i="4"/>
  <c r="BF197" i="6"/>
  <c r="BG197" i="6" s="1"/>
  <c r="F228" i="6"/>
  <c r="BD229" i="6" s="1"/>
  <c r="AT74" i="6"/>
  <c r="BV20" i="4"/>
  <c r="AF230" i="6"/>
  <c r="AG231" i="6" s="1"/>
  <c r="AZ85" i="4" s="1"/>
  <c r="AK200" i="6"/>
  <c r="AT200" i="6" s="1"/>
  <c r="C36" i="6"/>
  <c r="F25" i="6"/>
  <c r="C26" i="6"/>
  <c r="BQ20" i="4"/>
  <c r="BX20" i="4"/>
  <c r="AQ6" i="4"/>
  <c r="AQ50" i="4"/>
  <c r="AD228" i="6"/>
  <c r="AL8" i="4"/>
  <c r="F35" i="6"/>
  <c r="C46" i="6"/>
  <c r="AK199" i="6"/>
  <c r="AS199" i="6" s="1"/>
  <c r="BF72" i="6" l="1"/>
  <c r="BG72" i="6" s="1"/>
  <c r="BE229" i="6"/>
  <c r="AR211" i="6"/>
  <c r="BF211" i="6" s="1"/>
  <c r="BG211" i="6" s="1"/>
  <c r="AT211" i="6"/>
  <c r="BF210" i="6"/>
  <c r="BG210" i="6" s="1"/>
  <c r="AT199" i="6"/>
  <c r="AT228" i="6" s="1"/>
  <c r="BF135" i="6"/>
  <c r="BG135" i="6" s="1"/>
  <c r="V137" i="6"/>
  <c r="W175" i="6" s="1"/>
  <c r="X176" i="6" s="1"/>
  <c r="AQ84" i="4" s="1"/>
  <c r="C139" i="6"/>
  <c r="C149" i="6"/>
  <c r="F138" i="6"/>
  <c r="AP157" i="6"/>
  <c r="AT157" i="6" s="1"/>
  <c r="C159" i="6"/>
  <c r="F148" i="6"/>
  <c r="AF147" i="6"/>
  <c r="C169" i="6"/>
  <c r="F169" i="6" s="1"/>
  <c r="BG169" i="6" s="1"/>
  <c r="F158" i="6"/>
  <c r="AT146" i="6"/>
  <c r="U173" i="6"/>
  <c r="AN16" i="4" s="1"/>
  <c r="AN17" i="4" s="1"/>
  <c r="AN18" i="4" s="1"/>
  <c r="AS146" i="6"/>
  <c r="AR136" i="6"/>
  <c r="BF73" i="6"/>
  <c r="BG73" i="6" s="1"/>
  <c r="AR76" i="6"/>
  <c r="AS136" i="6"/>
  <c r="AS76" i="6"/>
  <c r="AT76" i="6"/>
  <c r="BF76" i="6" s="1"/>
  <c r="BG76" i="6" s="1"/>
  <c r="AV21" i="4"/>
  <c r="AV22" i="4" s="1"/>
  <c r="B21" i="2"/>
  <c r="U21" i="2" s="1"/>
  <c r="Y21" i="2" s="1"/>
  <c r="Z21" i="2" s="1"/>
  <c r="U77" i="6"/>
  <c r="Y77" i="6" s="1"/>
  <c r="C80" i="6"/>
  <c r="C90" i="6"/>
  <c r="F79" i="6"/>
  <c r="AC229" i="6"/>
  <c r="AR74" i="6"/>
  <c r="BF74" i="6" s="1"/>
  <c r="BG74" i="6" s="1"/>
  <c r="BT21" i="4"/>
  <c r="BT22" i="4"/>
  <c r="AH230" i="6"/>
  <c r="AI7" i="6"/>
  <c r="BA4" i="4"/>
  <c r="BV21" i="4"/>
  <c r="BV22" i="4" s="1"/>
  <c r="S78" i="6"/>
  <c r="F46" i="6"/>
  <c r="C57" i="6"/>
  <c r="F57" i="6" s="1"/>
  <c r="BA229" i="6"/>
  <c r="U61" i="6"/>
  <c r="C37" i="6"/>
  <c r="C27" i="6"/>
  <c r="F26" i="6"/>
  <c r="BC229" i="6"/>
  <c r="F36" i="6"/>
  <c r="C47" i="6"/>
  <c r="BF21" i="4"/>
  <c r="BF22" i="4" s="1"/>
  <c r="BS21" i="4"/>
  <c r="BS22" i="4"/>
  <c r="AL9" i="4"/>
  <c r="AL10" i="4" s="1"/>
  <c r="BX21" i="4"/>
  <c r="AM229" i="6"/>
  <c r="AZ229" i="6"/>
  <c r="AM75" i="6"/>
  <c r="AT75" i="6" s="1"/>
  <c r="R117" i="6"/>
  <c r="S119" i="6"/>
  <c r="T120" i="6" s="1"/>
  <c r="AM83" i="4" s="1"/>
  <c r="AI13" i="4"/>
  <c r="AI14" i="4" s="1"/>
  <c r="AS200" i="6"/>
  <c r="AS228" i="6" s="1"/>
  <c r="AR200" i="6"/>
  <c r="BQ21" i="4"/>
  <c r="BQ22" i="4" s="1"/>
  <c r="BU21" i="4"/>
  <c r="BU22" i="4" s="1"/>
  <c r="BW22" i="4"/>
  <c r="BW21" i="4"/>
  <c r="AJ12" i="4"/>
  <c r="AE61" i="6"/>
  <c r="AR6" i="4"/>
  <c r="AR50" i="4"/>
  <c r="AK102" i="4"/>
  <c r="AK103" i="4"/>
  <c r="AK104" i="4" s="1"/>
  <c r="AX229" i="6"/>
  <c r="BB229" i="6"/>
  <c r="AM8" i="4"/>
  <c r="AO228" i="6"/>
  <c r="AI8" i="6"/>
  <c r="BB86" i="4"/>
  <c r="BC7" i="4"/>
  <c r="AY79" i="4"/>
  <c r="AY81" i="4"/>
  <c r="AK228" i="6"/>
  <c r="AR199" i="6"/>
  <c r="BF199" i="6" s="1"/>
  <c r="BG199" i="6" s="1"/>
  <c r="AD229" i="6"/>
  <c r="AW20" i="4"/>
  <c r="AY229" i="6"/>
  <c r="BR20" i="4"/>
  <c r="AE229" i="6"/>
  <c r="AX20" i="4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AP229" i="6"/>
  <c r="AF229" i="6"/>
  <c r="V229" i="6"/>
  <c r="AG229" i="6"/>
  <c r="W229" i="6"/>
  <c r="AQ229" i="6"/>
  <c r="X229" i="6"/>
  <c r="AH229" i="6"/>
  <c r="AI229" i="6"/>
  <c r="Y229" i="6"/>
  <c r="AJ229" i="6"/>
  <c r="Z229" i="6"/>
  <c r="AU229" i="6"/>
  <c r="AA229" i="6"/>
  <c r="AV229" i="6"/>
  <c r="AB229" i="6"/>
  <c r="AW229" i="6"/>
  <c r="AL229" i="6"/>
  <c r="AN229" i="6"/>
  <c r="BG20" i="4"/>
  <c r="AR228" i="6" l="1"/>
  <c r="AS157" i="6"/>
  <c r="AT229" i="6"/>
  <c r="BM20" i="4"/>
  <c r="BM21" i="4" s="1"/>
  <c r="BM22" i="4" s="1"/>
  <c r="BF136" i="6"/>
  <c r="BG136" i="6" s="1"/>
  <c r="BF146" i="6"/>
  <c r="BG146" i="6" s="1"/>
  <c r="AQ158" i="6"/>
  <c r="AR157" i="6"/>
  <c r="BF157" i="6" s="1"/>
  <c r="BG157" i="6" s="1"/>
  <c r="AP173" i="6"/>
  <c r="BI16" i="4" s="1"/>
  <c r="BI17" i="4" s="1"/>
  <c r="BI18" i="4" s="1"/>
  <c r="W138" i="6"/>
  <c r="Y138" i="6" s="1"/>
  <c r="C160" i="6"/>
  <c r="F149" i="6"/>
  <c r="AK147" i="6"/>
  <c r="AF173" i="6"/>
  <c r="AY16" i="4" s="1"/>
  <c r="AY17" i="4" s="1"/>
  <c r="AY18" i="4" s="1"/>
  <c r="C150" i="6"/>
  <c r="C140" i="6"/>
  <c r="F139" i="6"/>
  <c r="AG148" i="6"/>
  <c r="F159" i="6"/>
  <c r="C170" i="6"/>
  <c r="F170" i="6" s="1"/>
  <c r="BG170" i="6" s="1"/>
  <c r="Y137" i="6"/>
  <c r="V173" i="6"/>
  <c r="AO16" i="4" s="1"/>
  <c r="AO17" i="4" s="1"/>
  <c r="AO18" i="4" s="1"/>
  <c r="AR75" i="6"/>
  <c r="AS75" i="6"/>
  <c r="AS229" i="6"/>
  <c r="BL20" i="4"/>
  <c r="BF228" i="6"/>
  <c r="C38" i="6"/>
  <c r="F27" i="6"/>
  <c r="C28" i="6"/>
  <c r="AX8" i="4"/>
  <c r="AJ8" i="6"/>
  <c r="BC86" i="4"/>
  <c r="BD7" i="4"/>
  <c r="AP61" i="6"/>
  <c r="AJ13" i="4"/>
  <c r="AJ14" i="4" s="1"/>
  <c r="T79" i="6"/>
  <c r="AF61" i="6"/>
  <c r="AI230" i="6"/>
  <c r="AJ7" i="6"/>
  <c r="BB4" i="4"/>
  <c r="F90" i="6"/>
  <c r="C101" i="6"/>
  <c r="AW21" i="4"/>
  <c r="AW22" i="4" s="1"/>
  <c r="AN8" i="4"/>
  <c r="C91" i="6"/>
  <c r="C81" i="6"/>
  <c r="F80" i="6"/>
  <c r="C58" i="6"/>
  <c r="F58" i="6" s="1"/>
  <c r="F47" i="6"/>
  <c r="BR21" i="4"/>
  <c r="BR22" i="4" s="1"/>
  <c r="AR229" i="6"/>
  <c r="BK20" i="4"/>
  <c r="BF200" i="6"/>
  <c r="BG200" i="6" s="1"/>
  <c r="AK12" i="4"/>
  <c r="R232" i="6"/>
  <c r="S117" i="6"/>
  <c r="T119" i="6"/>
  <c r="U120" i="6" s="1"/>
  <c r="AN83" i="4" s="1"/>
  <c r="AM9" i="4"/>
  <c r="AM10" i="4" s="1"/>
  <c r="AL102" i="4"/>
  <c r="AL103" i="4"/>
  <c r="AL104" i="4" s="1"/>
  <c r="AI231" i="6"/>
  <c r="BB85" i="4" s="1"/>
  <c r="C48" i="6"/>
  <c r="F37" i="6"/>
  <c r="AO229" i="6"/>
  <c r="BH20" i="4"/>
  <c r="AX21" i="4"/>
  <c r="AX22" i="4" s="1"/>
  <c r="BX22" i="4"/>
  <c r="U78" i="6"/>
  <c r="BG21" i="4"/>
  <c r="BG22" i="4" s="1"/>
  <c r="AK229" i="6"/>
  <c r="BD20" i="4"/>
  <c r="AS6" i="4"/>
  <c r="AS50" i="4"/>
  <c r="AC77" i="6"/>
  <c r="AH77" i="6" s="1"/>
  <c r="X175" i="6" l="1"/>
  <c r="Y176" i="6" s="1"/>
  <c r="AR84" i="4" s="1"/>
  <c r="BY20" i="4"/>
  <c r="CA20" i="4" s="1"/>
  <c r="BF75" i="6"/>
  <c r="BG75" i="6" s="1"/>
  <c r="AT158" i="6"/>
  <c r="AQ173" i="6"/>
  <c r="BJ16" i="4" s="1"/>
  <c r="BJ17" i="4" s="1"/>
  <c r="BJ18" i="4" s="1"/>
  <c r="AK148" i="6"/>
  <c r="AS148" i="6" s="1"/>
  <c r="AG173" i="6"/>
  <c r="AZ16" i="4" s="1"/>
  <c r="AZ17" i="4" s="1"/>
  <c r="AZ18" i="4" s="1"/>
  <c r="X139" i="6"/>
  <c r="W173" i="6"/>
  <c r="AP16" i="4" s="1"/>
  <c r="AP17" i="4" s="1"/>
  <c r="AP18" i="4" s="1"/>
  <c r="AE138" i="6"/>
  <c r="AK138" i="6" s="1"/>
  <c r="F160" i="6"/>
  <c r="C171" i="6"/>
  <c r="F171" i="6" s="1"/>
  <c r="BG171" i="6" s="1"/>
  <c r="C141" i="6"/>
  <c r="C151" i="6"/>
  <c r="F140" i="6"/>
  <c r="AJ231" i="6"/>
  <c r="BC85" i="4" s="1"/>
  <c r="AS159" i="6"/>
  <c r="AR159" i="6"/>
  <c r="AT159" i="6"/>
  <c r="AS147" i="6"/>
  <c r="AR147" i="6"/>
  <c r="AT147" i="6"/>
  <c r="AR158" i="6"/>
  <c r="AE137" i="6"/>
  <c r="C161" i="6"/>
  <c r="F150" i="6"/>
  <c r="AH149" i="6"/>
  <c r="AS158" i="6"/>
  <c r="U80" i="6"/>
  <c r="AL12" i="4"/>
  <c r="S232" i="6"/>
  <c r="C92" i="6"/>
  <c r="C82" i="6"/>
  <c r="F81" i="6"/>
  <c r="C102" i="6"/>
  <c r="F91" i="6"/>
  <c r="BF229" i="6"/>
  <c r="BG228" i="6"/>
  <c r="AT6" i="4"/>
  <c r="AT50" i="4"/>
  <c r="BK21" i="4"/>
  <c r="BK22" i="4" s="1"/>
  <c r="T117" i="6"/>
  <c r="C59" i="6"/>
  <c r="F59" i="6" s="1"/>
  <c r="F48" i="6"/>
  <c r="AM102" i="4"/>
  <c r="AM103" i="4"/>
  <c r="AM104" i="4" s="1"/>
  <c r="AN9" i="4"/>
  <c r="AN10" i="4" s="1"/>
  <c r="BI8" i="4"/>
  <c r="C112" i="6"/>
  <c r="F112" i="6" s="1"/>
  <c r="BG112" i="6" s="1"/>
  <c r="F101" i="6"/>
  <c r="AY8" i="4"/>
  <c r="BL21" i="4"/>
  <c r="BL22" i="4" s="1"/>
  <c r="AK13" i="4"/>
  <c r="AK14" i="4" s="1"/>
  <c r="AK33" i="4"/>
  <c r="AE90" i="6"/>
  <c r="BH21" i="4"/>
  <c r="BH22" i="4" s="1"/>
  <c r="U79" i="6"/>
  <c r="U119" i="6" s="1"/>
  <c r="V120" i="6" s="1"/>
  <c r="AO83" i="4" s="1"/>
  <c r="AK8" i="6"/>
  <c r="F246" i="6" s="1"/>
  <c r="BE7" i="4"/>
  <c r="C39" i="6"/>
  <c r="C29" i="6"/>
  <c r="F28" i="6"/>
  <c r="BD21" i="4"/>
  <c r="BD22" i="4" s="1"/>
  <c r="W61" i="6"/>
  <c r="AJ230" i="6"/>
  <c r="AK7" i="6"/>
  <c r="BC4" i="4"/>
  <c r="F38" i="6"/>
  <c r="C49" i="6"/>
  <c r="AM77" i="6"/>
  <c r="AR77" i="6" s="1"/>
  <c r="Y78" i="6"/>
  <c r="AC78" i="6" s="1"/>
  <c r="AH78" i="6" s="1"/>
  <c r="AX9" i="4"/>
  <c r="AX10" i="4" s="1"/>
  <c r="AT138" i="6" l="1"/>
  <c r="AR138" i="6"/>
  <c r="AS138" i="6"/>
  <c r="Y139" i="6"/>
  <c r="Y175" i="6" s="1"/>
  <c r="Z176" i="6" s="1"/>
  <c r="AS84" i="4" s="1"/>
  <c r="BY21" i="4"/>
  <c r="CA21" i="4" s="1"/>
  <c r="BF158" i="6"/>
  <c r="BG158" i="6" s="1"/>
  <c r="Y140" i="6"/>
  <c r="BF147" i="6"/>
  <c r="BG147" i="6" s="1"/>
  <c r="F151" i="6"/>
  <c r="C162" i="6"/>
  <c r="F162" i="6" s="1"/>
  <c r="AU162" i="6" s="1"/>
  <c r="X173" i="6"/>
  <c r="AQ16" i="4" s="1"/>
  <c r="AQ17" i="4" s="1"/>
  <c r="AQ18" i="4" s="1"/>
  <c r="Y79" i="6"/>
  <c r="AI150" i="6"/>
  <c r="AK150" i="6" s="1"/>
  <c r="AS150" i="6" s="1"/>
  <c r="C152" i="6"/>
  <c r="F141" i="6"/>
  <c r="C142" i="6"/>
  <c r="AH173" i="6"/>
  <c r="BA16" i="4" s="1"/>
  <c r="BA17" i="4" s="1"/>
  <c r="BA18" i="4" s="1"/>
  <c r="AR148" i="6"/>
  <c r="AT148" i="6"/>
  <c r="AK137" i="6"/>
  <c r="AR137" i="6" s="1"/>
  <c r="BF159" i="6"/>
  <c r="BG159" i="6" s="1"/>
  <c r="AT160" i="6"/>
  <c r="AS160" i="6"/>
  <c r="C172" i="6"/>
  <c r="F161" i="6"/>
  <c r="AT161" i="6" s="1"/>
  <c r="BF161" i="6" s="1"/>
  <c r="BG161" i="6" s="1"/>
  <c r="AK149" i="6"/>
  <c r="AS149" i="6" s="1"/>
  <c r="AK231" i="6"/>
  <c r="BD85" i="4" s="1"/>
  <c r="BY22" i="4"/>
  <c r="CA22" i="4" s="1"/>
  <c r="F39" i="6"/>
  <c r="C50" i="6"/>
  <c r="F50" i="6" s="1"/>
  <c r="AS77" i="6"/>
  <c r="AH61" i="6"/>
  <c r="C83" i="6"/>
  <c r="F82" i="6"/>
  <c r="C93" i="6"/>
  <c r="C30" i="6"/>
  <c r="F29" i="6"/>
  <c r="C40" i="6"/>
  <c r="AL8" i="6"/>
  <c r="B248" i="6" s="1"/>
  <c r="BE86" i="4"/>
  <c r="BF7" i="4"/>
  <c r="BB81" i="4"/>
  <c r="BB79" i="4"/>
  <c r="F92" i="6"/>
  <c r="C103" i="6"/>
  <c r="AM78" i="6"/>
  <c r="AR78" i="6" s="1"/>
  <c r="AE117" i="6"/>
  <c r="AH90" i="6"/>
  <c r="AM90" i="6" s="1"/>
  <c r="AT90" i="6" s="1"/>
  <c r="AT77" i="6"/>
  <c r="V81" i="6"/>
  <c r="Y81" i="6" s="1"/>
  <c r="C60" i="6"/>
  <c r="F49" i="6"/>
  <c r="X61" i="6"/>
  <c r="AP8" i="4"/>
  <c r="AP101" i="6"/>
  <c r="AT101" i="6" s="1"/>
  <c r="AN102" i="4"/>
  <c r="AN103" i="4"/>
  <c r="AN104" i="4" s="1"/>
  <c r="AF91" i="6"/>
  <c r="AL13" i="4"/>
  <c r="AL14" i="4" s="1"/>
  <c r="AL33" i="4"/>
  <c r="V119" i="6"/>
  <c r="W120" i="6" s="1"/>
  <c r="AP83" i="4" s="1"/>
  <c r="U117" i="6"/>
  <c r="BF138" i="6"/>
  <c r="BG138" i="6" s="1"/>
  <c r="AY9" i="4"/>
  <c r="AY10" i="4" s="1"/>
  <c r="BI9" i="4"/>
  <c r="BI10" i="4" s="1"/>
  <c r="C113" i="6"/>
  <c r="F113" i="6" s="1"/>
  <c r="BG113" i="6" s="1"/>
  <c r="F102" i="6"/>
  <c r="AU6" i="4"/>
  <c r="AU50" i="4"/>
  <c r="Y80" i="6"/>
  <c r="AK230" i="6"/>
  <c r="AL231" i="6" s="1"/>
  <c r="BE85" i="4" s="1"/>
  <c r="AL7" i="6"/>
  <c r="BD4" i="4"/>
  <c r="AM12" i="4"/>
  <c r="T232" i="6"/>
  <c r="BF148" i="6" l="1"/>
  <c r="BG148" i="6" s="1"/>
  <c r="Z175" i="6"/>
  <c r="AA176" i="6" s="1"/>
  <c r="AT84" i="4" s="1"/>
  <c r="Y173" i="6"/>
  <c r="AR16" i="4" s="1"/>
  <c r="AR17" i="4" s="1"/>
  <c r="AR18" i="4" s="1"/>
  <c r="AE139" i="6"/>
  <c r="AK139" i="6" s="1"/>
  <c r="AT139" i="6" s="1"/>
  <c r="AT149" i="6"/>
  <c r="BF160" i="6"/>
  <c r="BG160" i="6" s="1"/>
  <c r="AR149" i="6"/>
  <c r="AS137" i="6"/>
  <c r="AI173" i="6"/>
  <c r="BB16" i="4" s="1"/>
  <c r="BB17" i="4" s="1"/>
  <c r="BB18" i="4" s="1"/>
  <c r="AT150" i="6"/>
  <c r="AR150" i="6"/>
  <c r="AC79" i="6"/>
  <c r="AH79" i="6" s="1"/>
  <c r="AT137" i="6"/>
  <c r="C153" i="6"/>
  <c r="C143" i="6"/>
  <c r="F142" i="6"/>
  <c r="AU173" i="6"/>
  <c r="BN16" i="4" s="1"/>
  <c r="BN17" i="4" s="1"/>
  <c r="BN18" i="4" s="1"/>
  <c r="BF162" i="6"/>
  <c r="BG162" i="6" s="1"/>
  <c r="AE140" i="6"/>
  <c r="AJ151" i="6"/>
  <c r="Z141" i="6"/>
  <c r="C173" i="6"/>
  <c r="C174" i="6" s="1"/>
  <c r="F172" i="6"/>
  <c r="BG172" i="6" s="1"/>
  <c r="C163" i="6"/>
  <c r="F163" i="6" s="1"/>
  <c r="AV163" i="6" s="1"/>
  <c r="F152" i="6"/>
  <c r="BF77" i="6"/>
  <c r="BG77" i="6" s="1"/>
  <c r="AC81" i="6"/>
  <c r="AH81" i="6" s="1"/>
  <c r="AS90" i="6"/>
  <c r="AM13" i="4"/>
  <c r="AM14" i="4" s="1"/>
  <c r="AM33" i="4"/>
  <c r="AP9" i="4"/>
  <c r="AP10" i="4" s="1"/>
  <c r="AS78" i="6"/>
  <c r="F93" i="6"/>
  <c r="C104" i="6"/>
  <c r="F83" i="6"/>
  <c r="C94" i="6"/>
  <c r="C84" i="6"/>
  <c r="AR90" i="6"/>
  <c r="AM8" i="6"/>
  <c r="D248" i="6" s="1"/>
  <c r="BF86" i="4"/>
  <c r="BG7" i="4"/>
  <c r="AF117" i="6"/>
  <c r="AP117" i="6"/>
  <c r="F103" i="6"/>
  <c r="C114" i="6"/>
  <c r="F114" i="6" s="1"/>
  <c r="BG114" i="6" s="1"/>
  <c r="AC80" i="6"/>
  <c r="AH80" i="6" s="1"/>
  <c r="AR101" i="6"/>
  <c r="AQ8" i="4"/>
  <c r="AG92" i="6"/>
  <c r="BA8" i="4"/>
  <c r="AT78" i="6"/>
  <c r="AQ102" i="6"/>
  <c r="AR102" i="6" s="1"/>
  <c r="AH91" i="6"/>
  <c r="AM91" i="6" s="1"/>
  <c r="AS101" i="6"/>
  <c r="AX12" i="4"/>
  <c r="AO102" i="4"/>
  <c r="AO103" i="4"/>
  <c r="AO104" i="4" s="1"/>
  <c r="F60" i="6"/>
  <c r="C61" i="6"/>
  <c r="W82" i="6"/>
  <c r="AL230" i="6"/>
  <c r="AM7" i="6"/>
  <c r="BE4" i="4"/>
  <c r="C51" i="6"/>
  <c r="F51" i="6" s="1"/>
  <c r="F40" i="6"/>
  <c r="AV6" i="4"/>
  <c r="AV50" i="4"/>
  <c r="AN12" i="4"/>
  <c r="U232" i="6"/>
  <c r="C41" i="6"/>
  <c r="F30" i="6"/>
  <c r="C31" i="6"/>
  <c r="Y61" i="6"/>
  <c r="AI61" i="6"/>
  <c r="V117" i="6"/>
  <c r="W119" i="6"/>
  <c r="X120" i="6" s="1"/>
  <c r="AQ83" i="4" s="1"/>
  <c r="BF150" i="6" l="1"/>
  <c r="BG150" i="6" s="1"/>
  <c r="AT102" i="6"/>
  <c r="BF137" i="6"/>
  <c r="BG137" i="6" s="1"/>
  <c r="BF149" i="6"/>
  <c r="BG149" i="6" s="1"/>
  <c r="AE141" i="6"/>
  <c r="AK141" i="6" s="1"/>
  <c r="AS141" i="6" s="1"/>
  <c r="Z173" i="6"/>
  <c r="AS16" i="4" s="1"/>
  <c r="AS17" i="4" s="1"/>
  <c r="AS18" i="4" s="1"/>
  <c r="AA175" i="6"/>
  <c r="AB176" i="6" s="1"/>
  <c r="AU84" i="4" s="1"/>
  <c r="F143" i="6"/>
  <c r="C144" i="6"/>
  <c r="C154" i="6"/>
  <c r="AM79" i="6"/>
  <c r="AR79" i="6" s="1"/>
  <c r="AK152" i="6"/>
  <c r="AR152" i="6" s="1"/>
  <c r="AS152" i="6"/>
  <c r="C164" i="6"/>
  <c r="F164" i="6" s="1"/>
  <c r="AW164" i="6" s="1"/>
  <c r="F153" i="6"/>
  <c r="BF163" i="6"/>
  <c r="BG163" i="6" s="1"/>
  <c r="AV173" i="6"/>
  <c r="BO16" i="4" s="1"/>
  <c r="BO17" i="4" s="1"/>
  <c r="BO18" i="4" s="1"/>
  <c r="AK151" i="6"/>
  <c r="AJ173" i="6"/>
  <c r="BC16" i="4" s="1"/>
  <c r="BC17" i="4" s="1"/>
  <c r="BC18" i="4" s="1"/>
  <c r="AK140" i="6"/>
  <c r="AS140" i="6" s="1"/>
  <c r="AS139" i="6"/>
  <c r="AR139" i="6"/>
  <c r="AA142" i="6"/>
  <c r="AM81" i="6"/>
  <c r="AR81" i="6" s="1"/>
  <c r="BF90" i="6"/>
  <c r="BG90" i="6" s="1"/>
  <c r="BF101" i="6"/>
  <c r="BG101" i="6" s="1"/>
  <c r="AS102" i="6"/>
  <c r="BF102" i="6" s="1"/>
  <c r="BG102" i="6" s="1"/>
  <c r="Y82" i="6"/>
  <c r="AC82" i="6" s="1"/>
  <c r="AH82" i="6" s="1"/>
  <c r="BF78" i="6"/>
  <c r="BG78" i="6" s="1"/>
  <c r="AR91" i="6"/>
  <c r="AG117" i="6"/>
  <c r="AS91" i="6"/>
  <c r="F104" i="6"/>
  <c r="C115" i="6"/>
  <c r="F115" i="6" s="1"/>
  <c r="BG115" i="6" s="1"/>
  <c r="AN13" i="4"/>
  <c r="AN14" i="4" s="1"/>
  <c r="AN33" i="4"/>
  <c r="AP102" i="4"/>
  <c r="AP103" i="4"/>
  <c r="AP104" i="4" s="1"/>
  <c r="AQ117" i="6"/>
  <c r="BI12" i="4"/>
  <c r="AP232" i="6"/>
  <c r="AH93" i="6"/>
  <c r="AH92" i="6"/>
  <c r="Z61" i="6"/>
  <c r="AW6" i="4"/>
  <c r="AW50" i="4"/>
  <c r="AX13" i="4"/>
  <c r="AX14" i="4" s="1"/>
  <c r="AJ61" i="6"/>
  <c r="AY12" i="4"/>
  <c r="AF232" i="6"/>
  <c r="C95" i="6"/>
  <c r="F84" i="6"/>
  <c r="C85" i="6"/>
  <c r="AR8" i="4"/>
  <c r="AM230" i="6"/>
  <c r="AN7" i="6"/>
  <c r="BF4" i="4"/>
  <c r="C105" i="6"/>
  <c r="F94" i="6"/>
  <c r="BB8" i="4"/>
  <c r="X83" i="6"/>
  <c r="Y83" i="6" s="1"/>
  <c r="Y119" i="6" s="1"/>
  <c r="Z120" i="6" s="1"/>
  <c r="AS83" i="4" s="1"/>
  <c r="W117" i="6"/>
  <c r="X119" i="6"/>
  <c r="Y120" i="6" s="1"/>
  <c r="AR83" i="4" s="1"/>
  <c r="AM80" i="6"/>
  <c r="AT80" i="6" s="1"/>
  <c r="C42" i="6"/>
  <c r="F31" i="6"/>
  <c r="C32" i="6"/>
  <c r="AQ9" i="4"/>
  <c r="AQ10" i="4" s="1"/>
  <c r="BA9" i="4"/>
  <c r="BA10" i="4" s="1"/>
  <c r="AS103" i="6"/>
  <c r="AR103" i="6"/>
  <c r="AT103" i="6"/>
  <c r="AN8" i="6"/>
  <c r="BH7" i="4"/>
  <c r="AT91" i="6"/>
  <c r="AO12" i="4"/>
  <c r="C52" i="6"/>
  <c r="F52" i="6" s="1"/>
  <c r="F41" i="6"/>
  <c r="AM231" i="6"/>
  <c r="BF85" i="4" s="1"/>
  <c r="C62" i="6"/>
  <c r="AT81" i="6" l="1"/>
  <c r="BF139" i="6"/>
  <c r="BG139" i="6" s="1"/>
  <c r="AR141" i="6"/>
  <c r="AS81" i="6"/>
  <c r="BF81" i="6" s="1"/>
  <c r="BG81" i="6" s="1"/>
  <c r="C165" i="6"/>
  <c r="F165" i="6" s="1"/>
  <c r="AX165" i="6" s="1"/>
  <c r="F154" i="6"/>
  <c r="F144" i="6"/>
  <c r="C155" i="6"/>
  <c r="C145" i="6"/>
  <c r="AE142" i="6"/>
  <c r="AT141" i="6"/>
  <c r="BF141" i="6" s="1"/>
  <c r="BG141" i="6" s="1"/>
  <c r="AL153" i="6"/>
  <c r="AS153" i="6" s="1"/>
  <c r="AB143" i="6"/>
  <c r="AE143" i="6" s="1"/>
  <c r="BF164" i="6"/>
  <c r="BG164" i="6" s="1"/>
  <c r="AW173" i="6"/>
  <c r="BP16" i="4" s="1"/>
  <c r="AB175" i="6"/>
  <c r="AC176" i="6" s="1"/>
  <c r="AV84" i="4" s="1"/>
  <c r="AA173" i="6"/>
  <c r="AT16" i="4" s="1"/>
  <c r="AT17" i="4" s="1"/>
  <c r="AT18" i="4" s="1"/>
  <c r="AR140" i="6"/>
  <c r="AT140" i="6"/>
  <c r="AT152" i="6"/>
  <c r="BF152" i="6" s="1"/>
  <c r="BG152" i="6" s="1"/>
  <c r="AS151" i="6"/>
  <c r="AR151" i="6"/>
  <c r="AT79" i="6"/>
  <c r="AS79" i="6"/>
  <c r="AT151" i="6"/>
  <c r="AN231" i="6"/>
  <c r="BG85" i="4" s="1"/>
  <c r="AR80" i="6"/>
  <c r="BF91" i="6"/>
  <c r="BG91" i="6" s="1"/>
  <c r="AZ12" i="4"/>
  <c r="BF103" i="6"/>
  <c r="BG103" i="6" s="1"/>
  <c r="AK61" i="6"/>
  <c r="C43" i="6"/>
  <c r="F32" i="6"/>
  <c r="C33" i="6"/>
  <c r="AP12" i="4"/>
  <c r="W232" i="6"/>
  <c r="Y84" i="6"/>
  <c r="AC84" i="6" s="1"/>
  <c r="BB9" i="4"/>
  <c r="BB10" i="4" s="1"/>
  <c r="F95" i="6"/>
  <c r="C106" i="6"/>
  <c r="F106" i="6" s="1"/>
  <c r="BN50" i="4"/>
  <c r="BY50" i="4" s="1"/>
  <c r="CA50" i="4" s="1"/>
  <c r="AM93" i="6"/>
  <c r="AS93" i="6" s="1"/>
  <c r="BJ12" i="4"/>
  <c r="AS80" i="6"/>
  <c r="AA61" i="6"/>
  <c r="F42" i="6"/>
  <c r="C53" i="6"/>
  <c r="F53" i="6" s="1"/>
  <c r="AL66" i="3"/>
  <c r="AX6" i="4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BL6" i="4" s="1"/>
  <c r="BM6" i="4" s="1"/>
  <c r="BN6" i="4" s="1"/>
  <c r="BO6" i="4" s="1"/>
  <c r="BP6" i="4" s="1"/>
  <c r="BQ6" i="4" s="1"/>
  <c r="BR6" i="4" s="1"/>
  <c r="BS6" i="4" s="1"/>
  <c r="AR9" i="4"/>
  <c r="AR10" i="4" s="1"/>
  <c r="C96" i="6"/>
  <c r="C86" i="6"/>
  <c r="F85" i="6"/>
  <c r="AO8" i="6"/>
  <c r="BH86" i="4"/>
  <c r="BI7" i="4"/>
  <c r="BE79" i="4"/>
  <c r="BE81" i="4"/>
  <c r="AI94" i="6"/>
  <c r="AM94" i="6" s="1"/>
  <c r="AR94" i="6" s="1"/>
  <c r="AS8" i="4"/>
  <c r="AQ102" i="4"/>
  <c r="AQ103" i="4"/>
  <c r="AQ104" i="4" s="1"/>
  <c r="AY13" i="4"/>
  <c r="AY14" i="4" s="1"/>
  <c r="AY33" i="4"/>
  <c r="BP17" i="4"/>
  <c r="BP18" i="4" s="1"/>
  <c r="AC83" i="6"/>
  <c r="C116" i="6"/>
  <c r="F105" i="6"/>
  <c r="AN230" i="6"/>
  <c r="AO7" i="6"/>
  <c r="BG4" i="4"/>
  <c r="BC8" i="4"/>
  <c r="AO13" i="4"/>
  <c r="AO14" i="4" s="1"/>
  <c r="AT104" i="6"/>
  <c r="AS104" i="6"/>
  <c r="X117" i="6"/>
  <c r="AM92" i="6"/>
  <c r="BI13" i="4"/>
  <c r="BI14" i="4" s="1"/>
  <c r="BI33" i="4"/>
  <c r="AM82" i="6"/>
  <c r="AS82" i="6" s="1"/>
  <c r="AR153" i="6" l="1"/>
  <c r="AC175" i="6"/>
  <c r="AD176" i="6" s="1"/>
  <c r="AW84" i="4" s="1"/>
  <c r="AK142" i="6"/>
  <c r="AS142" i="6" s="1"/>
  <c r="C156" i="6"/>
  <c r="F145" i="6"/>
  <c r="BF140" i="6"/>
  <c r="BG140" i="6" s="1"/>
  <c r="F155" i="6"/>
  <c r="C166" i="6"/>
  <c r="F166" i="6" s="1"/>
  <c r="BF79" i="6"/>
  <c r="BG79" i="6" s="1"/>
  <c r="AB173" i="6"/>
  <c r="AU16" i="4" s="1"/>
  <c r="AU17" i="4" s="1"/>
  <c r="AU18" i="4" s="1"/>
  <c r="AK143" i="6"/>
  <c r="AR143" i="6" s="1"/>
  <c r="AC144" i="6"/>
  <c r="BF151" i="6"/>
  <c r="BG151" i="6" s="1"/>
  <c r="AM154" i="6"/>
  <c r="AT154" i="6" s="1"/>
  <c r="BF80" i="6"/>
  <c r="BG80" i="6" s="1"/>
  <c r="AT153" i="6"/>
  <c r="AL173" i="6"/>
  <c r="BE16" i="4" s="1"/>
  <c r="BE17" i="4" s="1"/>
  <c r="BE18" i="4" s="1"/>
  <c r="BF165" i="6"/>
  <c r="BG165" i="6" s="1"/>
  <c r="AX173" i="6"/>
  <c r="BQ16" i="4" s="1"/>
  <c r="BQ17" i="4" s="1"/>
  <c r="BQ18" i="4" s="1"/>
  <c r="AO231" i="6"/>
  <c r="BH85" i="4" s="1"/>
  <c r="AT93" i="6"/>
  <c r="AO66" i="3"/>
  <c r="BT6" i="4"/>
  <c r="BU6" i="4" s="1"/>
  <c r="BV6" i="4" s="1"/>
  <c r="BW6" i="4" s="1"/>
  <c r="BX6" i="4" s="1"/>
  <c r="AO230" i="6"/>
  <c r="AP7" i="6"/>
  <c r="BH4" i="4"/>
  <c r="AP8" i="6"/>
  <c r="BI86" i="4"/>
  <c r="BJ7" i="4"/>
  <c r="AT8" i="4"/>
  <c r="AJ95" i="6"/>
  <c r="AM95" i="6" s="1"/>
  <c r="AT95" i="6" s="1"/>
  <c r="AH83" i="6"/>
  <c r="AM83" i="6" s="1"/>
  <c r="AS83" i="6" s="1"/>
  <c r="AT94" i="6"/>
  <c r="AU106" i="6"/>
  <c r="AI117" i="6"/>
  <c r="AP13" i="4"/>
  <c r="AP14" i="4" s="1"/>
  <c r="AP33" i="4"/>
  <c r="AR103" i="4"/>
  <c r="AR104" i="4" s="1"/>
  <c r="AR102" i="4"/>
  <c r="AR82" i="6"/>
  <c r="AZ13" i="4"/>
  <c r="AZ14" i="4" s="1"/>
  <c r="AT82" i="6"/>
  <c r="AT92" i="6"/>
  <c r="AS92" i="6"/>
  <c r="BC9" i="4"/>
  <c r="BC10" i="4" s="1"/>
  <c r="AT105" i="6"/>
  <c r="Z85" i="6"/>
  <c r="AC85" i="6" s="1"/>
  <c r="BJ13" i="4"/>
  <c r="BJ14" i="4" s="1"/>
  <c r="Y117" i="6"/>
  <c r="Z119" i="6"/>
  <c r="AA120" i="6" s="1"/>
  <c r="AT83" i="4" s="1"/>
  <c r="C44" i="6"/>
  <c r="F33" i="6"/>
  <c r="AW61" i="6"/>
  <c r="F116" i="6"/>
  <c r="C117" i="6"/>
  <c r="AS94" i="6"/>
  <c r="C97" i="6"/>
  <c r="F86" i="6"/>
  <c r="C87" i="6"/>
  <c r="BF104" i="6"/>
  <c r="BG104" i="6" s="1"/>
  <c r="AS9" i="4"/>
  <c r="AS10" i="4" s="1"/>
  <c r="AR92" i="6"/>
  <c r="C107" i="6"/>
  <c r="F107" i="6" s="1"/>
  <c r="F96" i="6"/>
  <c r="AH84" i="6"/>
  <c r="AM84" i="6" s="1"/>
  <c r="F43" i="6"/>
  <c r="C54" i="6"/>
  <c r="F54" i="6" s="1"/>
  <c r="AR93" i="6"/>
  <c r="AQ12" i="4"/>
  <c r="X232" i="6"/>
  <c r="BD8" i="4"/>
  <c r="BF94" i="6" l="1"/>
  <c r="BG94" i="6" s="1"/>
  <c r="BF153" i="6"/>
  <c r="BG153" i="6" s="1"/>
  <c r="AR142" i="6"/>
  <c r="AT143" i="6"/>
  <c r="AT142" i="6"/>
  <c r="BF142" i="6" s="1"/>
  <c r="BG142" i="6" s="1"/>
  <c r="C167" i="6"/>
  <c r="F167" i="6" s="1"/>
  <c r="BG167" i="6" s="1"/>
  <c r="F156" i="6"/>
  <c r="BF93" i="6"/>
  <c r="BG93" i="6" s="1"/>
  <c r="BE166" i="6"/>
  <c r="BE173" i="6" s="1"/>
  <c r="BB166" i="6"/>
  <c r="BB173" i="6" s="1"/>
  <c r="BC166" i="6"/>
  <c r="BC173" i="6" s="1"/>
  <c r="BA166" i="6"/>
  <c r="BA173" i="6" s="1"/>
  <c r="AZ166" i="6"/>
  <c r="AZ173" i="6" s="1"/>
  <c r="BS16" i="4" s="1"/>
  <c r="BS17" i="4" s="1"/>
  <c r="BS18" i="4" s="1"/>
  <c r="AY166" i="6"/>
  <c r="BD166" i="6"/>
  <c r="BD173" i="6" s="1"/>
  <c r="AS143" i="6"/>
  <c r="AS154" i="6"/>
  <c r="AN155" i="6"/>
  <c r="AS155" i="6" s="1"/>
  <c r="AR154" i="6"/>
  <c r="AM173" i="6"/>
  <c r="AE144" i="6"/>
  <c r="AK144" i="6" s="1"/>
  <c r="AR144" i="6" s="1"/>
  <c r="AC173" i="6"/>
  <c r="AD175" i="6"/>
  <c r="AE176" i="6" s="1"/>
  <c r="AX84" i="4" s="1"/>
  <c r="AD145" i="6"/>
  <c r="BF82" i="6"/>
  <c r="BG82" i="6" s="1"/>
  <c r="BF92" i="6"/>
  <c r="BG92" i="6" s="1"/>
  <c r="AR83" i="6"/>
  <c r="AS84" i="6"/>
  <c r="AV107" i="6"/>
  <c r="AS95" i="6"/>
  <c r="AR12" i="4"/>
  <c r="Y232" i="6"/>
  <c r="AQ8" i="6"/>
  <c r="BK7" i="4"/>
  <c r="AC61" i="6"/>
  <c r="BF105" i="6"/>
  <c r="BG105" i="6" s="1"/>
  <c r="AH85" i="6"/>
  <c r="AM85" i="6" s="1"/>
  <c r="AJ117" i="6"/>
  <c r="F87" i="6"/>
  <c r="C88" i="6"/>
  <c r="C98" i="6"/>
  <c r="F44" i="6"/>
  <c r="C55" i="6"/>
  <c r="F55" i="6" s="1"/>
  <c r="C108" i="6"/>
  <c r="F108" i="6" s="1"/>
  <c r="F97" i="6"/>
  <c r="AQ13" i="4"/>
  <c r="AQ14" i="4" s="1"/>
  <c r="AQ33" i="4"/>
  <c r="AM61" i="6"/>
  <c r="AX61" i="6"/>
  <c r="BB12" i="4"/>
  <c r="AI232" i="6"/>
  <c r="AR84" i="6"/>
  <c r="AP230" i="6"/>
  <c r="AQ231" i="6" s="1"/>
  <c r="BJ85" i="4" s="1"/>
  <c r="AQ7" i="6"/>
  <c r="BI4" i="4"/>
  <c r="BF106" i="6"/>
  <c r="BG106" i="6" s="1"/>
  <c r="AU117" i="6"/>
  <c r="BG116" i="6"/>
  <c r="AS102" i="4"/>
  <c r="AS103" i="4"/>
  <c r="AS104" i="4" s="1"/>
  <c r="BD9" i="4"/>
  <c r="BD10" i="4" s="1"/>
  <c r="C118" i="6"/>
  <c r="C232" i="6"/>
  <c r="D234" i="6" s="1"/>
  <c r="AT83" i="6"/>
  <c r="BF83" i="6" s="1"/>
  <c r="BG83" i="6" s="1"/>
  <c r="AT9" i="4"/>
  <c r="AT10" i="4" s="1"/>
  <c r="AP231" i="6"/>
  <c r="BI85" i="4" s="1"/>
  <c r="AA86" i="6"/>
  <c r="AC86" i="6" s="1"/>
  <c r="Z117" i="6"/>
  <c r="AA119" i="6"/>
  <c r="AB120" i="6" s="1"/>
  <c r="AU83" i="4" s="1"/>
  <c r="BP8" i="4"/>
  <c r="AK96" i="6"/>
  <c r="AM96" i="6" s="1"/>
  <c r="AR95" i="6"/>
  <c r="AT84" i="6"/>
  <c r="AV61" i="6" l="1"/>
  <c r="BO8" i="4" s="1"/>
  <c r="BO9" i="4" s="1"/>
  <c r="BO10" i="4" s="1"/>
  <c r="AU61" i="6"/>
  <c r="F173" i="6"/>
  <c r="J174" i="6" s="1"/>
  <c r="BF154" i="6"/>
  <c r="BG154" i="6" s="1"/>
  <c r="AZ174" i="6"/>
  <c r="F174" i="6"/>
  <c r="AP174" i="6"/>
  <c r="G174" i="6"/>
  <c r="O174" i="6"/>
  <c r="AF174" i="6"/>
  <c r="Y174" i="6"/>
  <c r="AB174" i="6"/>
  <c r="V174" i="6"/>
  <c r="I174" i="6"/>
  <c r="Q174" i="6"/>
  <c r="AG174" i="6"/>
  <c r="Z174" i="6"/>
  <c r="AA174" i="6"/>
  <c r="AX174" i="6"/>
  <c r="L174" i="6"/>
  <c r="T174" i="6"/>
  <c r="X174" i="6"/>
  <c r="AV174" i="6"/>
  <c r="AW174" i="6"/>
  <c r="AI174" i="6"/>
  <c r="M174" i="6"/>
  <c r="U174" i="6"/>
  <c r="AH174" i="6"/>
  <c r="AL174" i="6"/>
  <c r="N174" i="6"/>
  <c r="H174" i="6"/>
  <c r="AV16" i="4"/>
  <c r="AV17" i="4" s="1"/>
  <c r="AV18" i="4" s="1"/>
  <c r="BA232" i="6"/>
  <c r="BT16" i="4"/>
  <c r="BF95" i="6"/>
  <c r="BG95" i="6" s="1"/>
  <c r="BF16" i="4"/>
  <c r="AM174" i="6"/>
  <c r="BV16" i="4"/>
  <c r="BC232" i="6"/>
  <c r="BC174" i="6"/>
  <c r="AR155" i="6"/>
  <c r="AN173" i="6"/>
  <c r="BU16" i="4"/>
  <c r="BB232" i="6"/>
  <c r="BB174" i="6"/>
  <c r="AO156" i="6"/>
  <c r="AS156" i="6" s="1"/>
  <c r="AT144" i="6"/>
  <c r="BE232" i="6"/>
  <c r="BX16" i="4"/>
  <c r="BE174" i="6"/>
  <c r="AE145" i="6"/>
  <c r="AD173" i="6"/>
  <c r="BF143" i="6"/>
  <c r="BG143" i="6" s="1"/>
  <c r="AG175" i="6"/>
  <c r="AH176" i="6" s="1"/>
  <c r="BA84" i="4" s="1"/>
  <c r="BW16" i="4"/>
  <c r="BD232" i="6"/>
  <c r="AS144" i="6"/>
  <c r="AT155" i="6"/>
  <c r="BF166" i="6"/>
  <c r="BG166" i="6" s="1"/>
  <c r="AY173" i="6"/>
  <c r="AJ175" i="6"/>
  <c r="AK176" i="6" s="1"/>
  <c r="BD84" i="4" s="1"/>
  <c r="AH86" i="6"/>
  <c r="AM86" i="6" s="1"/>
  <c r="AR86" i="6" s="1"/>
  <c r="BF84" i="6"/>
  <c r="BG84" i="6" s="1"/>
  <c r="AT85" i="6"/>
  <c r="AT96" i="6"/>
  <c r="BN12" i="4"/>
  <c r="C109" i="6"/>
  <c r="F109" i="6" s="1"/>
  <c r="F98" i="6"/>
  <c r="AS85" i="6"/>
  <c r="AR85" i="6"/>
  <c r="BB13" i="4"/>
  <c r="BB14" i="4" s="1"/>
  <c r="BB33" i="4"/>
  <c r="AT102" i="4"/>
  <c r="AT103" i="4"/>
  <c r="AT104" i="4" s="1"/>
  <c r="BQ8" i="4"/>
  <c r="F88" i="6"/>
  <c r="C89" i="6"/>
  <c r="C99" i="6"/>
  <c r="AB87" i="6"/>
  <c r="BF8" i="4"/>
  <c r="AL97" i="6"/>
  <c r="AM97" i="6" s="1"/>
  <c r="AT97" i="6" s="1"/>
  <c r="BF107" i="6"/>
  <c r="BG107" i="6" s="1"/>
  <c r="AV117" i="6"/>
  <c r="AQ230" i="6"/>
  <c r="AR231" i="6" s="1"/>
  <c r="BK85" i="4" s="1"/>
  <c r="AR7" i="6"/>
  <c r="BJ4" i="4"/>
  <c r="AW108" i="6"/>
  <c r="AS96" i="6"/>
  <c r="AA117" i="6"/>
  <c r="AB119" i="6"/>
  <c r="AC120" i="6" s="1"/>
  <c r="AV83" i="4" s="1"/>
  <c r="AV8" i="4"/>
  <c r="AR96" i="6"/>
  <c r="BC12" i="4"/>
  <c r="AJ232" i="6"/>
  <c r="AR8" i="6"/>
  <c r="BK86" i="4"/>
  <c r="BL7" i="4"/>
  <c r="BH79" i="4"/>
  <c r="BH81" i="4"/>
  <c r="F61" i="6"/>
  <c r="AM62" i="6" s="1"/>
  <c r="BP9" i="4"/>
  <c r="BP10" i="4" s="1"/>
  <c r="AY61" i="6"/>
  <c r="AR13" i="4"/>
  <c r="AR14" i="4" s="1"/>
  <c r="AR33" i="4"/>
  <c r="AN61" i="6"/>
  <c r="AK117" i="6"/>
  <c r="AS12" i="4"/>
  <c r="Z232" i="6"/>
  <c r="AD61" i="6"/>
  <c r="BN8" i="4" l="1"/>
  <c r="BN9" i="4" s="1"/>
  <c r="BN10" i="4" s="1"/>
  <c r="AU232" i="6"/>
  <c r="S174" i="6"/>
  <c r="BA174" i="6"/>
  <c r="K174" i="6"/>
  <c r="W174" i="6"/>
  <c r="P174" i="6"/>
  <c r="AC174" i="6"/>
  <c r="AU174" i="6"/>
  <c r="BD174" i="6"/>
  <c r="AQ174" i="6"/>
  <c r="R174" i="6"/>
  <c r="AJ174" i="6"/>
  <c r="BF155" i="6"/>
  <c r="BG155" i="6" s="1"/>
  <c r="BF144" i="6"/>
  <c r="BG144" i="6" s="1"/>
  <c r="AY174" i="6"/>
  <c r="BR16" i="4"/>
  <c r="BR17" i="4" s="1"/>
  <c r="BR18" i="4" s="1"/>
  <c r="AE175" i="6"/>
  <c r="AF176" i="6" s="1"/>
  <c r="AY84" i="4" s="1"/>
  <c r="AI175" i="6"/>
  <c r="AJ176" i="6" s="1"/>
  <c r="BC84" i="4" s="1"/>
  <c r="AE173" i="6"/>
  <c r="BX17" i="4"/>
  <c r="BX18" i="4" s="1"/>
  <c r="BX33" i="4"/>
  <c r="BU17" i="4"/>
  <c r="BU18" i="4" s="1"/>
  <c r="BU33" i="4"/>
  <c r="AK145" i="6"/>
  <c r="BV17" i="4"/>
  <c r="BV18" i="4" s="1"/>
  <c r="BV33" i="4"/>
  <c r="BT17" i="4"/>
  <c r="BT18" i="4" s="1"/>
  <c r="BT33" i="4"/>
  <c r="AR156" i="6"/>
  <c r="BF156" i="6" s="1"/>
  <c r="BG156" i="6" s="1"/>
  <c r="AN174" i="6"/>
  <c r="BG16" i="4"/>
  <c r="AD174" i="6"/>
  <c r="AW16" i="4"/>
  <c r="BF17" i="4"/>
  <c r="BF18" i="4" s="1"/>
  <c r="AH175" i="6"/>
  <c r="AI176" i="6" s="1"/>
  <c r="BB84" i="4" s="1"/>
  <c r="BW33" i="4"/>
  <c r="BW17" i="4"/>
  <c r="BW18" i="4" s="1"/>
  <c r="AT156" i="6"/>
  <c r="AO173" i="6"/>
  <c r="AF175" i="6"/>
  <c r="AG176" i="6" s="1"/>
  <c r="AZ84" i="4" s="1"/>
  <c r="BF96" i="6"/>
  <c r="BG96" i="6" s="1"/>
  <c r="AS61" i="6"/>
  <c r="AB117" i="6"/>
  <c r="F249" i="6"/>
  <c r="D249" i="6"/>
  <c r="B249" i="6"/>
  <c r="BF9" i="4"/>
  <c r="BF10" i="4" s="1"/>
  <c r="AC87" i="6"/>
  <c r="AH87" i="6" s="1"/>
  <c r="AM87" i="6" s="1"/>
  <c r="F62" i="6"/>
  <c r="AZ62" i="6"/>
  <c r="BC62" i="6"/>
  <c r="BD62" i="6"/>
  <c r="BA62" i="6"/>
  <c r="BE62" i="6"/>
  <c r="BB62" i="6"/>
  <c r="R62" i="6"/>
  <c r="S62" i="6"/>
  <c r="T62" i="6"/>
  <c r="U62" i="6"/>
  <c r="AE62" i="6"/>
  <c r="AP62" i="6"/>
  <c r="AF62" i="6"/>
  <c r="W62" i="6"/>
  <c r="AH62" i="6"/>
  <c r="X62" i="6"/>
  <c r="AI62" i="6"/>
  <c r="Y62" i="6"/>
  <c r="Z62" i="6"/>
  <c r="AJ62" i="6"/>
  <c r="AU62" i="6"/>
  <c r="AA62" i="6"/>
  <c r="AK62" i="6"/>
  <c r="AV62" i="6"/>
  <c r="AW62" i="6"/>
  <c r="AV9" i="4"/>
  <c r="AV10" i="4" s="1"/>
  <c r="AS86" i="6"/>
  <c r="AY62" i="6"/>
  <c r="BR8" i="4"/>
  <c r="AC62" i="6"/>
  <c r="BO12" i="4"/>
  <c r="AV232" i="6"/>
  <c r="BN13" i="4"/>
  <c r="BN14" i="4" s="1"/>
  <c r="AM98" i="6"/>
  <c r="AT98" i="6" s="1"/>
  <c r="AN62" i="6"/>
  <c r="BG8" i="4"/>
  <c r="AL117" i="6"/>
  <c r="C110" i="6"/>
  <c r="F110" i="6" s="1"/>
  <c r="F99" i="6"/>
  <c r="AT86" i="6"/>
  <c r="BF85" i="6"/>
  <c r="BG85" i="6" s="1"/>
  <c r="AU102" i="4"/>
  <c r="AU103" i="4"/>
  <c r="AU104" i="4" s="1"/>
  <c r="AD62" i="6"/>
  <c r="AW8" i="4"/>
  <c r="BF108" i="6"/>
  <c r="BG108" i="6" s="1"/>
  <c r="AW117" i="6"/>
  <c r="F89" i="6"/>
  <c r="C100" i="6"/>
  <c r="BC13" i="4"/>
  <c r="BC14" i="4" s="1"/>
  <c r="BC33" i="4"/>
  <c r="AT12" i="4"/>
  <c r="AA232" i="6"/>
  <c r="AR97" i="6"/>
  <c r="AC88" i="6"/>
  <c r="AX109" i="6"/>
  <c r="BD12" i="4"/>
  <c r="AS8" i="6"/>
  <c r="BL86" i="4"/>
  <c r="BM7" i="4"/>
  <c r="AR230" i="6"/>
  <c r="AR175" i="6"/>
  <c r="AR63" i="6"/>
  <c r="AR119" i="6"/>
  <c r="AS7" i="6"/>
  <c r="BK4" i="4"/>
  <c r="AS97" i="6"/>
  <c r="BQ9" i="4"/>
  <c r="BQ10" i="4" s="1"/>
  <c r="AS13" i="4"/>
  <c r="AS14" i="4" s="1"/>
  <c r="AS33" i="4"/>
  <c r="AX62" i="6"/>
  <c r="AO61" i="6"/>
  <c r="BN33" i="4" l="1"/>
  <c r="AT61" i="6"/>
  <c r="BM8" i="4" s="1"/>
  <c r="BM9" i="4" s="1"/>
  <c r="BM10" i="4" s="1"/>
  <c r="AM175" i="6"/>
  <c r="AN176" i="6" s="1"/>
  <c r="BG84" i="4" s="1"/>
  <c r="AK173" i="6"/>
  <c r="AQ175" i="6"/>
  <c r="AR176" i="6" s="1"/>
  <c r="BK84" i="4" s="1"/>
  <c r="AO174" i="6"/>
  <c r="BH16" i="4"/>
  <c r="BH17" i="4" s="1"/>
  <c r="BH18" i="4" s="1"/>
  <c r="AW17" i="4"/>
  <c r="AP175" i="6"/>
  <c r="AQ176" i="6" s="1"/>
  <c r="BJ84" i="4" s="1"/>
  <c r="AE174" i="6"/>
  <c r="AX16" i="4"/>
  <c r="AE232" i="6"/>
  <c r="AS145" i="6"/>
  <c r="AS173" i="6" s="1"/>
  <c r="AT145" i="6"/>
  <c r="AT173" i="6" s="1"/>
  <c r="AO175" i="6"/>
  <c r="AP176" i="6" s="1"/>
  <c r="BI84" i="4" s="1"/>
  <c r="BG17" i="4"/>
  <c r="BG18" i="4" s="1"/>
  <c r="AK175" i="6"/>
  <c r="AL176" i="6" s="1"/>
  <c r="BE84" i="4" s="1"/>
  <c r="AN175" i="6"/>
  <c r="AO176" i="6" s="1"/>
  <c r="BH84" i="4" s="1"/>
  <c r="AR145" i="6"/>
  <c r="AR173" i="6" s="1"/>
  <c r="AL175" i="6"/>
  <c r="AM176" i="6" s="1"/>
  <c r="BF84" i="4" s="1"/>
  <c r="AS231" i="6"/>
  <c r="BL85" i="4" s="1"/>
  <c r="AS98" i="6"/>
  <c r="AR98" i="6"/>
  <c r="AS120" i="6"/>
  <c r="BL83" i="4" s="1"/>
  <c r="AS64" i="6"/>
  <c r="BL82" i="4" s="1"/>
  <c r="BF97" i="6"/>
  <c r="BG97" i="6" s="1"/>
  <c r="AS176" i="6"/>
  <c r="BL84" i="4" s="1"/>
  <c r="BF86" i="6"/>
  <c r="BG86" i="6" s="1"/>
  <c r="AH88" i="6"/>
  <c r="AU12" i="4"/>
  <c r="AT8" i="6"/>
  <c r="BN7" i="4"/>
  <c r="BP12" i="4"/>
  <c r="AW232" i="6"/>
  <c r="AN99" i="6"/>
  <c r="AS99" i="6" s="1"/>
  <c r="AY110" i="6"/>
  <c r="AT87" i="6"/>
  <c r="BE12" i="4"/>
  <c r="BD13" i="4"/>
  <c r="BD14" i="4" s="1"/>
  <c r="AC117" i="6"/>
  <c r="AD119" i="6"/>
  <c r="AE120" i="6" s="1"/>
  <c r="AX83" i="4" s="1"/>
  <c r="AW9" i="4"/>
  <c r="AW10" i="4" s="1"/>
  <c r="BR9" i="4"/>
  <c r="BR10" i="4" s="1"/>
  <c r="AS230" i="6"/>
  <c r="AS119" i="6"/>
  <c r="AS175" i="6"/>
  <c r="AS63" i="6"/>
  <c r="AT7" i="6"/>
  <c r="BL4" i="4"/>
  <c r="AS87" i="6"/>
  <c r="BG9" i="4"/>
  <c r="BG10" i="4" s="1"/>
  <c r="AC119" i="6"/>
  <c r="AD120" i="6" s="1"/>
  <c r="AW83" i="4" s="1"/>
  <c r="AR87" i="6"/>
  <c r="BF109" i="6"/>
  <c r="BG109" i="6" s="1"/>
  <c r="AX117" i="6"/>
  <c r="C111" i="6"/>
  <c r="F111" i="6" s="1"/>
  <c r="F100" i="6"/>
  <c r="AO62" i="6"/>
  <c r="BH8" i="4"/>
  <c r="AT13" i="4"/>
  <c r="AT14" i="4" s="1"/>
  <c r="AT33" i="4"/>
  <c r="AV103" i="4"/>
  <c r="AV104" i="4" s="1"/>
  <c r="AV102" i="4"/>
  <c r="BO13" i="4"/>
  <c r="BO14" i="4" s="1"/>
  <c r="BO33" i="4"/>
  <c r="AD89" i="6"/>
  <c r="AS62" i="6"/>
  <c r="BL8" i="4"/>
  <c r="AT62" i="6" l="1"/>
  <c r="AT99" i="6"/>
  <c r="BF145" i="6"/>
  <c r="BG145" i="6" s="1"/>
  <c r="AR174" i="6"/>
  <c r="BK16" i="4"/>
  <c r="AT176" i="6"/>
  <c r="BM84" i="4" s="1"/>
  <c r="AW18" i="4"/>
  <c r="AT174" i="6"/>
  <c r="BM16" i="4"/>
  <c r="BM17" i="4" s="1"/>
  <c r="BM18" i="4" s="1"/>
  <c r="AT120" i="6"/>
  <c r="BM83" i="4" s="1"/>
  <c r="AT231" i="6"/>
  <c r="BM85" i="4" s="1"/>
  <c r="AS174" i="6"/>
  <c r="BL16" i="4"/>
  <c r="BL17" i="4" s="1"/>
  <c r="BL18" i="4" s="1"/>
  <c r="AX33" i="4"/>
  <c r="AX17" i="4"/>
  <c r="AX18" i="4" s="1"/>
  <c r="AK174" i="6"/>
  <c r="BD16" i="4"/>
  <c r="AK232" i="6"/>
  <c r="BF173" i="6"/>
  <c r="AT64" i="6"/>
  <c r="BM82" i="4" s="1"/>
  <c r="BF98" i="6"/>
  <c r="BG98" i="6" s="1"/>
  <c r="AR99" i="6"/>
  <c r="BF99" i="6" s="1"/>
  <c r="BG99" i="6" s="1"/>
  <c r="BF87" i="6"/>
  <c r="BG87" i="6" s="1"/>
  <c r="F117" i="6"/>
  <c r="AL118" i="6" s="1"/>
  <c r="AM88" i="6"/>
  <c r="AT88" i="6" s="1"/>
  <c r="AU13" i="4"/>
  <c r="AU14" i="4" s="1"/>
  <c r="BQ12" i="4"/>
  <c r="AX232" i="6"/>
  <c r="AD117" i="6"/>
  <c r="AE119" i="6"/>
  <c r="AF120" i="6" s="1"/>
  <c r="AY83" i="4" s="1"/>
  <c r="AG119" i="6"/>
  <c r="AH120" i="6" s="1"/>
  <c r="BA83" i="4" s="1"/>
  <c r="AF119" i="6"/>
  <c r="AG120" i="6" s="1"/>
  <c r="AZ83" i="4" s="1"/>
  <c r="BP13" i="4"/>
  <c r="BP14" i="4" s="1"/>
  <c r="BP33" i="4"/>
  <c r="AN117" i="6"/>
  <c r="AT230" i="6"/>
  <c r="AT119" i="6"/>
  <c r="AT175" i="6"/>
  <c r="AT63" i="6"/>
  <c r="AU7" i="6"/>
  <c r="BM4" i="4"/>
  <c r="AU8" i="6"/>
  <c r="BN86" i="4"/>
  <c r="BO7" i="4"/>
  <c r="BK81" i="4"/>
  <c r="BK79" i="4"/>
  <c r="BE13" i="4"/>
  <c r="BE14" i="4" s="1"/>
  <c r="BL9" i="4"/>
  <c r="BL10" i="4" s="1"/>
  <c r="AC118" i="6"/>
  <c r="AV12" i="4"/>
  <c r="AC232" i="6"/>
  <c r="BF110" i="6"/>
  <c r="BG110" i="6" s="1"/>
  <c r="AY117" i="6"/>
  <c r="M118" i="6"/>
  <c r="N118" i="6"/>
  <c r="O118" i="6"/>
  <c r="P118" i="6"/>
  <c r="Q118" i="6"/>
  <c r="S118" i="6"/>
  <c r="T118" i="6"/>
  <c r="AE118" i="6"/>
  <c r="U118" i="6"/>
  <c r="AF118" i="6"/>
  <c r="AK118" i="6"/>
  <c r="F232" i="6"/>
  <c r="BH9" i="4"/>
  <c r="BH10" i="4" s="1"/>
  <c r="AO100" i="6"/>
  <c r="AR100" i="6" s="1"/>
  <c r="AH89" i="6"/>
  <c r="AW102" i="4"/>
  <c r="AW103" i="4"/>
  <c r="AW104" i="4" s="1"/>
  <c r="AZ111" i="6"/>
  <c r="L118" i="6" l="1"/>
  <c r="AA118" i="6"/>
  <c r="Y118" i="6"/>
  <c r="K118" i="6"/>
  <c r="AI118" i="6"/>
  <c r="BE118" i="6"/>
  <c r="X118" i="6"/>
  <c r="F118" i="6"/>
  <c r="H118" i="6"/>
  <c r="AJ118" i="6"/>
  <c r="G118" i="6"/>
  <c r="BA118" i="6"/>
  <c r="W118" i="6"/>
  <c r="BB118" i="6"/>
  <c r="AG118" i="6"/>
  <c r="V118" i="6"/>
  <c r="AV118" i="6"/>
  <c r="I118" i="6"/>
  <c r="Z118" i="6"/>
  <c r="BC118" i="6"/>
  <c r="AP118" i="6"/>
  <c r="AU231" i="6"/>
  <c r="BN85" i="4" s="1"/>
  <c r="BM88" i="4"/>
  <c r="BD17" i="4"/>
  <c r="BD33" i="4"/>
  <c r="BY16" i="4"/>
  <c r="CA16" i="4" s="1"/>
  <c r="AU118" i="6"/>
  <c r="AQ118" i="6"/>
  <c r="R118" i="6"/>
  <c r="J118" i="6"/>
  <c r="BD118" i="6"/>
  <c r="BF174" i="6"/>
  <c r="BG173" i="6"/>
  <c r="BK17" i="4"/>
  <c r="BK18" i="4" s="1"/>
  <c r="AX118" i="6"/>
  <c r="AB118" i="6"/>
  <c r="AW118" i="6"/>
  <c r="AS88" i="6"/>
  <c r="AR88" i="6"/>
  <c r="AN118" i="6"/>
  <c r="BG12" i="4"/>
  <c r="AN232" i="6"/>
  <c r="AI119" i="6"/>
  <c r="AJ120" i="6" s="1"/>
  <c r="BC83" i="4" s="1"/>
  <c r="AK119" i="6"/>
  <c r="AL120" i="6" s="1"/>
  <c r="BE83" i="4" s="1"/>
  <c r="AH119" i="6"/>
  <c r="AI120" i="6" s="1"/>
  <c r="BB83" i="4" s="1"/>
  <c r="AL119" i="6"/>
  <c r="AM120" i="6" s="1"/>
  <c r="BF83" i="4" s="1"/>
  <c r="AH117" i="6"/>
  <c r="AJ119" i="6"/>
  <c r="AK120" i="6" s="1"/>
  <c r="BD83" i="4" s="1"/>
  <c r="AO117" i="6"/>
  <c r="AY118" i="6"/>
  <c r="BR12" i="4"/>
  <c r="AY232" i="6"/>
  <c r="AX102" i="4"/>
  <c r="AX103" i="4"/>
  <c r="AX104" i="4" s="1"/>
  <c r="AS100" i="6"/>
  <c r="AV8" i="6"/>
  <c r="BO86" i="4"/>
  <c r="BP7" i="4"/>
  <c r="BQ13" i="4"/>
  <c r="BQ14" i="4" s="1"/>
  <c r="BQ33" i="4"/>
  <c r="AD118" i="6"/>
  <c r="AW12" i="4"/>
  <c r="AD232" i="6"/>
  <c r="AT100" i="6"/>
  <c r="AV13" i="4"/>
  <c r="AV14" i="4" s="1"/>
  <c r="AV33" i="4"/>
  <c r="AU230" i="6"/>
  <c r="AU175" i="6"/>
  <c r="AU119" i="6"/>
  <c r="AU63" i="6"/>
  <c r="AV7" i="6"/>
  <c r="BN4" i="4"/>
  <c r="AU64" i="6"/>
  <c r="BN82" i="4" s="1"/>
  <c r="AU176" i="6"/>
  <c r="BN84" i="4" s="1"/>
  <c r="AU120" i="6"/>
  <c r="BN83" i="4" s="1"/>
  <c r="AM89" i="6"/>
  <c r="AQ119" i="6" s="1"/>
  <c r="AR120" i="6" s="1"/>
  <c r="BK83" i="4" s="1"/>
  <c r="BF111" i="6"/>
  <c r="BG111" i="6" s="1"/>
  <c r="AZ117" i="6"/>
  <c r="AV120" i="6" l="1"/>
  <c r="BO83" i="4" s="1"/>
  <c r="AV64" i="6"/>
  <c r="BO82" i="4" s="1"/>
  <c r="AV176" i="6"/>
  <c r="BO84" i="4" s="1"/>
  <c r="BD18" i="4"/>
  <c r="BY18" i="4" s="1"/>
  <c r="CA18" i="4" s="1"/>
  <c r="BY17" i="4"/>
  <c r="CA17" i="4" s="1"/>
  <c r="BF88" i="6"/>
  <c r="BG88" i="6" s="1"/>
  <c r="AW13" i="4"/>
  <c r="AW14" i="4" s="1"/>
  <c r="AW33" i="4"/>
  <c r="AO118" i="6"/>
  <c r="BH12" i="4"/>
  <c r="AO232" i="6"/>
  <c r="AV230" i="6"/>
  <c r="AV175" i="6"/>
  <c r="AV119" i="6"/>
  <c r="AV63" i="6"/>
  <c r="AW7" i="6"/>
  <c r="BO4" i="4"/>
  <c r="BF100" i="6"/>
  <c r="BG100" i="6" s="1"/>
  <c r="AP119" i="6"/>
  <c r="AQ120" i="6" s="1"/>
  <c r="BJ83" i="4" s="1"/>
  <c r="BG13" i="4"/>
  <c r="BG14" i="4" s="1"/>
  <c r="BG33" i="4"/>
  <c r="AT89" i="6"/>
  <c r="AT117" i="6" s="1"/>
  <c r="AV231" i="6"/>
  <c r="BO85" i="4" s="1"/>
  <c r="AY102" i="4"/>
  <c r="AY103" i="4"/>
  <c r="AY104" i="4" s="1"/>
  <c r="AM119" i="6"/>
  <c r="AN120" i="6" s="1"/>
  <c r="BG83" i="4" s="1"/>
  <c r="AM117" i="6"/>
  <c r="AN119" i="6"/>
  <c r="AO120" i="6" s="1"/>
  <c r="BH83" i="4" s="1"/>
  <c r="AW8" i="6"/>
  <c r="BQ7" i="4"/>
  <c r="AR89" i="6"/>
  <c r="AH118" i="6"/>
  <c r="BA12" i="4"/>
  <c r="AH232" i="6"/>
  <c r="AO119" i="6"/>
  <c r="AP120" i="6" s="1"/>
  <c r="BI83" i="4" s="1"/>
  <c r="AS89" i="6"/>
  <c r="AS117" i="6" s="1"/>
  <c r="BR13" i="4"/>
  <c r="BR14" i="4" s="1"/>
  <c r="BR33" i="4"/>
  <c r="AZ118" i="6"/>
  <c r="BS12" i="4"/>
  <c r="AZ232" i="6"/>
  <c r="BO88" i="4" l="1"/>
  <c r="BO89" i="4" s="1"/>
  <c r="AW120" i="6"/>
  <c r="BP83" i="4" s="1"/>
  <c r="AS118" i="6"/>
  <c r="BL12" i="4"/>
  <c r="AS232" i="6"/>
  <c r="BS13" i="4"/>
  <c r="BS14" i="4" s="1"/>
  <c r="BS33" i="4"/>
  <c r="AM118" i="6"/>
  <c r="BF12" i="4"/>
  <c r="AM232" i="6"/>
  <c r="AZ102" i="4"/>
  <c r="AZ103" i="4"/>
  <c r="BA13" i="4"/>
  <c r="BA14" i="4" s="1"/>
  <c r="BA33" i="4"/>
  <c r="AW230" i="6"/>
  <c r="AW119" i="6"/>
  <c r="AW175" i="6"/>
  <c r="AW63" i="6"/>
  <c r="AX7" i="6"/>
  <c r="BP4" i="4"/>
  <c r="BH13" i="4"/>
  <c r="BH14" i="4" s="1"/>
  <c r="BH33" i="4"/>
  <c r="BF89" i="6"/>
  <c r="BG89" i="6" s="1"/>
  <c r="AR117" i="6"/>
  <c r="BF117" i="6" s="1"/>
  <c r="AW64" i="6"/>
  <c r="BP82" i="4" s="1"/>
  <c r="AX8" i="6"/>
  <c r="BQ86" i="4"/>
  <c r="BR7" i="4"/>
  <c r="BN81" i="4"/>
  <c r="BN79" i="4"/>
  <c r="AW176" i="6"/>
  <c r="BP84" i="4" s="1"/>
  <c r="AT118" i="6"/>
  <c r="BM12" i="4"/>
  <c r="AT232" i="6"/>
  <c r="AW231" i="6"/>
  <c r="BP85" i="4" s="1"/>
  <c r="AX64" i="6" l="1"/>
  <c r="BQ82" i="4" s="1"/>
  <c r="AX120" i="6"/>
  <c r="BQ83" i="4" s="1"/>
  <c r="AX231" i="6"/>
  <c r="BQ85" i="4" s="1"/>
  <c r="AY8" i="6"/>
  <c r="BR86" i="4"/>
  <c r="BS7" i="4"/>
  <c r="BF13" i="4"/>
  <c r="BF14" i="4" s="1"/>
  <c r="BF33" i="4"/>
  <c r="BP88" i="4"/>
  <c r="BP89" i="4" s="1"/>
  <c r="AR118" i="6"/>
  <c r="BK12" i="4"/>
  <c r="AX176" i="6"/>
  <c r="BQ84" i="4" s="1"/>
  <c r="BA102" i="4"/>
  <c r="BA103" i="4"/>
  <c r="BL13" i="4"/>
  <c r="BL14" i="4" s="1"/>
  <c r="AX230" i="6"/>
  <c r="AX175" i="6"/>
  <c r="AX119" i="6"/>
  <c r="AX63" i="6"/>
  <c r="AY7" i="6"/>
  <c r="BQ4" i="4"/>
  <c r="BM13" i="4"/>
  <c r="BM14" i="4" s="1"/>
  <c r="BF118" i="6"/>
  <c r="BG117" i="6"/>
  <c r="AZ104" i="4"/>
  <c r="AY231" i="6" l="1"/>
  <c r="BR85" i="4" s="1"/>
  <c r="AY64" i="6"/>
  <c r="BR82" i="4" s="1"/>
  <c r="AY120" i="6"/>
  <c r="BR83" i="4" s="1"/>
  <c r="AY176" i="6"/>
  <c r="BR84" i="4" s="1"/>
  <c r="BA104" i="4"/>
  <c r="BK13" i="4"/>
  <c r="BY13" i="4" s="1"/>
  <c r="CA13" i="4" s="1"/>
  <c r="BY12" i="4"/>
  <c r="AZ8" i="6"/>
  <c r="BT7" i="4"/>
  <c r="AY230" i="6"/>
  <c r="AY175" i="6"/>
  <c r="AY119" i="6"/>
  <c r="AY63" i="6"/>
  <c r="AZ7" i="6"/>
  <c r="BR4" i="4"/>
  <c r="BB102" i="4"/>
  <c r="BB103" i="4"/>
  <c r="AZ64" i="6" l="1"/>
  <c r="BS82" i="4" s="1"/>
  <c r="BB104" i="4"/>
  <c r="BR88" i="4"/>
  <c r="BR89" i="4" s="1"/>
  <c r="AZ231" i="6"/>
  <c r="BS85" i="4" s="1"/>
  <c r="AZ176" i="6"/>
  <c r="BS84" i="4" s="1"/>
  <c r="AZ120" i="6"/>
  <c r="BS83" i="4" s="1"/>
  <c r="BA8" i="6"/>
  <c r="BT86" i="4"/>
  <c r="BU7" i="4"/>
  <c r="BQ81" i="4"/>
  <c r="BY81" i="4" s="1"/>
  <c r="E81" i="4" s="1"/>
  <c r="CA81" i="4" s="1"/>
  <c r="BQ79" i="4"/>
  <c r="BY79" i="4" s="1"/>
  <c r="E79" i="4" s="1"/>
  <c r="CA79" i="4" s="1"/>
  <c r="CA12" i="4"/>
  <c r="BC102" i="4"/>
  <c r="BC103" i="4"/>
  <c r="BK14" i="4"/>
  <c r="BY14" i="4" s="1"/>
  <c r="CA14" i="4" s="1"/>
  <c r="AZ230" i="6"/>
  <c r="AZ175" i="6"/>
  <c r="AZ119" i="6"/>
  <c r="AZ63" i="6"/>
  <c r="BA7" i="6"/>
  <c r="BS4" i="4"/>
  <c r="BA231" i="6" l="1"/>
  <c r="BT85" i="4" s="1"/>
  <c r="BA176" i="6"/>
  <c r="BT84" i="4" s="1"/>
  <c r="BA120" i="6"/>
  <c r="BT83" i="4" s="1"/>
  <c r="BA64" i="6"/>
  <c r="BT82" i="4" s="1"/>
  <c r="BC104" i="4"/>
  <c r="BA230" i="6"/>
  <c r="BA175" i="6"/>
  <c r="BA119" i="6"/>
  <c r="BA63" i="6"/>
  <c r="BB7" i="6"/>
  <c r="BT4" i="4"/>
  <c r="BD103" i="4"/>
  <c r="BD102" i="4"/>
  <c r="BB8" i="6"/>
  <c r="BU86" i="4"/>
  <c r="BV7" i="4"/>
  <c r="BD104" i="4" l="1"/>
  <c r="BT88" i="4"/>
  <c r="BT89" i="4" s="1"/>
  <c r="BB120" i="6"/>
  <c r="BU83" i="4" s="1"/>
  <c r="BB64" i="6"/>
  <c r="BU82" i="4" s="1"/>
  <c r="BB176" i="6"/>
  <c r="BU84" i="4" s="1"/>
  <c r="BE103" i="4"/>
  <c r="BE104" i="4" s="1"/>
  <c r="BE102" i="4"/>
  <c r="BB231" i="6"/>
  <c r="BU85" i="4" s="1"/>
  <c r="BB230" i="6"/>
  <c r="BB175" i="6"/>
  <c r="BB119" i="6"/>
  <c r="BB63" i="6"/>
  <c r="BC7" i="6"/>
  <c r="BU4" i="4"/>
  <c r="BC8" i="6"/>
  <c r="BW7" i="4"/>
  <c r="BC176" i="6" l="1"/>
  <c r="BV84" i="4" s="1"/>
  <c r="BC231" i="6"/>
  <c r="BV85" i="4" s="1"/>
  <c r="BF102" i="4"/>
  <c r="BF103" i="4"/>
  <c r="BD8" i="6"/>
  <c r="BW86" i="4"/>
  <c r="BX7" i="4"/>
  <c r="BC230" i="6"/>
  <c r="BC175" i="6"/>
  <c r="BC119" i="6"/>
  <c r="BC63" i="6"/>
  <c r="BD7" i="6"/>
  <c r="BV4" i="4"/>
  <c r="BU88" i="4"/>
  <c r="BU89" i="4" s="1"/>
  <c r="BC64" i="6"/>
  <c r="BV82" i="4" s="1"/>
  <c r="BC120" i="6"/>
  <c r="BV83" i="4" s="1"/>
  <c r="BD64" i="6" l="1"/>
  <c r="BW82" i="4" s="1"/>
  <c r="BD176" i="6"/>
  <c r="BW84" i="4" s="1"/>
  <c r="BD120" i="6"/>
  <c r="BW83" i="4" s="1"/>
  <c r="BD231" i="6"/>
  <c r="BW85" i="4" s="1"/>
  <c r="BE8" i="6"/>
  <c r="BX86" i="4"/>
  <c r="BD230" i="6"/>
  <c r="BD175" i="6"/>
  <c r="BD119" i="6"/>
  <c r="BD63" i="6"/>
  <c r="BE7" i="6"/>
  <c r="BW4" i="4"/>
  <c r="BF104" i="4"/>
  <c r="BG102" i="4"/>
  <c r="BG103" i="4"/>
  <c r="BE120" i="6" l="1"/>
  <c r="BX83" i="4" s="1"/>
  <c r="BY83" i="4" s="1"/>
  <c r="E83" i="4" s="1"/>
  <c r="CA83" i="4" s="1"/>
  <c r="BE176" i="6"/>
  <c r="BF176" i="6" s="1"/>
  <c r="BW88" i="4"/>
  <c r="BW89" i="4" s="1"/>
  <c r="BE231" i="6"/>
  <c r="BX85" i="4" s="1"/>
  <c r="BY85" i="4" s="1"/>
  <c r="BE64" i="6"/>
  <c r="BX82" i="4" s="1"/>
  <c r="BE230" i="6"/>
  <c r="BE119" i="6"/>
  <c r="BE63" i="6"/>
  <c r="BE175" i="6"/>
  <c r="BX4" i="4"/>
  <c r="BH103" i="4"/>
  <c r="BH102" i="4"/>
  <c r="BG104" i="4"/>
  <c r="BX84" i="4" l="1"/>
  <c r="BY84" i="4" s="1"/>
  <c r="E84" i="4" s="1"/>
  <c r="CA84" i="4" s="1"/>
  <c r="BF120" i="6"/>
  <c r="BF231" i="6"/>
  <c r="BH104" i="4"/>
  <c r="E85" i="4"/>
  <c r="CA85" i="4" s="1"/>
  <c r="BI102" i="4"/>
  <c r="BI103" i="4"/>
  <c r="BX88" i="4" l="1"/>
  <c r="BX89" i="4" s="1"/>
  <c r="X51" i="3"/>
  <c r="AR51" i="3" s="1"/>
  <c r="BJ102" i="4"/>
  <c r="BJ103" i="4"/>
  <c r="BI104" i="4"/>
  <c r="BJ104" i="4" s="1"/>
  <c r="X46" i="3" l="1"/>
  <c r="AQ51" i="3"/>
  <c r="AU51" i="3"/>
  <c r="AT51" i="3"/>
  <c r="BK102" i="4"/>
  <c r="BK103" i="4"/>
  <c r="BK104" i="4" s="1"/>
  <c r="BL102" i="4" l="1"/>
  <c r="BL103" i="4"/>
  <c r="BL104" i="4" s="1"/>
  <c r="BM102" i="4" l="1"/>
  <c r="BM103" i="4"/>
  <c r="BN102" i="4" l="1"/>
  <c r="BN103" i="4"/>
  <c r="BM104" i="4"/>
  <c r="BN104" i="4" l="1"/>
  <c r="BO102" i="4"/>
  <c r="BO103" i="4"/>
  <c r="BO105" i="4" s="1"/>
  <c r="BP103" i="4" l="1"/>
  <c r="BP105" i="4" s="1"/>
  <c r="BP102" i="4"/>
  <c r="BO104" i="4"/>
  <c r="BP104" i="4" l="1"/>
  <c r="BQ102" i="4"/>
  <c r="BQ103" i="4"/>
  <c r="BQ104" i="4" l="1"/>
  <c r="BR102" i="4"/>
  <c r="BR103" i="4"/>
  <c r="BR105" i="4" s="1"/>
  <c r="BS102" i="4" l="1"/>
  <c r="BS103" i="4"/>
  <c r="BR104" i="4"/>
  <c r="BS104" i="4" l="1"/>
  <c r="BT103" i="4"/>
  <c r="BT105" i="4" s="1"/>
  <c r="BT102" i="4"/>
  <c r="BU102" i="4" l="1"/>
  <c r="BU103" i="4"/>
  <c r="BU105" i="4" s="1"/>
  <c r="BT104" i="4"/>
  <c r="BU104" i="4" l="1"/>
  <c r="BV102" i="4"/>
  <c r="BV103" i="4"/>
  <c r="BV104" i="4" s="1"/>
  <c r="BW102" i="4" l="1"/>
  <c r="BW103" i="4"/>
  <c r="BW105" i="4" s="1"/>
  <c r="BX102" i="4" l="1"/>
  <c r="BX103" i="4"/>
  <c r="BW104" i="4"/>
  <c r="BY103" i="4" l="1"/>
  <c r="E103" i="4" s="1"/>
  <c r="BX105" i="4"/>
  <c r="BX104" i="4"/>
  <c r="CA103" i="4" l="1"/>
  <c r="X70" i="3"/>
  <c r="AR70" i="3" s="1"/>
  <c r="AT70" i="3" s="1"/>
  <c r="X25" i="3" l="1"/>
  <c r="AQ25" i="3" s="1"/>
  <c r="AR26" i="3"/>
  <c r="AS26" i="3" s="1"/>
  <c r="AD25" i="3" l="1"/>
  <c r="AU26" i="3" l="1"/>
  <c r="CB39" i="4" s="1"/>
  <c r="AT26" i="3"/>
  <c r="E39" i="4"/>
  <c r="BK39" i="4" l="1"/>
  <c r="BN39" i="4" s="1"/>
  <c r="BY39" i="4" l="1"/>
  <c r="CA39" i="4" l="1"/>
  <c r="X41" i="3"/>
  <c r="AR41" i="3" l="1"/>
  <c r="AQ41" i="3"/>
  <c r="X40" i="3"/>
  <c r="AS41" i="3" l="1"/>
  <c r="AU41" i="3" s="1"/>
  <c r="CB51" i="4" s="1"/>
  <c r="AT41" i="3" l="1"/>
  <c r="E51" i="4"/>
  <c r="AQ51" i="4" l="1"/>
  <c r="BI51" i="4"/>
  <c r="AE51" i="4"/>
  <c r="AC51" i="4"/>
  <c r="AM51" i="4"/>
  <c r="AW51" i="4"/>
  <c r="AY51" i="4"/>
  <c r="AK51" i="4"/>
  <c r="BA51" i="4"/>
  <c r="BG51" i="4"/>
  <c r="AS51" i="4"/>
  <c r="BE51" i="4"/>
  <c r="AU51" i="4"/>
  <c r="BC51" i="4"/>
  <c r="AG51" i="4"/>
  <c r="AI51" i="4"/>
  <c r="AA51" i="4"/>
  <c r="AO51" i="4"/>
  <c r="AR61" i="3"/>
  <c r="BK51" i="4" l="1"/>
  <c r="BN51" i="4" s="1"/>
  <c r="AS61" i="3"/>
  <c r="E67" i="4" s="1"/>
  <c r="BY51" i="4" l="1"/>
  <c r="CA51" i="4" s="1"/>
  <c r="AU61" i="3"/>
  <c r="CB67" i="4" s="1"/>
  <c r="Y67" i="4"/>
  <c r="BK67" i="4" s="1"/>
  <c r="AS15" i="3"/>
  <c r="X63" i="3"/>
  <c r="AT61" i="3"/>
  <c r="Y88" i="4"/>
  <c r="Y89" i="4" s="1"/>
  <c r="Y105" i="4" s="1"/>
  <c r="BY67" i="4" l="1"/>
  <c r="CA67" i="4" s="1"/>
  <c r="AR63" i="3"/>
  <c r="X60" i="3"/>
  <c r="AS63" i="3"/>
  <c r="AQ60" i="3" l="1"/>
  <c r="AT63" i="3"/>
  <c r="D5" i="6" l="1"/>
  <c r="BF60" i="6"/>
  <c r="BG60" i="6" s="1"/>
  <c r="BF59" i="6"/>
  <c r="BG59" i="6" s="1"/>
  <c r="BF57" i="6"/>
  <c r="BG57" i="6" s="1"/>
  <c r="BF56" i="6"/>
  <c r="BG56" i="6" s="1"/>
  <c r="BF54" i="6"/>
  <c r="BG54" i="6" s="1"/>
  <c r="BF51" i="6"/>
  <c r="BG51" i="6" s="1"/>
  <c r="BF49" i="6"/>
  <c r="BG49" i="6" s="1"/>
  <c r="BF48" i="6"/>
  <c r="BG48" i="6" s="1"/>
  <c r="P61" i="6"/>
  <c r="O61" i="6"/>
  <c r="N61" i="6"/>
  <c r="M61" i="6"/>
  <c r="K61" i="6"/>
  <c r="J61" i="6"/>
  <c r="I61" i="6"/>
  <c r="H61" i="6"/>
  <c r="AA8" i="4" l="1"/>
  <c r="H232" i="6"/>
  <c r="H62" i="6"/>
  <c r="AC8" i="4"/>
  <c r="J232" i="6"/>
  <c r="J62" i="6"/>
  <c r="AH8" i="4"/>
  <c r="O232" i="6"/>
  <c r="O62" i="6"/>
  <c r="BF47" i="6"/>
  <c r="BG47" i="6" s="1"/>
  <c r="BF58" i="6"/>
  <c r="BG58" i="6" s="1"/>
  <c r="BF42" i="6"/>
  <c r="BG42" i="6" s="1"/>
  <c r="AB8" i="4"/>
  <c r="I232" i="6"/>
  <c r="I62" i="6"/>
  <c r="AD8" i="4"/>
  <c r="K232" i="6"/>
  <c r="K62" i="6"/>
  <c r="AF8" i="4"/>
  <c r="M232" i="6"/>
  <c r="M62" i="6"/>
  <c r="BF52" i="6"/>
  <c r="BG52" i="6" s="1"/>
  <c r="BF55" i="6"/>
  <c r="BG55" i="6" s="1"/>
  <c r="BF45" i="6"/>
  <c r="BG45" i="6" s="1"/>
  <c r="AR61" i="6"/>
  <c r="BF43" i="6"/>
  <c r="BG43" i="6" s="1"/>
  <c r="BF44" i="6"/>
  <c r="BG44" i="6" s="1"/>
  <c r="AG8" i="4"/>
  <c r="N232" i="6"/>
  <c r="N62" i="6"/>
  <c r="BF50" i="6"/>
  <c r="BG50" i="6" s="1"/>
  <c r="BF41" i="6"/>
  <c r="BG41" i="6" s="1"/>
  <c r="H63" i="6"/>
  <c r="I64" i="6" s="1"/>
  <c r="AI8" i="4"/>
  <c r="P232" i="6"/>
  <c r="P62" i="6"/>
  <c r="BF53" i="6"/>
  <c r="BG53" i="6" s="1"/>
  <c r="AG9" i="4" l="1"/>
  <c r="AG10" i="4" s="1"/>
  <c r="AG33" i="4"/>
  <c r="AH9" i="4"/>
  <c r="AH10" i="4" s="1"/>
  <c r="AH33" i="4"/>
  <c r="AQ61" i="6"/>
  <c r="AR62" i="6"/>
  <c r="BK8" i="4"/>
  <c r="AR232" i="6"/>
  <c r="AC9" i="4"/>
  <c r="AC10" i="4" s="1"/>
  <c r="AC33" i="4"/>
  <c r="AB82" i="4"/>
  <c r="BF46" i="6"/>
  <c r="BG46" i="6" s="1"/>
  <c r="AF9" i="4"/>
  <c r="AF10" i="4" s="1"/>
  <c r="AF33" i="4"/>
  <c r="AI9" i="4"/>
  <c r="AI10" i="4" s="1"/>
  <c r="AI33" i="4"/>
  <c r="AA9" i="4"/>
  <c r="AA10" i="4" s="1"/>
  <c r="AA33" i="4"/>
  <c r="AD9" i="4"/>
  <c r="AD10" i="4" s="1"/>
  <c r="AD33" i="4"/>
  <c r="AB9" i="4"/>
  <c r="AB10" i="4" s="1"/>
  <c r="AB33" i="4"/>
  <c r="AB88" i="4" l="1"/>
  <c r="AB89" i="4" s="1"/>
  <c r="AB105" i="4" s="1"/>
  <c r="BK9" i="4"/>
  <c r="BK10" i="4" s="1"/>
  <c r="BJ8" i="4"/>
  <c r="AQ232" i="6"/>
  <c r="AQ62" i="6"/>
  <c r="BJ9" i="4" l="1"/>
  <c r="BJ10" i="4" s="1"/>
  <c r="BJ33" i="4"/>
  <c r="BF37" i="6" l="1"/>
  <c r="BG37" i="6" s="1"/>
  <c r="BF36" i="6"/>
  <c r="BG36" i="6" s="1"/>
  <c r="BF38" i="6"/>
  <c r="BG38" i="6" s="1"/>
  <c r="BF35" i="6"/>
  <c r="BG35" i="6" s="1"/>
  <c r="BF34" i="6"/>
  <c r="BG34" i="6" s="1"/>
  <c r="K63" i="6"/>
  <c r="L64" i="6" s="1"/>
  <c r="AE82" i="4" s="1"/>
  <c r="AE88" i="4" s="1"/>
  <c r="I63" i="6"/>
  <c r="J64" i="6" s="1"/>
  <c r="J63" i="6"/>
  <c r="K64" i="6" s="1"/>
  <c r="AD82" i="4" s="1"/>
  <c r="G61" i="6"/>
  <c r="G232" i="6" s="1"/>
  <c r="I236" i="6" l="1"/>
  <c r="H236" i="6"/>
  <c r="G236" i="6"/>
  <c r="G239" i="6" s="1"/>
  <c r="AC82" i="4"/>
  <c r="G62" i="6"/>
  <c r="Z8" i="4"/>
  <c r="Z9" i="4" l="1"/>
  <c r="Z10" i="4" s="1"/>
  <c r="Z33" i="4"/>
  <c r="Z116" i="4"/>
  <c r="Z115" i="4"/>
  <c r="AA115" i="4" s="1"/>
  <c r="AB115" i="4" s="1"/>
  <c r="AC115" i="4" s="1"/>
  <c r="AD115" i="4" s="1"/>
  <c r="G237" i="6"/>
  <c r="G238" i="6"/>
  <c r="H239" i="6"/>
  <c r="H238" i="6"/>
  <c r="H237" i="6"/>
  <c r="G241" i="6"/>
  <c r="G240" i="6"/>
  <c r="J236" i="6"/>
  <c r="AC88" i="4"/>
  <c r="AC89" i="4" s="1"/>
  <c r="AC105" i="4" s="1"/>
  <c r="I237" i="6"/>
  <c r="I238" i="6"/>
  <c r="I239" i="6"/>
  <c r="Z118" i="4" l="1"/>
  <c r="H240" i="6"/>
  <c r="H241" i="6"/>
  <c r="J239" i="6"/>
  <c r="J238" i="6"/>
  <c r="J237" i="6"/>
  <c r="K236" i="6"/>
  <c r="I240" i="6"/>
  <c r="I241" i="6"/>
  <c r="J240" i="6" l="1"/>
  <c r="J241" i="6"/>
  <c r="K238" i="6"/>
  <c r="K239" i="6"/>
  <c r="K237" i="6"/>
  <c r="Z121" i="4"/>
  <c r="AA118" i="4"/>
  <c r="K240" i="6" l="1"/>
  <c r="K241" i="6"/>
  <c r="AB118" i="4"/>
  <c r="AA119" i="4"/>
  <c r="AA127" i="4" l="1"/>
  <c r="AA124" i="4" s="1"/>
  <c r="AC118" i="4"/>
  <c r="AA76" i="4" l="1"/>
  <c r="AA130" i="4"/>
  <c r="AA121" i="4"/>
  <c r="AB121" i="4"/>
  <c r="AB120" i="4"/>
  <c r="AA120" i="4"/>
  <c r="AC120" i="4"/>
  <c r="AC121" i="4"/>
  <c r="AD118" i="4"/>
  <c r="AD119" i="4" l="1"/>
  <c r="AA77" i="4"/>
  <c r="AA116" i="4"/>
  <c r="AB116" i="4" s="1"/>
  <c r="AC116" i="4" s="1"/>
  <c r="AD127" i="4" l="1"/>
  <c r="AA88" i="4"/>
  <c r="AA89" i="4" s="1"/>
  <c r="AA105" i="4" s="1"/>
  <c r="AE120" i="4" l="1"/>
  <c r="AD120" i="4"/>
  <c r="AF120" i="4"/>
  <c r="AG127" i="4"/>
  <c r="AD124" i="4"/>
  <c r="AI120" i="4" l="1"/>
  <c r="AD76" i="4"/>
  <c r="AD121" i="4"/>
  <c r="AD130" i="4"/>
  <c r="AJ127" i="4"/>
  <c r="AM127" i="4" s="1"/>
  <c r="AH120" i="4"/>
  <c r="AG120" i="4"/>
  <c r="AL120" i="4"/>
  <c r="AD116" i="4" l="1"/>
  <c r="AD77" i="4"/>
  <c r="AD88" i="4" s="1"/>
  <c r="AD89" i="4" s="1"/>
  <c r="AD105" i="4" s="1"/>
  <c r="AO120" i="4"/>
  <c r="AM120" i="4"/>
  <c r="AK120" i="4"/>
  <c r="AP127" i="4"/>
  <c r="AS127" i="4" s="1"/>
  <c r="AJ120" i="4"/>
  <c r="AN120" i="4"/>
  <c r="AS120" i="4" l="1"/>
  <c r="AR120" i="4"/>
  <c r="AV127" i="4"/>
  <c r="AU120" i="4"/>
  <c r="AT120" i="4"/>
  <c r="AP120" i="4"/>
  <c r="AQ120" i="4"/>
  <c r="AX120" i="4" l="1"/>
  <c r="AY127" i="4"/>
  <c r="AW120" i="4"/>
  <c r="AV120" i="4"/>
  <c r="AZ120" i="4" l="1"/>
  <c r="AY120" i="4"/>
  <c r="BA120" i="4"/>
  <c r="BB127" i="4"/>
  <c r="BD120" i="4" l="1"/>
  <c r="BB120" i="4"/>
  <c r="BC120" i="4"/>
  <c r="BE127" i="4"/>
  <c r="BG120" i="4" l="1"/>
  <c r="BH127" i="4"/>
  <c r="BE120" i="4"/>
  <c r="BF120" i="4"/>
  <c r="BY127" i="4" l="1"/>
  <c r="BJ120" i="4"/>
  <c r="BH120" i="4"/>
  <c r="BI120" i="4"/>
  <c r="BG33" i="6" l="1"/>
  <c r="BF33" i="6"/>
  <c r="BF32" i="6"/>
  <c r="BG32" i="6" s="1"/>
  <c r="BF39" i="6"/>
  <c r="BG39" i="6"/>
  <c r="BG40" i="6"/>
  <c r="BF40" i="6"/>
  <c r="BK33" i="4" l="1"/>
  <c r="BM33" i="4"/>
  <c r="BM89" i="4" s="1"/>
  <c r="BM105" i="4" s="1"/>
  <c r="BL33" i="4"/>
  <c r="AM121" i="4"/>
  <c r="AM119" i="4"/>
  <c r="AM130" i="4"/>
  <c r="V238" i="6"/>
  <c r="V236" i="6"/>
  <c r="V237" i="6"/>
  <c r="BG21" i="6"/>
  <c r="BF21" i="6"/>
  <c r="BG22" i="6"/>
  <c r="BF22" i="6"/>
  <c r="BL77" i="4"/>
  <c r="BL76" i="4"/>
  <c r="AM82" i="4"/>
  <c r="T64" i="6"/>
  <c r="S63" i="6"/>
  <c r="AT116" i="4"/>
  <c r="AS116" i="4"/>
  <c r="AT115" i="4"/>
  <c r="AS115" i="4"/>
  <c r="AR115" i="4"/>
  <c r="AQ115" i="4"/>
  <c r="AP115" i="4"/>
  <c r="AO115" i="4"/>
  <c r="AB18" i="6"/>
  <c r="Q18" i="6"/>
  <c r="AL18" i="6"/>
  <c r="AG18" i="6"/>
  <c r="V18" i="6"/>
  <c r="X241" i="6"/>
  <c r="X239" i="6"/>
  <c r="X240" i="6"/>
  <c r="L18" i="6"/>
  <c r="BF18" i="6"/>
  <c r="BG18" i="6"/>
  <c r="AF121" i="4"/>
  <c r="AN63" i="6"/>
  <c r="AO64" i="6"/>
  <c r="BH82" i="4"/>
  <c r="AF241" i="6"/>
  <c r="AF239" i="6"/>
  <c r="AF240" i="6"/>
  <c r="BK82" i="4"/>
  <c r="AR64" i="6"/>
  <c r="AQ63" i="6"/>
  <c r="AF237" i="6"/>
  <c r="AF236" i="6"/>
  <c r="AF238" i="6"/>
  <c r="BG10" i="6"/>
  <c r="BF10" i="6"/>
  <c r="V24" i="6"/>
  <c r="AB24" i="6"/>
  <c r="AL24" i="6"/>
  <c r="AG24" i="6"/>
  <c r="Q24" i="6"/>
  <c r="P241" i="6"/>
  <c r="P239" i="6"/>
  <c r="P240" i="6"/>
  <c r="AD240" i="6"/>
  <c r="AD239" i="6"/>
  <c r="AD241" i="6"/>
  <c r="AF63" i="6"/>
  <c r="AG64" i="6"/>
  <c r="AZ82" i="4"/>
  <c r="AZ88" i="4"/>
  <c r="AB238" i="6"/>
  <c r="AB236" i="6"/>
  <c r="AB237" i="6"/>
  <c r="L24" i="6"/>
  <c r="BF24" i="6"/>
  <c r="BG24" i="6"/>
  <c r="BG239" i="6"/>
  <c r="BF239" i="6"/>
  <c r="Z237" i="6"/>
  <c r="Z238" i="6"/>
  <c r="AG121" i="4"/>
  <c r="AG130" i="4"/>
  <c r="BG15" i="6"/>
  <c r="BF15" i="6"/>
  <c r="AJ130" i="4"/>
  <c r="AJ119" i="4"/>
  <c r="AJ121" i="4"/>
  <c r="BG14" i="6"/>
  <c r="BF14" i="6"/>
  <c r="BG25" i="6"/>
  <c r="BF25" i="6"/>
  <c r="AU115" i="4"/>
  <c r="AV115" i="4"/>
  <c r="AW115" i="4"/>
  <c r="AX115" i="4"/>
  <c r="AY115" i="4"/>
  <c r="AF116" i="4"/>
  <c r="AE116" i="4"/>
  <c r="AN116" i="4"/>
  <c r="AM116" i="4"/>
  <c r="AP116" i="4"/>
  <c r="AQ116" i="4"/>
  <c r="AR116" i="4"/>
  <c r="O238" i="6"/>
  <c r="O237" i="6"/>
  <c r="BE82" i="4"/>
  <c r="AL64" i="6"/>
  <c r="AK63" i="6"/>
  <c r="O240" i="6"/>
  <c r="O236" i="6"/>
  <c r="O239" i="6"/>
  <c r="O241" i="6"/>
  <c r="P237" i="6"/>
  <c r="P236" i="6"/>
  <c r="P238" i="6"/>
  <c r="AD237" i="6"/>
  <c r="AD236" i="6"/>
  <c r="AD238" i="6"/>
  <c r="BG19" i="6"/>
  <c r="BF19" i="6"/>
  <c r="Q15" i="6"/>
  <c r="AL15" i="6"/>
  <c r="AG15" i="6"/>
  <c r="V15" i="6"/>
  <c r="L15" i="6"/>
  <c r="AB15" i="6"/>
  <c r="AS82" i="4"/>
  <c r="Z64" i="6"/>
  <c r="Y63" i="6"/>
  <c r="AN121" i="4"/>
  <c r="N238" i="6"/>
  <c r="N237" i="6"/>
  <c r="AS121" i="4"/>
  <c r="AS119" i="4"/>
  <c r="AS130" i="4"/>
  <c r="CA76" i="4"/>
  <c r="BY76" i="4"/>
  <c r="AA63" i="6"/>
  <c r="AB64" i="6"/>
  <c r="AU82" i="4"/>
  <c r="AU88" i="4"/>
  <c r="BG13" i="6"/>
  <c r="BF13" i="6"/>
  <c r="AJ124" i="4"/>
  <c r="AJ76" i="4"/>
  <c r="AJ88" i="4"/>
  <c r="AP82" i="4"/>
  <c r="W64" i="6"/>
  <c r="V63" i="6"/>
  <c r="S238" i="6"/>
  <c r="S237" i="6"/>
  <c r="AL121" i="4"/>
  <c r="AI115" i="4"/>
  <c r="AH115" i="4"/>
  <c r="AG115" i="4"/>
  <c r="AF115" i="4"/>
  <c r="AE115" i="4"/>
  <c r="N241" i="6"/>
  <c r="N236" i="6"/>
  <c r="N239" i="6"/>
  <c r="N240" i="6"/>
  <c r="BB82" i="4"/>
  <c r="AI64" i="6"/>
  <c r="AH63" i="6"/>
  <c r="Q240" i="6"/>
  <c r="Q232" i="6"/>
  <c r="Q239" i="6"/>
  <c r="Q241" i="6"/>
  <c r="AJ116" i="4"/>
  <c r="AK116" i="4"/>
  <c r="AL116" i="4"/>
  <c r="BG20" i="6"/>
  <c r="BF20" i="6"/>
  <c r="AK121" i="4"/>
  <c r="AH121" i="4"/>
  <c r="X238" i="6"/>
  <c r="X236" i="6"/>
  <c r="X237" i="6"/>
  <c r="Q12" i="6"/>
  <c r="V12" i="6"/>
  <c r="AB12" i="6"/>
  <c r="AG12" i="6"/>
  <c r="AL12" i="6"/>
  <c r="Q237" i="6"/>
  <c r="Q236" i="6"/>
  <c r="Q238" i="6"/>
  <c r="U63" i="6"/>
  <c r="V64" i="6"/>
  <c r="AO82" i="4"/>
  <c r="AO88" i="4"/>
  <c r="L12" i="6"/>
  <c r="BF12" i="6"/>
  <c r="BG12" i="6"/>
  <c r="AI121" i="4"/>
  <c r="S240" i="6"/>
  <c r="S236" i="6"/>
  <c r="S239" i="6"/>
  <c r="S241" i="6"/>
  <c r="AV121" i="4"/>
  <c r="AV119" i="4"/>
  <c r="AV130" i="4"/>
  <c r="R240" i="6"/>
  <c r="R239" i="6"/>
  <c r="R241" i="6"/>
  <c r="Q62" i="6"/>
  <c r="AX116" i="4"/>
  <c r="AW116" i="4"/>
  <c r="AV116" i="4"/>
  <c r="BG17" i="6"/>
  <c r="BF17" i="6"/>
  <c r="AU121" i="4"/>
  <c r="BG23" i="6"/>
  <c r="BF23" i="6"/>
  <c r="AA238" i="6"/>
  <c r="AA237" i="6"/>
  <c r="M238" i="6"/>
  <c r="M237" i="6"/>
  <c r="BG11" i="6"/>
  <c r="BF11" i="6"/>
  <c r="Y240" i="6"/>
  <c r="Y239" i="6"/>
  <c r="Y241" i="6"/>
  <c r="AC241" i="6"/>
  <c r="AC239" i="6"/>
  <c r="AC240" i="6"/>
  <c r="M241" i="6"/>
  <c r="M236" i="6"/>
  <c r="M239" i="6"/>
  <c r="M240" i="6"/>
  <c r="BG16" i="6"/>
  <c r="BF16" i="6"/>
  <c r="AB20" i="6"/>
  <c r="V20" i="6"/>
  <c r="AL20" i="6"/>
  <c r="AG20" i="6"/>
  <c r="L20" i="6"/>
  <c r="Q20" i="6"/>
  <c r="AC237" i="6"/>
  <c r="AC236" i="6"/>
  <c r="AC238" i="6"/>
  <c r="AE121" i="4"/>
  <c r="AA241" i="6"/>
  <c r="AA236" i="6"/>
  <c r="AA239" i="6"/>
  <c r="AA240" i="6"/>
  <c r="Y237" i="6"/>
  <c r="Y236" i="6"/>
  <c r="Y238" i="6"/>
  <c r="V16" i="6"/>
  <c r="AG16" i="6"/>
  <c r="Q16" i="6"/>
  <c r="AB16" i="6"/>
  <c r="L16" i="6"/>
  <c r="AL16" i="6"/>
  <c r="V241" i="6"/>
  <c r="V232" i="6"/>
  <c r="V239" i="6"/>
  <c r="V240" i="6"/>
  <c r="P63" i="6"/>
  <c r="Q64" i="6"/>
  <c r="AJ82" i="4"/>
  <c r="AE237" i="6"/>
  <c r="AE238" i="6"/>
  <c r="AY82" i="4"/>
  <c r="AF64" i="6"/>
  <c r="AE63" i="6"/>
  <c r="M63" i="6"/>
  <c r="N64" i="6"/>
  <c r="AG82" i="4"/>
  <c r="AE240" i="6"/>
  <c r="AE236" i="6"/>
  <c r="AE239" i="6"/>
  <c r="AE241" i="6"/>
  <c r="AB22" i="6"/>
  <c r="AG22" i="6"/>
  <c r="AL22" i="6"/>
  <c r="V22" i="6"/>
  <c r="L22" i="6"/>
  <c r="Q22" i="6"/>
  <c r="AR121" i="4"/>
  <c r="AO121" i="4"/>
  <c r="AQ121" i="4"/>
  <c r="U238" i="6"/>
  <c r="U237" i="6"/>
  <c r="R237" i="6"/>
  <c r="R236" i="6"/>
  <c r="R238" i="6"/>
  <c r="AT121" i="4"/>
  <c r="AL26" i="6"/>
  <c r="V26" i="6"/>
  <c r="AG26" i="6"/>
  <c r="AB26" i="6"/>
  <c r="Q26" i="6"/>
  <c r="T241" i="6"/>
  <c r="T239" i="6"/>
  <c r="T240" i="6"/>
  <c r="V62" i="6"/>
  <c r="AG116" i="4"/>
  <c r="AH116" i="4"/>
  <c r="AI116" i="4"/>
  <c r="AP119" i="4"/>
  <c r="AP130" i="4"/>
  <c r="AP121" i="4"/>
  <c r="AN115" i="4"/>
  <c r="AJ115" i="4"/>
  <c r="AK115" i="4"/>
  <c r="AL115" i="4"/>
  <c r="AM115" i="4"/>
  <c r="AB62" i="6"/>
  <c r="L26" i="6"/>
  <c r="BF26" i="6"/>
  <c r="BG26" i="6"/>
  <c r="T238" i="6"/>
  <c r="T236" i="6"/>
  <c r="T237" i="6"/>
  <c r="AB241" i="6"/>
  <c r="AB232" i="6"/>
  <c r="AB239" i="6"/>
  <c r="AB240" i="6"/>
  <c r="AB63" i="6"/>
  <c r="AC64" i="6"/>
  <c r="AV82" i="4"/>
  <c r="BG29" i="6"/>
  <c r="BF29" i="6"/>
  <c r="AB29" i="6"/>
  <c r="AL17" i="6"/>
  <c r="Q17" i="6"/>
  <c r="AG17" i="6"/>
  <c r="AB17" i="6"/>
  <c r="L17" i="6"/>
  <c r="V17" i="6"/>
  <c r="V11" i="6"/>
  <c r="AG11" i="6"/>
  <c r="AL11" i="6"/>
  <c r="Q11" i="6"/>
  <c r="L11" i="6"/>
  <c r="AB11" i="6"/>
  <c r="Z240" i="6"/>
  <c r="Z236" i="6"/>
  <c r="Z239" i="6"/>
  <c r="Z241" i="6"/>
  <c r="W240" i="6"/>
  <c r="W239" i="6"/>
  <c r="W241" i="6"/>
  <c r="AB19" i="6"/>
  <c r="AG19" i="6"/>
  <c r="V19" i="6"/>
  <c r="AL19" i="6"/>
  <c r="L19" i="6"/>
  <c r="Q19" i="6"/>
  <c r="AG23" i="6"/>
  <c r="AL23" i="6"/>
  <c r="AB23" i="6"/>
  <c r="V23" i="6"/>
  <c r="L23" i="6"/>
  <c r="Q23" i="6"/>
  <c r="Q25" i="6"/>
  <c r="AG25" i="6"/>
  <c r="V25" i="6"/>
  <c r="AL25" i="6"/>
  <c r="L25" i="6"/>
  <c r="AB25" i="6"/>
  <c r="U241" i="6"/>
  <c r="U236" i="6"/>
  <c r="U239" i="6"/>
  <c r="U240" i="6"/>
  <c r="AG13" i="6"/>
  <c r="Q13" i="6"/>
  <c r="AB13" i="6"/>
  <c r="AL13" i="6"/>
  <c r="L13" i="6"/>
  <c r="V13" i="6"/>
  <c r="W238" i="6"/>
  <c r="W236" i="6"/>
  <c r="W237" i="6"/>
  <c r="Q14" i="6"/>
  <c r="AL14" i="6"/>
  <c r="AG14" i="6"/>
  <c r="AB14" i="6"/>
  <c r="L14" i="6"/>
  <c r="V14" i="6"/>
  <c r="AB21" i="6"/>
  <c r="AG21" i="6"/>
  <c r="AL21" i="6"/>
  <c r="Q21" i="6"/>
  <c r="L21" i="6"/>
  <c r="V21" i="6"/>
  <c r="BG30" i="6"/>
  <c r="BF30" i="6"/>
  <c r="AB30" i="6"/>
  <c r="BX110" i="4"/>
  <c r="BX108" i="4"/>
  <c r="BX106" i="4"/>
  <c r="AO240" i="6"/>
  <c r="AO239" i="6"/>
  <c r="AO241" i="6"/>
  <c r="AP241" i="6"/>
  <c r="AP239" i="6"/>
  <c r="AP240" i="6"/>
  <c r="AM110" i="4"/>
  <c r="AM105" i="4"/>
  <c r="AM89" i="4"/>
  <c r="AM124" i="4"/>
  <c r="AM76" i="4"/>
  <c r="AM88" i="4"/>
  <c r="CA77" i="4"/>
  <c r="AF108" i="4"/>
  <c r="BL110" i="4"/>
  <c r="BL105" i="4"/>
  <c r="BL89" i="4"/>
  <c r="BL88" i="4"/>
  <c r="AZ237" i="6"/>
  <c r="AZ238" i="6"/>
  <c r="AU86" i="4"/>
  <c r="AT87" i="4"/>
  <c r="AZ241" i="6"/>
  <c r="AZ236" i="6"/>
  <c r="AZ239" i="6"/>
  <c r="AZ240" i="6"/>
  <c r="AW121" i="4"/>
  <c r="AV108" i="4"/>
  <c r="K24" i="7"/>
  <c r="L24" i="7"/>
  <c r="I24" i="7"/>
  <c r="F24" i="7"/>
  <c r="H24" i="7"/>
  <c r="M24" i="7"/>
  <c r="M26" i="7"/>
  <c r="L26" i="7"/>
  <c r="K26" i="7"/>
  <c r="F26" i="7"/>
  <c r="H26" i="7"/>
  <c r="I26" i="7"/>
  <c r="AL110" i="4"/>
  <c r="AL105" i="4"/>
  <c r="AL89" i="4"/>
  <c r="AL88" i="4"/>
  <c r="AL82" i="4"/>
  <c r="S64" i="6"/>
  <c r="R63" i="6"/>
  <c r="AL122" i="4"/>
  <c r="BY90" i="4"/>
  <c r="BY89" i="4"/>
  <c r="AU241" i="6"/>
  <c r="AU239" i="6"/>
  <c r="AU240" i="6"/>
  <c r="BG232" i="6"/>
  <c r="BF232" i="6"/>
  <c r="CA86" i="4"/>
  <c r="E86" i="4"/>
  <c r="BY86" i="4"/>
  <c r="CA87" i="4"/>
  <c r="AO238" i="6"/>
  <c r="AO236" i="6"/>
  <c r="AO237" i="6"/>
  <c r="BC108" i="4"/>
  <c r="O27" i="7"/>
  <c r="K27" i="7"/>
  <c r="I27" i="7"/>
  <c r="L27" i="7"/>
  <c r="F27" i="7"/>
  <c r="H27" i="7"/>
  <c r="M27" i="7"/>
  <c r="X29" i="7"/>
  <c r="Y29" i="7"/>
  <c r="N29" i="7"/>
  <c r="P29" i="7"/>
  <c r="S29" i="7"/>
  <c r="U29" i="7"/>
  <c r="V29" i="7"/>
  <c r="W23" i="7"/>
  <c r="E23" i="7"/>
  <c r="W30" i="7"/>
  <c r="E30" i="7"/>
  <c r="C30" i="7"/>
  <c r="L23" i="7"/>
  <c r="I23" i="7"/>
  <c r="K23" i="7"/>
  <c r="H23" i="7"/>
  <c r="M23" i="7"/>
  <c r="AO63" i="6"/>
  <c r="AP64" i="6"/>
  <c r="BI82" i="4"/>
  <c r="BI88" i="4"/>
  <c r="BI89" i="4"/>
  <c r="BI105" i="4"/>
  <c r="BI110" i="4"/>
  <c r="O17" i="2"/>
  <c r="Q17" i="2"/>
  <c r="U17" i="2"/>
  <c r="Y17" i="2"/>
  <c r="Z17" i="2"/>
  <c r="AU238" i="6"/>
  <c r="AU236" i="6"/>
  <c r="AU237" i="6"/>
  <c r="J31" i="7"/>
  <c r="J21" i="7"/>
  <c r="J28" i="7"/>
  <c r="J25" i="7"/>
  <c r="J27" i="7"/>
  <c r="J24" i="7"/>
  <c r="J29" i="7"/>
  <c r="J30" i="7"/>
  <c r="J23" i="7"/>
  <c r="J26" i="7"/>
  <c r="J20" i="7"/>
  <c r="C8" i="7"/>
  <c r="J22" i="7"/>
  <c r="AM241" i="6"/>
  <c r="AM239" i="6"/>
  <c r="AM240" i="6"/>
  <c r="BC240" i="6"/>
  <c r="BC239" i="6"/>
  <c r="BC241" i="6"/>
  <c r="W21" i="7"/>
  <c r="E21" i="7"/>
  <c r="X19" i="2"/>
  <c r="V19" i="2"/>
  <c r="P110" i="4"/>
  <c r="P108" i="4"/>
  <c r="BY88" i="4"/>
  <c r="BY60" i="4"/>
  <c r="Q108" i="4"/>
  <c r="X15" i="2"/>
  <c r="V15" i="2"/>
  <c r="BE108" i="4"/>
  <c r="O110" i="4"/>
  <c r="O108" i="4"/>
  <c r="AH122" i="4"/>
  <c r="BS110" i="4"/>
  <c r="BS105" i="4"/>
  <c r="BS89" i="4"/>
  <c r="BS88" i="4"/>
  <c r="BS86" i="4"/>
  <c r="BR87" i="4"/>
  <c r="W22" i="7"/>
  <c r="E22" i="7"/>
  <c r="AP108" i="4"/>
  <c r="BJ110" i="4"/>
  <c r="BJ105" i="4"/>
  <c r="BJ89" i="4"/>
  <c r="BJ88" i="4"/>
  <c r="BJ82" i="4"/>
  <c r="AQ64" i="6"/>
  <c r="AP63" i="6"/>
  <c r="CA9" i="4"/>
  <c r="BY9" i="4"/>
  <c r="AN241" i="6"/>
  <c r="AN239" i="6"/>
  <c r="AN240" i="6"/>
  <c r="AY119" i="4"/>
  <c r="AY130" i="4"/>
  <c r="AY121" i="4"/>
  <c r="BC110" i="4"/>
  <c r="BC105" i="4"/>
  <c r="BC89" i="4"/>
  <c r="BC88" i="4"/>
  <c r="BC82" i="4"/>
  <c r="AJ64" i="6"/>
  <c r="AI63" i="6"/>
  <c r="W20" i="7"/>
  <c r="E20" i="7"/>
  <c r="BA108" i="4"/>
  <c r="BF110" i="4"/>
  <c r="BF105" i="4"/>
  <c r="BF89" i="4"/>
  <c r="BF88" i="4"/>
  <c r="BF82" i="4"/>
  <c r="AM64" i="6"/>
  <c r="AL63" i="6"/>
  <c r="AQ122" i="4"/>
  <c r="AH110" i="4"/>
  <c r="AH105" i="4"/>
  <c r="AH89" i="4"/>
  <c r="AH88" i="4"/>
  <c r="AH82" i="4"/>
  <c r="O64" i="6"/>
  <c r="N63" i="6"/>
  <c r="BV108" i="4"/>
  <c r="K108" i="4"/>
  <c r="K110" i="4"/>
  <c r="AZ115" i="4"/>
  <c r="BA115" i="4"/>
  <c r="BB115" i="4"/>
  <c r="BC115" i="4"/>
  <c r="BD115" i="4"/>
  <c r="S110" i="4"/>
  <c r="S108" i="4"/>
  <c r="BD110" i="4"/>
  <c r="AJ63" i="6"/>
  <c r="AK64" i="6"/>
  <c r="BD82" i="4"/>
  <c r="BD88" i="4"/>
  <c r="BD89" i="4"/>
  <c r="BD105" i="4"/>
  <c r="AX240" i="6"/>
  <c r="AX239" i="6"/>
  <c r="AX241" i="6"/>
  <c r="AI86" i="4"/>
  <c r="AH87" i="4"/>
  <c r="AL108" i="4"/>
  <c r="BE116" i="4"/>
  <c r="BF116" i="4"/>
  <c r="BG116" i="4"/>
  <c r="AX86" i="4"/>
  <c r="AW87" i="4"/>
  <c r="AJ110" i="4"/>
  <c r="AJ105" i="4"/>
  <c r="AJ89" i="4"/>
  <c r="AJ33" i="4"/>
  <c r="BA116" i="4"/>
  <c r="AZ116" i="4"/>
  <c r="BF122" i="4"/>
  <c r="Z122" i="4"/>
  <c r="Z112" i="4"/>
  <c r="AX237" i="6"/>
  <c r="AX236" i="6"/>
  <c r="AX238" i="6"/>
  <c r="BB241" i="6"/>
  <c r="BB239" i="6"/>
  <c r="BB240" i="6"/>
  <c r="BF241" i="6"/>
  <c r="L241" i="6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J86" i="4"/>
  <c r="BI87" i="4"/>
  <c r="AR15" i="3"/>
  <c r="BB108" i="4"/>
  <c r="BG122" i="4"/>
  <c r="AN238" i="6"/>
  <c r="AN236" i="6"/>
  <c r="AN237" i="6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I122" i="4"/>
  <c r="T63" i="6"/>
  <c r="U64" i="6"/>
  <c r="AN82" i="4"/>
  <c r="AN88" i="4"/>
  <c r="AN89" i="4"/>
  <c r="AN105" i="4"/>
  <c r="AN110" i="4"/>
  <c r="CA88" i="4"/>
  <c r="CA60" i="4"/>
  <c r="AI108" i="4"/>
  <c r="L28" i="7"/>
  <c r="M28" i="7"/>
  <c r="O28" i="7"/>
  <c r="I28" i="7"/>
  <c r="F28" i="7"/>
  <c r="H28" i="7"/>
  <c r="K28" i="7"/>
  <c r="U108" i="4"/>
  <c r="U110" i="4"/>
  <c r="AC86" i="4"/>
  <c r="AB87" i="4"/>
  <c r="AT108" i="4"/>
  <c r="BH108" i="4"/>
  <c r="AW110" i="4"/>
  <c r="AC63" i="6"/>
  <c r="AD64" i="6"/>
  <c r="AW82" i="4"/>
  <c r="AW88" i="4"/>
  <c r="AW89" i="4"/>
  <c r="AW105" i="4"/>
  <c r="BY119" i="4"/>
  <c r="AO86" i="4"/>
  <c r="AN87" i="4"/>
  <c r="AK122" i="4"/>
  <c r="AJ122" i="4"/>
  <c r="AT237" i="6"/>
  <c r="AT238" i="6"/>
  <c r="BD122" i="4"/>
  <c r="CA90" i="4"/>
  <c r="E90" i="4"/>
  <c r="AB28" i="6"/>
  <c r="BF28" i="6"/>
  <c r="BG28" i="6"/>
  <c r="AV240" i="6"/>
  <c r="AV239" i="6"/>
  <c r="AV241" i="6"/>
  <c r="AR108" i="4"/>
  <c r="AU87" i="4"/>
  <c r="AU9" i="4"/>
  <c r="AT240" i="6"/>
  <c r="AT236" i="6"/>
  <c r="AT239" i="6"/>
  <c r="AT241" i="6"/>
  <c r="Z15" i="2"/>
  <c r="Y15" i="2"/>
  <c r="U15" i="2"/>
  <c r="Q15" i="2"/>
  <c r="O15" i="2"/>
  <c r="AG63" i="6"/>
  <c r="AH64" i="6"/>
  <c r="BA82" i="4"/>
  <c r="BA88" i="4"/>
  <c r="BA89" i="4"/>
  <c r="BA105" i="4"/>
  <c r="BA110" i="4"/>
  <c r="M87" i="4"/>
  <c r="N86" i="4"/>
  <c r="N88" i="4"/>
  <c r="N89" i="4"/>
  <c r="N105" i="4"/>
  <c r="N110" i="4"/>
  <c r="BB238" i="6"/>
  <c r="BB236" i="6"/>
  <c r="BB237" i="6"/>
  <c r="AG110" i="4"/>
  <c r="AG105" i="4"/>
  <c r="AG89" i="4"/>
  <c r="AG88" i="4"/>
  <c r="BX111" i="4"/>
  <c r="BW111" i="4"/>
  <c r="BV111" i="4"/>
  <c r="BU111" i="4"/>
  <c r="BT111" i="4"/>
  <c r="BS111" i="4"/>
  <c r="BR111" i="4"/>
  <c r="BQ111" i="4"/>
  <c r="BP111" i="4"/>
  <c r="BK111" i="4"/>
  <c r="BL111" i="4"/>
  <c r="BM111" i="4"/>
  <c r="BN111" i="4"/>
  <c r="BO111" i="4"/>
  <c r="BA122" i="4"/>
  <c r="BK108" i="4"/>
  <c r="AM122" i="4"/>
  <c r="AV237" i="6"/>
  <c r="AV236" i="6"/>
  <c r="AV238" i="6"/>
  <c r="C24" i="7"/>
  <c r="E24" i="7"/>
  <c r="W24" i="7"/>
  <c r="BP86" i="4"/>
  <c r="BO87" i="4"/>
  <c r="BD238" i="6"/>
  <c r="BD237" i="6"/>
  <c r="W110" i="4"/>
  <c r="W108" i="4"/>
  <c r="BE122" i="4"/>
  <c r="BY124" i="4"/>
  <c r="E113" i="4"/>
  <c r="E112" i="4"/>
  <c r="G29" i="7"/>
  <c r="G28" i="7"/>
  <c r="G24" i="7"/>
  <c r="G27" i="7"/>
  <c r="G25" i="7"/>
  <c r="G31" i="7"/>
  <c r="G30" i="7"/>
  <c r="G23" i="7"/>
  <c r="G26" i="7"/>
  <c r="BG110" i="4"/>
  <c r="BG105" i="4"/>
  <c r="BG89" i="4"/>
  <c r="BG88" i="4"/>
  <c r="BG82" i="4"/>
  <c r="AN64" i="6"/>
  <c r="AM63" i="6"/>
  <c r="BD241" i="6"/>
  <c r="BD236" i="6"/>
  <c r="BD239" i="6"/>
  <c r="BD240" i="6"/>
  <c r="AA108" i="4"/>
  <c r="AA110" i="4"/>
  <c r="AE122" i="4"/>
  <c r="AP124" i="4"/>
  <c r="AP76" i="4"/>
  <c r="AP88" i="4"/>
  <c r="AP89" i="4"/>
  <c r="AP105" i="4"/>
  <c r="AP110" i="4"/>
  <c r="C31" i="7"/>
  <c r="E31" i="7"/>
  <c r="W31" i="7"/>
  <c r="AX122" i="4"/>
  <c r="AL62" i="6"/>
  <c r="BF64" i="6"/>
  <c r="AW237" i="6"/>
  <c r="AW238" i="6"/>
  <c r="BH122" i="4"/>
  <c r="AG122" i="4"/>
  <c r="BF108" i="4"/>
  <c r="BB122" i="4"/>
  <c r="AL241" i="6"/>
  <c r="AL232" i="6"/>
  <c r="AL239" i="6"/>
  <c r="AL240" i="6"/>
  <c r="BE124" i="4"/>
  <c r="BE76" i="4"/>
  <c r="BE88" i="4"/>
  <c r="AI122" i="4"/>
  <c r="AW122" i="4"/>
  <c r="AY237" i="6"/>
  <c r="AY238" i="6"/>
  <c r="BD111" i="4"/>
  <c r="BE111" i="4"/>
  <c r="BF111" i="4"/>
  <c r="BG111" i="4"/>
  <c r="BH111" i="4"/>
  <c r="BI111" i="4"/>
  <c r="BJ111" i="4"/>
  <c r="BJ122" i="4"/>
  <c r="BE87" i="4"/>
  <c r="BE9" i="4"/>
  <c r="I110" i="4"/>
  <c r="I108" i="4"/>
  <c r="CA108" i="4"/>
  <c r="E108" i="4"/>
  <c r="H108" i="4"/>
  <c r="BY108" i="4"/>
  <c r="P87" i="4"/>
  <c r="Q86" i="4"/>
  <c r="Q88" i="4"/>
  <c r="Q89" i="4"/>
  <c r="Q105" i="4"/>
  <c r="Q110" i="4"/>
  <c r="W63" i="6"/>
  <c r="X64" i="6"/>
  <c r="AQ82" i="4"/>
  <c r="AQ88" i="4"/>
  <c r="AQ89" i="4"/>
  <c r="AQ105" i="4"/>
  <c r="AQ110" i="4"/>
  <c r="CA89" i="4"/>
  <c r="AV124" i="4"/>
  <c r="AV76" i="4"/>
  <c r="AV88" i="4"/>
  <c r="AV89" i="4"/>
  <c r="AV105" i="4"/>
  <c r="AV110" i="4"/>
  <c r="BJ115" i="4"/>
  <c r="BI115" i="4"/>
  <c r="BH115" i="4"/>
  <c r="BG115" i="4"/>
  <c r="BF115" i="4"/>
  <c r="BE115" i="4"/>
  <c r="AG241" i="6"/>
  <c r="AG232" i="6"/>
  <c r="AG239" i="6"/>
  <c r="AG240" i="6"/>
  <c r="AW241" i="6"/>
  <c r="AW236" i="6"/>
  <c r="AW239" i="6"/>
  <c r="AW240" i="6"/>
  <c r="M20" i="7"/>
  <c r="I20" i="7"/>
  <c r="K20" i="7"/>
  <c r="C20" i="7"/>
  <c r="F20" i="7"/>
  <c r="H20" i="7"/>
  <c r="L20" i="7"/>
  <c r="AS110" i="4"/>
  <c r="AS105" i="4"/>
  <c r="AS89" i="4"/>
  <c r="AS124" i="4"/>
  <c r="AS76" i="4"/>
  <c r="AS88" i="4"/>
  <c r="AM238" i="6"/>
  <c r="AM236" i="6"/>
  <c r="AM237" i="6"/>
  <c r="L62" i="6"/>
  <c r="W29" i="7"/>
  <c r="E29" i="7"/>
  <c r="C29" i="7"/>
  <c r="Y23" i="7"/>
  <c r="V23" i="7"/>
  <c r="P23" i="7"/>
  <c r="S23" i="7"/>
  <c r="U23" i="7"/>
  <c r="X23" i="7"/>
  <c r="AQ52" i="3"/>
  <c r="V21" i="7"/>
  <c r="X21" i="7"/>
  <c r="N21" i="7"/>
  <c r="P21" i="7"/>
  <c r="S21" i="7"/>
  <c r="U21" i="7"/>
  <c r="Y21" i="7"/>
  <c r="AQ53" i="3"/>
  <c r="AC108" i="4"/>
  <c r="AC110" i="4"/>
  <c r="AA64" i="3"/>
  <c r="AQ64" i="3"/>
  <c r="AY240" i="6"/>
  <c r="AY236" i="6"/>
  <c r="AY239" i="6"/>
  <c r="AY241" i="6"/>
  <c r="BA111" i="4"/>
  <c r="BB111" i="4"/>
  <c r="BC111" i="4"/>
  <c r="BC122" i="4"/>
  <c r="BE110" i="4"/>
  <c r="BE105" i="4"/>
  <c r="BE89" i="4"/>
  <c r="BE33" i="4"/>
  <c r="T108" i="4"/>
  <c r="AE9" i="4"/>
  <c r="AE87" i="4"/>
  <c r="AF86" i="4"/>
  <c r="AR86" i="4"/>
  <c r="AQ87" i="4"/>
  <c r="C27" i="7"/>
  <c r="E27" i="7"/>
  <c r="W27" i="7"/>
  <c r="BG236" i="6"/>
  <c r="BF236" i="6"/>
  <c r="BH116" i="4"/>
  <c r="BI116" i="4"/>
  <c r="BJ116" i="4"/>
  <c r="AX108" i="4"/>
  <c r="AN122" i="4"/>
  <c r="AZ111" i="4"/>
  <c r="AZ122" i="4"/>
  <c r="AF122" i="4"/>
  <c r="AG62" i="6"/>
  <c r="J110" i="4"/>
  <c r="J108" i="4"/>
  <c r="AP237" i="6"/>
  <c r="AP236" i="6"/>
  <c r="AP238" i="6"/>
  <c r="AT71" i="3"/>
  <c r="AT64" i="3"/>
  <c r="BD108" i="4"/>
  <c r="BB121" i="4"/>
  <c r="BB119" i="4"/>
  <c r="BB130" i="4"/>
  <c r="G20" i="7"/>
  <c r="D20" i="7"/>
  <c r="AM108" i="4"/>
  <c r="AV122" i="4"/>
  <c r="AO87" i="4"/>
  <c r="AO9" i="4"/>
  <c r="AD122" i="4"/>
  <c r="AX121" i="4"/>
  <c r="BC237" i="6"/>
  <c r="BC236" i="6"/>
  <c r="BC238" i="6"/>
  <c r="BG61" i="6"/>
  <c r="BF61" i="6"/>
  <c r="BF62" i="6"/>
  <c r="AS122" i="4"/>
  <c r="AO108" i="4"/>
  <c r="AR122" i="4"/>
  <c r="AZ9" i="4"/>
  <c r="AZ87" i="4"/>
  <c r="BA86" i="4"/>
  <c r="BC121" i="4"/>
  <c r="BP108" i="4"/>
  <c r="BP110" i="4"/>
  <c r="BB116" i="4"/>
  <c r="BC116" i="4"/>
  <c r="BD116" i="4"/>
  <c r="AL10" i="6"/>
  <c r="AL61" i="6"/>
  <c r="BE8" i="4"/>
  <c r="BE10" i="4"/>
  <c r="AQ71" i="3"/>
  <c r="AU71" i="3"/>
  <c r="X64" i="3"/>
  <c r="X71" i="3"/>
  <c r="AA71" i="3"/>
  <c r="AQ15" i="3"/>
  <c r="X52" i="3"/>
  <c r="X15" i="3"/>
  <c r="AJ50" i="3"/>
  <c r="AO122" i="4"/>
  <c r="X63" i="6"/>
  <c r="Y64" i="6"/>
  <c r="AR82" i="4"/>
  <c r="AR88" i="4"/>
  <c r="AR89" i="4"/>
  <c r="AR105" i="4"/>
  <c r="AR110" i="4"/>
  <c r="AU122" i="4"/>
  <c r="AL86" i="4"/>
  <c r="AK87" i="4"/>
  <c r="AN108" i="4"/>
  <c r="AB122" i="4"/>
  <c r="R110" i="4"/>
  <c r="R108" i="4"/>
  <c r="BJ121" i="4"/>
  <c r="BJ118" i="4"/>
  <c r="AD110" i="4"/>
  <c r="AD108" i="4"/>
  <c r="BG121" i="4"/>
  <c r="E110" i="4"/>
  <c r="CA110" i="4"/>
  <c r="AK108" i="4"/>
  <c r="BL108" i="4"/>
  <c r="BM110" i="4"/>
  <c r="BM108" i="4"/>
  <c r="BQ108" i="4"/>
  <c r="BR108" i="4"/>
  <c r="BR110" i="4"/>
  <c r="AJ237" i="6"/>
  <c r="AJ238" i="6"/>
  <c r="BL60" i="4"/>
  <c r="BL87" i="4"/>
  <c r="BM86" i="4"/>
  <c r="AW108" i="4"/>
  <c r="L110" i="4"/>
  <c r="L108" i="4"/>
  <c r="AY108" i="4"/>
  <c r="BQ110" i="4"/>
  <c r="BQ105" i="4"/>
  <c r="BQ76" i="4"/>
  <c r="BQ88" i="4"/>
  <c r="BQ89" i="4"/>
  <c r="AU10" i="4"/>
  <c r="AU116" i="4"/>
  <c r="AG31" i="6"/>
  <c r="BF31" i="6"/>
  <c r="BG31" i="6"/>
  <c r="AJ241" i="6"/>
  <c r="AJ236" i="6"/>
  <c r="AJ239" i="6"/>
  <c r="AJ240" i="6"/>
  <c r="G22" i="7"/>
  <c r="D22" i="7"/>
  <c r="O22" i="7"/>
  <c r="X26" i="7"/>
  <c r="V26" i="7"/>
  <c r="N26" i="7"/>
  <c r="P26" i="7"/>
  <c r="S26" i="7"/>
  <c r="U26" i="7"/>
  <c r="Y26" i="7"/>
  <c r="Z63" i="6"/>
  <c r="AA64" i="6"/>
  <c r="AT82" i="4"/>
  <c r="AT88" i="4"/>
  <c r="AT89" i="4"/>
  <c r="AT105" i="4"/>
  <c r="AT110" i="4"/>
  <c r="O24" i="7"/>
  <c r="D23" i="7"/>
  <c r="O23" i="7"/>
  <c r="O26" i="7"/>
  <c r="X17" i="2"/>
  <c r="V17" i="2"/>
  <c r="Y22" i="7"/>
  <c r="X22" i="7"/>
  <c r="N22" i="7"/>
  <c r="P22" i="7"/>
  <c r="S22" i="7"/>
  <c r="U22" i="7"/>
  <c r="V22" i="7"/>
  <c r="BG27" i="6"/>
  <c r="BF27" i="6"/>
  <c r="AB27" i="6"/>
  <c r="AU110" i="4"/>
  <c r="AU105" i="4"/>
  <c r="AB10" i="6"/>
  <c r="AB61" i="6"/>
  <c r="AU8" i="4"/>
  <c r="AU33" i="4"/>
  <c r="AU89" i="4"/>
  <c r="Y30" i="7"/>
  <c r="X30" i="7"/>
  <c r="N30" i="7"/>
  <c r="P30" i="7"/>
  <c r="S30" i="7"/>
  <c r="U30" i="7"/>
  <c r="V30" i="7"/>
  <c r="Y25" i="7"/>
  <c r="X25" i="7"/>
  <c r="N25" i="7"/>
  <c r="P25" i="7"/>
  <c r="S25" i="7"/>
  <c r="U25" i="7"/>
  <c r="V25" i="7"/>
  <c r="AD63" i="6"/>
  <c r="AE64" i="6"/>
  <c r="AX82" i="4"/>
  <c r="AX88" i="4"/>
  <c r="AX89" i="4"/>
  <c r="AX105" i="4"/>
  <c r="AX110" i="4"/>
  <c r="AB110" i="4"/>
  <c r="AB108" i="4"/>
  <c r="N108" i="4"/>
  <c r="Z19" i="2"/>
  <c r="Y19" i="2"/>
  <c r="U19" i="2"/>
  <c r="Q19" i="2"/>
  <c r="O19" i="2"/>
  <c r="Z110" i="4"/>
  <c r="Z105" i="4"/>
  <c r="Z89" i="4"/>
  <c r="Z88" i="4"/>
  <c r="Z86" i="4"/>
  <c r="Y87" i="4"/>
  <c r="AU108" i="4"/>
  <c r="AZ121" i="4"/>
  <c r="AI110" i="4"/>
  <c r="AI105" i="4"/>
  <c r="O63" i="6"/>
  <c r="P64" i="6"/>
  <c r="AI82" i="4"/>
  <c r="AI88" i="4"/>
  <c r="AI89" i="4"/>
  <c r="BV110" i="4"/>
  <c r="BV105" i="4"/>
  <c r="BV89" i="4"/>
  <c r="BV88" i="4"/>
  <c r="BV86" i="4"/>
  <c r="BU87" i="4"/>
  <c r="BY105" i="4"/>
  <c r="AQ238" i="6"/>
  <c r="AQ237" i="6"/>
  <c r="AS241" i="6"/>
  <c r="AS239" i="6"/>
  <c r="AS240" i="6"/>
  <c r="Q63" i="6"/>
  <c r="R64" i="6"/>
  <c r="AK82" i="4"/>
  <c r="AK88" i="4"/>
  <c r="AK89" i="4"/>
  <c r="AK105" i="4"/>
  <c r="AK110" i="4"/>
  <c r="BA238" i="6"/>
  <c r="BA237" i="6"/>
  <c r="T25" i="7"/>
  <c r="T24" i="7"/>
  <c r="T22" i="7"/>
  <c r="T21" i="7"/>
  <c r="T26" i="7"/>
  <c r="T31" i="7"/>
  <c r="T27" i="7"/>
  <c r="T29" i="7"/>
  <c r="T30" i="7"/>
  <c r="T23" i="7"/>
  <c r="T28" i="7"/>
  <c r="E89" i="4"/>
  <c r="E105" i="4"/>
  <c r="CA105" i="4"/>
  <c r="AJ10" i="4"/>
  <c r="CA82" i="4"/>
  <c r="AG237" i="6"/>
  <c r="AG236" i="6"/>
  <c r="AG238" i="6"/>
  <c r="AZ10" i="4"/>
  <c r="V31" i="7"/>
  <c r="X31" i="7"/>
  <c r="N31" i="7"/>
  <c r="P31" i="7"/>
  <c r="S31" i="7"/>
  <c r="U31" i="7"/>
  <c r="Y31" i="7"/>
  <c r="Q10" i="6"/>
  <c r="Q61" i="6"/>
  <c r="AJ8" i="4"/>
  <c r="AJ9" i="4"/>
  <c r="AJ87" i="4"/>
  <c r="AO110" i="4"/>
  <c r="AO105" i="4"/>
  <c r="AO89" i="4"/>
  <c r="AO33" i="4"/>
  <c r="BH124" i="4"/>
  <c r="BH76" i="4"/>
  <c r="BH88" i="4"/>
  <c r="BH89" i="4"/>
  <c r="BH105" i="4"/>
  <c r="BH110" i="4"/>
  <c r="L237" i="6"/>
  <c r="BF237" i="6"/>
  <c r="AS237" i="6"/>
  <c r="AS236" i="6"/>
  <c r="AS238" i="6"/>
  <c r="Y108" i="4"/>
  <c r="Y110" i="4"/>
  <c r="BN108" i="4"/>
  <c r="C26" i="7"/>
  <c r="E26" i="7"/>
  <c r="W26" i="7"/>
  <c r="BH119" i="4"/>
  <c r="BH121" i="4"/>
  <c r="BH130" i="4"/>
  <c r="BD86" i="4"/>
  <c r="BC87" i="4"/>
  <c r="AR241" i="6"/>
  <c r="AR239" i="6"/>
  <c r="AR240" i="6"/>
  <c r="BE237" i="6"/>
  <c r="BE238" i="6"/>
  <c r="BY87" i="4"/>
  <c r="BX87" i="4"/>
  <c r="BB124" i="4"/>
  <c r="BB76" i="4"/>
  <c r="BB88" i="4"/>
  <c r="BB89" i="4"/>
  <c r="BB105" i="4"/>
  <c r="BB110" i="4"/>
  <c r="BE241" i="6"/>
  <c r="BE236" i="6"/>
  <c r="BE239" i="6"/>
  <c r="BE240" i="6"/>
  <c r="AG10" i="6"/>
  <c r="AG61" i="6"/>
  <c r="AZ8" i="4"/>
  <c r="AZ33" i="4"/>
  <c r="AZ89" i="4"/>
  <c r="AZ105" i="4"/>
  <c r="AZ110" i="4"/>
  <c r="BN110" i="4"/>
  <c r="BN105" i="4"/>
  <c r="BN89" i="4"/>
  <c r="BN88" i="4"/>
  <c r="C28" i="7"/>
  <c r="E28" i="7"/>
  <c r="W28" i="7"/>
  <c r="E33" i="4"/>
  <c r="CA33" i="4"/>
  <c r="AO116" i="4"/>
  <c r="V10" i="6"/>
  <c r="V61" i="6"/>
  <c r="AO8" i="4"/>
  <c r="AO10" i="4"/>
  <c r="BG86" i="4"/>
  <c r="BF87" i="4"/>
  <c r="AJ108" i="4"/>
  <c r="C25" i="7"/>
  <c r="E25" i="7"/>
  <c r="W25" i="7"/>
  <c r="BJ108" i="4"/>
  <c r="BT108" i="4"/>
  <c r="BT110" i="4"/>
  <c r="AQ108" i="4"/>
  <c r="AY116" i="4"/>
  <c r="AS108" i="4"/>
  <c r="I30" i="7"/>
  <c r="O30" i="7"/>
  <c r="L30" i="7"/>
  <c r="K30" i="7"/>
  <c r="F30" i="7"/>
  <c r="H30" i="7"/>
  <c r="M30" i="7"/>
  <c r="BU108" i="4"/>
  <c r="BU110" i="4"/>
  <c r="AH241" i="6"/>
  <c r="AH239" i="6"/>
  <c r="AH240" i="6"/>
  <c r="Y20" i="7"/>
  <c r="X20" i="7"/>
  <c r="AT53" i="3"/>
  <c r="AT15" i="3"/>
  <c r="T20" i="7"/>
  <c r="U20" i="7"/>
  <c r="V20" i="7"/>
  <c r="BA241" i="6"/>
  <c r="BA236" i="6"/>
  <c r="BA239" i="6"/>
  <c r="BA240" i="6"/>
  <c r="BF238" i="6"/>
  <c r="AE110" i="4"/>
  <c r="AE105" i="4"/>
  <c r="AE89" i="4"/>
  <c r="AE33" i="4"/>
  <c r="BS108" i="4"/>
  <c r="I25" i="7"/>
  <c r="M25" i="7"/>
  <c r="O25" i="7"/>
  <c r="K25" i="7"/>
  <c r="F25" i="7"/>
  <c r="H25" i="7"/>
  <c r="L25" i="7"/>
  <c r="AI238" i="6"/>
  <c r="AI237" i="6"/>
  <c r="BE119" i="4"/>
  <c r="BE121" i="4"/>
  <c r="BE130" i="4"/>
  <c r="L239" i="6"/>
  <c r="L240" i="6"/>
  <c r="BF240" i="6"/>
  <c r="AH108" i="4"/>
  <c r="AG108" i="4"/>
  <c r="BQ77" i="4"/>
  <c r="AY77" i="4"/>
  <c r="AJ77" i="4"/>
  <c r="BN77" i="4"/>
  <c r="AV77" i="4"/>
  <c r="BE77" i="4"/>
  <c r="AS77" i="4"/>
  <c r="BH77" i="4"/>
  <c r="AM77" i="4"/>
  <c r="AP77" i="4"/>
  <c r="BB77" i="4"/>
  <c r="BN76" i="4"/>
  <c r="AY124" i="4"/>
  <c r="AY76" i="4"/>
  <c r="AY88" i="4"/>
  <c r="AY89" i="4"/>
  <c r="AY105" i="4"/>
  <c r="AY110" i="4"/>
  <c r="AT122" i="4"/>
  <c r="AU68" i="3"/>
  <c r="AR68" i="3"/>
  <c r="AT68" i="3"/>
  <c r="AI240" i="6"/>
  <c r="AI236" i="6"/>
  <c r="AI239" i="6"/>
  <c r="AI241" i="6"/>
  <c r="V108" i="4"/>
  <c r="V110" i="4"/>
  <c r="BN60" i="4"/>
  <c r="BN87" i="4"/>
  <c r="AR238" i="6"/>
  <c r="AR236" i="6"/>
  <c r="AR237" i="6"/>
  <c r="E60" i="4"/>
  <c r="E88" i="4"/>
  <c r="X108" i="4"/>
  <c r="X110" i="4"/>
  <c r="AE10" i="4"/>
  <c r="BY10" i="4"/>
  <c r="CA10" i="4"/>
  <c r="BF121" i="4"/>
  <c r="Z108" i="4"/>
  <c r="AA122" i="4"/>
  <c r="BY110" i="4"/>
  <c r="AG87" i="4"/>
  <c r="X87" i="4"/>
  <c r="BD87" i="4"/>
  <c r="R87" i="4"/>
  <c r="AS87" i="4"/>
  <c r="L87" i="4"/>
  <c r="BH87" i="4"/>
  <c r="K87" i="4"/>
  <c r="AC87" i="4"/>
  <c r="AD87" i="4"/>
  <c r="T87" i="4"/>
  <c r="AI87" i="4"/>
  <c r="AV87" i="4"/>
  <c r="O87" i="4"/>
  <c r="I87" i="4"/>
  <c r="Z87" i="4"/>
  <c r="BG87" i="4"/>
  <c r="AF87" i="4"/>
  <c r="BM87" i="4"/>
  <c r="W87" i="4"/>
  <c r="BS87" i="4"/>
  <c r="Q87" i="4"/>
  <c r="N87" i="4"/>
  <c r="BP87" i="4"/>
  <c r="BT87" i="4"/>
  <c r="BK87" i="4"/>
  <c r="BW87" i="4"/>
  <c r="AX87" i="4"/>
  <c r="AM87" i="4"/>
  <c r="AL87" i="4"/>
  <c r="BV87" i="4"/>
  <c r="AA87" i="4"/>
  <c r="AP87" i="4"/>
  <c r="AY87" i="4"/>
  <c r="H87" i="4"/>
  <c r="U87" i="4"/>
  <c r="BQ87" i="4"/>
  <c r="BB87" i="4"/>
  <c r="BA87" i="4"/>
  <c r="AR87" i="4"/>
  <c r="BJ87" i="4"/>
  <c r="AQ66" i="3"/>
  <c r="AZ108" i="4"/>
  <c r="AE108" i="4"/>
  <c r="V87" i="4"/>
  <c r="W86" i="4"/>
  <c r="AQ111" i="4"/>
  <c r="AR111" i="4"/>
  <c r="AS111" i="4"/>
  <c r="AT111" i="4"/>
  <c r="AU111" i="4"/>
  <c r="AV111" i="4"/>
  <c r="AW111" i="4"/>
  <c r="AX111" i="4"/>
  <c r="AY111" i="4"/>
  <c r="AY122" i="4"/>
  <c r="CA32" i="4"/>
  <c r="BM32" i="4"/>
  <c r="BL32" i="4"/>
  <c r="BD121" i="4"/>
  <c r="AC122" i="4"/>
  <c r="Y24" i="7"/>
  <c r="V24" i="7"/>
  <c r="N24" i="7"/>
  <c r="P24" i="7"/>
  <c r="S24" i="7"/>
  <c r="U24" i="7"/>
  <c r="X24" i="7"/>
  <c r="D31" i="7"/>
  <c r="D28" i="7"/>
  <c r="D29" i="7"/>
  <c r="D27" i="7"/>
  <c r="D30" i="7"/>
  <c r="D24" i="7"/>
  <c r="D26" i="7"/>
  <c r="D25" i="7"/>
  <c r="BK32" i="4"/>
  <c r="BY32" i="4"/>
  <c r="O21" i="7"/>
  <c r="D21" i="7"/>
  <c r="G21" i="7"/>
  <c r="BP106" i="4"/>
  <c r="BQ106" i="4"/>
  <c r="BR106" i="4"/>
  <c r="BS106" i="4"/>
  <c r="BT106" i="4"/>
  <c r="BU106" i="4"/>
  <c r="BV106" i="4"/>
  <c r="BW106" i="4"/>
  <c r="BW108" i="4"/>
  <c r="BW110" i="4"/>
  <c r="BK77" i="4"/>
  <c r="BK88" i="4"/>
  <c r="BK89" i="4"/>
  <c r="BK105" i="4"/>
  <c r="BK110" i="4"/>
  <c r="BG108" i="4"/>
  <c r="M108" i="4"/>
  <c r="M110" i="4"/>
  <c r="T110" i="4"/>
  <c r="T105" i="4"/>
  <c r="S87" i="4"/>
  <c r="T86" i="4"/>
  <c r="T88" i="4"/>
  <c r="T89" i="4"/>
  <c r="H110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P122" i="4"/>
  <c r="BB118" i="4"/>
  <c r="BC118" i="4"/>
  <c r="BD118" i="4"/>
  <c r="BE118" i="4"/>
  <c r="BF118" i="4"/>
  <c r="BG118" i="4"/>
  <c r="BH118" i="4"/>
  <c r="BI118" i="4"/>
  <c r="BI121" i="4"/>
  <c r="AG28" i="6"/>
  <c r="AG27" i="6"/>
  <c r="AL28" i="6"/>
  <c r="AL27" i="6"/>
  <c r="AR28" i="6"/>
  <c r="AR27" i="6"/>
  <c r="AS28" i="6"/>
  <c r="AS27" i="6"/>
  <c r="AT28" i="6"/>
  <c r="AT27" i="6"/>
  <c r="AU27" i="6"/>
  <c r="AU28" i="6"/>
  <c r="AV28" i="6"/>
  <c r="AV27" i="6"/>
  <c r="AG30" i="6"/>
  <c r="AG29" i="6"/>
  <c r="AL31" i="6"/>
  <c r="AL29" i="6"/>
  <c r="AL30" i="6"/>
  <c r="BO110" i="4"/>
  <c r="BJ106" i="4"/>
  <c r="BK106" i="4"/>
  <c r="BL106" i="4"/>
  <c r="BM106" i="4"/>
  <c r="BN106" i="4"/>
  <c r="BO106" i="4"/>
  <c r="BO108" i="4"/>
  <c r="J87" i="4"/>
  <c r="K86" i="4"/>
  <c r="CA8" i="4"/>
  <c r="AE8" i="4"/>
  <c r="BY8" i="4"/>
  <c r="BY33" i="4"/>
  <c r="AK240" i="6"/>
  <c r="AK239" i="6"/>
  <c r="AK241" i="6"/>
  <c r="O31" i="7"/>
  <c r="F31" i="7"/>
  <c r="H31" i="7"/>
  <c r="I31" i="7"/>
  <c r="M21" i="7"/>
  <c r="I21" i="7"/>
  <c r="K21" i="7"/>
  <c r="C21" i="7"/>
  <c r="F21" i="7"/>
  <c r="H21" i="7"/>
  <c r="L21" i="7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A121" i="4"/>
  <c r="Y27" i="7"/>
  <c r="V27" i="7"/>
  <c r="N27" i="7"/>
  <c r="P27" i="7"/>
  <c r="S27" i="7"/>
  <c r="U27" i="7"/>
  <c r="X27" i="7"/>
  <c r="AL238" i="6"/>
  <c r="AL236" i="6"/>
  <c r="AL237" i="6"/>
  <c r="I22" i="7"/>
  <c r="L22" i="7"/>
  <c r="M22" i="7"/>
  <c r="C22" i="7"/>
  <c r="F22" i="7"/>
  <c r="H22" i="7"/>
  <c r="K22" i="7"/>
  <c r="AK237" i="6"/>
  <c r="AK236" i="6"/>
  <c r="AK238" i="6"/>
  <c r="L236" i="6"/>
  <c r="L238" i="6"/>
  <c r="AE118" i="4"/>
  <c r="AF118" i="4"/>
  <c r="AG118" i="4"/>
  <c r="AG119" i="4"/>
  <c r="AG124" i="4"/>
  <c r="AG76" i="4"/>
  <c r="AG77" i="4"/>
  <c r="BY77" i="4"/>
  <c r="E77" i="4"/>
  <c r="X68" i="3"/>
  <c r="X66" i="3"/>
  <c r="AF53" i="3"/>
  <c r="X53" i="3"/>
  <c r="AR53" i="3"/>
  <c r="AU53" i="3"/>
  <c r="CB60" i="4"/>
  <c r="G87" i="4"/>
  <c r="H86" i="4"/>
  <c r="H88" i="4"/>
  <c r="H89" i="4"/>
  <c r="H105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I108" i="4"/>
  <c r="AF88" i="4"/>
  <c r="AF89" i="4"/>
  <c r="AF105" i="4"/>
  <c r="AF110" i="4"/>
  <c r="O29" i="7"/>
  <c r="K29" i="7"/>
  <c r="L29" i="7"/>
  <c r="I29" i="7"/>
  <c r="F23" i="7"/>
  <c r="F29" i="7"/>
  <c r="H29" i="7"/>
  <c r="M29" i="7"/>
  <c r="V28" i="7"/>
  <c r="X28" i="7"/>
  <c r="L63" i="6"/>
  <c r="M64" i="6"/>
  <c r="AF82" i="4"/>
  <c r="BY82" i="4"/>
  <c r="E82" i="4"/>
  <c r="E32" i="4"/>
  <c r="C7" i="7"/>
  <c r="C23" i="7"/>
  <c r="N23" i="7"/>
  <c r="N28" i="7"/>
  <c r="P28" i="7"/>
  <c r="S28" i="7"/>
  <c r="U28" i="7"/>
  <c r="Y28" i="7"/>
  <c r="AH238" i="6"/>
  <c r="AH236" i="6"/>
  <c r="AH237" i="6"/>
  <c r="AQ241" i="6"/>
  <c r="L10" i="6"/>
  <c r="L61" i="6"/>
  <c r="L232" i="6"/>
  <c r="AQ236" i="6"/>
  <c r="AQ239" i="6"/>
  <c r="AQ2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</author>
  </authors>
  <commentList>
    <comment ref="V12" authorId="0" shapeId="0" xr:uid="{585CECB6-3302-4001-AB71-09595CC146D6}">
      <text>
        <r>
          <rPr>
            <sz val="9"/>
            <color rgb="FF000000"/>
            <rFont val="돋움"/>
            <family val="3"/>
            <charset val="129"/>
          </rPr>
          <t>중도금무이자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분양대행수수료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광고홍보비의</t>
        </r>
        <r>
          <rPr>
            <sz val="9"/>
            <color rgb="FF000000"/>
            <rFont val="Tahoma"/>
            <family val="2"/>
          </rPr>
          <t xml:space="preserve"> 50%</t>
        </r>
        <r>
          <rPr>
            <sz val="9"/>
            <color rgb="FF000000"/>
            <rFont val="돋움"/>
            <family val="3"/>
            <charset val="129"/>
          </rPr>
          <t>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분양율과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연동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<sst xmlns="http://schemas.openxmlformats.org/spreadsheetml/2006/main" count="967" uniqueCount="632">
  <si>
    <t>계</t>
    <phoneticPr fontId="6" type="noConversion"/>
  </si>
  <si>
    <t>■ 공사비 EXIT</t>
    <phoneticPr fontId="6" type="noConversion"/>
  </si>
  <si>
    <t>(단위 : 백만원, 부가세 포함)</t>
    <phoneticPr fontId="6" type="noConversion"/>
  </si>
  <si>
    <t>수입</t>
    <phoneticPr fontId="6" type="noConversion"/>
  </si>
  <si>
    <t>지출</t>
    <phoneticPr fontId="6" type="noConversion"/>
  </si>
  <si>
    <t>차이
ⓓ - ⓔ</t>
    <phoneticPr fontId="6" type="noConversion"/>
  </si>
  <si>
    <t>시행사
Equity
ⓐ</t>
    <phoneticPr fontId="6" type="noConversion"/>
  </si>
  <si>
    <t>공동주택+발코니확장</t>
    <phoneticPr fontId="11" type="noConversion"/>
  </si>
  <si>
    <t>중도금이자후불</t>
    <phoneticPr fontId="11" type="noConversion"/>
  </si>
  <si>
    <t>분양수입
소계
ⓑ</t>
    <phoneticPr fontId="6" type="noConversion"/>
  </si>
  <si>
    <t>P/F 대출금</t>
    <phoneticPr fontId="6" type="noConversion"/>
  </si>
  <si>
    <t>계
ⓓ=
ⓐ+ⓑ+ⓒ</t>
    <phoneticPr fontId="6" type="noConversion"/>
  </si>
  <si>
    <t>사업비</t>
    <phoneticPr fontId="6" type="noConversion"/>
  </si>
  <si>
    <r>
      <t xml:space="preserve">공사비
</t>
    </r>
    <r>
      <rPr>
        <b/>
        <sz val="8"/>
        <rFont val="맑은 고딕"/>
        <family val="3"/>
        <charset val="129"/>
      </rPr>
      <t>(100%)</t>
    </r>
    <phoneticPr fontId="6" type="noConversion"/>
  </si>
  <si>
    <t>계
ⓔ</t>
    <phoneticPr fontId="6" type="noConversion"/>
  </si>
  <si>
    <t>분양</t>
    <phoneticPr fontId="6" type="noConversion"/>
  </si>
  <si>
    <r>
      <t xml:space="preserve">미분양
</t>
    </r>
    <r>
      <rPr>
        <b/>
        <sz val="8"/>
        <rFont val="맑은 고딕"/>
        <family val="3"/>
        <charset val="129"/>
      </rPr>
      <t>(담보대출, 처분 등)</t>
    </r>
    <phoneticPr fontId="6" type="noConversion"/>
  </si>
  <si>
    <t>기표</t>
    <phoneticPr fontId="6" type="noConversion"/>
  </si>
  <si>
    <t>상환</t>
    <phoneticPr fontId="6" type="noConversion"/>
  </si>
  <si>
    <t>소계
ⓒ</t>
    <phoneticPr fontId="6" type="noConversion"/>
  </si>
  <si>
    <t>금액</t>
    <phoneticPr fontId="6" type="noConversion"/>
  </si>
  <si>
    <t>분양율</t>
    <phoneticPr fontId="6" type="noConversion"/>
  </si>
  <si>
    <t>LTV</t>
    <phoneticPr fontId="6" type="noConversion"/>
  </si>
  <si>
    <t>주거</t>
    <phoneticPr fontId="6" type="noConversion"/>
  </si>
  <si>
    <t>평균</t>
    <phoneticPr fontId="6" type="noConversion"/>
  </si>
  <si>
    <t>1안</t>
    <phoneticPr fontId="6" type="noConversion"/>
  </si>
  <si>
    <t>2안</t>
    <phoneticPr fontId="6" type="noConversion"/>
  </si>
  <si>
    <t>3안</t>
    <phoneticPr fontId="6" type="noConversion"/>
  </si>
  <si>
    <t>4안</t>
    <phoneticPr fontId="6" type="noConversion"/>
  </si>
  <si>
    <t>1안 : 주거시설 평균 92%, 상가 0% 분양율 달성 → 공사비 EXIT</t>
    <phoneticPr fontId="6" type="noConversion"/>
  </si>
  <si>
    <t>2안 : (미분양 LTV 감안) 공동주택 100%, 오피스텔 33%, 상가 0% 분양율 달성 → 공사비 EXIT</t>
    <phoneticPr fontId="6" type="noConversion"/>
  </si>
  <si>
    <t>3안 : (미분양 LTV 감안) 주거시설 평균 75%, 상가 0% 분양율 달성 → 공사비 EXIT</t>
    <phoneticPr fontId="6" type="noConversion"/>
  </si>
  <si>
    <t xml:space="preserve">4안 : 오피스텔 분양 73% + 상가 0% 달성 + 미분양 LTV 감안 → 공사비 100% 확보 + PF대출금 100% 상환 </t>
    <phoneticPr fontId="6" type="noConversion"/>
  </si>
  <si>
    <t>■ 사업개요</t>
    <phoneticPr fontId="6" type="noConversion"/>
  </si>
  <si>
    <t>■ 손익분석</t>
    <phoneticPr fontId="6" type="noConversion"/>
  </si>
  <si>
    <t>(단위 : 천원 / 부가세 별도)</t>
    <phoneticPr fontId="6" type="noConversion"/>
  </si>
  <si>
    <t>사  업  명</t>
    <phoneticPr fontId="6" type="noConversion"/>
  </si>
  <si>
    <t>KTX 울산역세권 주상복합 신축사업</t>
    <phoneticPr fontId="6" type="noConversion"/>
  </si>
  <si>
    <t>작 성 전 제</t>
    <phoneticPr fontId="6" type="noConversion"/>
  </si>
  <si>
    <t>건축심의 접수 前</t>
    <phoneticPr fontId="6" type="noConversion"/>
  </si>
  <si>
    <t>검  토  일</t>
    <phoneticPr fontId="6" type="noConversion"/>
  </si>
  <si>
    <t>구 분</t>
    <phoneticPr fontId="6" type="noConversion"/>
  </si>
  <si>
    <t>금 액</t>
    <phoneticPr fontId="6" type="noConversion"/>
  </si>
  <si>
    <t xml:space="preserve">   산  출  내  역 / 비  고</t>
    <phoneticPr fontId="6" type="noConversion"/>
  </si>
  <si>
    <t>위      치</t>
    <phoneticPr fontId="6" type="noConversion"/>
  </si>
  <si>
    <t>울산시 울주군 삼남읍 신화리 M5블록</t>
    <phoneticPr fontId="6" type="noConversion"/>
  </si>
  <si>
    <t>공사기간</t>
    <phoneticPr fontId="6" type="noConversion"/>
  </si>
  <si>
    <t>작  성  자</t>
    <phoneticPr fontId="6" type="noConversion"/>
  </si>
  <si>
    <t>김성수 책임</t>
    <phoneticPr fontId="6" type="noConversion"/>
  </si>
  <si>
    <t>시행사</t>
    <phoneticPr fontId="6" type="noConversion"/>
  </si>
  <si>
    <t>사업조건</t>
    <phoneticPr fontId="6" type="noConversion"/>
  </si>
  <si>
    <t xml:space="preserve"> 1. 사업구도</t>
    <phoneticPr fontId="6" type="noConversion"/>
  </si>
  <si>
    <t>도급사업</t>
    <phoneticPr fontId="6" type="noConversion"/>
  </si>
  <si>
    <t>[자체분양사업/분양불도급/도급]</t>
    <phoneticPr fontId="6" type="noConversion"/>
  </si>
  <si>
    <t>4. 도급범위</t>
    <phoneticPr fontId="6" type="noConversion"/>
  </si>
  <si>
    <t>시 행 사</t>
    <phoneticPr fontId="6" type="noConversion"/>
  </si>
  <si>
    <t>시 공 사</t>
    <phoneticPr fontId="6" type="noConversion"/>
  </si>
  <si>
    <t>5. 인허가</t>
    <phoneticPr fontId="6" type="noConversion"/>
  </si>
  <si>
    <t>건축심의 접수 前</t>
  </si>
  <si>
    <t xml:space="preserve"> 총 분 양 수 입</t>
  </si>
  <si>
    <t>공급가</t>
    <phoneticPr fontId="6" type="noConversion"/>
  </si>
  <si>
    <t>부가세</t>
    <phoneticPr fontId="6" type="noConversion"/>
  </si>
  <si>
    <t>부가세 포함 금액</t>
    <phoneticPr fontId="6" type="noConversion"/>
  </si>
  <si>
    <t xml:space="preserve"> 2. 도급단가</t>
    <phoneticPr fontId="6" type="noConversion"/>
  </si>
  <si>
    <r>
      <t xml:space="preserve">▶ </t>
    </r>
    <r>
      <rPr>
        <b/>
        <sz val="11"/>
        <rFont val="맑은 고딕"/>
        <family val="3"/>
        <charset val="129"/>
      </rPr>
      <t>기성조건</t>
    </r>
    <phoneticPr fontId="6" type="noConversion"/>
  </si>
  <si>
    <t>2개월 기성</t>
    <phoneticPr fontId="6" type="noConversion"/>
  </si>
  <si>
    <t xml:space="preserve"> ▷ 시     공</t>
    <phoneticPr fontId="6" type="noConversion"/>
  </si>
  <si>
    <t>●</t>
  </si>
  <si>
    <t>6. 지역지구</t>
    <phoneticPr fontId="6" type="noConversion"/>
  </si>
  <si>
    <t>일반상업지역</t>
    <phoneticPr fontId="6" type="noConversion"/>
  </si>
  <si>
    <t xml:space="preserve"> 공동주택</t>
    <phoneticPr fontId="6" type="noConversion"/>
  </si>
  <si>
    <t xml:space="preserve">총 분양면적 </t>
  </si>
  <si>
    <t>평당가</t>
    <phoneticPr fontId="6" type="noConversion"/>
  </si>
  <si>
    <t>천원/평</t>
  </si>
  <si>
    <t>(부가세 포함 분양가)</t>
    <phoneticPr fontId="6" type="noConversion"/>
  </si>
  <si>
    <t xml:space="preserve"> 3. 초기비용</t>
    <phoneticPr fontId="6" type="noConversion"/>
  </si>
  <si>
    <t xml:space="preserve"> ▷ 설계/감리</t>
    <phoneticPr fontId="6" type="noConversion"/>
  </si>
  <si>
    <t>●</t>
    <phoneticPr fontId="6" type="noConversion"/>
  </si>
  <si>
    <r>
      <t>7. 분양개시</t>
    </r>
    <r>
      <rPr>
        <sz val="11"/>
        <color theme="1"/>
        <rFont val="맑은 고딕"/>
        <family val="2"/>
        <scheme val="minor"/>
      </rPr>
      <t/>
    </r>
    <phoneticPr fontId="6" type="noConversion"/>
  </si>
  <si>
    <t xml:space="preserve"> 오피스텔</t>
  </si>
  <si>
    <t>총 분양면적</t>
  </si>
  <si>
    <t xml:space="preserve"> </t>
    <phoneticPr fontId="6" type="noConversion"/>
  </si>
  <si>
    <t xml:space="preserve"> ▷ 분양/광고</t>
    <phoneticPr fontId="6" type="noConversion"/>
  </si>
  <si>
    <t>8. 준공</t>
    <phoneticPr fontId="6" type="noConversion"/>
  </si>
  <si>
    <t xml:space="preserve"> 근린생활시설</t>
  </si>
  <si>
    <t>(부가세 별도 분양가)</t>
    <phoneticPr fontId="6" type="noConversion"/>
  </si>
  <si>
    <t xml:space="preserve"> 발코니확장</t>
    <phoneticPr fontId="6" type="noConversion"/>
  </si>
  <si>
    <t>부지현황</t>
    <phoneticPr fontId="6" type="noConversion"/>
  </si>
  <si>
    <t>㎡</t>
    <phoneticPr fontId="6" type="noConversion"/>
  </si>
  <si>
    <t>평</t>
    <phoneticPr fontId="6" type="noConversion"/>
  </si>
  <si>
    <t>부지매입비용</t>
    <phoneticPr fontId="6" type="noConversion"/>
  </si>
  <si>
    <t>기준단가</t>
    <phoneticPr fontId="6" type="noConversion"/>
  </si>
  <si>
    <t>지    분</t>
    <phoneticPr fontId="6" type="noConversion"/>
  </si>
  <si>
    <t>건축구조/규모</t>
    <phoneticPr fontId="6" type="noConversion"/>
  </si>
  <si>
    <t>철근콘크리트</t>
    <phoneticPr fontId="6" type="noConversion"/>
  </si>
  <si>
    <t>연면적</t>
  </si>
  <si>
    <t>도급단가</t>
    <phoneticPr fontId="6" type="noConversion"/>
  </si>
  <si>
    <t>사업면적</t>
    <phoneticPr fontId="6" type="noConversion"/>
  </si>
  <si>
    <t>천원/평</t>
    <phoneticPr fontId="6" type="noConversion"/>
  </si>
  <si>
    <t>공동주택</t>
    <phoneticPr fontId="6" type="noConversion"/>
  </si>
  <si>
    <t>지 상 층 수</t>
    <phoneticPr fontId="6" type="noConversion"/>
  </si>
  <si>
    <t>제척면적</t>
    <phoneticPr fontId="6" type="noConversion"/>
  </si>
  <si>
    <t>OT+근생</t>
    <phoneticPr fontId="6" type="noConversion"/>
  </si>
  <si>
    <t>지 하 층 수</t>
    <phoneticPr fontId="6" type="noConversion"/>
  </si>
  <si>
    <t>실사용면적</t>
    <phoneticPr fontId="6" type="noConversion"/>
  </si>
  <si>
    <t>옥 탑 층 수</t>
    <phoneticPr fontId="6" type="noConversion"/>
  </si>
  <si>
    <t xml:space="preserve"> 매   출   액</t>
    <phoneticPr fontId="39" type="noConversion"/>
  </si>
  <si>
    <r>
      <t xml:space="preserve">▶ </t>
    </r>
    <r>
      <rPr>
        <b/>
        <sz val="11"/>
        <rFont val="맑은 고딕"/>
        <family val="3"/>
        <charset val="129"/>
      </rPr>
      <t>주차대수 :</t>
    </r>
    <phoneticPr fontId="6" type="noConversion"/>
  </si>
  <si>
    <t>▶ 세대당대수:</t>
    <phoneticPr fontId="6" type="noConversion"/>
  </si>
  <si>
    <t xml:space="preserve"> 지         출</t>
    <phoneticPr fontId="6" type="noConversion"/>
  </si>
  <si>
    <t>건축계획</t>
    <phoneticPr fontId="6" type="noConversion"/>
  </si>
  <si>
    <t>용적율</t>
    <phoneticPr fontId="6" type="noConversion"/>
  </si>
  <si>
    <t>건폐율</t>
    <phoneticPr fontId="6" type="noConversion"/>
  </si>
  <si>
    <t>지하주차장</t>
    <phoneticPr fontId="6" type="noConversion"/>
  </si>
  <si>
    <t>철거면적</t>
    <phoneticPr fontId="6" type="noConversion"/>
  </si>
  <si>
    <t xml:space="preserve"> 토지비</t>
    <phoneticPr fontId="6" type="noConversion"/>
  </si>
  <si>
    <t>사업부지</t>
    <phoneticPr fontId="39" type="noConversion"/>
  </si>
  <si>
    <t>×</t>
    <phoneticPr fontId="6" type="noConversion"/>
  </si>
  <si>
    <t xml:space="preserve"> 사업연면적</t>
    <phoneticPr fontId="6" type="noConversion"/>
  </si>
  <si>
    <t>공 용 면 적</t>
    <phoneticPr fontId="6" type="noConversion"/>
  </si>
  <si>
    <t>주 차 장 면 적</t>
    <phoneticPr fontId="6" type="noConversion"/>
  </si>
  <si>
    <t>총     계</t>
    <phoneticPr fontId="6" type="noConversion"/>
  </si>
  <si>
    <t xml:space="preserve"> 토지대</t>
    <phoneticPr fontId="6" type="noConversion"/>
  </si>
  <si>
    <t>사업부지</t>
    <phoneticPr fontId="6" type="noConversion"/>
  </si>
  <si>
    <t>×</t>
  </si>
  <si>
    <t>지상</t>
    <phoneticPr fontId="6" type="noConversion"/>
  </si>
  <si>
    <t xml:space="preserve"> 취득제세금 등</t>
    <phoneticPr fontId="6" type="noConversion"/>
  </si>
  <si>
    <t>토지대</t>
    <phoneticPr fontId="6" type="noConversion"/>
  </si>
  <si>
    <t>천원</t>
    <phoneticPr fontId="6" type="noConversion"/>
  </si>
  <si>
    <t>(법무사수수료, 국민주택채권손실 등 포함)</t>
    <phoneticPr fontId="6" type="noConversion"/>
  </si>
  <si>
    <t>지하</t>
    <phoneticPr fontId="6" type="noConversion"/>
  </si>
  <si>
    <t xml:space="preserve"> 토지매입용역비</t>
    <phoneticPr fontId="39" type="noConversion"/>
  </si>
  <si>
    <t>합계</t>
    <phoneticPr fontId="6" type="noConversion"/>
  </si>
  <si>
    <t xml:space="preserve"> 재산세</t>
    <phoneticPr fontId="39" type="noConversion"/>
  </si>
  <si>
    <t>공시지가 (70%)</t>
    <phoneticPr fontId="6" type="noConversion"/>
  </si>
  <si>
    <t>년</t>
    <phoneticPr fontId="6" type="noConversion"/>
  </si>
  <si>
    <t>(종합부동산세 포함)</t>
    <phoneticPr fontId="6" type="noConversion"/>
  </si>
  <si>
    <t xml:space="preserve"> 건축공사비</t>
    <phoneticPr fontId="39" type="noConversion"/>
  </si>
  <si>
    <t>연면적</t>
    <phoneticPr fontId="6" type="noConversion"/>
  </si>
  <si>
    <t>분양면적</t>
    <phoneticPr fontId="6" type="noConversion"/>
  </si>
  <si>
    <t>전 용 면 적</t>
    <phoneticPr fontId="6" type="noConversion"/>
  </si>
  <si>
    <t>공 급 면 적</t>
    <phoneticPr fontId="6" type="noConversion"/>
  </si>
  <si>
    <t>계 약 면 적</t>
    <phoneticPr fontId="6" type="noConversion"/>
  </si>
  <si>
    <t xml:space="preserve"> 본 공사비</t>
    <phoneticPr fontId="6" type="noConversion"/>
  </si>
  <si>
    <t>구분</t>
    <phoneticPr fontId="6" type="noConversion"/>
  </si>
  <si>
    <t>평형</t>
    <phoneticPr fontId="6" type="noConversion"/>
  </si>
  <si>
    <t>세대수</t>
    <phoneticPr fontId="6" type="noConversion"/>
  </si>
  <si>
    <t xml:space="preserve"> 발코니확장 공사비</t>
    <phoneticPr fontId="6" type="noConversion"/>
  </si>
  <si>
    <t xml:space="preserve"> 설계감리비</t>
  </si>
  <si>
    <t xml:space="preserve"> 설계용역비</t>
    <phoneticPr fontId="6" type="noConversion"/>
  </si>
  <si>
    <t xml:space="preserve"> 인테리어ㆍ특화설계용역비</t>
    <phoneticPr fontId="39" type="noConversion"/>
  </si>
  <si>
    <t>(인테리어설계, 외부환경디자인, 상환경설계 등)</t>
    <phoneticPr fontId="6" type="noConversion"/>
  </si>
  <si>
    <t xml:space="preserve"> 감리용역비 (전체 공종)</t>
    <phoneticPr fontId="6" type="noConversion"/>
  </si>
  <si>
    <t xml:space="preserve"> 제도인증용역비</t>
    <phoneticPr fontId="39" type="noConversion"/>
  </si>
  <si>
    <t>(인증수수료 포함)</t>
    <phoneticPr fontId="6" type="noConversion"/>
  </si>
  <si>
    <t xml:space="preserve"> 기타용역비</t>
    <phoneticPr fontId="6" type="noConversion"/>
  </si>
  <si>
    <t>(교통, 성능위주, 지하안전, 부가세감정평가, 측량, 지질조사 등)</t>
    <phoneticPr fontId="6" type="noConversion"/>
  </si>
  <si>
    <t>소계</t>
    <phoneticPr fontId="6" type="noConversion"/>
  </si>
  <si>
    <t xml:space="preserve"> 분양경비</t>
    <phoneticPr fontId="6" type="noConversion"/>
  </si>
  <si>
    <t>오피스텔</t>
    <phoneticPr fontId="6" type="noConversion"/>
  </si>
  <si>
    <t xml:space="preserve"> MH 임차료</t>
    <phoneticPr fontId="39" type="noConversion"/>
  </si>
  <si>
    <t>개월</t>
    <phoneticPr fontId="6" type="noConversion"/>
  </si>
  <si>
    <t xml:space="preserve"> MH 건립비</t>
    <phoneticPr fontId="39" type="noConversion"/>
  </si>
  <si>
    <t>(MH 건립비, 모형, 싸인, DP 포함)</t>
    <phoneticPr fontId="6" type="noConversion"/>
  </si>
  <si>
    <t xml:space="preserve"> MH 운영비</t>
    <phoneticPr fontId="6" type="noConversion"/>
  </si>
  <si>
    <t xml:space="preserve"> 분양대행수수료 (APT)</t>
    <phoneticPr fontId="6" type="noConversion"/>
  </si>
  <si>
    <t>세대</t>
    <phoneticPr fontId="6" type="noConversion"/>
  </si>
  <si>
    <t>(시행사 요청 기준)</t>
    <phoneticPr fontId="6" type="noConversion"/>
  </si>
  <si>
    <t xml:space="preserve"> 분양대행수수료 (OT)</t>
    <phoneticPr fontId="6" type="noConversion"/>
  </si>
  <si>
    <t>실</t>
    <phoneticPr fontId="6" type="noConversion"/>
  </si>
  <si>
    <t xml:space="preserve"> 분양대행수수료 (근생)</t>
    <phoneticPr fontId="6" type="noConversion"/>
  </si>
  <si>
    <t>근생 매출</t>
    <phoneticPr fontId="6" type="noConversion"/>
  </si>
  <si>
    <t xml:space="preserve"> 광고홍보 판촉비</t>
    <phoneticPr fontId="6" type="noConversion"/>
  </si>
  <si>
    <t>전제 분양 매출</t>
    <phoneticPr fontId="6" type="noConversion"/>
  </si>
  <si>
    <t>근생시설</t>
    <phoneticPr fontId="6" type="noConversion"/>
  </si>
  <si>
    <t>3F</t>
    <phoneticPr fontId="6" type="noConversion"/>
  </si>
  <si>
    <t>2F</t>
    <phoneticPr fontId="6" type="noConversion"/>
  </si>
  <si>
    <t xml:space="preserve"> 간접공사비</t>
    <phoneticPr fontId="6" type="noConversion"/>
  </si>
  <si>
    <t>1F</t>
    <phoneticPr fontId="6" type="noConversion"/>
  </si>
  <si>
    <t xml:space="preserve"> 소방시설 공사비</t>
    <phoneticPr fontId="6" type="noConversion"/>
  </si>
  <si>
    <t>B1</t>
    <phoneticPr fontId="6" type="noConversion"/>
  </si>
  <si>
    <t xml:space="preserve"> 커뮤니티시설 공사비</t>
    <phoneticPr fontId="6" type="noConversion"/>
  </si>
  <si>
    <t>커뮤니티시설 (경로당, 헬스장, 키즈카페 등) 인테리어 및 집기류 등</t>
    <phoneticPr fontId="6" type="noConversion"/>
  </si>
  <si>
    <t xml:space="preserve"> 미술장식품비</t>
    <phoneticPr fontId="6" type="noConversion"/>
  </si>
  <si>
    <t>지상층면적</t>
    <phoneticPr fontId="6" type="noConversion"/>
  </si>
  <si>
    <t>(2022년 표준건축비)</t>
    <phoneticPr fontId="6" type="noConversion"/>
  </si>
  <si>
    <t>(아파트 0.1%, 상가 등 0.7%)</t>
    <phoneticPr fontId="6" type="noConversion"/>
  </si>
  <si>
    <t>공공기여</t>
    <phoneticPr fontId="6" type="noConversion"/>
  </si>
  <si>
    <t xml:space="preserve"> 철거 공사비</t>
    <phoneticPr fontId="6" type="noConversion"/>
  </si>
  <si>
    <t xml:space="preserve"> 인허가 조건 공사비</t>
    <phoneticPr fontId="6" type="noConversion"/>
  </si>
  <si>
    <t>단지 외 시설물, 도시계획도로 등</t>
    <phoneticPr fontId="6" type="noConversion"/>
  </si>
  <si>
    <t xml:space="preserve"> 제비용 및 수수료</t>
    <phoneticPr fontId="39" type="noConversion"/>
  </si>
  <si>
    <t xml:space="preserve"> 분양보증수수료</t>
    <phoneticPr fontId="6" type="noConversion"/>
  </si>
  <si>
    <t>보증금액 (분양수입금 : 잔금 제외)</t>
  </si>
  <si>
    <t>지하비율</t>
    <phoneticPr fontId="6" type="noConversion"/>
  </si>
  <si>
    <t xml:space="preserve"> 금융수수료 (B/L)</t>
    <phoneticPr fontId="6" type="noConversion"/>
  </si>
  <si>
    <t>B/L 수수료</t>
    <phoneticPr fontId="6" type="noConversion"/>
  </si>
  <si>
    <t>(주관ㆍ취급수수료, 부대비용 포함)</t>
    <phoneticPr fontId="6" type="noConversion"/>
  </si>
  <si>
    <t xml:space="preserve"> 금융수수료 (P/F)</t>
    <phoneticPr fontId="6" type="noConversion"/>
  </si>
  <si>
    <t>P/F 수수료</t>
    <phoneticPr fontId="6" type="noConversion"/>
  </si>
  <si>
    <t>분양가격</t>
    <phoneticPr fontId="6" type="noConversion"/>
  </si>
  <si>
    <t>세대분양면적</t>
    <phoneticPr fontId="6" type="noConversion"/>
  </si>
  <si>
    <t>평당가격</t>
    <phoneticPr fontId="6" type="noConversion"/>
  </si>
  <si>
    <t>세대분양금액</t>
    <phoneticPr fontId="6" type="noConversion"/>
  </si>
  <si>
    <t>총 분양면적</t>
    <phoneticPr fontId="6" type="noConversion"/>
  </si>
  <si>
    <t>총 분양금액</t>
    <phoneticPr fontId="6" type="noConversion"/>
  </si>
  <si>
    <t>세대대지지분</t>
    <phoneticPr fontId="6" type="noConversion"/>
  </si>
  <si>
    <t xml:space="preserve"> 신탁수수료</t>
    <phoneticPr fontId="6" type="noConversion"/>
  </si>
  <si>
    <t>관리형토지신탁수수료</t>
    <phoneticPr fontId="6" type="noConversion"/>
  </si>
  <si>
    <t>선배당 한도 비율 :</t>
    <phoneticPr fontId="6" type="noConversion"/>
  </si>
  <si>
    <t>(천원/평)</t>
    <phoneticPr fontId="6" type="noConversion"/>
  </si>
  <si>
    <t>(천원)</t>
    <phoneticPr fontId="6" type="noConversion"/>
  </si>
  <si>
    <t>%</t>
    <phoneticPr fontId="6" type="noConversion"/>
  </si>
  <si>
    <t xml:space="preserve"> 중도금무이자</t>
    <phoneticPr fontId="6" type="noConversion"/>
  </si>
  <si>
    <t>금리</t>
    <phoneticPr fontId="6" type="noConversion"/>
  </si>
  <si>
    <t>(주거)</t>
    <phoneticPr fontId="6" type="noConversion"/>
  </si>
  <si>
    <t>(비주거)</t>
    <phoneticPr fontId="6" type="noConversion"/>
  </si>
  <si>
    <t>/</t>
    <phoneticPr fontId="6" type="noConversion"/>
  </si>
  <si>
    <t>이자후불</t>
    <phoneticPr fontId="6" type="noConversion"/>
  </si>
  <si>
    <t>무이자</t>
    <phoneticPr fontId="6" type="noConversion"/>
  </si>
  <si>
    <t xml:space="preserve"> 공과 및 분담금</t>
    <phoneticPr fontId="39" type="noConversion"/>
  </si>
  <si>
    <t xml:space="preserve"> 보존등기비</t>
    <phoneticPr fontId="6" type="noConversion"/>
  </si>
  <si>
    <t>과표 (공사비, 설계감리비, P/F 대출이자 등)</t>
    <phoneticPr fontId="6" type="noConversion"/>
  </si>
  <si>
    <t xml:space="preserve"> 상하수도원인자 부담금</t>
    <phoneticPr fontId="39" type="noConversion"/>
  </si>
  <si>
    <t>(전기, 가스 등 부담금 및 인입공사비 포함)</t>
    <phoneticPr fontId="6" type="noConversion"/>
  </si>
  <si>
    <t xml:space="preserve"> 지역난방부담금</t>
    <phoneticPr fontId="6" type="noConversion"/>
  </si>
  <si>
    <t>난방면적</t>
    <phoneticPr fontId="6" type="noConversion"/>
  </si>
  <si>
    <t>(발코니확장, 경로당, 보육실 포함) : 아파트 외 열부하량에 따라 산출</t>
    <phoneticPr fontId="6" type="noConversion"/>
  </si>
  <si>
    <t xml:space="preserve"> 학교용지부담금</t>
    <phoneticPr fontId="6" type="noConversion"/>
  </si>
  <si>
    <t>APT+OT 매출</t>
    <phoneticPr fontId="6" type="noConversion"/>
  </si>
  <si>
    <t xml:space="preserve"> 과밀부담금</t>
    <phoneticPr fontId="6" type="noConversion"/>
  </si>
  <si>
    <t>(연면적-주차장면적-기초공제면적 5,000㎡)</t>
    <phoneticPr fontId="6" type="noConversion"/>
  </si>
  <si>
    <t>소계</t>
    <phoneticPr fontId="11" type="noConversion"/>
  </si>
  <si>
    <t xml:space="preserve"> 광역교통시설부담금</t>
    <phoneticPr fontId="39" type="noConversion"/>
  </si>
  <si>
    <t xml:space="preserve"> 개발부담금</t>
    <phoneticPr fontId="6" type="noConversion"/>
  </si>
  <si>
    <t>준공 후 납부</t>
    <phoneticPr fontId="6" type="noConversion"/>
  </si>
  <si>
    <t xml:space="preserve"> 기타 사업추진비</t>
    <phoneticPr fontId="39" type="noConversion"/>
  </si>
  <si>
    <t xml:space="preserve"> 예비비</t>
    <phoneticPr fontId="39" type="noConversion"/>
  </si>
  <si>
    <t>총 매출액의</t>
  </si>
  <si>
    <t>(인허가비용, 민원처리비용 등)</t>
    <phoneticPr fontId="6" type="noConversion"/>
  </si>
  <si>
    <t xml:space="preserve"> 공가세대 관리비</t>
    <phoneticPr fontId="6" type="noConversion"/>
  </si>
  <si>
    <t xml:space="preserve"> 매입세액불공제</t>
    <phoneticPr fontId="6" type="noConversion"/>
  </si>
  <si>
    <t xml:space="preserve"> 매  출  이  익</t>
    <phoneticPr fontId="39" type="noConversion"/>
  </si>
  <si>
    <t xml:space="preserve"> 본 사 관 리 비</t>
    <phoneticPr fontId="6" type="noConversion"/>
  </si>
  <si>
    <t>매출원가의</t>
    <phoneticPr fontId="6" type="noConversion"/>
  </si>
  <si>
    <t xml:space="preserve"> 금 융 비 용</t>
  </si>
  <si>
    <t>▶ 분양조건 :</t>
    <phoneticPr fontId="6" type="noConversion"/>
  </si>
  <si>
    <t>D+3</t>
  </si>
  <si>
    <t>,D+6</t>
    <phoneticPr fontId="39" type="noConversion"/>
  </si>
  <si>
    <t>,D+12</t>
    <phoneticPr fontId="39" type="noConversion"/>
  </si>
  <si>
    <t>,D+24</t>
    <phoneticPr fontId="6" type="noConversion"/>
  </si>
  <si>
    <t>,준공시</t>
  </si>
  <si>
    <t xml:space="preserve"> B/L 대출이자</t>
    <phoneticPr fontId="6" type="noConversion"/>
  </si>
  <si>
    <t>All-in Cost</t>
    <phoneticPr fontId="6" type="noConversion"/>
  </si>
  <si>
    <t xml:space="preserve">[ </t>
    <phoneticPr fontId="6" type="noConversion"/>
  </si>
  <si>
    <t>/년 ]</t>
  </si>
  <si>
    <t>Tr.A</t>
    <phoneticPr fontId="6" type="noConversion"/>
  </si>
  <si>
    <t>Tr.B</t>
    <phoneticPr fontId="6" type="noConversion"/>
  </si>
  <si>
    <t>Tr.C</t>
  </si>
  <si>
    <t>대출기간 :</t>
    <phoneticPr fontId="11" type="noConversion"/>
  </si>
  <si>
    <t xml:space="preserve"> P/F 대출이자</t>
    <phoneticPr fontId="39" type="noConversion"/>
  </si>
  <si>
    <t>Tr.C</t>
    <phoneticPr fontId="6" type="noConversion"/>
  </si>
  <si>
    <t xml:space="preserve"> 예금이자</t>
    <phoneticPr fontId="39" type="noConversion"/>
  </si>
  <si>
    <t xml:space="preserve"> 공사비 연체이자</t>
    <phoneticPr fontId="39" type="noConversion"/>
  </si>
  <si>
    <t xml:space="preserve"> 경  상  이  익</t>
    <phoneticPr fontId="39" type="noConversion"/>
  </si>
  <si>
    <t>총 매출액의</t>
    <phoneticPr fontId="6" type="noConversion"/>
  </si>
  <si>
    <t>■ CASH FLOW (부가세 포함)</t>
    <phoneticPr fontId="52" type="noConversion"/>
  </si>
  <si>
    <t>*</t>
  </si>
  <si>
    <t>착공/분양</t>
    <phoneticPr fontId="6" type="noConversion"/>
  </si>
  <si>
    <t>*</t>
    <phoneticPr fontId="6" type="noConversion"/>
  </si>
  <si>
    <t>(단위 : 백만원)</t>
    <phoneticPr fontId="52" type="noConversion"/>
  </si>
  <si>
    <t>구  분</t>
    <phoneticPr fontId="52" type="noConversion"/>
  </si>
  <si>
    <t>개월</t>
    <phoneticPr fontId="52" type="noConversion"/>
  </si>
  <si>
    <t>PF</t>
  </si>
  <si>
    <t>계</t>
    <phoneticPr fontId="52" type="noConversion"/>
  </si>
  <si>
    <t>검산</t>
    <phoneticPr fontId="52" type="noConversion"/>
  </si>
  <si>
    <t>부가세율</t>
    <phoneticPr fontId="6" type="noConversion"/>
  </si>
  <si>
    <t>주요일정</t>
    <phoneticPr fontId="52" type="noConversion"/>
  </si>
  <si>
    <t>입찰</t>
  </si>
  <si>
    <t>토지계약</t>
  </si>
  <si>
    <t>건축심의</t>
  </si>
  <si>
    <t>사업승인</t>
  </si>
  <si>
    <t>평균 분양율</t>
    <phoneticPr fontId="6" type="noConversion"/>
  </si>
  <si>
    <t>월</t>
    <phoneticPr fontId="52" type="noConversion"/>
  </si>
  <si>
    <t>수입</t>
    <phoneticPr fontId="52" type="noConversion"/>
  </si>
  <si>
    <t>공동주택</t>
    <phoneticPr fontId="11" type="noConversion"/>
  </si>
  <si>
    <t xml:space="preserve"> 분양원금</t>
    <phoneticPr fontId="52" type="noConversion"/>
  </si>
  <si>
    <t xml:space="preserve"> 부가세</t>
    <phoneticPr fontId="52" type="noConversion"/>
  </si>
  <si>
    <t xml:space="preserve"> 소계</t>
    <phoneticPr fontId="52" type="noConversion"/>
  </si>
  <si>
    <t xml:space="preserve"> 분양율</t>
    <phoneticPr fontId="6" type="noConversion"/>
  </si>
  <si>
    <t xml:space="preserve"> 발코니확장</t>
    <phoneticPr fontId="11" type="noConversion"/>
  </si>
  <si>
    <t xml:space="preserve"> BL대출</t>
    <phoneticPr fontId="6" type="noConversion"/>
  </si>
  <si>
    <t xml:space="preserve"> Tranche A</t>
  </si>
  <si>
    <t xml:space="preserve"> Tranche B</t>
    <phoneticPr fontId="11" type="noConversion"/>
  </si>
  <si>
    <t xml:space="preserve"> Tranche C</t>
    <phoneticPr fontId="11" type="noConversion"/>
  </si>
  <si>
    <t xml:space="preserve"> PF대출</t>
    <phoneticPr fontId="52" type="noConversion"/>
  </si>
  <si>
    <t xml:space="preserve"> Tranche A</t>
    <phoneticPr fontId="6" type="noConversion"/>
  </si>
  <si>
    <t xml:space="preserve"> Tranche B</t>
    <phoneticPr fontId="6" type="noConversion"/>
  </si>
  <si>
    <t xml:space="preserve"> Tranche C</t>
    <phoneticPr fontId="6" type="noConversion"/>
  </si>
  <si>
    <t xml:space="preserve"> 시행사 선투입</t>
    <phoneticPr fontId="52" type="noConversion"/>
  </si>
  <si>
    <t xml:space="preserve"> 중도금이자후불</t>
    <phoneticPr fontId="52" type="noConversion"/>
  </si>
  <si>
    <t>수 입 계</t>
    <phoneticPr fontId="39" type="noConversion"/>
  </si>
  <si>
    <t>지출</t>
    <phoneticPr fontId="52" type="noConversion"/>
  </si>
  <si>
    <t xml:space="preserve"> 분양경비</t>
    <phoneticPr fontId="52" type="noConversion"/>
  </si>
  <si>
    <t xml:space="preserve"> 시행사 선투입 회수</t>
    <phoneticPr fontId="52" type="noConversion"/>
  </si>
  <si>
    <t xml:space="preserve"> BL_Tr.A</t>
    <phoneticPr fontId="11" type="noConversion"/>
  </si>
  <si>
    <t xml:space="preserve"> 상환</t>
    <phoneticPr fontId="6" type="noConversion"/>
  </si>
  <si>
    <t xml:space="preserve"> 이자</t>
    <phoneticPr fontId="52" type="noConversion"/>
  </si>
  <si>
    <t xml:space="preserve"> BL_Tr.B</t>
    <phoneticPr fontId="11" type="noConversion"/>
  </si>
  <si>
    <t xml:space="preserve"> BL_Tr.C</t>
    <phoneticPr fontId="11" type="noConversion"/>
  </si>
  <si>
    <t xml:space="preserve"> PF_Tr.A</t>
    <phoneticPr fontId="11" type="noConversion"/>
  </si>
  <si>
    <t xml:space="preserve"> PF_Tr.B</t>
    <phoneticPr fontId="11" type="noConversion"/>
  </si>
  <si>
    <t xml:space="preserve"> PF_Tr.C</t>
    <phoneticPr fontId="11" type="noConversion"/>
  </si>
  <si>
    <t xml:space="preserve"> 중도금
 대출이자</t>
    <phoneticPr fontId="52" type="noConversion"/>
  </si>
  <si>
    <t xml:space="preserve"> 부가세</t>
    <phoneticPr fontId="6" type="noConversion"/>
  </si>
  <si>
    <t xml:space="preserve"> 당월</t>
    <phoneticPr fontId="6" type="noConversion"/>
  </si>
  <si>
    <t xml:space="preserve"> 누계</t>
    <phoneticPr fontId="6" type="noConversion"/>
  </si>
  <si>
    <t>지  출  계</t>
    <phoneticPr fontId="39" type="noConversion"/>
  </si>
  <si>
    <t>재원</t>
    <phoneticPr fontId="52" type="noConversion"/>
  </si>
  <si>
    <t>당  월</t>
    <phoneticPr fontId="52" type="noConversion"/>
  </si>
  <si>
    <t>누  계</t>
    <phoneticPr fontId="52" type="noConversion"/>
  </si>
  <si>
    <t>도급공사비</t>
    <phoneticPr fontId="52" type="noConversion"/>
  </si>
  <si>
    <t>공정율</t>
    <phoneticPr fontId="52" type="noConversion"/>
  </si>
  <si>
    <t>당월</t>
    <phoneticPr fontId="52" type="noConversion"/>
  </si>
  <si>
    <t>누계</t>
    <phoneticPr fontId="52" type="noConversion"/>
  </si>
  <si>
    <t>본 공사비</t>
    <phoneticPr fontId="52" type="noConversion"/>
  </si>
  <si>
    <t>공급가</t>
    <phoneticPr fontId="52" type="noConversion"/>
  </si>
  <si>
    <t>부가세</t>
    <phoneticPr fontId="52" type="noConversion"/>
  </si>
  <si>
    <t>발코니확장
공사비</t>
    <phoneticPr fontId="52" type="noConversion"/>
  </si>
  <si>
    <t>공사비 청구</t>
    <phoneticPr fontId="52" type="noConversion"/>
  </si>
  <si>
    <t>공사비 지급</t>
    <phoneticPr fontId="52" type="noConversion"/>
  </si>
  <si>
    <t>공사비 과부족</t>
    <phoneticPr fontId="52" type="noConversion"/>
  </si>
  <si>
    <t>연체이자</t>
    <phoneticPr fontId="52" type="noConversion"/>
  </si>
  <si>
    <t>과부족</t>
    <phoneticPr fontId="52" type="noConversion"/>
  </si>
  <si>
    <t>시행사운영비</t>
    <phoneticPr fontId="52" type="noConversion"/>
  </si>
  <si>
    <t>금융비용</t>
    <phoneticPr fontId="52" type="noConversion"/>
  </si>
  <si>
    <t>경상이익</t>
    <phoneticPr fontId="52" type="noConversion"/>
  </si>
  <si>
    <t>선배당 한도 = 상환 가능금액 (누계)</t>
    <phoneticPr fontId="52" type="noConversion"/>
  </si>
  <si>
    <t>PF상환 적립계좌</t>
    <phoneticPr fontId="6" type="noConversion"/>
  </si>
  <si>
    <t>상환+한도차감 前</t>
    <phoneticPr fontId="6" type="noConversion"/>
  </si>
  <si>
    <t>상환+한도차감 가능금액</t>
    <phoneticPr fontId="6" type="noConversion"/>
  </si>
  <si>
    <t>기표잔액</t>
    <phoneticPr fontId="6" type="noConversion"/>
  </si>
  <si>
    <t>상환+한도차감 後</t>
    <phoneticPr fontId="6" type="noConversion"/>
  </si>
  <si>
    <t>실제 가용자금 (누계)</t>
    <phoneticPr fontId="6" type="noConversion"/>
  </si>
  <si>
    <t>실제 PF 상환</t>
    <phoneticPr fontId="6" type="noConversion"/>
  </si>
  <si>
    <t>실제 한도차감</t>
    <phoneticPr fontId="6" type="noConversion"/>
  </si>
  <si>
    <t>상환+한도차감 가능금액 잔액 (누계)</t>
    <phoneticPr fontId="6" type="noConversion"/>
  </si>
  <si>
    <t>■ 분양수입표 (입금율 : 당월 100%) 이월 중도금 계약 후 차기도래시 일시납</t>
    <phoneticPr fontId="60" type="noConversion"/>
  </si>
  <si>
    <t>(단위 : 백만원)</t>
    <phoneticPr fontId="60" type="noConversion"/>
  </si>
  <si>
    <t>구분</t>
    <phoneticPr fontId="60" type="noConversion"/>
  </si>
  <si>
    <t>분양시기</t>
    <phoneticPr fontId="60" type="noConversion"/>
  </si>
  <si>
    <t>분양규모</t>
    <phoneticPr fontId="60" type="noConversion"/>
  </si>
  <si>
    <t>분양율 (금액 대비)</t>
    <phoneticPr fontId="60" type="noConversion"/>
  </si>
  <si>
    <t>합계</t>
    <phoneticPr fontId="60" type="noConversion"/>
  </si>
  <si>
    <t>차액</t>
    <phoneticPr fontId="60" type="noConversion"/>
  </si>
  <si>
    <t>금액</t>
    <phoneticPr fontId="60" type="noConversion"/>
  </si>
  <si>
    <t>비율</t>
    <phoneticPr fontId="60" type="noConversion"/>
  </si>
  <si>
    <t>누계</t>
    <phoneticPr fontId="60" type="noConversion"/>
  </si>
  <si>
    <t>계약금</t>
    <phoneticPr fontId="60" type="noConversion"/>
  </si>
  <si>
    <t>1차중도금</t>
    <phoneticPr fontId="60" type="noConversion"/>
  </si>
  <si>
    <t>2차중도금</t>
    <phoneticPr fontId="60" type="noConversion"/>
  </si>
  <si>
    <t>3차중도금</t>
    <phoneticPr fontId="11" type="noConversion"/>
  </si>
  <si>
    <t>4차중도금</t>
    <phoneticPr fontId="60" type="noConversion"/>
  </si>
  <si>
    <t>5차중도금</t>
    <phoneticPr fontId="60" type="noConversion"/>
  </si>
  <si>
    <t>6차중도금</t>
    <phoneticPr fontId="11" type="noConversion"/>
  </si>
  <si>
    <t>입주/잔금</t>
    <phoneticPr fontId="60" type="noConversion"/>
  </si>
  <si>
    <t>소계</t>
    <phoneticPr fontId="60" type="noConversion"/>
  </si>
  <si>
    <t>중도금대출이자</t>
    <phoneticPr fontId="60" type="noConversion"/>
  </si>
  <si>
    <t>금리</t>
    <phoneticPr fontId="60" type="noConversion"/>
  </si>
  <si>
    <t>대출누계</t>
    <phoneticPr fontId="60" type="noConversion"/>
  </si>
  <si>
    <t>대출이자</t>
    <phoneticPr fontId="60" type="noConversion"/>
  </si>
  <si>
    <t>년월</t>
    <phoneticPr fontId="60" type="noConversion"/>
  </si>
  <si>
    <t>3차중도금</t>
    <phoneticPr fontId="60" type="noConversion"/>
  </si>
  <si>
    <t>6차중도금</t>
    <phoneticPr fontId="60" type="noConversion"/>
  </si>
  <si>
    <t>계약금</t>
    <phoneticPr fontId="11" type="noConversion"/>
  </si>
  <si>
    <t>총계</t>
    <phoneticPr fontId="60" type="noConversion"/>
  </si>
  <si>
    <t>준공 前 평균 분양율</t>
    <phoneticPr fontId="60" type="noConversion"/>
  </si>
  <si>
    <t>사업비</t>
    <phoneticPr fontId="60" type="noConversion"/>
  </si>
  <si>
    <t>대출금 상환</t>
    <phoneticPr fontId="60" type="noConversion"/>
  </si>
  <si>
    <t>공동주택</t>
    <phoneticPr fontId="60" type="noConversion"/>
  </si>
  <si>
    <t>오피스텔</t>
    <phoneticPr fontId="60" type="noConversion"/>
  </si>
  <si>
    <t>근린생활시설</t>
    <phoneticPr fontId="60" type="noConversion"/>
  </si>
  <si>
    <t>3차중도금</t>
  </si>
  <si>
    <t>4차중도금</t>
  </si>
  <si>
    <t>5차중도금</t>
  </si>
  <si>
    <t>6차중도금</t>
  </si>
  <si>
    <t>구분</t>
    <phoneticPr fontId="64" type="noConversion"/>
  </si>
  <si>
    <t>매출액</t>
    <phoneticPr fontId="64" type="noConversion"/>
  </si>
  <si>
    <t>계약금</t>
    <phoneticPr fontId="64" type="noConversion"/>
  </si>
  <si>
    <t>중도금</t>
    <phoneticPr fontId="64" type="noConversion"/>
  </si>
  <si>
    <t>잔금</t>
    <phoneticPr fontId="64" type="noConversion"/>
  </si>
  <si>
    <t>계</t>
    <phoneticPr fontId="64" type="noConversion"/>
  </si>
  <si>
    <t>VAT 포함</t>
    <phoneticPr fontId="6" type="noConversion"/>
  </si>
  <si>
    <t>P/F 금액</t>
    <phoneticPr fontId="64" type="noConversion"/>
  </si>
  <si>
    <t>수수료 (flat)</t>
    <phoneticPr fontId="64" type="noConversion"/>
  </si>
  <si>
    <t>금리</t>
    <phoneticPr fontId="64" type="noConversion"/>
  </si>
  <si>
    <t>All-in-cost</t>
    <phoneticPr fontId="64" type="noConversion"/>
  </si>
  <si>
    <t>배분비율</t>
    <phoneticPr fontId="64" type="noConversion"/>
  </si>
  <si>
    <t>준공 前</t>
    <phoneticPr fontId="64" type="noConversion"/>
  </si>
  <si>
    <t>준공 後</t>
    <phoneticPr fontId="64" type="noConversion"/>
  </si>
  <si>
    <t>Tr. A</t>
    <phoneticPr fontId="64" type="noConversion"/>
  </si>
  <si>
    <t>사업비+공사비</t>
    <phoneticPr fontId="64" type="noConversion"/>
  </si>
  <si>
    <t>Tr. B</t>
    <phoneticPr fontId="6" type="noConversion"/>
  </si>
  <si>
    <t>P/F 상환</t>
    <phoneticPr fontId="64" type="noConversion"/>
  </si>
  <si>
    <t>Tr. C</t>
    <phoneticPr fontId="6" type="noConversion"/>
  </si>
  <si>
    <t>P/F 합계</t>
    <phoneticPr fontId="6" type="noConversion"/>
  </si>
  <si>
    <t>■ Exit 분양율</t>
    <phoneticPr fontId="64" type="noConversion"/>
  </si>
  <si>
    <t>(단위 : 천원, VAT 포함)</t>
    <phoneticPr fontId="6" type="noConversion"/>
  </si>
  <si>
    <t>분양율</t>
  </si>
  <si>
    <t>분양수입금 ⓐ=ⓑ+ⓒ</t>
    <phoneticPr fontId="6" type="noConversion"/>
  </si>
  <si>
    <t>대출금 상환 ⓑ</t>
    <phoneticPr fontId="6" type="noConversion"/>
  </si>
  <si>
    <t>대출금 잔액</t>
    <phoneticPr fontId="6" type="noConversion"/>
  </si>
  <si>
    <t>미분양수입금</t>
  </si>
  <si>
    <t>LTV</t>
  </si>
  <si>
    <t>사업비 (필수사업비 포함) ⓒ</t>
    <phoneticPr fontId="6" type="noConversion"/>
  </si>
  <si>
    <t>시행사
Equity ⓓ</t>
    <phoneticPr fontId="6" type="noConversion"/>
  </si>
  <si>
    <t>P/F
ⓔ</t>
    <phoneticPr fontId="6" type="noConversion"/>
  </si>
  <si>
    <t>가용 재원
ⓕ=ⓒ+ⓓ+ⓔ</t>
    <phoneticPr fontId="6" type="noConversion"/>
  </si>
  <si>
    <t>필요 사업비
ⓖ</t>
    <phoneticPr fontId="6" type="noConversion"/>
  </si>
  <si>
    <t>차이
ⓕ-ⓖ</t>
    <phoneticPr fontId="6" type="noConversion"/>
  </si>
  <si>
    <t>공사비
확보</t>
    <phoneticPr fontId="64" type="noConversion"/>
  </si>
  <si>
    <r>
      <t>계약ㆍ</t>
    </r>
    <r>
      <rPr>
        <b/>
        <sz val="10"/>
        <color rgb="FF000000"/>
        <rFont val="맑은 고딕"/>
        <family val="3"/>
        <charset val="129"/>
      </rPr>
      <t>중도금</t>
    </r>
    <phoneticPr fontId="6" type="noConversion"/>
  </si>
  <si>
    <t>잔금</t>
  </si>
  <si>
    <t>Tr. A Exit</t>
    <phoneticPr fontId="6" type="noConversion"/>
  </si>
  <si>
    <t>보유세액 산출</t>
    <phoneticPr fontId="39" type="noConversion"/>
  </si>
  <si>
    <t>단위 : 천원</t>
    <phoneticPr fontId="39" type="noConversion"/>
  </si>
  <si>
    <t>1. 사업연도별 보유세액</t>
    <phoneticPr fontId="39" type="noConversion"/>
  </si>
  <si>
    <t>분리과세</t>
    <phoneticPr fontId="11" type="noConversion"/>
  </si>
  <si>
    <t>사업기간 계</t>
    <phoneticPr fontId="39" type="noConversion"/>
  </si>
  <si>
    <t>재산세 등</t>
    <phoneticPr fontId="39" type="noConversion"/>
  </si>
  <si>
    <t>종합부동산세 등</t>
    <phoneticPr fontId="39" type="noConversion"/>
  </si>
  <si>
    <t>총 보유세액</t>
    <phoneticPr fontId="39" type="noConversion"/>
  </si>
  <si>
    <t>2. 재산세 등</t>
    <phoneticPr fontId="39" type="noConversion"/>
  </si>
  <si>
    <t>공시지가 상승율</t>
    <phoneticPr fontId="39" type="noConversion"/>
  </si>
  <si>
    <t>개별공시지가</t>
    <phoneticPr fontId="39" type="noConversion"/>
  </si>
  <si>
    <t>공정시장가액비율</t>
    <phoneticPr fontId="39" type="noConversion"/>
  </si>
  <si>
    <t>지방세법 제110조 (과세표준) : 시가표준액 (공시지가) × 공정시장가액비율</t>
    <phoneticPr fontId="39" type="noConversion"/>
  </si>
  <si>
    <t>과세표준</t>
    <phoneticPr fontId="39" type="noConversion"/>
  </si>
  <si>
    <t>제111조 (세율)</t>
    <phoneticPr fontId="39" type="noConversion"/>
  </si>
  <si>
    <t>종합합산</t>
    <phoneticPr fontId="6" type="noConversion"/>
  </si>
  <si>
    <r>
      <t xml:space="preserve">[5,000이하] 0.2%, [5,000~1억이하] 100천원+5000초과금액×0.3%, </t>
    </r>
    <r>
      <rPr>
        <b/>
        <sz val="11"/>
        <color rgb="FF0000FF"/>
        <rFont val="맑은 고딕"/>
        <family val="3"/>
        <charset val="129"/>
      </rPr>
      <t>[1억초과] 250천원+초과금액×0.5%</t>
    </r>
    <phoneticPr fontId="39" type="noConversion"/>
  </si>
  <si>
    <t>산출 토지분재산세</t>
    <phoneticPr fontId="39" type="noConversion"/>
  </si>
  <si>
    <t>별도합산</t>
    <phoneticPr fontId="6" type="noConversion"/>
  </si>
  <si>
    <r>
      <t xml:space="preserve">[2억이하] 0.2%, [2~10억이하] 400천원+2억초과금액×0.3%, </t>
    </r>
    <r>
      <rPr>
        <b/>
        <sz val="11"/>
        <color rgb="FF0000FF"/>
        <rFont val="맑은 고딕"/>
        <family val="3"/>
        <charset val="129"/>
      </rPr>
      <t>[10억초과] 2,800천원+초과금액×0.4%</t>
    </r>
    <phoneticPr fontId="39" type="noConversion"/>
  </si>
  <si>
    <t>직전연도 토지분재산세</t>
    <phoneticPr fontId="39" type="noConversion"/>
  </si>
  <si>
    <t>분리과세</t>
    <phoneticPr fontId="6" type="noConversion"/>
  </si>
  <si>
    <t>과세표준×0.2%</t>
    <phoneticPr fontId="6" type="noConversion"/>
  </si>
  <si>
    <t>재산세</t>
    <phoneticPr fontId="39" type="noConversion"/>
  </si>
  <si>
    <t>지방세법 제122조 (세부담의 상한) 직전연도 재산세액 상당액의 150% 초과하는 경우 150%에 해당하는 금액 징수</t>
    <phoneticPr fontId="39" type="noConversion"/>
  </si>
  <si>
    <t>지방교육세</t>
    <phoneticPr fontId="39" type="noConversion"/>
  </si>
  <si>
    <t>세율</t>
    <phoneticPr fontId="39" type="noConversion"/>
  </si>
  <si>
    <t>토지분 재산세×20%</t>
    <phoneticPr fontId="39" type="noConversion"/>
  </si>
  <si>
    <t>도시계획세</t>
    <phoneticPr fontId="39" type="noConversion"/>
  </si>
  <si>
    <t>과세표준×0.14%</t>
    <phoneticPr fontId="39" type="noConversion"/>
  </si>
  <si>
    <t>※ 과세기준일 : 매년 6월 1일</t>
    <phoneticPr fontId="39" type="noConversion"/>
  </si>
  <si>
    <t>※ 토지분 재산세 납기 : 매년 9월 16일부터 9월 30일까지</t>
    <phoneticPr fontId="39" type="noConversion"/>
  </si>
  <si>
    <t>3. 종합부동산세 등</t>
    <phoneticPr fontId="39" type="noConversion"/>
  </si>
  <si>
    <t>별도합산</t>
    <phoneticPr fontId="11" type="noConversion"/>
  </si>
  <si>
    <t>종합부동산세법 제13조 (과세표준) 제2항 및 동법 시행령 제2조의4 제2항 : 별도합산 (공시지가 - 80억) × 공정시장가액비율</t>
    <phoneticPr fontId="39" type="noConversion"/>
  </si>
  <si>
    <t>제14조 (세율)</t>
    <phoneticPr fontId="39" type="noConversion"/>
  </si>
  <si>
    <r>
      <t xml:space="preserve">[15억이하] 0.75%, [15~45억이하] 1,125만원+15억초과금액×1.5%, </t>
    </r>
    <r>
      <rPr>
        <b/>
        <sz val="11"/>
        <color rgb="FF0000FF"/>
        <rFont val="맑은 고딕"/>
        <family val="3"/>
        <charset val="129"/>
      </rPr>
      <t>[45억초과] 5,625만원+초과금액×2.0%</t>
    </r>
    <phoneticPr fontId="39" type="noConversion"/>
  </si>
  <si>
    <t>산출 종합부동산세</t>
    <phoneticPr fontId="39" type="noConversion"/>
  </si>
  <si>
    <r>
      <t xml:space="preserve">[200억이하] 0.5%, </t>
    </r>
    <r>
      <rPr>
        <sz val="11"/>
        <rFont val="맑은 고딕"/>
        <family val="3"/>
        <charset val="129"/>
      </rPr>
      <t xml:space="preserve">[200~400억이하] 1억원+200억초과금액×0.6%, </t>
    </r>
    <r>
      <rPr>
        <b/>
        <sz val="11"/>
        <color rgb="FF0000FF"/>
        <rFont val="맑은 고딕"/>
        <family val="3"/>
        <charset val="129"/>
      </rPr>
      <t>[400억초과] 2억2천만원+초과금액×0.7%</t>
    </r>
    <phoneticPr fontId="39" type="noConversion"/>
  </si>
  <si>
    <t>과세기준금액 초과분에 대한 재산세</t>
    <phoneticPr fontId="39" type="noConversion"/>
  </si>
  <si>
    <t>종합부동산세 대상 아님</t>
    <phoneticPr fontId="6" type="noConversion"/>
  </si>
  <si>
    <t>과세기준금액 초과금액</t>
    <phoneticPr fontId="39" type="noConversion"/>
  </si>
  <si>
    <t>산출 재산세액</t>
    <phoneticPr fontId="39" type="noConversion"/>
  </si>
  <si>
    <t>종합부동산세</t>
    <phoneticPr fontId="39" type="noConversion"/>
  </si>
  <si>
    <t>종합부동산세법 제14조 (세율 및 세액) 제4항 및 제6항 토지분 재산세로 부과된 세액은 토지분 별도합산세액에서 공제</t>
    <phoneticPr fontId="39" type="noConversion"/>
  </si>
  <si>
    <t>농어촌특별세</t>
    <phoneticPr fontId="39" type="noConversion"/>
  </si>
  <si>
    <t>종합부동산세×20%</t>
    <phoneticPr fontId="39" type="noConversion"/>
  </si>
  <si>
    <t>※ 종합부동산세 납기 : 매년 12월 1일부터 12월 15일까지</t>
    <phoneticPr fontId="39" type="noConversion"/>
  </si>
  <si>
    <t>구분</t>
    <phoneticPr fontId="68" type="noConversion"/>
  </si>
  <si>
    <r>
      <t>전용면적</t>
    </r>
    <r>
      <rPr>
        <sz val="11"/>
        <rFont val="Arial Narrow"/>
        <family val="2"/>
      </rPr>
      <t/>
    </r>
    <phoneticPr fontId="68" type="noConversion"/>
  </si>
  <si>
    <t>계약면적</t>
    <phoneticPr fontId="68" type="noConversion"/>
  </si>
  <si>
    <t>세대수</t>
    <phoneticPr fontId="68" type="noConversion"/>
  </si>
  <si>
    <r>
      <t>총 면적
①</t>
    </r>
    <r>
      <rPr>
        <sz val="12"/>
        <rFont val="Arial Narrow"/>
        <family val="2"/>
      </rPr>
      <t/>
    </r>
    <phoneticPr fontId="68" type="noConversion"/>
  </si>
  <si>
    <r>
      <t>차이면적 조정
②</t>
    </r>
    <r>
      <rPr>
        <sz val="12"/>
        <rFont val="Arial Narrow"/>
        <family val="2"/>
      </rPr>
      <t/>
    </r>
    <phoneticPr fontId="68" type="noConversion"/>
  </si>
  <si>
    <t>차이조정 후 면적
① +②</t>
    <phoneticPr fontId="68" type="noConversion"/>
  </si>
  <si>
    <t>국민주택이하</t>
    <phoneticPr fontId="68" type="noConversion"/>
  </si>
  <si>
    <t>소계</t>
    <phoneticPr fontId="68" type="noConversion"/>
  </si>
  <si>
    <t>국민주택초과</t>
    <phoneticPr fontId="68" type="noConversion"/>
  </si>
  <si>
    <t>상가 등</t>
    <phoneticPr fontId="68" type="noConversion"/>
  </si>
  <si>
    <t>합계</t>
    <phoneticPr fontId="68" type="noConversion"/>
  </si>
  <si>
    <t>사업계획승인서상 면적</t>
    <phoneticPr fontId="68" type="noConversion"/>
  </si>
  <si>
    <t>차이면적 ②</t>
    <phoneticPr fontId="68" type="noConversion"/>
  </si>
  <si>
    <t>면세율</t>
    <phoneticPr fontId="6" type="noConversion"/>
  </si>
  <si>
    <t>과세율</t>
    <phoneticPr fontId="6" type="noConversion"/>
  </si>
  <si>
    <t>면세 비율 = ROUNDDOWN(국민주택이하 연면적 / 사업계획승인서상 연면적,4)</t>
    <phoneticPr fontId="68" type="noConversion"/>
  </si>
  <si>
    <t>부가세 별도 금액</t>
    <phoneticPr fontId="68" type="noConversion"/>
  </si>
  <si>
    <t>면세금액</t>
    <phoneticPr fontId="68" type="noConversion"/>
  </si>
  <si>
    <t>과세금액</t>
    <phoneticPr fontId="68" type="noConversion"/>
  </si>
  <si>
    <t>부가세</t>
    <phoneticPr fontId="68" type="noConversion"/>
  </si>
  <si>
    <t>과세비율에 따라 과세</t>
    <phoneticPr fontId="68" type="noConversion"/>
  </si>
  <si>
    <t>공사비</t>
    <phoneticPr fontId="68" type="noConversion"/>
  </si>
  <si>
    <t>구분</t>
    <phoneticPr fontId="11" type="noConversion"/>
  </si>
  <si>
    <t>자기자본</t>
    <phoneticPr fontId="11" type="noConversion"/>
  </si>
  <si>
    <t>계약금대출</t>
    <phoneticPr fontId="11" type="noConversion"/>
  </si>
  <si>
    <t>PF대출</t>
    <phoneticPr fontId="11" type="noConversion"/>
  </si>
  <si>
    <t>계</t>
    <phoneticPr fontId="11" type="noConversion"/>
  </si>
  <si>
    <t>수입</t>
    <phoneticPr fontId="11" type="noConversion"/>
  </si>
  <si>
    <t>Equity</t>
    <phoneticPr fontId="11" type="noConversion"/>
  </si>
  <si>
    <t>지출</t>
    <phoneticPr fontId="11" type="noConversion"/>
  </si>
  <si>
    <t>토지비</t>
    <phoneticPr fontId="11" type="noConversion"/>
  </si>
  <si>
    <t>취득세</t>
    <phoneticPr fontId="11" type="noConversion"/>
  </si>
  <si>
    <t>재산세</t>
    <phoneticPr fontId="11" type="noConversion"/>
  </si>
  <si>
    <t>설계비</t>
    <phoneticPr fontId="11" type="noConversion"/>
  </si>
  <si>
    <t>감리비</t>
    <phoneticPr fontId="11" type="noConversion"/>
  </si>
  <si>
    <t>각종 용역비</t>
    <phoneticPr fontId="11" type="noConversion"/>
  </si>
  <si>
    <t>분양경비</t>
    <phoneticPr fontId="11" type="noConversion"/>
  </si>
  <si>
    <t>계약금대출 비용</t>
    <phoneticPr fontId="11" type="noConversion"/>
  </si>
  <si>
    <t>계약금대출 상환</t>
    <phoneticPr fontId="11" type="noConversion"/>
  </si>
  <si>
    <t>PF대출 비용</t>
    <phoneticPr fontId="11" type="noConversion"/>
  </si>
  <si>
    <t>각종 부담금</t>
    <phoneticPr fontId="11" type="noConversion"/>
  </si>
  <si>
    <t>시행사운영비</t>
    <phoneticPr fontId="11" type="noConversion"/>
  </si>
  <si>
    <t>예비비</t>
    <phoneticPr fontId="11" type="noConversion"/>
  </si>
  <si>
    <t>한도인출</t>
    <phoneticPr fontId="11" type="noConversion"/>
  </si>
  <si>
    <t>자금과부족</t>
    <phoneticPr fontId="11" type="noConversion"/>
  </si>
  <si>
    <t>■ KTX 울산역세권 개발사업 PF 비용표</t>
    <phoneticPr fontId="11" type="noConversion"/>
  </si>
  <si>
    <t>(단위 : 원)</t>
    <phoneticPr fontId="11" type="noConversion"/>
  </si>
  <si>
    <t>구    분</t>
    <phoneticPr fontId="11" type="noConversion"/>
  </si>
  <si>
    <t>업   체</t>
    <phoneticPr fontId="11" type="noConversion"/>
  </si>
  <si>
    <t>요   율</t>
    <phoneticPr fontId="11" type="noConversion"/>
  </si>
  <si>
    <t>全기간</t>
    <phoneticPr fontId="11" type="noConversion"/>
  </si>
  <si>
    <t>기표당일</t>
    <phoneticPr fontId="11" type="noConversion"/>
  </si>
  <si>
    <t>비고</t>
    <phoneticPr fontId="11" type="noConversion"/>
  </si>
  <si>
    <t>공급가액</t>
    <phoneticPr fontId="11" type="noConversion"/>
  </si>
  <si>
    <t>부가세</t>
    <phoneticPr fontId="11" type="noConversion"/>
  </si>
  <si>
    <t>금    리</t>
    <phoneticPr fontId="11" type="noConversion"/>
  </si>
  <si>
    <t>[대주]</t>
    <phoneticPr fontId="11" type="noConversion"/>
  </si>
  <si>
    <t>- 변동금리
- 3개월 선취</t>
    <phoneticPr fontId="11" type="noConversion"/>
  </si>
  <si>
    <t>수수료</t>
    <phoneticPr fontId="11" type="noConversion"/>
  </si>
  <si>
    <t>총액인수 수수료</t>
    <phoneticPr fontId="11" type="noConversion"/>
  </si>
  <si>
    <r>
      <t xml:space="preserve">더블에스울산KTX
</t>
    </r>
    <r>
      <rPr>
        <sz val="9"/>
        <color theme="1"/>
        <rFont val="맑은 고딕"/>
        <family val="3"/>
        <charset val="129"/>
        <scheme val="minor"/>
      </rPr>
      <t>(삼성증권 SPC)</t>
    </r>
    <phoneticPr fontId="11" type="noConversion"/>
  </si>
  <si>
    <t>취급 수수료</t>
    <phoneticPr fontId="11" type="noConversion"/>
  </si>
  <si>
    <t>주관 수수료</t>
    <phoneticPr fontId="11" type="noConversion"/>
  </si>
  <si>
    <t>삼성증권</t>
    <phoneticPr fontId="11" type="noConversion"/>
  </si>
  <si>
    <t>대리금융기관 수수료</t>
    <phoneticPr fontId="11" type="noConversion"/>
  </si>
  <si>
    <t>대출관련
비용</t>
    <phoneticPr fontId="11" type="noConversion"/>
  </si>
  <si>
    <t>법무법인 수수료</t>
    <phoneticPr fontId="11" type="noConversion"/>
  </si>
  <si>
    <t>법무법인 해송</t>
    <phoneticPr fontId="11" type="noConversion"/>
  </si>
  <si>
    <t>신탁수수료</t>
    <phoneticPr fontId="11" type="noConversion"/>
  </si>
  <si>
    <t>무궁화신탁</t>
    <phoneticPr fontId="11" type="noConversion"/>
  </si>
  <si>
    <t>- 기표 당일 10% 계약금 지급</t>
    <phoneticPr fontId="11" type="noConversion"/>
  </si>
  <si>
    <t>사업성평가 수수료</t>
    <phoneticPr fontId="11" type="noConversion"/>
  </si>
  <si>
    <t>한국신용평가</t>
    <phoneticPr fontId="11" type="noConversion"/>
  </si>
  <si>
    <t>법무사비용</t>
    <phoneticPr fontId="11" type="noConversion"/>
  </si>
  <si>
    <t>-</t>
    <phoneticPr fontId="11" type="noConversion"/>
  </si>
  <si>
    <t>- 등기부등본 無 
- 신탁사로 소유권이전
  등기청구권 권리의무 승계</t>
    <phoneticPr fontId="11" type="noConversion"/>
  </si>
  <si>
    <t>유동화
비용</t>
    <phoneticPr fontId="11" type="noConversion"/>
  </si>
  <si>
    <t>신용평가수수료</t>
    <phoneticPr fontId="11" type="noConversion"/>
  </si>
  <si>
    <t>한국기업평가</t>
    <phoneticPr fontId="11" type="noConversion"/>
  </si>
  <si>
    <t>회계감사수수료</t>
    <phoneticPr fontId="11" type="noConversion"/>
  </si>
  <si>
    <t>우일회계법인</t>
    <phoneticPr fontId="11" type="noConversion"/>
  </si>
  <si>
    <t>업무수탁수수료</t>
    <phoneticPr fontId="11" type="noConversion"/>
  </si>
  <si>
    <t>키움증권</t>
    <phoneticPr fontId="11" type="noConversion"/>
  </si>
  <si>
    <t>자산관리수수료</t>
    <phoneticPr fontId="11" type="noConversion"/>
  </si>
  <si>
    <t>- SPC 설립청산비용
- 발행등록 비용 等</t>
    <phoneticPr fontId="11" type="noConversion"/>
  </si>
  <si>
    <t>합    계</t>
    <phoneticPr fontId="11" type="noConversion"/>
  </si>
  <si>
    <t>gpt참조</t>
    <phoneticPr fontId="4" type="noConversion"/>
  </si>
  <si>
    <t>색상으로 입력셀 구분</t>
    <phoneticPr fontId="4" type="noConversion"/>
  </si>
  <si>
    <t>사람 입력셀</t>
    <phoneticPr fontId="4" type="noConversion"/>
  </si>
  <si>
    <t>ai 자동  계산</t>
    <phoneticPr fontId="4" type="noConversion"/>
  </si>
  <si>
    <t>계산값 노출</t>
    <phoneticPr fontId="4" type="noConversion"/>
  </si>
  <si>
    <t>유형</t>
  </si>
  <si>
    <t>색상코드</t>
  </si>
  <si>
    <t>기본/확장</t>
  </si>
  <si>
    <t>사용 목적</t>
  </si>
  <si>
    <t>고정값</t>
  </si>
  <si>
    <t>기본</t>
  </si>
  <si>
    <t>시스템 설정값</t>
  </si>
  <si>
    <t>사용자 입력값</t>
  </si>
  <si>
    <t>사용자가 직접 입력하는 값</t>
  </si>
  <si>
    <t>AI 계산값</t>
  </si>
  <si>
    <t>GPT 등 AI가 계산한 값</t>
  </si>
  <si>
    <t>수식 계산값</t>
  </si>
  <si>
    <t>다른 셀 참조한 자동 계산 값</t>
  </si>
  <si>
    <t>조건부 입력값</t>
  </si>
  <si>
    <t>확장</t>
  </si>
  <si>
    <t>특정 조건에서만 입력 가능</t>
  </si>
  <si>
    <t>외부 참조값</t>
  </si>
  <si>
    <t>외부 시트, 외부 DB 등 참조 값</t>
  </si>
  <si>
    <t>비활성/잠금</t>
  </si>
  <si>
    <t>수정 불가</t>
  </si>
  <si>
    <t>오류 셀</t>
  </si>
  <si>
    <t>수식 또는 논리적 오류</t>
  </si>
  <si>
    <t>검토 필요값</t>
  </si>
  <si>
    <t>경고 또는 기준 외 입력값</t>
  </si>
  <si>
    <t>버전 구분값</t>
  </si>
  <si>
    <t>버전 차이 시각화</t>
  </si>
  <si>
    <t>GPT 주석 셀</t>
  </si>
  <si>
    <t>GPT 요약/분석 셀</t>
  </si>
  <si>
    <t>면세비율</t>
    <phoneticPr fontId="4" type="noConversion"/>
  </si>
  <si>
    <t>건축연면적 (지하주차장 등 제외) × 표준건축비 × 부과율 (2%, 수도권 4%) × 50%</t>
    <phoneticPr fontId="6" type="noConversion"/>
  </si>
  <si>
    <t xml:space="preserve">표준건축비 : </t>
    <phoneticPr fontId="4" type="noConversion"/>
  </si>
  <si>
    <t>구분</t>
    <phoneticPr fontId="4" type="noConversion"/>
  </si>
  <si>
    <t>%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</si>
  <si>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</si>
  <si>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</si>
  <si>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</si>
  <si>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입주/잔금비율(D+00개월 기준)</t>
    <phoneticPr fontId="4" type="noConversion"/>
  </si>
  <si>
    <t>입주/잔금1</t>
    <phoneticPr fontId="4" type="noConversion"/>
  </si>
  <si>
    <t>입주/잔금2</t>
  </si>
  <si>
    <t>입주/잔금3</t>
  </si>
  <si>
    <t>입주/잔금4</t>
  </si>
  <si>
    <t>입주/잔금5</t>
  </si>
  <si>
    <t>입주/잔금1</t>
    <phoneticPr fontId="60" type="noConversion"/>
  </si>
  <si>
    <t>=LET(</t>
  </si>
  <si>
    <t xml:space="preserve">  금액, $F7,</t>
  </si>
  <si>
    <t xml:space="preserve">  계약금비율, $B$4,</t>
  </si>
  <si>
    <t xml:space="preserve">  중도금비율, $C$4,</t>
  </si>
  <si>
    <t xml:space="preserve">  잔금비율, $D$4,</t>
  </si>
  <si>
    <t xml:space="preserve">  누계범위, $G7:INDIRECT(ADDRESS(ROW(), COLUMN()-1)),</t>
  </si>
  <si>
    <t xml:space="preserve">  중도금누계,</t>
  </si>
  <si>
    <t xml:space="preserve">    IF($G$6="1차중도금", 금액*중도금비율*0.1,</t>
  </si>
  <si>
    <t xml:space="preserve">    IF($G$6="2차중도금", 금액*중도금비율*0.2 - SUM(누계범위),</t>
  </si>
  <si>
    <t xml:space="preserve">    IF($G$6="3차중도금", 금액*중도금비율*0.3 - SUM(누계범위),</t>
  </si>
  <si>
    <t xml:space="preserve">    IF($G$6="4차중도금", 금액*중도금비율*0.4 - SUM(누계범위),</t>
  </si>
  <si>
    <t xml:space="preserve">    IF($G$6="5차중도금", 금액*중도금비율*0.5 - SUM(누계범위),</t>
  </si>
  <si>
    <t xml:space="preserve">    IF($G$6="6차중도금", 금액*중도금비율*0.6 - SUM(누계범위),</t>
  </si>
  <si>
    <t xml:space="preserve">    0)))))),</t>
  </si>
  <si>
    <t xml:space="preserve">  잔금,</t>
  </si>
  <si>
    <t xml:space="preserve">    IF($G$6="입주/잔금1", 금액*잔금비율*$B$5,</t>
  </si>
  <si>
    <t xml:space="preserve">    IF($G$6="입주/잔금2", 금액*잔금비율*$C$5,</t>
  </si>
  <si>
    <t xml:space="preserve">    IF($G$6="입주/잔금3", 금액*잔금비율*$D$5,</t>
  </si>
  <si>
    <t xml:space="preserve">    IF($G$6="입주/잔금4", 금액*잔금비율*$E$5,</t>
  </si>
  <si>
    <t xml:space="preserve">    IF($G$6="입주/잔금5", 금액*잔금비율*$F$5,</t>
  </si>
  <si>
    <t xml:space="preserve">    0))))),</t>
  </si>
  <si>
    <t xml:space="preserve">  결과,</t>
  </si>
  <si>
    <t xml:space="preserve">    IF($G$6="계약금", 금액*계약금비율,</t>
  </si>
  <si>
    <t xml:space="preserve">    IF(LEFT($G$6,5)="입주", 잔금,</t>
  </si>
  <si>
    <t xml:space="preserve">    중도금누계))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</si>
</sst>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2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0.0%"/>
    <numFmt numFmtId="178" formatCode="0.0%&quot; &quot;"/>
    <numFmt numFmtId="179" formatCode="#,##0;[Red]&quot;▲&quot;#,##0"/>
    <numFmt numFmtId="180" formatCode="yyyy&quot;년&quot;\ m&quot;월&quot;\ d&quot;일&quot;"/>
    <numFmt numFmtId="181" formatCode="yyyy&quot;년&quot;\ m&quot;월&quot;\ d&quot;일&quot;;@"/>
    <numFmt numFmtId="182" formatCode="0&quot;개&quot;&quot;월&quot;"/>
    <numFmt numFmtId="183" formatCode="#,##0&quot;개월&quot;"/>
    <numFmt numFmtId="184" formatCode="#,##0_ "/>
    <numFmt numFmtId="185" formatCode="#,##0&quot;천원/평&quot;"/>
    <numFmt numFmtId="186" formatCode="##,###&quot;평&quot;"/>
    <numFmt numFmtId="187" formatCode="#,##0.0&quot;평&quot;"/>
    <numFmt numFmtId="188" formatCode="yyyy&quot;년&quot;\ mm&quot;월&quot;"/>
    <numFmt numFmtId="189" formatCode="yyyy&quot;년&quot;\ m&quot;월&quot;"/>
    <numFmt numFmtId="190" formatCode="##,###&quot;천원/세대&quot;"/>
    <numFmt numFmtId="191" formatCode="#,##0&quot;평&quot;"/>
    <numFmt numFmtId="192" formatCode="#,##0.00_ "/>
    <numFmt numFmtId="193" formatCode="0&quot;층&quot;"/>
    <numFmt numFmtId="194" formatCode="#,##0&quot;대&quot;"/>
    <numFmt numFmtId="195" formatCode="#,##0.00&quot;대&quot;"/>
    <numFmt numFmtId="196" formatCode="#,##0.00&quot;㎡&quot;"/>
    <numFmt numFmtId="197" formatCode="0.0%\ &quot;할인&quot;"/>
    <numFmt numFmtId="198" formatCode="&quot;A&quot;&quot;P&quot;&quot;T&quot;&quot;:&quot;\ 0.0%"/>
    <numFmt numFmtId="199" formatCode="&quot;O&quot;&quot;F&quot;&quot;F&quot;&quot;:&quot;\ 0.0%"/>
    <numFmt numFmtId="200" formatCode="#,##0_);[Red]\(#,##0\)"/>
    <numFmt numFmtId="201" formatCode="#,###,###&quot;천원&quot;"/>
    <numFmt numFmtId="202" formatCode="#,##0&quot;천원&quot;"/>
    <numFmt numFmtId="203" formatCode="###,###,###&quot;천원&quot;"/>
    <numFmt numFmtId="204" formatCode="##,###&quot;㎡&quot;"/>
    <numFmt numFmtId="205" formatCode="#,###&quot;천원&quot;"/>
    <numFmt numFmtId="206" formatCode="_-* #,##0.0_-;\-* #,##0.0_-;_-* &quot;-&quot;_-;_-@_-"/>
    <numFmt numFmtId="207" formatCode="#,##0.00_);[Red]\(#,##0.00\)"/>
    <numFmt numFmtId="208" formatCode="#,##0&quot;세대&quot;"/>
    <numFmt numFmtId="209" formatCode="\(0.0&quot;년&quot;\)"/>
    <numFmt numFmtId="210" formatCode="0.000%"/>
    <numFmt numFmtId="211" formatCode="#,##0\ &quot;일&quot;"/>
    <numFmt numFmtId="212" formatCode="&quot;B/L &quot;#,###&quot;억원&quot;"/>
    <numFmt numFmtId="213" formatCode="&quot;P/F &quot;#,###&quot;억원&quot;"/>
    <numFmt numFmtId="214" formatCode="&quot;VAT (&quot;0.0%&quot;)&quot;"/>
    <numFmt numFmtId="215" formatCode="0.00%&quot; &quot;"/>
    <numFmt numFmtId="216" formatCode="#,##0&quot;천&quot;&quot;원&quot;"/>
    <numFmt numFmtId="217" formatCode="#,##0.0&quot;천&quot;&quot;원&quot;&quot;/&quot;&quot;㎡&quot;"/>
    <numFmt numFmtId="218" formatCode="\ #,##0&quot;천&quot;&quot;원&quot;&quot;/&quot;&quot;㎡&quot;"/>
    <numFmt numFmtId="219" formatCode="#,##0&quot;천&quot;&quot;원&quot;&quot;/&quot;&quot;㎡&quot;"/>
    <numFmt numFmtId="220" formatCode="#,##0.0&quot;㎡&quot;"/>
    <numFmt numFmtId="221" formatCode="#,##0&quot;실&quot;"/>
    <numFmt numFmtId="222" formatCode="&quot;(실행율 : &quot;0.0%&quot;)&quot;"/>
    <numFmt numFmtId="223" formatCode="##&quot;개월&quot;"/>
    <numFmt numFmtId="224" formatCode="_ * #,##0_ ;_ * \-#,##0_ ;_ * &quot;-&quot;_ ;_ @_ "/>
    <numFmt numFmtId="225" formatCode="&quot;D+&quot;##"/>
    <numFmt numFmtId="226" formatCode="_-* #,##0.000_-;\-* #,##0.000_-;_-* &quot;-&quot;_-;_-@_-"/>
    <numFmt numFmtId="227" formatCode="yyyy/mm"/>
    <numFmt numFmtId="228" formatCode="#,##0&quot; &quot;;[Red]&quot;▲&quot;#,##0&quot; &quot;"/>
    <numFmt numFmtId="229" formatCode="&quot; 상환 &quot;00%"/>
    <numFmt numFmtId="230" formatCode="_-* #,##0_-;\-* #,##0_-;_-* &quot;-&quot;??_-;_-@_-"/>
    <numFmt numFmtId="231" formatCode="#,##0_ ;[Red]\-#,##0\ "/>
    <numFmt numFmtId="232" formatCode="0%\ &quot;이하&quot;"/>
    <numFmt numFmtId="233" formatCode="0%\ &quot;초과&quot;"/>
    <numFmt numFmtId="234" formatCode="##%\ &quot;이하&quot;"/>
    <numFmt numFmtId="235" formatCode="0%&quot; &quot;"/>
    <numFmt numFmtId="236" formatCode="##%\ &quot;초과&quot;"/>
    <numFmt numFmtId="237" formatCode="&quot;Y-&quot;0"/>
    <numFmt numFmtId="238" formatCode="General&quot;년&quot;"/>
    <numFmt numFmtId="239" formatCode="_-* #,##0.0_-;\-* #,##0.0_-;_-* &quot;-&quot;?_-;_-@_-"/>
    <numFmt numFmtId="240" formatCode="#,##0.0000_ "/>
    <numFmt numFmtId="241" formatCode="0.0000%&quot; &quot;"/>
    <numFmt numFmtId="242" formatCode="0.0000%"/>
    <numFmt numFmtId="243" formatCode="0_);[Red]\(0\)"/>
    <numFmt numFmtId="244" formatCode="&quot;시행사 &quot;###,###&quot;천원/월&quot;"/>
    <numFmt numFmtId="245" formatCode="&quot; 손익검토&quot;"/>
  </numFmts>
  <fonts count="7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b/>
      <sz val="16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  <family val="2"/>
    </font>
    <font>
      <sz val="28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8"/>
      <color rgb="FFFFFFFF"/>
      <name val="맑은 고딕"/>
      <family val="3"/>
      <charset val="129"/>
    </font>
    <font>
      <sz val="18"/>
      <color rgb="FFFFFFFF"/>
      <name val="맑은 고딕"/>
      <family val="3"/>
      <charset val="129"/>
    </font>
    <font>
      <sz val="16"/>
      <color rgb="FFFFFFFF"/>
      <name val="맑은 고딕"/>
      <family val="3"/>
      <charset val="129"/>
    </font>
    <font>
      <b/>
      <sz val="11"/>
      <name val="맑은 고딕"/>
      <family val="3"/>
      <charset val="129"/>
    </font>
    <font>
      <sz val="18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0"/>
      <name val="맑은 고딕"/>
      <family val="3"/>
      <charset val="129"/>
    </font>
    <font>
      <sz val="11"/>
      <color rgb="FF000080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color rgb="FF000080"/>
      <name val="맑은 고딕"/>
      <family val="3"/>
      <charset val="129"/>
    </font>
    <font>
      <sz val="8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u/>
      <sz val="11"/>
      <color rgb="FFFF00FF"/>
      <name val="맑은 고딕"/>
      <family val="3"/>
      <charset val="129"/>
    </font>
    <font>
      <b/>
      <sz val="10"/>
      <color rgb="FF80000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9933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rgb="FF333399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2"/>
      <name val="바탕체"/>
      <family val="1"/>
      <charset val="129"/>
    </font>
    <font>
      <sz val="14"/>
      <name val="뼻뮝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b/>
      <i/>
      <sz val="1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8"/>
      <name val="바탕"/>
      <family val="1"/>
      <charset val="129"/>
    </font>
    <font>
      <sz val="15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333399"/>
      <name val="맑은 고딕"/>
      <family val="3"/>
      <charset val="129"/>
    </font>
    <font>
      <sz val="8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돋움"/>
      <family val="3"/>
      <charset val="129"/>
    </font>
    <font>
      <b/>
      <sz val="14"/>
      <color rgb="FFFFFFFF"/>
      <name val="맑은 고딕"/>
      <family val="3"/>
      <charset val="129"/>
    </font>
    <font>
      <sz val="8"/>
      <name val="바탕체"/>
      <family val="1"/>
      <charset val="129"/>
    </font>
    <font>
      <sz val="11"/>
      <name val="Arial Narrow"/>
      <family val="2"/>
    </font>
    <font>
      <sz val="12"/>
      <name val="Arial Narrow"/>
      <family val="2"/>
    </font>
    <font>
      <sz val="11"/>
      <color theme="1"/>
      <name val="맑은 고딕"/>
      <family val="3"/>
      <charset val="129"/>
      <scheme val="minor"/>
    </font>
    <font>
      <b/>
      <sz val="25"/>
      <color rgb="FF3333CC"/>
      <name val="맑은 고딕"/>
      <family val="3"/>
      <charset val="129"/>
      <scheme val="minor"/>
    </font>
    <font>
      <sz val="16"/>
      <color theme="0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28"/>
      <name val="맑은 고딕"/>
      <family val="3"/>
      <charset val="129"/>
    </font>
  </fonts>
  <fills count="5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632523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333333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DDDDD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EEE9"/>
        <bgColor indexed="64"/>
      </patternFill>
    </fill>
    <fill>
      <patternFill patternType="solid">
        <fgColor rgb="FFF6F4C4"/>
        <bgColor indexed="64"/>
      </patternFill>
    </fill>
    <fill>
      <patternFill patternType="solid">
        <fgColor rgb="FFDCF8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/>
      <top style="thin">
        <color rgb="FFFFFFFF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ck">
        <color rgb="FF808080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rgb="FF808080"/>
      </bottom>
      <diagonal/>
    </border>
    <border>
      <left/>
      <right style="thin">
        <color indexed="64"/>
      </right>
      <top/>
      <bottom style="hair">
        <color rgb="FF808080"/>
      </bottom>
      <diagonal/>
    </border>
    <border>
      <left/>
      <right style="medium">
        <color indexed="64"/>
      </right>
      <top/>
      <bottom style="hair">
        <color rgb="FF808080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808080"/>
      </bottom>
      <diagonal/>
    </border>
    <border>
      <left/>
      <right/>
      <top style="medium">
        <color indexed="64"/>
      </top>
      <bottom style="medium">
        <color rgb="FF808080"/>
      </bottom>
      <diagonal/>
    </border>
    <border>
      <left/>
      <right style="thin">
        <color indexed="64"/>
      </right>
      <top style="medium">
        <color indexed="64"/>
      </top>
      <bottom style="medium">
        <color rgb="FF808080"/>
      </bottom>
      <diagonal/>
    </border>
    <border>
      <left/>
      <right/>
      <top style="medium">
        <color indexed="64"/>
      </top>
      <bottom style="hair">
        <color rgb="FF808080"/>
      </bottom>
      <diagonal/>
    </border>
    <border>
      <left/>
      <right style="thin">
        <color indexed="64"/>
      </right>
      <top style="medium">
        <color indexed="64"/>
      </top>
      <bottom style="hair">
        <color rgb="FF808080"/>
      </bottom>
      <diagonal/>
    </border>
    <border>
      <left style="thin">
        <color indexed="64"/>
      </left>
      <right/>
      <top style="medium">
        <color indexed="64"/>
      </top>
      <bottom style="hair">
        <color rgb="FF808080"/>
      </bottom>
      <diagonal/>
    </border>
    <border>
      <left/>
      <right style="medium">
        <color indexed="64"/>
      </right>
      <top style="medium">
        <color indexed="64"/>
      </top>
      <bottom style="hair">
        <color rgb="FF808080"/>
      </bottom>
      <diagonal/>
    </border>
    <border>
      <left style="medium">
        <color indexed="64"/>
      </left>
      <right/>
      <top style="medium">
        <color rgb="FF80808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808080"/>
      </top>
      <bottom style="thin">
        <color indexed="64"/>
      </bottom>
      <diagonal/>
    </border>
    <border>
      <left/>
      <right style="thin">
        <color indexed="64"/>
      </right>
      <top style="medium">
        <color rgb="FF80808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rgb="FF808080"/>
      </bottom>
      <diagonal/>
    </border>
    <border>
      <left style="thin">
        <color indexed="64"/>
      </left>
      <right style="thin">
        <color indexed="64"/>
      </right>
      <top style="hair">
        <color rgb="FF808080"/>
      </top>
      <bottom/>
      <diagonal/>
    </border>
    <border>
      <left style="thin">
        <color indexed="64"/>
      </left>
      <right/>
      <top style="hair">
        <color rgb="FF808080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rgb="FF808080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hair">
        <color indexed="64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rgb="FF0000FF"/>
      </right>
      <top style="hair">
        <color indexed="64"/>
      </top>
      <bottom style="hair">
        <color indexed="64"/>
      </bottom>
      <diagonal/>
    </border>
    <border>
      <left style="medium">
        <color rgb="FF0000FF"/>
      </left>
      <right style="medium">
        <color rgb="FF0000FF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rgb="FF0000FF"/>
      </right>
      <top style="hair">
        <color indexed="64"/>
      </top>
      <bottom/>
      <diagonal/>
    </border>
    <border>
      <left style="medium">
        <color rgb="FF0000FF"/>
      </left>
      <right style="medium">
        <color rgb="FF0000FF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hair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FF"/>
      </right>
      <top style="thin">
        <color indexed="64"/>
      </top>
      <bottom/>
      <diagonal/>
    </border>
    <border>
      <left style="medium">
        <color rgb="FF0000FF"/>
      </left>
      <right style="medium">
        <color rgb="FF0000FF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rgb="FF0000FF"/>
      </left>
      <right style="medium">
        <color rgb="FF0000FF"/>
      </right>
      <top style="hair">
        <color indexed="64"/>
      </top>
      <bottom style="medium">
        <color rgb="FF0000FF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indexed="64"/>
      </left>
      <right/>
      <top/>
      <bottom style="hair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224" fontId="51" fillId="0" borderId="0" applyFont="0" applyFill="0" applyBorder="0" applyAlignment="0" applyProtection="0"/>
    <xf numFmtId="0" fontId="66" fillId="0" borderId="0">
      <alignment vertical="center"/>
    </xf>
    <xf numFmtId="41" fontId="75" fillId="0" borderId="0" applyFont="0" applyFill="0" applyBorder="0" applyAlignment="0" applyProtection="0">
      <alignment vertical="center"/>
    </xf>
    <xf numFmtId="9" fontId="75" fillId="0" borderId="0" applyFont="0" applyFill="0" applyBorder="0" applyAlignment="0" applyProtection="0">
      <alignment vertical="center"/>
    </xf>
  </cellStyleXfs>
  <cellXfs count="1918">
    <xf numFmtId="0" fontId="0" fillId="0" borderId="0" xfId="0"/>
    <xf numFmtId="0" fontId="3" fillId="0" borderId="0" xfId="1" applyFont="1">
      <alignment vertical="center"/>
    </xf>
    <xf numFmtId="0" fontId="2" fillId="0" borderId="0" xfId="1">
      <alignment vertical="center"/>
    </xf>
    <xf numFmtId="176" fontId="3" fillId="0" borderId="0" xfId="3" applyNumberFormat="1" applyFont="1" applyFill="1" applyBorder="1" applyAlignment="1">
      <alignment vertical="center"/>
    </xf>
    <xf numFmtId="43" fontId="3" fillId="0" borderId="0" xfId="1" applyNumberFormat="1" applyFont="1">
      <alignment vertical="center"/>
    </xf>
    <xf numFmtId="0" fontId="3" fillId="0" borderId="0" xfId="1" applyFont="1" applyAlignment="1">
      <alignment horizontal="center" vertical="center"/>
    </xf>
    <xf numFmtId="41" fontId="3" fillId="0" borderId="0" xfId="1" applyNumberFormat="1" applyFont="1">
      <alignment vertical="center"/>
    </xf>
    <xf numFmtId="0" fontId="7" fillId="0" borderId="0" xfId="1" applyFont="1">
      <alignment vertical="center"/>
    </xf>
    <xf numFmtId="0" fontId="3" fillId="0" borderId="0" xfId="1" applyFont="1" applyAlignment="1">
      <alignment horizontal="right"/>
    </xf>
    <xf numFmtId="0" fontId="8" fillId="0" borderId="0" xfId="1" applyFont="1">
      <alignment vertical="center"/>
    </xf>
    <xf numFmtId="0" fontId="3" fillId="0" borderId="0" xfId="1" applyFont="1" applyAlignment="1">
      <alignment horizontal="right" vertical="center"/>
    </xf>
    <xf numFmtId="0" fontId="10" fillId="4" borderId="6" xfId="1" applyFont="1" applyFill="1" applyBorder="1">
      <alignment vertical="center"/>
    </xf>
    <xf numFmtId="0" fontId="10" fillId="4" borderId="6" xfId="1" applyFont="1" applyFill="1" applyBorder="1" applyAlignment="1">
      <alignment horizontal="center" vertical="center"/>
    </xf>
    <xf numFmtId="0" fontId="9" fillId="6" borderId="16" xfId="1" applyFont="1" applyFill="1" applyBorder="1" applyAlignment="1">
      <alignment vertical="center" wrapText="1"/>
    </xf>
    <xf numFmtId="0" fontId="8" fillId="3" borderId="25" xfId="1" applyFont="1" applyFill="1" applyBorder="1" applyAlignment="1">
      <alignment horizontal="center" vertical="center"/>
    </xf>
    <xf numFmtId="177" fontId="13" fillId="12" borderId="26" xfId="3" applyNumberFormat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177" fontId="14" fillId="3" borderId="26" xfId="3" applyNumberFormat="1" applyFont="1" applyFill="1" applyBorder="1" applyAlignment="1">
      <alignment horizontal="center" vertical="center"/>
    </xf>
    <xf numFmtId="0" fontId="8" fillId="3" borderId="27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41" fontId="3" fillId="2" borderId="1" xfId="3" applyFont="1" applyFill="1" applyBorder="1" applyAlignment="1">
      <alignment vertical="center"/>
    </xf>
    <xf numFmtId="41" fontId="3" fillId="2" borderId="1" xfId="2" applyFont="1" applyFill="1" applyBorder="1" applyAlignment="1">
      <alignment vertical="center"/>
    </xf>
    <xf numFmtId="178" fontId="13" fillId="12" borderId="26" xfId="3" applyNumberFormat="1" applyFont="1" applyFill="1" applyBorder="1" applyAlignment="1">
      <alignment horizontal="right" vertical="center"/>
    </xf>
    <xf numFmtId="178" fontId="14" fillId="2" borderId="26" xfId="3" applyNumberFormat="1" applyFont="1" applyFill="1" applyBorder="1" applyAlignment="1">
      <alignment horizontal="right" vertical="center"/>
    </xf>
    <xf numFmtId="41" fontId="3" fillId="2" borderId="3" xfId="3" applyFont="1" applyFill="1" applyBorder="1" applyAlignment="1">
      <alignment vertical="center"/>
    </xf>
    <xf numFmtId="41" fontId="3" fillId="0" borderId="1" xfId="1" applyNumberFormat="1" applyFont="1" applyBorder="1">
      <alignment vertical="center"/>
    </xf>
    <xf numFmtId="41" fontId="8" fillId="3" borderId="1" xfId="2" applyFont="1" applyFill="1" applyBorder="1" applyAlignment="1">
      <alignment vertical="center"/>
    </xf>
    <xf numFmtId="41" fontId="3" fillId="0" borderId="1" xfId="2" applyFont="1" applyFill="1" applyBorder="1" applyAlignment="1">
      <alignment vertical="center"/>
    </xf>
    <xf numFmtId="41" fontId="8" fillId="3" borderId="1" xfId="3" applyFont="1" applyFill="1" applyBorder="1" applyAlignment="1">
      <alignment vertical="center"/>
    </xf>
    <xf numFmtId="41" fontId="3" fillId="0" borderId="1" xfId="3" applyFont="1" applyFill="1" applyBorder="1" applyAlignment="1">
      <alignment vertical="center"/>
    </xf>
    <xf numFmtId="178" fontId="13" fillId="0" borderId="0" xfId="4" applyNumberFormat="1" applyFont="1" applyFill="1" applyBorder="1" applyAlignment="1">
      <alignment vertical="center"/>
    </xf>
    <xf numFmtId="178" fontId="14" fillId="0" borderId="0" xfId="4" applyNumberFormat="1" applyFont="1" applyFill="1" applyBorder="1" applyAlignment="1">
      <alignment vertical="center"/>
    </xf>
    <xf numFmtId="41" fontId="3" fillId="0" borderId="0" xfId="2" applyFont="1" applyFill="1" applyBorder="1" applyAlignment="1">
      <alignment vertical="center"/>
    </xf>
    <xf numFmtId="41" fontId="3" fillId="0" borderId="0" xfId="3" applyFont="1" applyFill="1" applyBorder="1" applyAlignment="1">
      <alignment vertical="center"/>
    </xf>
    <xf numFmtId="178" fontId="13" fillId="12" borderId="1" xfId="3" applyNumberFormat="1" applyFont="1" applyFill="1" applyBorder="1" applyAlignment="1">
      <alignment horizontal="right" vertical="center"/>
    </xf>
    <xf numFmtId="178" fontId="14" fillId="2" borderId="1" xfId="3" applyNumberFormat="1" applyFont="1" applyFill="1" applyBorder="1" applyAlignment="1">
      <alignment horizontal="right" vertical="center"/>
    </xf>
    <xf numFmtId="41" fontId="8" fillId="3" borderId="1" xfId="1" applyNumberFormat="1" applyFont="1" applyFill="1" applyBorder="1">
      <alignment vertical="center"/>
    </xf>
    <xf numFmtId="178" fontId="3" fillId="0" borderId="0" xfId="4" applyNumberFormat="1" applyFont="1" applyFill="1" applyBorder="1" applyAlignment="1">
      <alignment vertical="center"/>
    </xf>
    <xf numFmtId="0" fontId="15" fillId="0" borderId="0" xfId="1" applyFont="1">
      <alignment vertical="center"/>
    </xf>
    <xf numFmtId="0" fontId="16" fillId="0" borderId="0" xfId="1" applyFont="1">
      <alignment vertical="center"/>
    </xf>
    <xf numFmtId="41" fontId="15" fillId="0" borderId="0" xfId="3" applyFont="1" applyFill="1" applyBorder="1" applyAlignment="1">
      <alignment vertical="center"/>
    </xf>
    <xf numFmtId="0" fontId="15" fillId="13" borderId="0" xfId="1" applyFont="1" applyFill="1">
      <alignment vertical="center"/>
    </xf>
    <xf numFmtId="0" fontId="2" fillId="13" borderId="0" xfId="1" applyFill="1">
      <alignment vertical="center"/>
    </xf>
    <xf numFmtId="41" fontId="15" fillId="13" borderId="0" xfId="3" applyFont="1" applyFill="1" applyBorder="1" applyAlignment="1">
      <alignment vertical="center"/>
    </xf>
    <xf numFmtId="0" fontId="15" fillId="13" borderId="0" xfId="2" applyNumberFormat="1" applyFont="1" applyFill="1" applyBorder="1" applyAlignment="1">
      <alignment vertical="center"/>
    </xf>
    <xf numFmtId="41" fontId="24" fillId="0" borderId="79" xfId="3" applyFont="1" applyFill="1" applyBorder="1" applyAlignment="1">
      <alignment vertical="center"/>
    </xf>
    <xf numFmtId="41" fontId="24" fillId="0" borderId="31" xfId="3" applyFont="1" applyFill="1" applyBorder="1" applyAlignment="1">
      <alignment vertical="center"/>
    </xf>
    <xf numFmtId="41" fontId="15" fillId="13" borderId="0" xfId="1" applyNumberFormat="1" applyFont="1" applyFill="1">
      <alignment vertical="center"/>
    </xf>
    <xf numFmtId="43" fontId="15" fillId="13" borderId="0" xfId="1" applyNumberFormat="1" applyFont="1" applyFill="1">
      <alignment vertical="center"/>
    </xf>
    <xf numFmtId="41" fontId="30" fillId="13" borderId="0" xfId="3" applyFont="1" applyFill="1" applyBorder="1" applyAlignment="1">
      <alignment vertical="center"/>
    </xf>
    <xf numFmtId="179" fontId="15" fillId="13" borderId="0" xfId="1" applyNumberFormat="1" applyFont="1" applyFill="1">
      <alignment vertical="center"/>
    </xf>
    <xf numFmtId="41" fontId="15" fillId="13" borderId="0" xfId="2" applyFont="1" applyFill="1" applyBorder="1" applyAlignment="1">
      <alignment vertical="center"/>
    </xf>
    <xf numFmtId="0" fontId="7" fillId="0" borderId="0" xfId="7" applyNumberFormat="1" applyFont="1" applyFill="1" applyBorder="1" applyAlignment="1">
      <alignment horizontal="left" vertical="center"/>
    </xf>
    <xf numFmtId="224" fontId="7" fillId="0" borderId="0" xfId="7" applyFont="1" applyFill="1" applyBorder="1" applyAlignment="1">
      <alignment horizontal="center" vertical="center"/>
    </xf>
    <xf numFmtId="224" fontId="7" fillId="0" borderId="0" xfId="7" applyFont="1" applyFill="1" applyBorder="1" applyAlignment="1">
      <alignment vertical="center"/>
    </xf>
    <xf numFmtId="177" fontId="7" fillId="0" borderId="0" xfId="1" applyNumberFormat="1" applyFont="1">
      <alignment vertical="center"/>
    </xf>
    <xf numFmtId="10" fontId="7" fillId="0" borderId="0" xfId="1" applyNumberFormat="1" applyFont="1">
      <alignment vertical="center"/>
    </xf>
    <xf numFmtId="0" fontId="37" fillId="0" borderId="0" xfId="7" applyNumberFormat="1" applyFont="1" applyFill="1" applyBorder="1" applyAlignment="1">
      <alignment horizontal="center" vertical="center"/>
    </xf>
    <xf numFmtId="225" fontId="37" fillId="0" borderId="0" xfId="7" applyNumberFormat="1" applyFont="1" applyFill="1" applyBorder="1" applyAlignment="1">
      <alignment horizontal="center" vertical="center"/>
    </xf>
    <xf numFmtId="41" fontId="7" fillId="0" borderId="0" xfId="3" applyFont="1" applyFill="1" applyBorder="1" applyAlignment="1">
      <alignment vertical="center"/>
    </xf>
    <xf numFmtId="224" fontId="37" fillId="20" borderId="0" xfId="7" applyFont="1" applyFill="1" applyBorder="1" applyAlignment="1">
      <alignment horizontal="center" vertical="center"/>
    </xf>
    <xf numFmtId="224" fontId="37" fillId="20" borderId="0" xfId="7" applyFont="1" applyFill="1" applyBorder="1" applyAlignment="1">
      <alignment vertical="center"/>
    </xf>
    <xf numFmtId="41" fontId="37" fillId="20" borderId="0" xfId="3" applyFont="1" applyFill="1" applyBorder="1" applyAlignment="1">
      <alignment vertical="center"/>
    </xf>
    <xf numFmtId="224" fontId="42" fillId="20" borderId="0" xfId="7" applyFont="1" applyFill="1" applyBorder="1" applyAlignment="1">
      <alignment vertical="center"/>
    </xf>
    <xf numFmtId="224" fontId="42" fillId="20" borderId="0" xfId="7" applyFont="1" applyFill="1" applyBorder="1" applyAlignment="1">
      <alignment horizontal="left" vertical="center"/>
    </xf>
    <xf numFmtId="224" fontId="42" fillId="20" borderId="0" xfId="7" applyFont="1" applyFill="1" applyBorder="1" applyAlignment="1">
      <alignment horizontal="right" vertical="center"/>
    </xf>
    <xf numFmtId="41" fontId="37" fillId="0" borderId="0" xfId="3" applyFont="1" applyFill="1" applyBorder="1" applyAlignment="1">
      <alignment vertical="center"/>
    </xf>
    <xf numFmtId="224" fontId="42" fillId="0" borderId="0" xfId="7" applyFont="1" applyFill="1" applyBorder="1" applyAlignment="1">
      <alignment vertical="center"/>
    </xf>
    <xf numFmtId="179" fontId="53" fillId="0" borderId="0" xfId="7" applyNumberFormat="1" applyFont="1" applyFill="1" applyBorder="1" applyAlignment="1">
      <alignment vertical="center"/>
    </xf>
    <xf numFmtId="179" fontId="37" fillId="0" borderId="0" xfId="7" applyNumberFormat="1" applyFont="1" applyFill="1" applyBorder="1" applyAlignment="1">
      <alignment horizontal="center" vertical="center"/>
    </xf>
    <xf numFmtId="179" fontId="37" fillId="0" borderId="0" xfId="7" applyNumberFormat="1" applyFont="1" applyFill="1" applyBorder="1" applyAlignment="1">
      <alignment vertical="center"/>
    </xf>
    <xf numFmtId="226" fontId="37" fillId="0" borderId="0" xfId="3" applyNumberFormat="1" applyFont="1" applyFill="1" applyBorder="1" applyAlignment="1">
      <alignment vertical="center"/>
    </xf>
    <xf numFmtId="226" fontId="54" fillId="0" borderId="0" xfId="3" applyNumberFormat="1" applyFont="1" applyFill="1" applyBorder="1" applyAlignment="1">
      <alignment horizontal="center" vertical="center"/>
    </xf>
    <xf numFmtId="179" fontId="42" fillId="0" borderId="0" xfId="7" applyNumberFormat="1" applyFont="1" applyFill="1" applyBorder="1" applyAlignment="1">
      <alignment vertical="center"/>
    </xf>
    <xf numFmtId="179" fontId="54" fillId="0" borderId="0" xfId="7" applyNumberFormat="1" applyFont="1" applyFill="1" applyBorder="1" applyAlignment="1">
      <alignment horizontal="center" vertical="center"/>
    </xf>
    <xf numFmtId="179" fontId="37" fillId="3" borderId="150" xfId="3" applyNumberFormat="1" applyFont="1" applyFill="1" applyBorder="1" applyAlignment="1">
      <alignment horizontal="center" vertical="center"/>
    </xf>
    <xf numFmtId="179" fontId="37" fillId="3" borderId="151" xfId="3" applyNumberFormat="1" applyFont="1" applyFill="1" applyBorder="1" applyAlignment="1">
      <alignment horizontal="center" vertical="center"/>
    </xf>
    <xf numFmtId="179" fontId="37" fillId="3" borderId="152" xfId="7" applyNumberFormat="1" applyFont="1" applyFill="1" applyBorder="1" applyAlignment="1">
      <alignment horizontal="center" vertical="center"/>
    </xf>
    <xf numFmtId="179" fontId="37" fillId="3" borderId="153" xfId="3" applyNumberFormat="1" applyFont="1" applyFill="1" applyBorder="1" applyAlignment="1">
      <alignment horizontal="center" vertical="center"/>
    </xf>
    <xf numFmtId="179" fontId="37" fillId="3" borderId="150" xfId="7" applyNumberFormat="1" applyFont="1" applyFill="1" applyBorder="1" applyAlignment="1">
      <alignment horizontal="center" vertical="center"/>
    </xf>
    <xf numFmtId="179" fontId="37" fillId="3" borderId="83" xfId="7" applyNumberFormat="1" applyFont="1" applyFill="1" applyBorder="1" applyAlignment="1">
      <alignment horizontal="center" vertical="center"/>
    </xf>
    <xf numFmtId="179" fontId="37" fillId="3" borderId="151" xfId="7" applyNumberFormat="1" applyFont="1" applyFill="1" applyBorder="1" applyAlignment="1">
      <alignment horizontal="center" vertical="center"/>
    </xf>
    <xf numFmtId="179" fontId="37" fillId="3" borderId="154" xfId="7" applyNumberFormat="1" applyFont="1" applyFill="1" applyBorder="1" applyAlignment="1">
      <alignment horizontal="center" vertical="center"/>
    </xf>
    <xf numFmtId="179" fontId="37" fillId="3" borderId="155" xfId="7" applyNumberFormat="1" applyFont="1" applyFill="1" applyBorder="1" applyAlignment="1">
      <alignment horizontal="center" vertical="center"/>
    </xf>
    <xf numFmtId="41" fontId="37" fillId="0" borderId="51" xfId="3" applyFont="1" applyFill="1" applyBorder="1" applyAlignment="1">
      <alignment horizontal="center" vertical="center"/>
    </xf>
    <xf numFmtId="179" fontId="37" fillId="3" borderId="156" xfId="3" applyNumberFormat="1" applyFont="1" applyFill="1" applyBorder="1" applyAlignment="1">
      <alignment horizontal="center" vertical="center"/>
    </xf>
    <xf numFmtId="179" fontId="37" fillId="3" borderId="157" xfId="3" applyNumberFormat="1" applyFont="1" applyFill="1" applyBorder="1" applyAlignment="1">
      <alignment horizontal="center" vertical="center"/>
    </xf>
    <xf numFmtId="179" fontId="37" fillId="3" borderId="158" xfId="3" applyNumberFormat="1" applyFont="1" applyFill="1" applyBorder="1" applyAlignment="1">
      <alignment horizontal="center" vertical="center"/>
    </xf>
    <xf numFmtId="179" fontId="37" fillId="3" borderId="159" xfId="3" applyNumberFormat="1" applyFont="1" applyFill="1" applyBorder="1" applyAlignment="1">
      <alignment horizontal="center" vertical="center"/>
    </xf>
    <xf numFmtId="0" fontId="37" fillId="3" borderId="156" xfId="3" applyNumberFormat="1" applyFont="1" applyFill="1" applyBorder="1" applyAlignment="1">
      <alignment horizontal="center" vertical="center"/>
    </xf>
    <xf numFmtId="0" fontId="37" fillId="3" borderId="160" xfId="3" applyNumberFormat="1" applyFont="1" applyFill="1" applyBorder="1" applyAlignment="1">
      <alignment horizontal="center" vertical="center"/>
    </xf>
    <xf numFmtId="0" fontId="37" fillId="3" borderId="157" xfId="3" applyNumberFormat="1" applyFont="1" applyFill="1" applyBorder="1" applyAlignment="1">
      <alignment horizontal="center" vertical="center"/>
    </xf>
    <xf numFmtId="0" fontId="37" fillId="3" borderId="161" xfId="3" applyNumberFormat="1" applyFont="1" applyFill="1" applyBorder="1" applyAlignment="1">
      <alignment horizontal="center" vertical="center"/>
    </xf>
    <xf numFmtId="0" fontId="37" fillId="3" borderId="162" xfId="3" applyNumberFormat="1" applyFont="1" applyFill="1" applyBorder="1" applyAlignment="1">
      <alignment horizontal="center" vertical="center"/>
    </xf>
    <xf numFmtId="0" fontId="37" fillId="3" borderId="158" xfId="3" applyNumberFormat="1" applyFont="1" applyFill="1" applyBorder="1" applyAlignment="1">
      <alignment horizontal="center" vertical="center"/>
    </xf>
    <xf numFmtId="179" fontId="37" fillId="10" borderId="163" xfId="3" applyNumberFormat="1" applyFont="1" applyFill="1" applyBorder="1" applyAlignment="1">
      <alignment horizontal="center" vertical="center"/>
    </xf>
    <xf numFmtId="179" fontId="37" fillId="10" borderId="164" xfId="3" applyNumberFormat="1" applyFont="1" applyFill="1" applyBorder="1" applyAlignment="1">
      <alignment horizontal="center" vertical="center"/>
    </xf>
    <xf numFmtId="179" fontId="37" fillId="10" borderId="165" xfId="3" applyNumberFormat="1" applyFont="1" applyFill="1" applyBorder="1" applyAlignment="1">
      <alignment horizontal="center" vertical="center"/>
    </xf>
    <xf numFmtId="179" fontId="37" fillId="10" borderId="166" xfId="3" applyNumberFormat="1" applyFont="1" applyFill="1" applyBorder="1" applyAlignment="1">
      <alignment horizontal="center" vertical="center"/>
    </xf>
    <xf numFmtId="0" fontId="37" fillId="10" borderId="163" xfId="3" applyNumberFormat="1" applyFont="1" applyFill="1" applyBorder="1" applyAlignment="1">
      <alignment horizontal="center" vertical="center"/>
    </xf>
    <xf numFmtId="0" fontId="37" fillId="10" borderId="88" xfId="3" applyNumberFormat="1" applyFont="1" applyFill="1" applyBorder="1" applyAlignment="1">
      <alignment horizontal="center" vertical="center"/>
    </xf>
    <xf numFmtId="0" fontId="37" fillId="10" borderId="164" xfId="3" applyNumberFormat="1" applyFont="1" applyFill="1" applyBorder="1" applyAlignment="1">
      <alignment horizontal="center" vertical="center"/>
    </xf>
    <xf numFmtId="0" fontId="37" fillId="10" borderId="167" xfId="3" applyNumberFormat="1" applyFont="1" applyFill="1" applyBorder="1" applyAlignment="1">
      <alignment horizontal="center" vertical="center"/>
    </xf>
    <xf numFmtId="178" fontId="37" fillId="10" borderId="168" xfId="1" applyNumberFormat="1" applyFont="1" applyFill="1" applyBorder="1" applyAlignment="1">
      <alignment horizontal="right" vertical="center"/>
    </xf>
    <xf numFmtId="178" fontId="37" fillId="10" borderId="165" xfId="1" applyNumberFormat="1" applyFont="1" applyFill="1" applyBorder="1" applyAlignment="1">
      <alignment horizontal="right" vertical="center"/>
    </xf>
    <xf numFmtId="178" fontId="37" fillId="10" borderId="163" xfId="1" applyNumberFormat="1" applyFont="1" applyFill="1" applyBorder="1" applyAlignment="1">
      <alignment horizontal="right" vertical="center"/>
    </xf>
    <xf numFmtId="178" fontId="37" fillId="10" borderId="164" xfId="1" applyNumberFormat="1" applyFont="1" applyFill="1" applyBorder="1" applyAlignment="1">
      <alignment horizontal="right" vertical="center"/>
    </xf>
    <xf numFmtId="178" fontId="37" fillId="10" borderId="88" xfId="1" applyNumberFormat="1" applyFont="1" applyFill="1" applyBorder="1" applyAlignment="1">
      <alignment horizontal="right" vertical="center"/>
    </xf>
    <xf numFmtId="179" fontId="37" fillId="3" borderId="169" xfId="3" applyNumberFormat="1" applyFont="1" applyFill="1" applyBorder="1" applyAlignment="1">
      <alignment horizontal="center" vertical="center"/>
    </xf>
    <xf numFmtId="227" fontId="37" fillId="3" borderId="169" xfId="3" applyNumberFormat="1" applyFont="1" applyFill="1" applyBorder="1" applyAlignment="1">
      <alignment horizontal="center" vertical="center"/>
    </xf>
    <xf numFmtId="227" fontId="37" fillId="3" borderId="170" xfId="3" applyNumberFormat="1" applyFont="1" applyFill="1" applyBorder="1" applyAlignment="1">
      <alignment horizontal="center" vertical="center"/>
    </xf>
    <xf numFmtId="227" fontId="37" fillId="3" borderId="128" xfId="3" applyNumberFormat="1" applyFont="1" applyFill="1" applyBorder="1" applyAlignment="1">
      <alignment horizontal="center" vertical="center"/>
    </xf>
    <xf numFmtId="227" fontId="37" fillId="3" borderId="171" xfId="3" applyNumberFormat="1" applyFont="1" applyFill="1" applyBorder="1" applyAlignment="1">
      <alignment horizontal="center" vertical="center"/>
    </xf>
    <xf numFmtId="227" fontId="37" fillId="3" borderId="172" xfId="3" applyNumberFormat="1" applyFont="1" applyFill="1" applyBorder="1" applyAlignment="1">
      <alignment horizontal="center" vertical="center"/>
    </xf>
    <xf numFmtId="227" fontId="37" fillId="3" borderId="173" xfId="3" applyNumberFormat="1" applyFont="1" applyFill="1" applyBorder="1" applyAlignment="1">
      <alignment horizontal="center" vertical="center"/>
    </xf>
    <xf numFmtId="227" fontId="37" fillId="3" borderId="174" xfId="3" applyNumberFormat="1" applyFont="1" applyFill="1" applyBorder="1" applyAlignment="1">
      <alignment horizontal="center" vertical="center"/>
    </xf>
    <xf numFmtId="184" fontId="37" fillId="2" borderId="150" xfId="3" applyNumberFormat="1" applyFont="1" applyFill="1" applyBorder="1" applyAlignment="1">
      <alignment horizontal="right" vertical="center"/>
    </xf>
    <xf numFmtId="41" fontId="42" fillId="2" borderId="150" xfId="3" applyFont="1" applyFill="1" applyBorder="1" applyAlignment="1">
      <alignment horizontal="right" vertical="center"/>
    </xf>
    <xf numFmtId="41" fontId="37" fillId="2" borderId="150" xfId="3" applyFont="1" applyFill="1" applyBorder="1" applyAlignment="1">
      <alignment horizontal="right" vertical="center"/>
    </xf>
    <xf numFmtId="41" fontId="37" fillId="2" borderId="151" xfId="3" applyFont="1" applyFill="1" applyBorder="1" applyAlignment="1">
      <alignment horizontal="right" vertical="center"/>
    </xf>
    <xf numFmtId="41" fontId="42" fillId="0" borderId="152" xfId="3" applyFont="1" applyFill="1" applyBorder="1" applyAlignment="1">
      <alignment horizontal="right" vertical="center"/>
    </xf>
    <xf numFmtId="41" fontId="37" fillId="2" borderId="175" xfId="3" applyFont="1" applyFill="1" applyBorder="1" applyAlignment="1">
      <alignment horizontal="right" vertical="center"/>
    </xf>
    <xf numFmtId="41" fontId="42" fillId="0" borderId="150" xfId="3" applyFont="1" applyFill="1" applyBorder="1" applyAlignment="1">
      <alignment horizontal="right" vertical="center"/>
    </xf>
    <xf numFmtId="41" fontId="42" fillId="0" borderId="83" xfId="3" applyFont="1" applyFill="1" applyBorder="1" applyAlignment="1">
      <alignment horizontal="right" vertical="center"/>
    </xf>
    <xf numFmtId="41" fontId="42" fillId="0" borderId="151" xfId="3" applyFont="1" applyFill="1" applyBorder="1" applyAlignment="1">
      <alignment horizontal="right" vertical="center"/>
    </xf>
    <xf numFmtId="41" fontId="42" fillId="0" borderId="154" xfId="3" applyFont="1" applyFill="1" applyBorder="1" applyAlignment="1">
      <alignment horizontal="right" vertical="center"/>
    </xf>
    <xf numFmtId="41" fontId="42" fillId="0" borderId="176" xfId="2" applyFont="1" applyFill="1" applyBorder="1" applyAlignment="1">
      <alignment horizontal="right" vertical="center"/>
    </xf>
    <xf numFmtId="41" fontId="42" fillId="0" borderId="176" xfId="3" applyFont="1" applyFill="1" applyBorder="1" applyAlignment="1">
      <alignment horizontal="right" vertical="center"/>
    </xf>
    <xf numFmtId="41" fontId="37" fillId="3" borderId="150" xfId="3" applyFont="1" applyFill="1" applyBorder="1" applyAlignment="1">
      <alignment horizontal="right" vertical="center"/>
    </xf>
    <xf numFmtId="41" fontId="37" fillId="0" borderId="177" xfId="3" applyFont="1" applyFill="1" applyBorder="1" applyAlignment="1">
      <alignment horizontal="right" vertical="center"/>
    </xf>
    <xf numFmtId="228" fontId="42" fillId="3" borderId="175" xfId="7" applyNumberFormat="1" applyFont="1" applyFill="1" applyBorder="1" applyAlignment="1">
      <alignment horizontal="right" vertical="center"/>
    </xf>
    <xf numFmtId="177" fontId="55" fillId="0" borderId="0" xfId="1" applyNumberFormat="1" applyFont="1">
      <alignment vertical="center"/>
    </xf>
    <xf numFmtId="184" fontId="37" fillId="2" borderId="169" xfId="3" applyNumberFormat="1" applyFont="1" applyFill="1" applyBorder="1" applyAlignment="1">
      <alignment horizontal="right" vertical="center"/>
    </xf>
    <xf numFmtId="41" fontId="42" fillId="2" borderId="169" xfId="3" applyFont="1" applyFill="1" applyBorder="1" applyAlignment="1">
      <alignment horizontal="right" vertical="center"/>
    </xf>
    <xf numFmtId="41" fontId="37" fillId="2" borderId="169" xfId="3" applyFont="1" applyFill="1" applyBorder="1" applyAlignment="1">
      <alignment horizontal="right" vertical="center"/>
    </xf>
    <xf numFmtId="41" fontId="37" fillId="2" borderId="170" xfId="3" applyFont="1" applyFill="1" applyBorder="1" applyAlignment="1">
      <alignment horizontal="right" vertical="center"/>
    </xf>
    <xf numFmtId="41" fontId="42" fillId="0" borderId="128" xfId="3" applyFont="1" applyFill="1" applyBorder="1" applyAlignment="1">
      <alignment horizontal="right" vertical="center"/>
    </xf>
    <xf numFmtId="41" fontId="37" fillId="2" borderId="171" xfId="3" applyFont="1" applyFill="1" applyBorder="1" applyAlignment="1">
      <alignment horizontal="right" vertical="center"/>
    </xf>
    <xf numFmtId="41" fontId="42" fillId="0" borderId="169" xfId="3" applyFont="1" applyFill="1" applyBorder="1" applyAlignment="1">
      <alignment horizontal="right" vertical="center"/>
    </xf>
    <xf numFmtId="41" fontId="42" fillId="0" borderId="172" xfId="3" applyFont="1" applyFill="1" applyBorder="1" applyAlignment="1">
      <alignment horizontal="right" vertical="center"/>
    </xf>
    <xf numFmtId="41" fontId="42" fillId="0" borderId="170" xfId="3" applyFont="1" applyFill="1" applyBorder="1" applyAlignment="1">
      <alignment horizontal="right" vertical="center"/>
    </xf>
    <xf numFmtId="41" fontId="42" fillId="0" borderId="173" xfId="3" applyFont="1" applyFill="1" applyBorder="1" applyAlignment="1">
      <alignment horizontal="right" vertical="center"/>
    </xf>
    <xf numFmtId="41" fontId="42" fillId="0" borderId="174" xfId="3" applyFont="1" applyFill="1" applyBorder="1" applyAlignment="1">
      <alignment horizontal="right" vertical="center"/>
    </xf>
    <xf numFmtId="41" fontId="37" fillId="3" borderId="169" xfId="3" applyFont="1" applyFill="1" applyBorder="1" applyAlignment="1">
      <alignment horizontal="right" vertical="center"/>
    </xf>
    <xf numFmtId="228" fontId="42" fillId="3" borderId="171" xfId="7" applyNumberFormat="1" applyFont="1" applyFill="1" applyBorder="1" applyAlignment="1">
      <alignment horizontal="right" vertical="center"/>
    </xf>
    <xf numFmtId="179" fontId="37" fillId="12" borderId="23" xfId="7" applyNumberFormat="1" applyFont="1" applyFill="1" applyBorder="1" applyAlignment="1">
      <alignment horizontal="center" vertical="center"/>
    </xf>
    <xf numFmtId="184" fontId="37" fillId="3" borderId="1" xfId="3" applyNumberFormat="1" applyFont="1" applyFill="1" applyBorder="1" applyAlignment="1">
      <alignment horizontal="right" vertical="center"/>
    </xf>
    <xf numFmtId="41" fontId="42" fillId="3" borderId="1" xfId="3" applyFont="1" applyFill="1" applyBorder="1" applyAlignment="1">
      <alignment horizontal="right" vertical="center"/>
    </xf>
    <xf numFmtId="41" fontId="37" fillId="3" borderId="1" xfId="3" applyFont="1" applyFill="1" applyBorder="1" applyAlignment="1">
      <alignment horizontal="right" vertical="center"/>
    </xf>
    <xf numFmtId="41" fontId="37" fillId="3" borderId="2" xfId="3" applyFont="1" applyFill="1" applyBorder="1" applyAlignment="1">
      <alignment horizontal="right" vertical="center"/>
    </xf>
    <xf numFmtId="41" fontId="42" fillId="3" borderId="3" xfId="3" applyFont="1" applyFill="1" applyBorder="1" applyAlignment="1">
      <alignment horizontal="right" vertical="center"/>
    </xf>
    <xf numFmtId="41" fontId="37" fillId="3" borderId="178" xfId="3" applyFont="1" applyFill="1" applyBorder="1" applyAlignment="1">
      <alignment horizontal="right" vertical="center"/>
    </xf>
    <xf numFmtId="41" fontId="42" fillId="3" borderId="7" xfId="3" applyFont="1" applyFill="1" applyBorder="1" applyAlignment="1">
      <alignment horizontal="right" vertical="center"/>
    </xf>
    <xf numFmtId="41" fontId="42" fillId="3" borderId="2" xfId="3" applyFont="1" applyFill="1" applyBorder="1" applyAlignment="1">
      <alignment horizontal="right" vertical="center"/>
    </xf>
    <xf numFmtId="41" fontId="42" fillId="3" borderId="179" xfId="3" applyFont="1" applyFill="1" applyBorder="1" applyAlignment="1">
      <alignment horizontal="right" vertical="center"/>
    </xf>
    <xf numFmtId="41" fontId="42" fillId="3" borderId="131" xfId="3" applyFont="1" applyFill="1" applyBorder="1" applyAlignment="1">
      <alignment horizontal="right" vertical="center"/>
    </xf>
    <xf numFmtId="228" fontId="42" fillId="3" borderId="41" xfId="7" applyNumberFormat="1" applyFont="1" applyFill="1" applyBorder="1" applyAlignment="1">
      <alignment horizontal="right" vertical="center"/>
    </xf>
    <xf numFmtId="179" fontId="37" fillId="12" borderId="49" xfId="7" applyNumberFormat="1" applyFont="1" applyFill="1" applyBorder="1" applyAlignment="1">
      <alignment horizontal="center" vertical="center"/>
    </xf>
    <xf numFmtId="179" fontId="37" fillId="12" borderId="2" xfId="7" applyNumberFormat="1" applyFont="1" applyFill="1" applyBorder="1" applyAlignment="1">
      <alignment horizontal="left" vertical="center"/>
    </xf>
    <xf numFmtId="179" fontId="37" fillId="12" borderId="3" xfId="7" applyNumberFormat="1" applyFont="1" applyFill="1" applyBorder="1" applyAlignment="1">
      <alignment horizontal="left" vertical="center"/>
    </xf>
    <xf numFmtId="178" fontId="37" fillId="12" borderId="18" xfId="3" applyNumberFormat="1" applyFont="1" applyFill="1" applyBorder="1" applyAlignment="1">
      <alignment horizontal="right" vertical="center"/>
    </xf>
    <xf numFmtId="178" fontId="42" fillId="12" borderId="18" xfId="3" applyNumberFormat="1" applyFont="1" applyFill="1" applyBorder="1" applyAlignment="1">
      <alignment horizontal="right" vertical="center"/>
    </xf>
    <xf numFmtId="178" fontId="37" fillId="12" borderId="4" xfId="3" applyNumberFormat="1" applyFont="1" applyFill="1" applyBorder="1" applyAlignment="1">
      <alignment horizontal="right" vertical="center"/>
    </xf>
    <xf numFmtId="178" fontId="42" fillId="12" borderId="47" xfId="3" applyNumberFormat="1" applyFont="1" applyFill="1" applyBorder="1" applyAlignment="1">
      <alignment horizontal="right" vertical="center"/>
    </xf>
    <xf numFmtId="178" fontId="37" fillId="12" borderId="180" xfId="3" applyNumberFormat="1" applyFont="1" applyFill="1" applyBorder="1" applyAlignment="1">
      <alignment horizontal="right" vertical="center"/>
    </xf>
    <xf numFmtId="178" fontId="42" fillId="12" borderId="5" xfId="3" applyNumberFormat="1" applyFont="1" applyFill="1" applyBorder="1" applyAlignment="1">
      <alignment horizontal="right" vertical="center"/>
    </xf>
    <xf numFmtId="178" fontId="42" fillId="12" borderId="4" xfId="3" applyNumberFormat="1" applyFont="1" applyFill="1" applyBorder="1" applyAlignment="1">
      <alignment horizontal="right" vertical="center"/>
    </xf>
    <xf numFmtId="178" fontId="42" fillId="12" borderId="181" xfId="3" applyNumberFormat="1" applyFont="1" applyFill="1" applyBorder="1" applyAlignment="1">
      <alignment horizontal="right" vertical="center"/>
    </xf>
    <xf numFmtId="178" fontId="42" fillId="12" borderId="182" xfId="3" applyNumberFormat="1" applyFont="1" applyFill="1" applyBorder="1" applyAlignment="1">
      <alignment horizontal="right" vertical="center"/>
    </xf>
    <xf numFmtId="178" fontId="42" fillId="12" borderId="1" xfId="3" applyNumberFormat="1" applyFont="1" applyFill="1" applyBorder="1" applyAlignment="1">
      <alignment horizontal="right" vertical="center"/>
    </xf>
    <xf numFmtId="228" fontId="42" fillId="12" borderId="56" xfId="7" applyNumberFormat="1" applyFont="1" applyFill="1" applyBorder="1" applyAlignment="1">
      <alignment horizontal="right" vertical="center"/>
    </xf>
    <xf numFmtId="41" fontId="42" fillId="2" borderId="152" xfId="3" applyFont="1" applyFill="1" applyBorder="1" applyAlignment="1">
      <alignment horizontal="right" vertical="center"/>
    </xf>
    <xf numFmtId="41" fontId="42" fillId="2" borderId="83" xfId="3" applyFont="1" applyFill="1" applyBorder="1" applyAlignment="1">
      <alignment horizontal="right" vertical="center"/>
    </xf>
    <xf numFmtId="41" fontId="42" fillId="2" borderId="151" xfId="3" applyFont="1" applyFill="1" applyBorder="1" applyAlignment="1">
      <alignment horizontal="right" vertical="center"/>
    </xf>
    <xf numFmtId="41" fontId="42" fillId="2" borderId="154" xfId="3" applyFont="1" applyFill="1" applyBorder="1" applyAlignment="1">
      <alignment horizontal="right" vertical="center"/>
    </xf>
    <xf numFmtId="41" fontId="42" fillId="2" borderId="176" xfId="3" applyFont="1" applyFill="1" applyBorder="1" applyAlignment="1">
      <alignment horizontal="right" vertical="center"/>
    </xf>
    <xf numFmtId="41" fontId="42" fillId="2" borderId="128" xfId="3" applyFont="1" applyFill="1" applyBorder="1" applyAlignment="1">
      <alignment horizontal="right" vertical="center"/>
    </xf>
    <xf numFmtId="41" fontId="42" fillId="2" borderId="172" xfId="3" applyFont="1" applyFill="1" applyBorder="1" applyAlignment="1">
      <alignment horizontal="right" vertical="center"/>
    </xf>
    <xf numFmtId="41" fontId="42" fillId="2" borderId="170" xfId="3" applyFont="1" applyFill="1" applyBorder="1" applyAlignment="1">
      <alignment horizontal="right" vertical="center"/>
    </xf>
    <xf numFmtId="41" fontId="42" fillId="2" borderId="173" xfId="3" applyFont="1" applyFill="1" applyBorder="1" applyAlignment="1">
      <alignment horizontal="right" vertical="center"/>
    </xf>
    <xf numFmtId="184" fontId="37" fillId="3" borderId="18" xfId="3" applyNumberFormat="1" applyFont="1" applyFill="1" applyBorder="1" applyAlignment="1">
      <alignment horizontal="right" vertical="center"/>
    </xf>
    <xf numFmtId="41" fontId="42" fillId="3" borderId="18" xfId="3" applyFont="1" applyFill="1" applyBorder="1" applyAlignment="1">
      <alignment horizontal="right" vertical="center"/>
    </xf>
    <xf numFmtId="41" fontId="37" fillId="3" borderId="18" xfId="3" applyFont="1" applyFill="1" applyBorder="1" applyAlignment="1">
      <alignment horizontal="right" vertical="center"/>
    </xf>
    <xf numFmtId="41" fontId="37" fillId="3" borderId="4" xfId="3" applyFont="1" applyFill="1" applyBorder="1" applyAlignment="1">
      <alignment horizontal="right" vertical="center"/>
    </xf>
    <xf numFmtId="41" fontId="42" fillId="3" borderId="47" xfId="3" applyFont="1" applyFill="1" applyBorder="1" applyAlignment="1">
      <alignment horizontal="right" vertical="center"/>
    </xf>
    <xf numFmtId="41" fontId="37" fillId="3" borderId="180" xfId="3" applyFont="1" applyFill="1" applyBorder="1" applyAlignment="1">
      <alignment horizontal="right" vertical="center"/>
    </xf>
    <xf numFmtId="41" fontId="42" fillId="3" borderId="5" xfId="3" applyFont="1" applyFill="1" applyBorder="1" applyAlignment="1">
      <alignment horizontal="right" vertical="center"/>
    </xf>
    <xf numFmtId="41" fontId="42" fillId="3" borderId="4" xfId="3" applyFont="1" applyFill="1" applyBorder="1" applyAlignment="1">
      <alignment horizontal="right" vertical="center"/>
    </xf>
    <xf numFmtId="41" fontId="42" fillId="3" borderId="181" xfId="3" applyFont="1" applyFill="1" applyBorder="1" applyAlignment="1">
      <alignment horizontal="right" vertical="center"/>
    </xf>
    <xf numFmtId="41" fontId="42" fillId="2" borderId="176" xfId="2" applyFont="1" applyFill="1" applyBorder="1" applyAlignment="1">
      <alignment horizontal="right" vertical="center"/>
    </xf>
    <xf numFmtId="228" fontId="42" fillId="12" borderId="41" xfId="7" applyNumberFormat="1" applyFont="1" applyFill="1" applyBorder="1" applyAlignment="1">
      <alignment horizontal="right" vertical="center"/>
    </xf>
    <xf numFmtId="179" fontId="37" fillId="2" borderId="23" xfId="7" applyNumberFormat="1" applyFont="1" applyFill="1" applyBorder="1" applyAlignment="1">
      <alignment vertical="center"/>
    </xf>
    <xf numFmtId="179" fontId="37" fillId="13" borderId="7" xfId="7" applyNumberFormat="1" applyFont="1" applyFill="1" applyBorder="1" applyAlignment="1">
      <alignment horizontal="left" vertical="center"/>
    </xf>
    <xf numFmtId="179" fontId="37" fillId="0" borderId="3" xfId="7" applyNumberFormat="1" applyFont="1" applyFill="1" applyBorder="1" applyAlignment="1">
      <alignment horizontal="left" vertical="center"/>
    </xf>
    <xf numFmtId="184" fontId="37" fillId="0" borderId="18" xfId="2" applyNumberFormat="1" applyFont="1" applyFill="1" applyBorder="1" applyAlignment="1">
      <alignment horizontal="right" vertical="center"/>
    </xf>
    <xf numFmtId="178" fontId="42" fillId="0" borderId="18" xfId="3" applyNumberFormat="1" applyFont="1" applyFill="1" applyBorder="1" applyAlignment="1">
      <alignment horizontal="right" vertical="center"/>
    </xf>
    <xf numFmtId="178" fontId="37" fillId="0" borderId="18" xfId="3" applyNumberFormat="1" applyFont="1" applyFill="1" applyBorder="1" applyAlignment="1">
      <alignment horizontal="right" vertical="center"/>
    </xf>
    <xf numFmtId="41" fontId="37" fillId="0" borderId="18" xfId="2" applyFont="1" applyFill="1" applyBorder="1" applyAlignment="1">
      <alignment horizontal="right" vertical="center"/>
    </xf>
    <xf numFmtId="41" fontId="37" fillId="0" borderId="4" xfId="2" applyFont="1" applyFill="1" applyBorder="1" applyAlignment="1">
      <alignment horizontal="right" vertical="center"/>
    </xf>
    <xf numFmtId="41" fontId="42" fillId="0" borderId="47" xfId="2" applyFont="1" applyFill="1" applyBorder="1" applyAlignment="1">
      <alignment horizontal="right" vertical="center"/>
    </xf>
    <xf numFmtId="41" fontId="37" fillId="0" borderId="180" xfId="2" applyFont="1" applyFill="1" applyBorder="1" applyAlignment="1">
      <alignment horizontal="right" vertical="center"/>
    </xf>
    <xf numFmtId="41" fontId="42" fillId="0" borderId="18" xfId="2" applyFont="1" applyFill="1" applyBorder="1" applyAlignment="1">
      <alignment horizontal="right" vertical="center"/>
    </xf>
    <xf numFmtId="41" fontId="42" fillId="0" borderId="5" xfId="2" applyFont="1" applyFill="1" applyBorder="1" applyAlignment="1">
      <alignment horizontal="right" vertical="center"/>
    </xf>
    <xf numFmtId="41" fontId="42" fillId="0" borderId="4" xfId="2" applyFont="1" applyFill="1" applyBorder="1" applyAlignment="1">
      <alignment horizontal="right" vertical="center"/>
    </xf>
    <xf numFmtId="41" fontId="42" fillId="0" borderId="181" xfId="2" applyFont="1" applyFill="1" applyBorder="1" applyAlignment="1">
      <alignment horizontal="right" vertical="center"/>
    </xf>
    <xf numFmtId="41" fontId="42" fillId="0" borderId="182" xfId="2" applyFont="1" applyFill="1" applyBorder="1" applyAlignment="1">
      <alignment horizontal="right" vertical="center"/>
    </xf>
    <xf numFmtId="228" fontId="42" fillId="0" borderId="41" xfId="7" applyNumberFormat="1" applyFont="1" applyFill="1" applyBorder="1" applyAlignment="1">
      <alignment horizontal="right" vertical="center"/>
    </xf>
    <xf numFmtId="49" fontId="37" fillId="19" borderId="7" xfId="7" applyNumberFormat="1" applyFont="1" applyFill="1" applyBorder="1" applyAlignment="1">
      <alignment horizontal="left" vertical="center"/>
    </xf>
    <xf numFmtId="49" fontId="37" fillId="19" borderId="3" xfId="7" applyNumberFormat="1" applyFont="1" applyFill="1" applyBorder="1" applyAlignment="1">
      <alignment horizontal="left" vertical="center"/>
    </xf>
    <xf numFmtId="200" fontId="37" fillId="19" borderId="18" xfId="3" applyNumberFormat="1" applyFont="1" applyFill="1" applyBorder="1" applyAlignment="1">
      <alignment horizontal="right" vertical="center"/>
    </xf>
    <xf numFmtId="41" fontId="42" fillId="19" borderId="18" xfId="3" applyFont="1" applyFill="1" applyBorder="1" applyAlignment="1">
      <alignment horizontal="right" vertical="center"/>
    </xf>
    <xf numFmtId="41" fontId="37" fillId="19" borderId="18" xfId="3" applyFont="1" applyFill="1" applyBorder="1" applyAlignment="1">
      <alignment horizontal="right" vertical="center"/>
    </xf>
    <xf numFmtId="41" fontId="37" fillId="19" borderId="4" xfId="3" applyFont="1" applyFill="1" applyBorder="1" applyAlignment="1">
      <alignment horizontal="right" vertical="center"/>
    </xf>
    <xf numFmtId="41" fontId="37" fillId="19" borderId="47" xfId="3" applyFont="1" applyFill="1" applyBorder="1" applyAlignment="1">
      <alignment horizontal="right" vertical="center"/>
    </xf>
    <xf numFmtId="41" fontId="37" fillId="19" borderId="180" xfId="3" applyFont="1" applyFill="1" applyBorder="1" applyAlignment="1">
      <alignment horizontal="right" vertical="center"/>
    </xf>
    <xf numFmtId="41" fontId="37" fillId="19" borderId="5" xfId="3" applyFont="1" applyFill="1" applyBorder="1" applyAlignment="1">
      <alignment horizontal="right" vertical="center"/>
    </xf>
    <xf numFmtId="41" fontId="37" fillId="19" borderId="181" xfId="3" applyFont="1" applyFill="1" applyBorder="1" applyAlignment="1">
      <alignment horizontal="right" vertical="center"/>
    </xf>
    <xf numFmtId="41" fontId="37" fillId="19" borderId="182" xfId="3" applyFont="1" applyFill="1" applyBorder="1" applyAlignment="1">
      <alignment horizontal="right" vertical="center"/>
    </xf>
    <xf numFmtId="228" fontId="42" fillId="19" borderId="41" xfId="7" applyNumberFormat="1" applyFont="1" applyFill="1" applyBorder="1" applyAlignment="1">
      <alignment horizontal="right" vertical="center"/>
    </xf>
    <xf numFmtId="41" fontId="37" fillId="12" borderId="49" xfId="3" applyFont="1" applyFill="1" applyBorder="1" applyAlignment="1">
      <alignment horizontal="center" vertical="center"/>
    </xf>
    <xf numFmtId="184" fontId="37" fillId="18" borderId="18" xfId="3" applyNumberFormat="1" applyFont="1" applyFill="1" applyBorder="1" applyAlignment="1">
      <alignment horizontal="right" vertical="center"/>
    </xf>
    <xf numFmtId="41" fontId="42" fillId="18" borderId="18" xfId="3" applyFont="1" applyFill="1" applyBorder="1" applyAlignment="1">
      <alignment horizontal="right" vertical="center"/>
    </xf>
    <xf numFmtId="41" fontId="37" fillId="18" borderId="18" xfId="3" applyFont="1" applyFill="1" applyBorder="1" applyAlignment="1">
      <alignment horizontal="right" vertical="center"/>
    </xf>
    <xf numFmtId="41" fontId="37" fillId="18" borderId="4" xfId="3" applyFont="1" applyFill="1" applyBorder="1" applyAlignment="1">
      <alignment horizontal="right" vertical="center"/>
    </xf>
    <xf numFmtId="41" fontId="37" fillId="18" borderId="47" xfId="3" applyFont="1" applyFill="1" applyBorder="1" applyAlignment="1">
      <alignment horizontal="right" vertical="center"/>
    </xf>
    <xf numFmtId="41" fontId="37" fillId="18" borderId="180" xfId="3" applyFont="1" applyFill="1" applyBorder="1" applyAlignment="1">
      <alignment horizontal="right" vertical="center"/>
    </xf>
    <xf numFmtId="41" fontId="37" fillId="18" borderId="5" xfId="3" applyFont="1" applyFill="1" applyBorder="1" applyAlignment="1">
      <alignment horizontal="right" vertical="center"/>
    </xf>
    <xf numFmtId="41" fontId="37" fillId="18" borderId="181" xfId="3" applyFont="1" applyFill="1" applyBorder="1" applyAlignment="1">
      <alignment horizontal="right" vertical="center"/>
    </xf>
    <xf numFmtId="41" fontId="37" fillId="18" borderId="182" xfId="3" applyFont="1" applyFill="1" applyBorder="1" applyAlignment="1">
      <alignment horizontal="right" vertical="center"/>
    </xf>
    <xf numFmtId="41" fontId="37" fillId="18" borderId="1" xfId="3" applyFont="1" applyFill="1" applyBorder="1" applyAlignment="1">
      <alignment horizontal="right" vertical="center"/>
    </xf>
    <xf numFmtId="228" fontId="42" fillId="18" borderId="41" xfId="7" applyNumberFormat="1" applyFont="1" applyFill="1" applyBorder="1" applyAlignment="1">
      <alignment horizontal="right" vertical="center"/>
    </xf>
    <xf numFmtId="49" fontId="37" fillId="2" borderId="25" xfId="7" applyNumberFormat="1" applyFont="1" applyFill="1" applyBorder="1" applyAlignment="1">
      <alignment horizontal="left" vertical="center"/>
    </xf>
    <xf numFmtId="49" fontId="37" fillId="2" borderId="7" xfId="3" applyNumberFormat="1" applyFont="1" applyFill="1" applyBorder="1" applyAlignment="1">
      <alignment vertical="center"/>
    </xf>
    <xf numFmtId="49" fontId="37" fillId="2" borderId="3" xfId="3" applyNumberFormat="1" applyFont="1" applyFill="1" applyBorder="1" applyAlignment="1">
      <alignment vertical="center"/>
    </xf>
    <xf numFmtId="184" fontId="37" fillId="2" borderId="18" xfId="3" applyNumberFormat="1" applyFont="1" applyFill="1" applyBorder="1" applyAlignment="1">
      <alignment horizontal="right" vertical="center"/>
    </xf>
    <xf numFmtId="41" fontId="42" fillId="2" borderId="18" xfId="3" applyFont="1" applyFill="1" applyBorder="1" applyAlignment="1">
      <alignment horizontal="right" vertical="center"/>
    </xf>
    <xf numFmtId="41" fontId="42" fillId="2" borderId="4" xfId="3" applyFont="1" applyFill="1" applyBorder="1" applyAlignment="1">
      <alignment horizontal="right" vertical="center"/>
    </xf>
    <xf numFmtId="41" fontId="42" fillId="2" borderId="47" xfId="3" applyFont="1" applyFill="1" applyBorder="1" applyAlignment="1">
      <alignment horizontal="right" vertical="center"/>
    </xf>
    <xf numFmtId="41" fontId="42" fillId="2" borderId="180" xfId="3" applyFont="1" applyFill="1" applyBorder="1" applyAlignment="1">
      <alignment horizontal="right" vertical="center"/>
    </xf>
    <xf numFmtId="41" fontId="42" fillId="2" borderId="5" xfId="3" applyFont="1" applyFill="1" applyBorder="1" applyAlignment="1">
      <alignment horizontal="right" vertical="center"/>
    </xf>
    <xf numFmtId="41" fontId="42" fillId="2" borderId="181" xfId="3" applyFont="1" applyFill="1" applyBorder="1" applyAlignment="1">
      <alignment horizontal="right" vertical="center"/>
    </xf>
    <xf numFmtId="41" fontId="42" fillId="2" borderId="182" xfId="3" applyFont="1" applyFill="1" applyBorder="1" applyAlignment="1">
      <alignment horizontal="right" vertical="center"/>
    </xf>
    <xf numFmtId="41" fontId="37" fillId="12" borderId="25" xfId="3" applyFont="1" applyFill="1" applyBorder="1" applyAlignment="1">
      <alignment horizontal="center" vertical="center"/>
    </xf>
    <xf numFmtId="184" fontId="56" fillId="12" borderId="18" xfId="3" applyNumberFormat="1" applyFont="1" applyFill="1" applyBorder="1" applyAlignment="1">
      <alignment horizontal="right" vertical="center"/>
    </xf>
    <xf numFmtId="41" fontId="56" fillId="12" borderId="18" xfId="3" applyFont="1" applyFill="1" applyBorder="1" applyAlignment="1">
      <alignment horizontal="right" vertical="center"/>
    </xf>
    <xf numFmtId="41" fontId="56" fillId="12" borderId="4" xfId="3" applyFont="1" applyFill="1" applyBorder="1" applyAlignment="1">
      <alignment horizontal="right" vertical="center"/>
    </xf>
    <xf numFmtId="41" fontId="56" fillId="12" borderId="47" xfId="3" applyFont="1" applyFill="1" applyBorder="1" applyAlignment="1">
      <alignment horizontal="right" vertical="center"/>
    </xf>
    <xf numFmtId="41" fontId="56" fillId="12" borderId="180" xfId="3" applyFont="1" applyFill="1" applyBorder="1" applyAlignment="1">
      <alignment horizontal="right" vertical="center"/>
    </xf>
    <xf numFmtId="41" fontId="56" fillId="12" borderId="5" xfId="3" applyFont="1" applyFill="1" applyBorder="1" applyAlignment="1">
      <alignment horizontal="right" vertical="center"/>
    </xf>
    <xf numFmtId="41" fontId="56" fillId="12" borderId="181" xfId="3" applyFont="1" applyFill="1" applyBorder="1" applyAlignment="1">
      <alignment horizontal="right" vertical="center"/>
    </xf>
    <xf numFmtId="41" fontId="56" fillId="12" borderId="182" xfId="3" applyFont="1" applyFill="1" applyBorder="1" applyAlignment="1">
      <alignment horizontal="right" vertical="center"/>
    </xf>
    <xf numFmtId="41" fontId="56" fillId="12" borderId="1" xfId="3" applyFont="1" applyFill="1" applyBorder="1" applyAlignment="1">
      <alignment horizontal="right" vertical="center"/>
    </xf>
    <xf numFmtId="41" fontId="56" fillId="12" borderId="131" xfId="3" applyFont="1" applyFill="1" applyBorder="1" applyAlignment="1">
      <alignment horizontal="right" vertical="center"/>
    </xf>
    <xf numFmtId="41" fontId="56" fillId="12" borderId="2" xfId="3" applyFont="1" applyFill="1" applyBorder="1" applyAlignment="1">
      <alignment horizontal="right" vertical="center"/>
    </xf>
    <xf numFmtId="41" fontId="56" fillId="12" borderId="7" xfId="3" applyFont="1" applyFill="1" applyBorder="1" applyAlignment="1">
      <alignment horizontal="right" vertical="center"/>
    </xf>
    <xf numFmtId="41" fontId="56" fillId="12" borderId="3" xfId="3" applyFont="1" applyFill="1" applyBorder="1" applyAlignment="1">
      <alignment horizontal="right" vertical="center"/>
    </xf>
    <xf numFmtId="41" fontId="56" fillId="0" borderId="177" xfId="3" applyFont="1" applyFill="1" applyBorder="1" applyAlignment="1">
      <alignment horizontal="right" vertical="center"/>
    </xf>
    <xf numFmtId="184" fontId="37" fillId="0" borderId="1" xfId="3" applyNumberFormat="1" applyFont="1" applyFill="1" applyBorder="1" applyAlignment="1">
      <alignment horizontal="right" vertical="center"/>
    </xf>
    <xf numFmtId="41" fontId="42" fillId="0" borderId="1" xfId="2" applyFont="1" applyFill="1" applyBorder="1" applyAlignment="1">
      <alignment horizontal="right" vertical="center"/>
    </xf>
    <xf numFmtId="41" fontId="42" fillId="0" borderId="1" xfId="3" applyFont="1" applyFill="1" applyBorder="1" applyAlignment="1">
      <alignment horizontal="right" vertical="center"/>
    </xf>
    <xf numFmtId="41" fontId="42" fillId="0" borderId="2" xfId="3" applyFont="1" applyFill="1" applyBorder="1" applyAlignment="1">
      <alignment horizontal="right" vertical="center"/>
    </xf>
    <xf numFmtId="41" fontId="42" fillId="0" borderId="3" xfId="3" applyFont="1" applyFill="1" applyBorder="1" applyAlignment="1">
      <alignment horizontal="right" vertical="center"/>
    </xf>
    <xf numFmtId="41" fontId="42" fillId="0" borderId="178" xfId="3" applyFont="1" applyFill="1" applyBorder="1" applyAlignment="1">
      <alignment horizontal="right" vertical="center"/>
    </xf>
    <xf numFmtId="41" fontId="42" fillId="0" borderId="7" xfId="3" applyFont="1" applyFill="1" applyBorder="1" applyAlignment="1">
      <alignment horizontal="right" vertical="center"/>
    </xf>
    <xf numFmtId="41" fontId="42" fillId="0" borderId="179" xfId="2" applyFont="1" applyFill="1" applyBorder="1" applyAlignment="1">
      <alignment horizontal="right" vertical="center"/>
    </xf>
    <xf numFmtId="41" fontId="42" fillId="0" borderId="131" xfId="3" applyFont="1" applyFill="1" applyBorder="1" applyAlignment="1">
      <alignment horizontal="right" vertical="center"/>
    </xf>
    <xf numFmtId="41" fontId="37" fillId="0" borderId="3" xfId="3" applyFont="1" applyFill="1" applyBorder="1" applyAlignment="1">
      <alignment horizontal="right" vertical="center"/>
    </xf>
    <xf numFmtId="41" fontId="37" fillId="0" borderId="1" xfId="3" applyFont="1" applyFill="1" applyBorder="1" applyAlignment="1">
      <alignment horizontal="right" vertical="center"/>
    </xf>
    <xf numFmtId="41" fontId="42" fillId="0" borderId="26" xfId="3" applyFont="1" applyFill="1" applyBorder="1" applyAlignment="1">
      <alignment horizontal="right" vertical="center"/>
    </xf>
    <xf numFmtId="41" fontId="42" fillId="0" borderId="142" xfId="3" applyFont="1" applyFill="1" applyBorder="1" applyAlignment="1">
      <alignment horizontal="right" vertical="center"/>
    </xf>
    <xf numFmtId="41" fontId="42" fillId="0" borderId="25" xfId="3" applyFont="1" applyFill="1" applyBorder="1" applyAlignment="1">
      <alignment horizontal="right" vertical="center"/>
    </xf>
    <xf numFmtId="41" fontId="42" fillId="0" borderId="27" xfId="3" applyFont="1" applyFill="1" applyBorder="1" applyAlignment="1">
      <alignment horizontal="right" vertical="center"/>
    </xf>
    <xf numFmtId="41" fontId="42" fillId="0" borderId="50" xfId="3" applyFont="1" applyFill="1" applyBorder="1" applyAlignment="1">
      <alignment horizontal="right" vertical="center"/>
    </xf>
    <xf numFmtId="41" fontId="42" fillId="0" borderId="18" xfId="3" applyFont="1" applyFill="1" applyBorder="1" applyAlignment="1">
      <alignment horizontal="right" vertical="center"/>
    </xf>
    <xf numFmtId="41" fontId="42" fillId="0" borderId="4" xfId="3" applyFont="1" applyFill="1" applyBorder="1" applyAlignment="1">
      <alignment horizontal="right" vertical="center"/>
    </xf>
    <xf numFmtId="41" fontId="42" fillId="0" borderId="47" xfId="3" applyFont="1" applyFill="1" applyBorder="1" applyAlignment="1">
      <alignment horizontal="right" vertical="center"/>
    </xf>
    <xf numFmtId="41" fontId="42" fillId="0" borderId="180" xfId="3" applyFont="1" applyFill="1" applyBorder="1" applyAlignment="1">
      <alignment horizontal="right" vertical="center"/>
    </xf>
    <xf numFmtId="41" fontId="42" fillId="0" borderId="5" xfId="3" applyFont="1" applyFill="1" applyBorder="1" applyAlignment="1">
      <alignment horizontal="right" vertical="center"/>
    </xf>
    <xf numFmtId="41" fontId="42" fillId="0" borderId="181" xfId="3" applyFont="1" applyFill="1" applyBorder="1" applyAlignment="1">
      <alignment horizontal="right" vertical="center"/>
    </xf>
    <xf numFmtId="41" fontId="42" fillId="0" borderId="182" xfId="3" applyFont="1" applyFill="1" applyBorder="1" applyAlignment="1">
      <alignment horizontal="right" vertical="center"/>
    </xf>
    <xf numFmtId="43" fontId="42" fillId="0" borderId="47" xfId="3" applyNumberFormat="1" applyFont="1" applyFill="1" applyBorder="1" applyAlignment="1">
      <alignment horizontal="right" vertical="center"/>
    </xf>
    <xf numFmtId="41" fontId="42" fillId="0" borderId="180" xfId="2" applyFont="1" applyFill="1" applyBorder="1" applyAlignment="1">
      <alignment horizontal="right" vertical="center"/>
    </xf>
    <xf numFmtId="41" fontId="42" fillId="0" borderId="3" xfId="2" applyFont="1" applyFill="1" applyBorder="1" applyAlignment="1">
      <alignment horizontal="right" vertical="center"/>
    </xf>
    <xf numFmtId="41" fontId="42" fillId="0" borderId="179" xfId="3" applyFont="1" applyFill="1" applyBorder="1" applyAlignment="1">
      <alignment horizontal="right" vertical="center"/>
    </xf>
    <xf numFmtId="41" fontId="42" fillId="0" borderId="2" xfId="2" applyFont="1" applyFill="1" applyBorder="1" applyAlignment="1">
      <alignment horizontal="right" vertical="center"/>
    </xf>
    <xf numFmtId="41" fontId="42" fillId="2" borderId="2" xfId="3" applyFont="1" applyFill="1" applyBorder="1" applyAlignment="1">
      <alignment horizontal="right" vertical="center"/>
    </xf>
    <xf numFmtId="41" fontId="42" fillId="2" borderId="1" xfId="3" applyFont="1" applyFill="1" applyBorder="1" applyAlignment="1">
      <alignment horizontal="right" vertical="center"/>
    </xf>
    <xf numFmtId="41" fontId="42" fillId="2" borderId="25" xfId="3" applyFont="1" applyFill="1" applyBorder="1" applyAlignment="1">
      <alignment horizontal="right" vertical="center"/>
    </xf>
    <xf numFmtId="41" fontId="42" fillId="2" borderId="3" xfId="3" applyFont="1" applyFill="1" applyBorder="1" applyAlignment="1">
      <alignment horizontal="right" vertical="center"/>
    </xf>
    <xf numFmtId="41" fontId="42" fillId="2" borderId="178" xfId="3" applyFont="1" applyFill="1" applyBorder="1" applyAlignment="1">
      <alignment horizontal="right" vertical="center"/>
    </xf>
    <xf numFmtId="41" fontId="42" fillId="2" borderId="27" xfId="3" applyFont="1" applyFill="1" applyBorder="1" applyAlignment="1">
      <alignment horizontal="right" vertical="center"/>
    </xf>
    <xf numFmtId="41" fontId="42" fillId="2" borderId="179" xfId="3" applyFont="1" applyFill="1" applyBorder="1" applyAlignment="1">
      <alignment horizontal="right" vertical="center"/>
    </xf>
    <xf numFmtId="41" fontId="37" fillId="2" borderId="25" xfId="3" applyFont="1" applyFill="1" applyBorder="1" applyAlignment="1">
      <alignment horizontal="right" vertical="center"/>
    </xf>
    <xf numFmtId="41" fontId="37" fillId="12" borderId="23" xfId="3" applyFont="1" applyFill="1" applyBorder="1" applyAlignment="1">
      <alignment horizontal="center" vertical="center"/>
    </xf>
    <xf numFmtId="41" fontId="42" fillId="2" borderId="26" xfId="3" applyFont="1" applyFill="1" applyBorder="1" applyAlignment="1">
      <alignment horizontal="right" vertical="center"/>
    </xf>
    <xf numFmtId="41" fontId="42" fillId="2" borderId="183" xfId="3" applyFont="1" applyFill="1" applyBorder="1" applyAlignment="1">
      <alignment horizontal="right" vertical="center"/>
    </xf>
    <xf numFmtId="41" fontId="42" fillId="0" borderId="131" xfId="2" applyFont="1" applyFill="1" applyBorder="1" applyAlignment="1">
      <alignment horizontal="right" vertical="center"/>
    </xf>
    <xf numFmtId="184" fontId="37" fillId="2" borderId="2" xfId="3" applyNumberFormat="1" applyFont="1" applyFill="1" applyBorder="1" applyAlignment="1">
      <alignment horizontal="right" vertical="center"/>
    </xf>
    <xf numFmtId="229" fontId="37" fillId="19" borderId="151" xfId="7" applyNumberFormat="1" applyFont="1" applyFill="1" applyBorder="1" applyAlignment="1">
      <alignment horizontal="left" vertical="center"/>
    </xf>
    <xf numFmtId="184" fontId="37" fillId="19" borderId="151" xfId="3" applyNumberFormat="1" applyFont="1" applyFill="1" applyBorder="1" applyAlignment="1">
      <alignment horizontal="right" vertical="center"/>
    </xf>
    <xf numFmtId="41" fontId="42" fillId="19" borderId="151" xfId="3" applyFont="1" applyFill="1" applyBorder="1" applyAlignment="1">
      <alignment horizontal="right" vertical="center"/>
    </xf>
    <xf numFmtId="41" fontId="37" fillId="19" borderId="151" xfId="3" applyFont="1" applyFill="1" applyBorder="1" applyAlignment="1">
      <alignment horizontal="right" vertical="center"/>
    </xf>
    <xf numFmtId="41" fontId="37" fillId="19" borderId="150" xfId="3" applyFont="1" applyFill="1" applyBorder="1" applyAlignment="1">
      <alignment horizontal="right" vertical="center"/>
    </xf>
    <xf numFmtId="41" fontId="37" fillId="19" borderId="152" xfId="3" applyFont="1" applyFill="1" applyBorder="1" applyAlignment="1">
      <alignment horizontal="right" vertical="center"/>
    </xf>
    <xf numFmtId="41" fontId="37" fillId="19" borderId="175" xfId="3" applyFont="1" applyFill="1" applyBorder="1" applyAlignment="1">
      <alignment horizontal="right" vertical="center"/>
    </xf>
    <xf numFmtId="41" fontId="37" fillId="19" borderId="83" xfId="3" applyFont="1" applyFill="1" applyBorder="1" applyAlignment="1">
      <alignment horizontal="right" vertical="center"/>
    </xf>
    <xf numFmtId="41" fontId="37" fillId="19" borderId="154" xfId="3" applyFont="1" applyFill="1" applyBorder="1" applyAlignment="1">
      <alignment horizontal="right" vertical="center"/>
    </xf>
    <xf numFmtId="41" fontId="37" fillId="19" borderId="176" xfId="3" applyFont="1" applyFill="1" applyBorder="1" applyAlignment="1">
      <alignment horizontal="right" vertical="center"/>
    </xf>
    <xf numFmtId="228" fontId="42" fillId="19" borderId="175" xfId="7" applyNumberFormat="1" applyFont="1" applyFill="1" applyBorder="1" applyAlignment="1">
      <alignment horizontal="right" vertical="center"/>
    </xf>
    <xf numFmtId="179" fontId="37" fillId="19" borderId="170" xfId="7" applyNumberFormat="1" applyFont="1" applyFill="1" applyBorder="1" applyAlignment="1">
      <alignment horizontal="left" vertical="center"/>
    </xf>
    <xf numFmtId="184" fontId="37" fillId="19" borderId="170" xfId="3" applyNumberFormat="1" applyFont="1" applyFill="1" applyBorder="1" applyAlignment="1">
      <alignment horizontal="right" vertical="center"/>
    </xf>
    <xf numFmtId="41" fontId="42" fillId="19" borderId="170" xfId="3" applyFont="1" applyFill="1" applyBorder="1" applyAlignment="1">
      <alignment horizontal="right" vertical="center"/>
    </xf>
    <xf numFmtId="41" fontId="37" fillId="19" borderId="170" xfId="3" applyFont="1" applyFill="1" applyBorder="1" applyAlignment="1">
      <alignment horizontal="right" vertical="center"/>
    </xf>
    <xf numFmtId="41" fontId="37" fillId="19" borderId="169" xfId="3" applyFont="1" applyFill="1" applyBorder="1" applyAlignment="1">
      <alignment horizontal="right" vertical="center"/>
    </xf>
    <xf numFmtId="41" fontId="37" fillId="19" borderId="172" xfId="3" applyFont="1" applyFill="1" applyBorder="1" applyAlignment="1">
      <alignment horizontal="right" vertical="center"/>
    </xf>
    <xf numFmtId="41" fontId="37" fillId="19" borderId="171" xfId="3" applyFont="1" applyFill="1" applyBorder="1" applyAlignment="1">
      <alignment horizontal="right" vertical="center"/>
    </xf>
    <xf numFmtId="41" fontId="37" fillId="19" borderId="173" xfId="3" applyFont="1" applyFill="1" applyBorder="1" applyAlignment="1">
      <alignment horizontal="right" vertical="center"/>
    </xf>
    <xf numFmtId="41" fontId="37" fillId="19" borderId="174" xfId="3" applyFont="1" applyFill="1" applyBorder="1" applyAlignment="1">
      <alignment horizontal="right" vertical="center"/>
    </xf>
    <xf numFmtId="41" fontId="37" fillId="19" borderId="128" xfId="3" applyFont="1" applyFill="1" applyBorder="1" applyAlignment="1">
      <alignment horizontal="right" vertical="center"/>
    </xf>
    <xf numFmtId="228" fontId="42" fillId="19" borderId="171" xfId="7" applyNumberFormat="1" applyFont="1" applyFill="1" applyBorder="1" applyAlignment="1">
      <alignment horizontal="right" vertical="center"/>
    </xf>
    <xf numFmtId="0" fontId="37" fillId="12" borderId="49" xfId="1" applyFont="1" applyFill="1" applyBorder="1" applyAlignment="1">
      <alignment horizontal="center" vertical="center"/>
    </xf>
    <xf numFmtId="229" fontId="37" fillId="18" borderId="151" xfId="7" applyNumberFormat="1" applyFont="1" applyFill="1" applyBorder="1" applyAlignment="1">
      <alignment horizontal="left" vertical="center"/>
    </xf>
    <xf numFmtId="184" fontId="37" fillId="18" borderId="151" xfId="3" applyNumberFormat="1" applyFont="1" applyFill="1" applyBorder="1" applyAlignment="1">
      <alignment horizontal="right" vertical="center"/>
    </xf>
    <xf numFmtId="41" fontId="42" fillId="18" borderId="151" xfId="3" applyFont="1" applyFill="1" applyBorder="1" applyAlignment="1">
      <alignment horizontal="right" vertical="center"/>
    </xf>
    <xf numFmtId="41" fontId="37" fillId="18" borderId="151" xfId="3" applyFont="1" applyFill="1" applyBorder="1" applyAlignment="1">
      <alignment horizontal="right" vertical="center"/>
    </xf>
    <xf numFmtId="41" fontId="37" fillId="18" borderId="150" xfId="3" applyFont="1" applyFill="1" applyBorder="1" applyAlignment="1">
      <alignment horizontal="right" vertical="center"/>
    </xf>
    <xf numFmtId="41" fontId="37" fillId="18" borderId="152" xfId="3" applyFont="1" applyFill="1" applyBorder="1" applyAlignment="1">
      <alignment horizontal="right" vertical="center"/>
    </xf>
    <xf numFmtId="41" fontId="37" fillId="18" borderId="175" xfId="3" applyFont="1" applyFill="1" applyBorder="1" applyAlignment="1">
      <alignment horizontal="right" vertical="center"/>
    </xf>
    <xf numFmtId="41" fontId="37" fillId="18" borderId="83" xfId="3" applyFont="1" applyFill="1" applyBorder="1" applyAlignment="1">
      <alignment horizontal="right" vertical="center"/>
    </xf>
    <xf numFmtId="41" fontId="37" fillId="18" borderId="154" xfId="3" applyFont="1" applyFill="1" applyBorder="1" applyAlignment="1">
      <alignment horizontal="right" vertical="center"/>
    </xf>
    <xf numFmtId="41" fontId="37" fillId="18" borderId="176" xfId="3" applyFont="1" applyFill="1" applyBorder="1" applyAlignment="1">
      <alignment horizontal="right" vertical="center"/>
    </xf>
    <xf numFmtId="228" fontId="42" fillId="18" borderId="175" xfId="7" applyNumberFormat="1" applyFont="1" applyFill="1" applyBorder="1" applyAlignment="1">
      <alignment horizontal="right" vertical="center"/>
    </xf>
    <xf numFmtId="179" fontId="37" fillId="18" borderId="170" xfId="7" applyNumberFormat="1" applyFont="1" applyFill="1" applyBorder="1" applyAlignment="1">
      <alignment horizontal="left" vertical="center"/>
    </xf>
    <xf numFmtId="184" fontId="37" fillId="18" borderId="170" xfId="3" applyNumberFormat="1" applyFont="1" applyFill="1" applyBorder="1" applyAlignment="1">
      <alignment horizontal="right" vertical="center"/>
    </xf>
    <xf numFmtId="41" fontId="42" fillId="18" borderId="170" xfId="3" applyFont="1" applyFill="1" applyBorder="1" applyAlignment="1">
      <alignment horizontal="right" vertical="center"/>
    </xf>
    <xf numFmtId="41" fontId="37" fillId="18" borderId="170" xfId="3" applyFont="1" applyFill="1" applyBorder="1" applyAlignment="1">
      <alignment horizontal="right" vertical="center"/>
    </xf>
    <xf numFmtId="41" fontId="37" fillId="18" borderId="169" xfId="3" applyFont="1" applyFill="1" applyBorder="1" applyAlignment="1">
      <alignment horizontal="right" vertical="center"/>
    </xf>
    <xf numFmtId="41" fontId="37" fillId="18" borderId="172" xfId="3" applyFont="1" applyFill="1" applyBorder="1" applyAlignment="1">
      <alignment horizontal="right" vertical="center"/>
    </xf>
    <xf numFmtId="41" fontId="37" fillId="18" borderId="171" xfId="3" applyFont="1" applyFill="1" applyBorder="1" applyAlignment="1">
      <alignment horizontal="right" vertical="center"/>
    </xf>
    <xf numFmtId="41" fontId="37" fillId="18" borderId="173" xfId="3" applyFont="1" applyFill="1" applyBorder="1" applyAlignment="1">
      <alignment horizontal="right" vertical="center"/>
    </xf>
    <xf numFmtId="41" fontId="37" fillId="18" borderId="174" xfId="3" applyFont="1" applyFill="1" applyBorder="1" applyAlignment="1">
      <alignment horizontal="right" vertical="center"/>
    </xf>
    <xf numFmtId="41" fontId="37" fillId="18" borderId="128" xfId="3" applyFont="1" applyFill="1" applyBorder="1" applyAlignment="1">
      <alignment horizontal="right" vertical="center"/>
    </xf>
    <xf numFmtId="228" fontId="42" fillId="18" borderId="171" xfId="7" applyNumberFormat="1" applyFont="1" applyFill="1" applyBorder="1" applyAlignment="1">
      <alignment horizontal="right" vertical="center"/>
    </xf>
    <xf numFmtId="179" fontId="37" fillId="18" borderId="25" xfId="7" applyNumberFormat="1" applyFont="1" applyFill="1" applyBorder="1" applyAlignment="1">
      <alignment horizontal="left" vertical="center"/>
    </xf>
    <xf numFmtId="10" fontId="37" fillId="2" borderId="150" xfId="1" applyNumberFormat="1" applyFont="1" applyFill="1" applyBorder="1" applyAlignment="1">
      <alignment horizontal="center" vertical="center"/>
    </xf>
    <xf numFmtId="179" fontId="37" fillId="0" borderId="151" xfId="7" applyNumberFormat="1" applyFont="1" applyFill="1" applyBorder="1" applyAlignment="1">
      <alignment vertical="center"/>
    </xf>
    <xf numFmtId="184" fontId="37" fillId="2" borderId="151" xfId="3" applyNumberFormat="1" applyFont="1" applyFill="1" applyBorder="1" applyAlignment="1">
      <alignment horizontal="right" vertical="center"/>
    </xf>
    <xf numFmtId="41" fontId="42" fillId="2" borderId="175" xfId="3" applyFont="1" applyFill="1" applyBorder="1" applyAlignment="1">
      <alignment horizontal="right" vertical="center"/>
    </xf>
    <xf numFmtId="10" fontId="37" fillId="2" borderId="156" xfId="1" applyNumberFormat="1" applyFont="1" applyFill="1" applyBorder="1" applyAlignment="1">
      <alignment horizontal="center" vertical="center"/>
    </xf>
    <xf numFmtId="179" fontId="37" fillId="0" borderId="157" xfId="7" applyNumberFormat="1" applyFont="1" applyFill="1" applyBorder="1" applyAlignment="1">
      <alignment vertical="center"/>
    </xf>
    <xf numFmtId="184" fontId="37" fillId="2" borderId="157" xfId="3" applyNumberFormat="1" applyFont="1" applyFill="1" applyBorder="1" applyAlignment="1">
      <alignment horizontal="right" vertical="center"/>
    </xf>
    <xf numFmtId="41" fontId="42" fillId="2" borderId="157" xfId="3" applyFont="1" applyFill="1" applyBorder="1" applyAlignment="1">
      <alignment horizontal="right" vertical="center"/>
    </xf>
    <xf numFmtId="41" fontId="37" fillId="2" borderId="157" xfId="3" applyFont="1" applyFill="1" applyBorder="1" applyAlignment="1">
      <alignment horizontal="right" vertical="center"/>
    </xf>
    <xf numFmtId="41" fontId="42" fillId="2" borderId="156" xfId="3" applyFont="1" applyFill="1" applyBorder="1" applyAlignment="1">
      <alignment horizontal="right" vertical="center"/>
    </xf>
    <xf numFmtId="41" fontId="42" fillId="2" borderId="160" xfId="3" applyFont="1" applyFill="1" applyBorder="1" applyAlignment="1">
      <alignment horizontal="right" vertical="center"/>
    </xf>
    <xf numFmtId="41" fontId="42" fillId="2" borderId="159" xfId="3" applyFont="1" applyFill="1" applyBorder="1" applyAlignment="1">
      <alignment horizontal="right" vertical="center"/>
    </xf>
    <xf numFmtId="41" fontId="42" fillId="2" borderId="161" xfId="3" applyFont="1" applyFill="1" applyBorder="1" applyAlignment="1">
      <alignment horizontal="right" vertical="center"/>
    </xf>
    <xf numFmtId="41" fontId="42" fillId="2" borderId="162" xfId="3" applyFont="1" applyFill="1" applyBorder="1" applyAlignment="1">
      <alignment horizontal="right" vertical="center"/>
    </xf>
    <xf numFmtId="41" fontId="42" fillId="2" borderId="158" xfId="3" applyFont="1" applyFill="1" applyBorder="1" applyAlignment="1">
      <alignment horizontal="right" vertical="center"/>
    </xf>
    <xf numFmtId="41" fontId="37" fillId="3" borderId="156" xfId="3" applyFont="1" applyFill="1" applyBorder="1" applyAlignment="1">
      <alignment horizontal="right" vertical="center"/>
    </xf>
    <xf numFmtId="228" fontId="42" fillId="3" borderId="159" xfId="7" applyNumberFormat="1" applyFont="1" applyFill="1" applyBorder="1" applyAlignment="1">
      <alignment horizontal="right" vertical="center"/>
    </xf>
    <xf numFmtId="10" fontId="37" fillId="2" borderId="169" xfId="1" applyNumberFormat="1" applyFont="1" applyFill="1" applyBorder="1" applyAlignment="1">
      <alignment horizontal="center" vertical="center"/>
    </xf>
    <xf numFmtId="179" fontId="37" fillId="2" borderId="170" xfId="7" applyNumberFormat="1" applyFont="1" applyFill="1" applyBorder="1" applyAlignment="1">
      <alignment vertical="center"/>
    </xf>
    <xf numFmtId="184" fontId="37" fillId="2" borderId="170" xfId="3" applyNumberFormat="1" applyFont="1" applyFill="1" applyBorder="1" applyAlignment="1">
      <alignment horizontal="right" vertical="center"/>
    </xf>
    <xf numFmtId="41" fontId="42" fillId="2" borderId="171" xfId="3" applyFont="1" applyFill="1" applyBorder="1" applyAlignment="1">
      <alignment horizontal="right" vertical="center"/>
    </xf>
    <xf numFmtId="41" fontId="42" fillId="2" borderId="174" xfId="3" applyFont="1" applyFill="1" applyBorder="1" applyAlignment="1">
      <alignment horizontal="right" vertical="center"/>
    </xf>
    <xf numFmtId="228" fontId="42" fillId="3" borderId="183" xfId="7" applyNumberFormat="1" applyFont="1" applyFill="1" applyBorder="1" applyAlignment="1">
      <alignment horizontal="right" vertical="center"/>
    </xf>
    <xf numFmtId="179" fontId="37" fillId="2" borderId="151" xfId="7" applyNumberFormat="1" applyFont="1" applyFill="1" applyBorder="1" applyAlignment="1">
      <alignment vertical="center"/>
    </xf>
    <xf numFmtId="41" fontId="42" fillId="2" borderId="170" xfId="2" applyFont="1" applyFill="1" applyBorder="1" applyAlignment="1">
      <alignment horizontal="right" vertical="center"/>
    </xf>
    <xf numFmtId="184" fontId="56" fillId="12" borderId="26" xfId="3" applyNumberFormat="1" applyFont="1" applyFill="1" applyBorder="1" applyAlignment="1">
      <alignment horizontal="right" vertical="center"/>
    </xf>
    <xf numFmtId="41" fontId="56" fillId="12" borderId="26" xfId="3" applyFont="1" applyFill="1" applyBorder="1" applyAlignment="1">
      <alignment horizontal="right" vertical="center"/>
    </xf>
    <xf numFmtId="41" fontId="56" fillId="12" borderId="25" xfId="3" applyFont="1" applyFill="1" applyBorder="1" applyAlignment="1">
      <alignment horizontal="right" vertical="center"/>
    </xf>
    <xf numFmtId="41" fontId="56" fillId="12" borderId="50" xfId="3" applyFont="1" applyFill="1" applyBorder="1" applyAlignment="1">
      <alignment horizontal="right" vertical="center"/>
    </xf>
    <xf numFmtId="41" fontId="56" fillId="12" borderId="183" xfId="3" applyFont="1" applyFill="1" applyBorder="1" applyAlignment="1">
      <alignment horizontal="right" vertical="center"/>
    </xf>
    <xf numFmtId="41" fontId="56" fillId="12" borderId="27" xfId="3" applyFont="1" applyFill="1" applyBorder="1" applyAlignment="1">
      <alignment horizontal="right" vertical="center"/>
    </xf>
    <xf numFmtId="41" fontId="56" fillId="12" borderId="184" xfId="3" applyFont="1" applyFill="1" applyBorder="1" applyAlignment="1">
      <alignment horizontal="right" vertical="center"/>
    </xf>
    <xf numFmtId="41" fontId="56" fillId="12" borderId="142" xfId="3" applyFont="1" applyFill="1" applyBorder="1" applyAlignment="1">
      <alignment horizontal="right" vertical="center"/>
    </xf>
    <xf numFmtId="184" fontId="37" fillId="21" borderId="150" xfId="3" applyNumberFormat="1" applyFont="1" applyFill="1" applyBorder="1" applyAlignment="1">
      <alignment horizontal="right" vertical="center"/>
    </xf>
    <xf numFmtId="179" fontId="37" fillId="21" borderId="150" xfId="7" applyNumberFormat="1" applyFont="1" applyFill="1" applyBorder="1" applyAlignment="1">
      <alignment horizontal="right" vertical="center"/>
    </xf>
    <xf numFmtId="228" fontId="37" fillId="21" borderId="150" xfId="7" applyNumberFormat="1" applyFont="1" applyFill="1" applyBorder="1" applyAlignment="1">
      <alignment horizontal="right" vertical="center"/>
    </xf>
    <xf numFmtId="228" fontId="37" fillId="21" borderId="151" xfId="7" applyNumberFormat="1" applyFont="1" applyFill="1" applyBorder="1" applyAlignment="1">
      <alignment horizontal="right" vertical="center"/>
    </xf>
    <xf numFmtId="228" fontId="37" fillId="21" borderId="152" xfId="7" applyNumberFormat="1" applyFont="1" applyFill="1" applyBorder="1" applyAlignment="1">
      <alignment horizontal="right" vertical="center"/>
    </xf>
    <xf numFmtId="228" fontId="37" fillId="21" borderId="175" xfId="7" applyNumberFormat="1" applyFont="1" applyFill="1" applyBorder="1" applyAlignment="1">
      <alignment horizontal="right" vertical="center"/>
    </xf>
    <xf numFmtId="228" fontId="37" fillId="21" borderId="83" xfId="7" applyNumberFormat="1" applyFont="1" applyFill="1" applyBorder="1" applyAlignment="1">
      <alignment horizontal="right" vertical="center"/>
    </xf>
    <xf numFmtId="228" fontId="37" fillId="21" borderId="154" xfId="7" applyNumberFormat="1" applyFont="1" applyFill="1" applyBorder="1" applyAlignment="1">
      <alignment horizontal="right" vertical="center"/>
    </xf>
    <xf numFmtId="228" fontId="37" fillId="21" borderId="176" xfId="7" applyNumberFormat="1" applyFont="1" applyFill="1" applyBorder="1" applyAlignment="1">
      <alignment horizontal="right" vertical="center"/>
    </xf>
    <xf numFmtId="41" fontId="37" fillId="21" borderId="150" xfId="3" applyFont="1" applyFill="1" applyBorder="1" applyAlignment="1">
      <alignment horizontal="right" vertical="center"/>
    </xf>
    <xf numFmtId="177" fontId="56" fillId="0" borderId="0" xfId="1" applyNumberFormat="1" applyFont="1">
      <alignment vertical="center"/>
    </xf>
    <xf numFmtId="184" fontId="37" fillId="21" borderId="169" xfId="3" applyNumberFormat="1" applyFont="1" applyFill="1" applyBorder="1" applyAlignment="1">
      <alignment horizontal="right" vertical="center"/>
    </xf>
    <xf numFmtId="179" fontId="37" fillId="21" borderId="169" xfId="7" applyNumberFormat="1" applyFont="1" applyFill="1" applyBorder="1" applyAlignment="1">
      <alignment horizontal="right" vertical="center"/>
    </xf>
    <xf numFmtId="228" fontId="37" fillId="21" borderId="169" xfId="7" applyNumberFormat="1" applyFont="1" applyFill="1" applyBorder="1" applyAlignment="1">
      <alignment horizontal="right" vertical="center"/>
    </xf>
    <xf numFmtId="228" fontId="37" fillId="21" borderId="170" xfId="7" applyNumberFormat="1" applyFont="1" applyFill="1" applyBorder="1" applyAlignment="1">
      <alignment horizontal="right" vertical="center"/>
    </xf>
    <xf numFmtId="228" fontId="37" fillId="21" borderId="128" xfId="7" applyNumberFormat="1" applyFont="1" applyFill="1" applyBorder="1" applyAlignment="1">
      <alignment horizontal="right" vertical="center"/>
    </xf>
    <xf numFmtId="228" fontId="37" fillId="21" borderId="171" xfId="7" applyNumberFormat="1" applyFont="1" applyFill="1" applyBorder="1" applyAlignment="1">
      <alignment horizontal="right" vertical="center"/>
    </xf>
    <xf numFmtId="228" fontId="37" fillId="21" borderId="172" xfId="7" applyNumberFormat="1" applyFont="1" applyFill="1" applyBorder="1" applyAlignment="1">
      <alignment horizontal="right" vertical="center"/>
    </xf>
    <xf numFmtId="228" fontId="37" fillId="21" borderId="173" xfId="7" applyNumberFormat="1" applyFont="1" applyFill="1" applyBorder="1" applyAlignment="1">
      <alignment horizontal="right" vertical="center"/>
    </xf>
    <xf numFmtId="228" fontId="37" fillId="21" borderId="174" xfId="7" applyNumberFormat="1" applyFont="1" applyFill="1" applyBorder="1" applyAlignment="1">
      <alignment horizontal="right" vertical="center"/>
    </xf>
    <xf numFmtId="41" fontId="37" fillId="21" borderId="169" xfId="3" applyFont="1" applyFill="1" applyBorder="1" applyAlignment="1">
      <alignment horizontal="right" vertical="center"/>
    </xf>
    <xf numFmtId="49" fontId="37" fillId="0" borderId="151" xfId="7" applyNumberFormat="1" applyFont="1" applyFill="1" applyBorder="1" applyAlignment="1">
      <alignment horizontal="center" vertical="center"/>
    </xf>
    <xf numFmtId="10" fontId="37" fillId="0" borderId="150" xfId="1" applyNumberFormat="1" applyFont="1" applyBorder="1" applyAlignment="1">
      <alignment horizontal="right" vertical="center"/>
    </xf>
    <xf numFmtId="10" fontId="37" fillId="0" borderId="151" xfId="1" applyNumberFormat="1" applyFont="1" applyBorder="1" applyAlignment="1">
      <alignment horizontal="right" vertical="center"/>
    </xf>
    <xf numFmtId="10" fontId="37" fillId="0" borderId="152" xfId="1" applyNumberFormat="1" applyFont="1" applyBorder="1" applyAlignment="1">
      <alignment horizontal="right" vertical="center"/>
    </xf>
    <xf numFmtId="10" fontId="37" fillId="0" borderId="175" xfId="1" applyNumberFormat="1" applyFont="1" applyBorder="1" applyAlignment="1">
      <alignment horizontal="right" vertical="center"/>
    </xf>
    <xf numFmtId="10" fontId="37" fillId="0" borderId="83" xfId="1" applyNumberFormat="1" applyFont="1" applyBorder="1" applyAlignment="1">
      <alignment horizontal="right" vertical="center"/>
    </xf>
    <xf numFmtId="10" fontId="37" fillId="0" borderId="154" xfId="1" applyNumberFormat="1" applyFont="1" applyBorder="1" applyAlignment="1">
      <alignment horizontal="right" vertical="center"/>
    </xf>
    <xf numFmtId="10" fontId="37" fillId="0" borderId="176" xfId="1" applyNumberFormat="1" applyFont="1" applyBorder="1" applyAlignment="1">
      <alignment horizontal="right" vertical="center"/>
    </xf>
    <xf numFmtId="10" fontId="37" fillId="0" borderId="150" xfId="1" applyNumberFormat="1" applyFont="1" applyBorder="1">
      <alignment vertical="center"/>
    </xf>
    <xf numFmtId="10" fontId="37" fillId="0" borderId="152" xfId="1" applyNumberFormat="1" applyFont="1" applyBorder="1">
      <alignment vertical="center"/>
    </xf>
    <xf numFmtId="10" fontId="37" fillId="0" borderId="83" xfId="1" applyNumberFormat="1" applyFont="1" applyBorder="1">
      <alignment vertical="center"/>
    </xf>
    <xf numFmtId="10" fontId="37" fillId="0" borderId="151" xfId="1" applyNumberFormat="1" applyFont="1" applyBorder="1">
      <alignment vertical="center"/>
    </xf>
    <xf numFmtId="10" fontId="56" fillId="0" borderId="83" xfId="1" applyNumberFormat="1" applyFont="1" applyBorder="1">
      <alignment vertical="center"/>
    </xf>
    <xf numFmtId="10" fontId="56" fillId="0" borderId="151" xfId="1" applyNumberFormat="1" applyFont="1" applyBorder="1">
      <alignment vertical="center"/>
    </xf>
    <xf numFmtId="10" fontId="37" fillId="3" borderId="150" xfId="1" applyNumberFormat="1" applyFont="1" applyFill="1" applyBorder="1" applyAlignment="1">
      <alignment horizontal="right" vertical="center"/>
    </xf>
    <xf numFmtId="10" fontId="37" fillId="0" borderId="177" xfId="1" applyNumberFormat="1" applyFont="1" applyBorder="1" applyAlignment="1">
      <alignment horizontal="right" vertical="center"/>
    </xf>
    <xf numFmtId="10" fontId="37" fillId="3" borderId="98" xfId="1" applyNumberFormat="1" applyFont="1" applyFill="1" applyBorder="1" applyAlignment="1">
      <alignment horizontal="right" vertical="center"/>
    </xf>
    <xf numFmtId="49" fontId="37" fillId="0" borderId="25" xfId="7" applyNumberFormat="1" applyFont="1" applyFill="1" applyBorder="1" applyAlignment="1">
      <alignment horizontal="center" vertical="center"/>
    </xf>
    <xf numFmtId="41" fontId="37" fillId="0" borderId="26" xfId="3" applyFont="1" applyFill="1" applyBorder="1" applyAlignment="1">
      <alignment horizontal="right" vertical="center"/>
    </xf>
    <xf numFmtId="10" fontId="37" fillId="0" borderId="26" xfId="1" applyNumberFormat="1" applyFont="1" applyBorder="1" applyAlignment="1">
      <alignment horizontal="right" vertical="center"/>
    </xf>
    <xf numFmtId="10" fontId="37" fillId="0" borderId="25" xfId="1" applyNumberFormat="1" applyFont="1" applyBorder="1" applyAlignment="1">
      <alignment horizontal="right" vertical="center"/>
    </xf>
    <xf numFmtId="10" fontId="37" fillId="0" borderId="50" xfId="1" applyNumberFormat="1" applyFont="1" applyBorder="1" applyAlignment="1">
      <alignment horizontal="right" vertical="center"/>
    </xf>
    <xf numFmtId="10" fontId="37" fillId="0" borderId="183" xfId="1" applyNumberFormat="1" applyFont="1" applyBorder="1" applyAlignment="1">
      <alignment horizontal="right" vertical="center"/>
    </xf>
    <xf numFmtId="10" fontId="37" fillId="0" borderId="27" xfId="1" applyNumberFormat="1" applyFont="1" applyBorder="1" applyAlignment="1">
      <alignment horizontal="right" vertical="center"/>
    </xf>
    <xf numFmtId="10" fontId="37" fillId="0" borderId="184" xfId="1" applyNumberFormat="1" applyFont="1" applyBorder="1" applyAlignment="1">
      <alignment horizontal="right" vertical="center"/>
    </xf>
    <xf numFmtId="10" fontId="37" fillId="0" borderId="142" xfId="1" applyNumberFormat="1" applyFont="1" applyBorder="1" applyAlignment="1">
      <alignment horizontal="right" vertical="center"/>
    </xf>
    <xf numFmtId="41" fontId="37" fillId="3" borderId="26" xfId="3" applyFont="1" applyFill="1" applyBorder="1" applyAlignment="1">
      <alignment horizontal="right" vertical="center"/>
    </xf>
    <xf numFmtId="179" fontId="37" fillId="3" borderId="74" xfId="7" applyNumberFormat="1" applyFont="1" applyFill="1" applyBorder="1" applyAlignment="1">
      <alignment horizontal="right" vertical="center"/>
    </xf>
    <xf numFmtId="184" fontId="37" fillId="0" borderId="150" xfId="3" applyNumberFormat="1" applyFont="1" applyFill="1" applyBorder="1" applyAlignment="1">
      <alignment horizontal="right" vertical="center"/>
    </xf>
    <xf numFmtId="41" fontId="37" fillId="0" borderId="150" xfId="3" applyFont="1" applyFill="1" applyBorder="1" applyAlignment="1">
      <alignment horizontal="right" vertical="center"/>
    </xf>
    <xf numFmtId="41" fontId="37" fillId="0" borderId="151" xfId="3" applyFont="1" applyFill="1" applyBorder="1" applyAlignment="1">
      <alignment horizontal="right" vertical="center"/>
    </xf>
    <xf numFmtId="41" fontId="37" fillId="0" borderId="175" xfId="3" applyFont="1" applyFill="1" applyBorder="1" applyAlignment="1">
      <alignment horizontal="right" vertical="center"/>
    </xf>
    <xf numFmtId="49" fontId="37" fillId="0" borderId="157" xfId="7" applyNumberFormat="1" applyFont="1" applyFill="1" applyBorder="1" applyAlignment="1">
      <alignment horizontal="center" vertical="center"/>
    </xf>
    <xf numFmtId="10" fontId="37" fillId="0" borderId="156" xfId="1" applyNumberFormat="1" applyFont="1" applyBorder="1" applyAlignment="1">
      <alignment horizontal="right" vertical="center"/>
    </xf>
    <xf numFmtId="184" fontId="37" fillId="0" borderId="156" xfId="3" applyNumberFormat="1" applyFont="1" applyFill="1" applyBorder="1" applyAlignment="1">
      <alignment horizontal="right" vertical="center"/>
    </xf>
    <xf numFmtId="41" fontId="37" fillId="0" borderId="156" xfId="3" applyFont="1" applyFill="1" applyBorder="1" applyAlignment="1">
      <alignment horizontal="right" vertical="center"/>
    </xf>
    <xf numFmtId="41" fontId="37" fillId="0" borderId="157" xfId="3" applyFont="1" applyFill="1" applyBorder="1" applyAlignment="1">
      <alignment horizontal="right" vertical="center"/>
    </xf>
    <xf numFmtId="41" fontId="42" fillId="0" borderId="158" xfId="3" applyFont="1" applyFill="1" applyBorder="1" applyAlignment="1">
      <alignment horizontal="right" vertical="center"/>
    </xf>
    <xf numFmtId="41" fontId="37" fillId="0" borderId="159" xfId="3" applyFont="1" applyFill="1" applyBorder="1" applyAlignment="1">
      <alignment horizontal="right" vertical="center"/>
    </xf>
    <xf numFmtId="41" fontId="42" fillId="0" borderId="156" xfId="3" applyFont="1" applyFill="1" applyBorder="1" applyAlignment="1">
      <alignment horizontal="right" vertical="center"/>
    </xf>
    <xf numFmtId="41" fontId="42" fillId="0" borderId="160" xfId="3" applyFont="1" applyFill="1" applyBorder="1" applyAlignment="1">
      <alignment horizontal="right" vertical="center"/>
    </xf>
    <xf numFmtId="41" fontId="42" fillId="0" borderId="157" xfId="3" applyFont="1" applyFill="1" applyBorder="1" applyAlignment="1">
      <alignment horizontal="right" vertical="center"/>
    </xf>
    <xf numFmtId="41" fontId="42" fillId="0" borderId="161" xfId="3" applyFont="1" applyFill="1" applyBorder="1" applyAlignment="1">
      <alignment horizontal="right" vertical="center"/>
    </xf>
    <xf numFmtId="41" fontId="42" fillId="0" borderId="162" xfId="3" applyFont="1" applyFill="1" applyBorder="1" applyAlignment="1">
      <alignment horizontal="right" vertical="center"/>
    </xf>
    <xf numFmtId="179" fontId="42" fillId="0" borderId="156" xfId="3" applyNumberFormat="1" applyFont="1" applyFill="1" applyBorder="1" applyAlignment="1">
      <alignment horizontal="right" vertical="center"/>
    </xf>
    <xf numFmtId="41" fontId="37" fillId="0" borderId="158" xfId="3" applyFont="1" applyFill="1" applyBorder="1" applyAlignment="1">
      <alignment horizontal="right" vertical="center"/>
    </xf>
    <xf numFmtId="49" fontId="37" fillId="0" borderId="169" xfId="7" applyNumberFormat="1" applyFont="1" applyFill="1" applyBorder="1" applyAlignment="1">
      <alignment horizontal="center" vertical="center"/>
    </xf>
    <xf numFmtId="10" fontId="37" fillId="0" borderId="169" xfId="1" applyNumberFormat="1" applyFont="1" applyBorder="1" applyAlignment="1">
      <alignment horizontal="right" vertical="center"/>
    </xf>
    <xf numFmtId="184" fontId="37" fillId="0" borderId="169" xfId="3" applyNumberFormat="1" applyFont="1" applyFill="1" applyBorder="1" applyAlignment="1">
      <alignment horizontal="right" vertical="center"/>
    </xf>
    <xf numFmtId="41" fontId="37" fillId="0" borderId="169" xfId="3" applyFont="1" applyFill="1" applyBorder="1" applyAlignment="1">
      <alignment horizontal="right" vertical="center"/>
    </xf>
    <xf numFmtId="41" fontId="37" fillId="0" borderId="170" xfId="3" applyFont="1" applyFill="1" applyBorder="1" applyAlignment="1">
      <alignment horizontal="right" vertical="center"/>
    </xf>
    <xf numFmtId="41" fontId="37" fillId="0" borderId="171" xfId="3" applyFont="1" applyFill="1" applyBorder="1" applyAlignment="1">
      <alignment horizontal="right" vertical="center"/>
    </xf>
    <xf numFmtId="10" fontId="37" fillId="0" borderId="1" xfId="1" applyNumberFormat="1" applyFont="1" applyBorder="1">
      <alignment vertical="center"/>
    </xf>
    <xf numFmtId="41" fontId="37" fillId="0" borderId="2" xfId="3" applyFont="1" applyFill="1" applyBorder="1" applyAlignment="1">
      <alignment horizontal="right" vertical="center"/>
    </xf>
    <xf numFmtId="41" fontId="37" fillId="0" borderId="178" xfId="3" applyFont="1" applyFill="1" applyBorder="1" applyAlignment="1">
      <alignment horizontal="right" vertical="center"/>
    </xf>
    <xf numFmtId="10" fontId="37" fillId="0" borderId="3" xfId="1" applyNumberFormat="1" applyFont="1" applyBorder="1" applyAlignment="1">
      <alignment vertical="center" wrapText="1"/>
    </xf>
    <xf numFmtId="230" fontId="42" fillId="0" borderId="2" xfId="3" applyNumberFormat="1" applyFont="1" applyFill="1" applyBorder="1" applyAlignment="1">
      <alignment horizontal="right" vertical="center"/>
    </xf>
    <xf numFmtId="49" fontId="37" fillId="22" borderId="150" xfId="7" applyNumberFormat="1" applyFont="1" applyFill="1" applyBorder="1" applyAlignment="1">
      <alignment horizontal="center" vertical="center"/>
    </xf>
    <xf numFmtId="184" fontId="37" fillId="22" borderId="150" xfId="3" applyNumberFormat="1" applyFont="1" applyFill="1" applyBorder="1" applyAlignment="1">
      <alignment horizontal="right" vertical="center"/>
    </xf>
    <xf numFmtId="228" fontId="37" fillId="22" borderId="150" xfId="3" applyNumberFormat="1" applyFont="1" applyFill="1" applyBorder="1" applyAlignment="1">
      <alignment horizontal="right" vertical="center"/>
    </xf>
    <xf numFmtId="228" fontId="42" fillId="22" borderId="150" xfId="3" applyNumberFormat="1" applyFont="1" applyFill="1" applyBorder="1" applyAlignment="1">
      <alignment horizontal="right" vertical="center"/>
    </xf>
    <xf numFmtId="228" fontId="42" fillId="22" borderId="151" xfId="3" applyNumberFormat="1" applyFont="1" applyFill="1" applyBorder="1" applyAlignment="1">
      <alignment horizontal="right" vertical="center"/>
    </xf>
    <xf numFmtId="228" fontId="42" fillId="22" borderId="152" xfId="3" applyNumberFormat="1" applyFont="1" applyFill="1" applyBorder="1" applyAlignment="1">
      <alignment horizontal="right" vertical="center"/>
    </xf>
    <xf numFmtId="228" fontId="42" fillId="22" borderId="175" xfId="3" applyNumberFormat="1" applyFont="1" applyFill="1" applyBorder="1" applyAlignment="1">
      <alignment horizontal="right" vertical="center"/>
    </xf>
    <xf numFmtId="228" fontId="42" fillId="22" borderId="83" xfId="3" applyNumberFormat="1" applyFont="1" applyFill="1" applyBorder="1" applyAlignment="1">
      <alignment horizontal="right" vertical="center"/>
    </xf>
    <xf numFmtId="228" fontId="42" fillId="22" borderId="154" xfId="3" applyNumberFormat="1" applyFont="1" applyFill="1" applyBorder="1" applyAlignment="1">
      <alignment horizontal="right" vertical="center"/>
    </xf>
    <xf numFmtId="228" fontId="42" fillId="22" borderId="176" xfId="3" applyNumberFormat="1" applyFont="1" applyFill="1" applyBorder="1" applyAlignment="1">
      <alignment horizontal="right" vertical="center"/>
    </xf>
    <xf numFmtId="179" fontId="37" fillId="2" borderId="177" xfId="3" applyNumberFormat="1" applyFont="1" applyFill="1" applyBorder="1" applyAlignment="1">
      <alignment horizontal="right" vertical="center"/>
    </xf>
    <xf numFmtId="228" fontId="42" fillId="22" borderId="166" xfId="7" applyNumberFormat="1" applyFont="1" applyFill="1" applyBorder="1" applyAlignment="1">
      <alignment horizontal="right" vertical="center"/>
    </xf>
    <xf numFmtId="49" fontId="37" fillId="22" borderId="169" xfId="7" applyNumberFormat="1" applyFont="1" applyFill="1" applyBorder="1" applyAlignment="1">
      <alignment horizontal="center" vertical="center"/>
    </xf>
    <xf numFmtId="184" fontId="37" fillId="22" borderId="169" xfId="3" applyNumberFormat="1" applyFont="1" applyFill="1" applyBorder="1" applyAlignment="1">
      <alignment horizontal="right" vertical="center"/>
    </xf>
    <xf numFmtId="228" fontId="37" fillId="22" borderId="169" xfId="3" applyNumberFormat="1" applyFont="1" applyFill="1" applyBorder="1" applyAlignment="1">
      <alignment horizontal="right" vertical="center"/>
    </xf>
    <xf numFmtId="228" fontId="42" fillId="22" borderId="169" xfId="3" applyNumberFormat="1" applyFont="1" applyFill="1" applyBorder="1" applyAlignment="1">
      <alignment horizontal="right" vertical="center"/>
    </xf>
    <xf numFmtId="228" fontId="42" fillId="22" borderId="170" xfId="3" applyNumberFormat="1" applyFont="1" applyFill="1" applyBorder="1" applyAlignment="1">
      <alignment horizontal="right" vertical="center"/>
    </xf>
    <xf numFmtId="228" fontId="42" fillId="22" borderId="128" xfId="3" applyNumberFormat="1" applyFont="1" applyFill="1" applyBorder="1" applyAlignment="1">
      <alignment horizontal="right" vertical="center"/>
    </xf>
    <xf numFmtId="228" fontId="42" fillId="22" borderId="171" xfId="3" applyNumberFormat="1" applyFont="1" applyFill="1" applyBorder="1" applyAlignment="1">
      <alignment horizontal="right" vertical="center"/>
    </xf>
    <xf numFmtId="228" fontId="42" fillId="22" borderId="172" xfId="3" applyNumberFormat="1" applyFont="1" applyFill="1" applyBorder="1" applyAlignment="1">
      <alignment horizontal="right" vertical="center"/>
    </xf>
    <xf numFmtId="228" fontId="42" fillId="22" borderId="173" xfId="3" applyNumberFormat="1" applyFont="1" applyFill="1" applyBorder="1" applyAlignment="1">
      <alignment horizontal="right" vertical="center"/>
    </xf>
    <xf numFmtId="228" fontId="42" fillId="22" borderId="174" xfId="3" applyNumberFormat="1" applyFont="1" applyFill="1" applyBorder="1" applyAlignment="1">
      <alignment horizontal="right" vertical="center"/>
    </xf>
    <xf numFmtId="179" fontId="42" fillId="22" borderId="166" xfId="7" applyNumberFormat="1" applyFont="1" applyFill="1" applyBorder="1" applyAlignment="1">
      <alignment horizontal="right" vertical="center"/>
    </xf>
    <xf numFmtId="49" fontId="37" fillId="0" borderId="150" xfId="7" applyNumberFormat="1" applyFont="1" applyFill="1" applyBorder="1" applyAlignment="1">
      <alignment horizontal="center" vertical="center"/>
    </xf>
    <xf numFmtId="228" fontId="37" fillId="2" borderId="150" xfId="3" applyNumberFormat="1" applyFont="1" applyFill="1" applyBorder="1" applyAlignment="1">
      <alignment horizontal="right" vertical="center"/>
    </xf>
    <xf numFmtId="228" fontId="42" fillId="0" borderId="150" xfId="3" applyNumberFormat="1" applyFont="1" applyFill="1" applyBorder="1" applyAlignment="1">
      <alignment horizontal="right" vertical="center"/>
    </xf>
    <xf numFmtId="228" fontId="42" fillId="0" borderId="151" xfId="3" applyNumberFormat="1" applyFont="1" applyFill="1" applyBorder="1" applyAlignment="1">
      <alignment horizontal="right" vertical="center"/>
    </xf>
    <xf numFmtId="228" fontId="42" fillId="0" borderId="152" xfId="3" applyNumberFormat="1" applyFont="1" applyFill="1" applyBorder="1" applyAlignment="1">
      <alignment horizontal="right" vertical="center"/>
    </xf>
    <xf numFmtId="228" fontId="42" fillId="0" borderId="175" xfId="3" applyNumberFormat="1" applyFont="1" applyFill="1" applyBorder="1" applyAlignment="1">
      <alignment horizontal="right" vertical="center"/>
    </xf>
    <xf numFmtId="228" fontId="42" fillId="0" borderId="83" xfId="3" applyNumberFormat="1" applyFont="1" applyFill="1" applyBorder="1" applyAlignment="1">
      <alignment horizontal="right" vertical="center"/>
    </xf>
    <xf numFmtId="228" fontId="42" fillId="0" borderId="154" xfId="3" applyNumberFormat="1" applyFont="1" applyFill="1" applyBorder="1" applyAlignment="1">
      <alignment horizontal="right" vertical="center"/>
    </xf>
    <xf numFmtId="228" fontId="42" fillId="0" borderId="176" xfId="3" applyNumberFormat="1" applyFont="1" applyFill="1" applyBorder="1" applyAlignment="1">
      <alignment horizontal="right" vertical="center"/>
    </xf>
    <xf numFmtId="228" fontId="37" fillId="3" borderId="150" xfId="3" applyNumberFormat="1" applyFont="1" applyFill="1" applyBorder="1" applyAlignment="1">
      <alignment horizontal="right" vertical="center"/>
    </xf>
    <xf numFmtId="179" fontId="37" fillId="0" borderId="177" xfId="3" applyNumberFormat="1" applyFont="1" applyFill="1" applyBorder="1" applyAlignment="1">
      <alignment horizontal="right" vertical="center"/>
    </xf>
    <xf numFmtId="228" fontId="37" fillId="0" borderId="169" xfId="3" applyNumberFormat="1" applyFont="1" applyFill="1" applyBorder="1" applyAlignment="1">
      <alignment horizontal="right" vertical="center"/>
    </xf>
    <xf numFmtId="228" fontId="42" fillId="0" borderId="169" xfId="3" applyNumberFormat="1" applyFont="1" applyFill="1" applyBorder="1" applyAlignment="1">
      <alignment horizontal="right" vertical="center"/>
    </xf>
    <xf numFmtId="228" fontId="42" fillId="0" borderId="170" xfId="3" applyNumberFormat="1" applyFont="1" applyFill="1" applyBorder="1" applyAlignment="1">
      <alignment horizontal="right" vertical="center"/>
    </xf>
    <xf numFmtId="228" fontId="42" fillId="0" borderId="128" xfId="3" applyNumberFormat="1" applyFont="1" applyFill="1" applyBorder="1" applyAlignment="1">
      <alignment horizontal="right" vertical="center"/>
    </xf>
    <xf numFmtId="228" fontId="42" fillId="0" borderId="171" xfId="3" applyNumberFormat="1" applyFont="1" applyFill="1" applyBorder="1" applyAlignment="1">
      <alignment horizontal="right" vertical="center"/>
    </xf>
    <xf numFmtId="228" fontId="42" fillId="0" borderId="172" xfId="3" applyNumberFormat="1" applyFont="1" applyFill="1" applyBorder="1" applyAlignment="1">
      <alignment horizontal="right" vertical="center"/>
    </xf>
    <xf numFmtId="228" fontId="42" fillId="0" borderId="173" xfId="3" applyNumberFormat="1" applyFont="1" applyFill="1" applyBorder="1" applyAlignment="1">
      <alignment horizontal="right" vertical="center"/>
    </xf>
    <xf numFmtId="228" fontId="42" fillId="0" borderId="174" xfId="3" applyNumberFormat="1" applyFont="1" applyFill="1" applyBorder="1" applyAlignment="1">
      <alignment horizontal="right" vertical="center"/>
    </xf>
    <xf numFmtId="231" fontId="37" fillId="3" borderId="26" xfId="3" applyNumberFormat="1" applyFont="1" applyFill="1" applyBorder="1" applyAlignment="1">
      <alignment horizontal="right" vertical="center"/>
    </xf>
    <xf numFmtId="228" fontId="42" fillId="3" borderId="166" xfId="7" applyNumberFormat="1" applyFont="1" applyFill="1" applyBorder="1" applyAlignment="1">
      <alignment horizontal="right" vertical="center"/>
    </xf>
    <xf numFmtId="228" fontId="37" fillId="17" borderId="150" xfId="3" applyNumberFormat="1" applyFont="1" applyFill="1" applyBorder="1" applyAlignment="1">
      <alignment horizontal="right" vertical="center"/>
    </xf>
    <xf numFmtId="179" fontId="37" fillId="17" borderId="150" xfId="3" applyNumberFormat="1" applyFont="1" applyFill="1" applyBorder="1" applyAlignment="1">
      <alignment horizontal="right" vertical="center"/>
    </xf>
    <xf numFmtId="228" fontId="37" fillId="17" borderId="151" xfId="3" applyNumberFormat="1" applyFont="1" applyFill="1" applyBorder="1" applyAlignment="1">
      <alignment horizontal="right" vertical="center"/>
    </xf>
    <xf numFmtId="228" fontId="37" fillId="17" borderId="152" xfId="3" applyNumberFormat="1" applyFont="1" applyFill="1" applyBorder="1" applyAlignment="1">
      <alignment horizontal="right" vertical="center"/>
    </xf>
    <xf numFmtId="228" fontId="37" fillId="17" borderId="175" xfId="3" applyNumberFormat="1" applyFont="1" applyFill="1" applyBorder="1" applyAlignment="1">
      <alignment horizontal="right" vertical="center"/>
    </xf>
    <xf numFmtId="228" fontId="37" fillId="17" borderId="83" xfId="3" applyNumberFormat="1" applyFont="1" applyFill="1" applyBorder="1" applyAlignment="1">
      <alignment horizontal="right" vertical="center"/>
    </xf>
    <xf numFmtId="228" fontId="37" fillId="17" borderId="154" xfId="3" applyNumberFormat="1" applyFont="1" applyFill="1" applyBorder="1" applyAlignment="1">
      <alignment horizontal="right" vertical="center"/>
    </xf>
    <xf numFmtId="228" fontId="37" fillId="17" borderId="176" xfId="3" applyNumberFormat="1" applyFont="1" applyFill="1" applyBorder="1" applyAlignment="1">
      <alignment horizontal="right" vertical="center"/>
    </xf>
    <xf numFmtId="228" fontId="42" fillId="17" borderId="175" xfId="7" applyNumberFormat="1" applyFont="1" applyFill="1" applyBorder="1" applyAlignment="1">
      <alignment horizontal="right" vertical="center"/>
    </xf>
    <xf numFmtId="228" fontId="37" fillId="17" borderId="169" xfId="3" applyNumberFormat="1" applyFont="1" applyFill="1" applyBorder="1" applyAlignment="1">
      <alignment horizontal="right" vertical="center"/>
    </xf>
    <xf numFmtId="179" fontId="37" fillId="17" borderId="169" xfId="3" applyNumberFormat="1" applyFont="1" applyFill="1" applyBorder="1" applyAlignment="1">
      <alignment horizontal="right" vertical="center"/>
    </xf>
    <xf numFmtId="228" fontId="37" fillId="17" borderId="170" xfId="3" applyNumberFormat="1" applyFont="1" applyFill="1" applyBorder="1" applyAlignment="1">
      <alignment horizontal="right" vertical="center"/>
    </xf>
    <xf numFmtId="228" fontId="37" fillId="17" borderId="128" xfId="3" applyNumberFormat="1" applyFont="1" applyFill="1" applyBorder="1" applyAlignment="1">
      <alignment horizontal="right" vertical="center"/>
    </xf>
    <xf numFmtId="228" fontId="37" fillId="17" borderId="171" xfId="3" applyNumberFormat="1" applyFont="1" applyFill="1" applyBorder="1" applyAlignment="1">
      <alignment horizontal="right" vertical="center"/>
    </xf>
    <xf numFmtId="228" fontId="37" fillId="17" borderId="172" xfId="3" applyNumberFormat="1" applyFont="1" applyFill="1" applyBorder="1" applyAlignment="1">
      <alignment horizontal="right" vertical="center"/>
    </xf>
    <xf numFmtId="228" fontId="37" fillId="17" borderId="173" xfId="3" applyNumberFormat="1" applyFont="1" applyFill="1" applyBorder="1" applyAlignment="1">
      <alignment horizontal="right" vertical="center"/>
    </xf>
    <xf numFmtId="228" fontId="37" fillId="17" borderId="174" xfId="3" applyNumberFormat="1" applyFont="1" applyFill="1" applyBorder="1" applyAlignment="1">
      <alignment horizontal="right" vertical="center"/>
    </xf>
    <xf numFmtId="228" fontId="42" fillId="17" borderId="166" xfId="7" applyNumberFormat="1" applyFont="1" applyFill="1" applyBorder="1" applyAlignment="1">
      <alignment horizontal="right" vertical="center"/>
    </xf>
    <xf numFmtId="49" fontId="37" fillId="0" borderId="23" xfId="7" applyNumberFormat="1" applyFont="1" applyFill="1" applyBorder="1" applyAlignment="1">
      <alignment horizontal="center" vertical="center"/>
    </xf>
    <xf numFmtId="49" fontId="37" fillId="2" borderId="2" xfId="7" applyNumberFormat="1" applyFont="1" applyFill="1" applyBorder="1" applyAlignment="1">
      <alignment vertical="center"/>
    </xf>
    <xf numFmtId="49" fontId="37" fillId="2" borderId="7" xfId="7" applyNumberFormat="1" applyFont="1" applyFill="1" applyBorder="1" applyAlignment="1">
      <alignment vertical="center"/>
    </xf>
    <xf numFmtId="49" fontId="37" fillId="2" borderId="3" xfId="7" applyNumberFormat="1" applyFont="1" applyFill="1" applyBorder="1" applyAlignment="1">
      <alignment vertical="center"/>
    </xf>
    <xf numFmtId="228" fontId="37" fillId="0" borderId="1" xfId="3" applyNumberFormat="1" applyFont="1" applyFill="1" applyBorder="1" applyAlignment="1">
      <alignment horizontal="right" vertical="center"/>
    </xf>
    <xf numFmtId="179" fontId="37" fillId="0" borderId="1" xfId="3" applyNumberFormat="1" applyFont="1" applyFill="1" applyBorder="1" applyAlignment="1">
      <alignment horizontal="right" vertical="center"/>
    </xf>
    <xf numFmtId="228" fontId="37" fillId="0" borderId="2" xfId="3" applyNumberFormat="1" applyFont="1" applyFill="1" applyBorder="1" applyAlignment="1">
      <alignment horizontal="right" vertical="center"/>
    </xf>
    <xf numFmtId="228" fontId="37" fillId="0" borderId="3" xfId="3" applyNumberFormat="1" applyFont="1" applyFill="1" applyBorder="1" applyAlignment="1">
      <alignment horizontal="right" vertical="center"/>
    </xf>
    <xf numFmtId="228" fontId="37" fillId="0" borderId="178" xfId="3" applyNumberFormat="1" applyFont="1" applyFill="1" applyBorder="1" applyAlignment="1">
      <alignment horizontal="right" vertical="center"/>
    </xf>
    <xf numFmtId="228" fontId="37" fillId="0" borderId="7" xfId="3" applyNumberFormat="1" applyFont="1" applyFill="1" applyBorder="1" applyAlignment="1">
      <alignment horizontal="right" vertical="center"/>
    </xf>
    <xf numFmtId="228" fontId="37" fillId="0" borderId="179" xfId="3" applyNumberFormat="1" applyFont="1" applyFill="1" applyBorder="1" applyAlignment="1">
      <alignment horizontal="right" vertical="center"/>
    </xf>
    <xf numFmtId="228" fontId="37" fillId="0" borderId="131" xfId="3" applyNumberFormat="1" applyFont="1" applyFill="1" applyBorder="1" applyAlignment="1">
      <alignment horizontal="right" vertical="center"/>
    </xf>
    <xf numFmtId="228" fontId="37" fillId="3" borderId="1" xfId="3" applyNumberFormat="1" applyFont="1" applyFill="1" applyBorder="1" applyAlignment="1">
      <alignment horizontal="right" vertical="center"/>
    </xf>
    <xf numFmtId="228" fontId="42" fillId="3" borderId="178" xfId="7" applyNumberFormat="1" applyFont="1" applyFill="1" applyBorder="1" applyAlignment="1">
      <alignment horizontal="right" vertical="center"/>
    </xf>
    <xf numFmtId="228" fontId="37" fillId="0" borderId="150" xfId="3" applyNumberFormat="1" applyFont="1" applyFill="1" applyBorder="1" applyAlignment="1">
      <alignment horizontal="right" vertical="center"/>
    </xf>
    <xf numFmtId="179" fontId="42" fillId="0" borderId="150" xfId="3" applyNumberFormat="1" applyFont="1" applyFill="1" applyBorder="1" applyAlignment="1">
      <alignment horizontal="right" vertical="center"/>
    </xf>
    <xf numFmtId="179" fontId="37" fillId="0" borderId="169" xfId="3" applyNumberFormat="1" applyFont="1" applyFill="1" applyBorder="1" applyAlignment="1">
      <alignment horizontal="right" vertical="center"/>
    </xf>
    <xf numFmtId="228" fontId="37" fillId="0" borderId="170" xfId="3" applyNumberFormat="1" applyFont="1" applyFill="1" applyBorder="1" applyAlignment="1">
      <alignment horizontal="right" vertical="center"/>
    </xf>
    <xf numFmtId="228" fontId="37" fillId="0" borderId="128" xfId="3" applyNumberFormat="1" applyFont="1" applyFill="1" applyBorder="1" applyAlignment="1">
      <alignment horizontal="right" vertical="center"/>
    </xf>
    <xf numFmtId="228" fontId="37" fillId="0" borderId="171" xfId="3" applyNumberFormat="1" applyFont="1" applyFill="1" applyBorder="1" applyAlignment="1">
      <alignment horizontal="right" vertical="center"/>
    </xf>
    <xf numFmtId="228" fontId="37" fillId="0" borderId="172" xfId="3" applyNumberFormat="1" applyFont="1" applyFill="1" applyBorder="1" applyAlignment="1">
      <alignment horizontal="right" vertical="center"/>
    </xf>
    <xf numFmtId="228" fontId="37" fillId="0" borderId="173" xfId="3" applyNumberFormat="1" applyFont="1" applyFill="1" applyBorder="1" applyAlignment="1">
      <alignment horizontal="right" vertical="center"/>
    </xf>
    <xf numFmtId="228" fontId="37" fillId="0" borderId="174" xfId="3" applyNumberFormat="1" applyFont="1" applyFill="1" applyBorder="1" applyAlignment="1">
      <alignment horizontal="right" vertical="center"/>
    </xf>
    <xf numFmtId="228" fontId="37" fillId="3" borderId="169" xfId="3" applyNumberFormat="1" applyFont="1" applyFill="1" applyBorder="1" applyAlignment="1">
      <alignment horizontal="right" vertical="center"/>
    </xf>
    <xf numFmtId="228" fontId="37" fillId="17" borderId="185" xfId="3" applyNumberFormat="1" applyFont="1" applyFill="1" applyBorder="1" applyAlignment="1">
      <alignment horizontal="right" vertical="center"/>
    </xf>
    <xf numFmtId="228" fontId="37" fillId="17" borderId="186" xfId="3" applyNumberFormat="1" applyFont="1" applyFill="1" applyBorder="1" applyAlignment="1">
      <alignment horizontal="right" vertical="center"/>
    </xf>
    <xf numFmtId="228" fontId="42" fillId="17" borderId="185" xfId="7" applyNumberFormat="1" applyFont="1" applyFill="1" applyBorder="1" applyAlignment="1">
      <alignment horizontal="right" vertical="center"/>
    </xf>
    <xf numFmtId="179" fontId="37" fillId="0" borderId="0" xfId="7" applyNumberFormat="1" applyFont="1" applyFill="1" applyBorder="1" applyAlignment="1">
      <alignment horizontal="right" vertical="center"/>
    </xf>
    <xf numFmtId="41" fontId="37" fillId="0" borderId="0" xfId="3" applyFont="1" applyFill="1" applyBorder="1" applyAlignment="1">
      <alignment horizontal="right" vertical="center"/>
    </xf>
    <xf numFmtId="179" fontId="42" fillId="0" borderId="0" xfId="7" applyNumberFormat="1" applyFont="1" applyFill="1" applyBorder="1" applyAlignment="1">
      <alignment horizontal="right" vertical="center"/>
    </xf>
    <xf numFmtId="41" fontId="42" fillId="0" borderId="0" xfId="2" applyFont="1" applyFill="1" applyBorder="1" applyAlignment="1">
      <alignment horizontal="right" vertical="center"/>
    </xf>
    <xf numFmtId="228" fontId="37" fillId="0" borderId="5" xfId="3" applyNumberFormat="1" applyFont="1" applyFill="1" applyBorder="1" applyAlignment="1">
      <alignment horizontal="right" vertical="center"/>
    </xf>
    <xf numFmtId="179" fontId="57" fillId="0" borderId="0" xfId="7" applyNumberFormat="1" applyFont="1" applyFill="1" applyBorder="1" applyAlignment="1">
      <alignment horizontal="right" vertical="center"/>
    </xf>
    <xf numFmtId="224" fontId="37" fillId="0" borderId="0" xfId="7" applyFont="1" applyFill="1" applyBorder="1" applyAlignment="1">
      <alignment horizontal="center" vertical="center"/>
    </xf>
    <xf numFmtId="224" fontId="37" fillId="0" borderId="0" xfId="7" applyFont="1" applyFill="1" applyBorder="1" applyAlignment="1">
      <alignment vertical="center"/>
    </xf>
    <xf numFmtId="41" fontId="54" fillId="0" borderId="0" xfId="3" applyFont="1" applyFill="1" applyBorder="1" applyAlignment="1">
      <alignment vertical="center"/>
    </xf>
    <xf numFmtId="224" fontId="42" fillId="0" borderId="0" xfId="7" applyFont="1" applyFill="1" applyBorder="1" applyAlignment="1">
      <alignment horizontal="left" vertical="center"/>
    </xf>
    <xf numFmtId="224" fontId="42" fillId="0" borderId="0" xfId="7" applyFont="1" applyFill="1" applyBorder="1" applyAlignment="1">
      <alignment horizontal="right" vertical="center"/>
    </xf>
    <xf numFmtId="41" fontId="42" fillId="0" borderId="0" xfId="3" applyFont="1" applyFill="1" applyBorder="1" applyAlignment="1">
      <alignment vertical="center"/>
    </xf>
    <xf numFmtId="41" fontId="42" fillId="10" borderId="0" xfId="3" applyFont="1" applyFill="1" applyBorder="1" applyAlignment="1">
      <alignment vertical="center"/>
    </xf>
    <xf numFmtId="224" fontId="42" fillId="10" borderId="0" xfId="7" applyFont="1" applyFill="1" applyBorder="1" applyAlignment="1">
      <alignment vertical="center"/>
    </xf>
    <xf numFmtId="178" fontId="37" fillId="0" borderId="0" xfId="1" applyNumberFormat="1" applyFont="1">
      <alignment vertical="center"/>
    </xf>
    <xf numFmtId="41" fontId="37" fillId="0" borderId="1" xfId="3" applyFont="1" applyFill="1" applyBorder="1" applyAlignment="1">
      <alignment vertical="center"/>
    </xf>
    <xf numFmtId="184" fontId="42" fillId="0" borderId="1" xfId="7" applyNumberFormat="1" applyFont="1" applyFill="1" applyBorder="1" applyAlignment="1">
      <alignment vertical="center"/>
    </xf>
    <xf numFmtId="184" fontId="42" fillId="0" borderId="1" xfId="3" applyNumberFormat="1" applyFont="1" applyFill="1" applyBorder="1" applyAlignment="1">
      <alignment vertical="center"/>
    </xf>
    <xf numFmtId="184" fontId="37" fillId="0" borderId="1" xfId="3" applyNumberFormat="1" applyFont="1" applyFill="1" applyBorder="1" applyAlignment="1">
      <alignment vertical="center"/>
    </xf>
    <xf numFmtId="41" fontId="37" fillId="23" borderId="1" xfId="3" applyFont="1" applyFill="1" applyBorder="1" applyAlignment="1">
      <alignment vertical="center"/>
    </xf>
    <xf numFmtId="184" fontId="42" fillId="23" borderId="1" xfId="7" applyNumberFormat="1" applyFont="1" applyFill="1" applyBorder="1" applyAlignment="1">
      <alignment vertical="center"/>
    </xf>
    <xf numFmtId="184" fontId="42" fillId="23" borderId="1" xfId="3" applyNumberFormat="1" applyFont="1" applyFill="1" applyBorder="1" applyAlignment="1">
      <alignment vertical="center"/>
    </xf>
    <xf numFmtId="184" fontId="37" fillId="23" borderId="1" xfId="3" applyNumberFormat="1" applyFont="1" applyFill="1" applyBorder="1" applyAlignment="1">
      <alignment vertical="center"/>
    </xf>
    <xf numFmtId="184" fontId="37" fillId="23" borderId="1" xfId="7" applyNumberFormat="1" applyFont="1" applyFill="1" applyBorder="1" applyAlignment="1">
      <alignment vertical="center"/>
    </xf>
    <xf numFmtId="41" fontId="37" fillId="3" borderId="26" xfId="3" applyFont="1" applyFill="1" applyBorder="1" applyAlignment="1">
      <alignment vertical="center"/>
    </xf>
    <xf numFmtId="224" fontId="42" fillId="3" borderId="26" xfId="7" applyFont="1" applyFill="1" applyBorder="1" applyAlignment="1">
      <alignment vertical="center"/>
    </xf>
    <xf numFmtId="41" fontId="37" fillId="12" borderId="18" xfId="3" applyFont="1" applyFill="1" applyBorder="1" applyAlignment="1">
      <alignment vertical="center"/>
    </xf>
    <xf numFmtId="184" fontId="42" fillId="12" borderId="18" xfId="7" applyNumberFormat="1" applyFont="1" applyFill="1" applyBorder="1" applyAlignment="1">
      <alignment vertical="center"/>
    </xf>
    <xf numFmtId="184" fontId="42" fillId="12" borderId="18" xfId="3" applyNumberFormat="1" applyFont="1" applyFill="1" applyBorder="1" applyAlignment="1">
      <alignment vertical="center"/>
    </xf>
    <xf numFmtId="184" fontId="42" fillId="12" borderId="1" xfId="7" applyNumberFormat="1" applyFont="1" applyFill="1" applyBorder="1" applyAlignment="1">
      <alignment vertical="center"/>
    </xf>
    <xf numFmtId="184" fontId="37" fillId="12" borderId="1" xfId="3" applyNumberFormat="1" applyFont="1" applyFill="1" applyBorder="1" applyAlignment="1">
      <alignment vertical="center"/>
    </xf>
    <xf numFmtId="231" fontId="58" fillId="24" borderId="188" xfId="3" applyNumberFormat="1" applyFont="1" applyFill="1" applyBorder="1" applyAlignment="1">
      <alignment vertical="center"/>
    </xf>
    <xf numFmtId="231" fontId="59" fillId="24" borderId="188" xfId="7" applyNumberFormat="1" applyFont="1" applyFill="1" applyBorder="1" applyAlignment="1">
      <alignment vertical="center"/>
    </xf>
    <xf numFmtId="231" fontId="58" fillId="24" borderId="188" xfId="7" applyNumberFormat="1" applyFont="1" applyFill="1" applyBorder="1" applyAlignment="1">
      <alignment vertical="center"/>
    </xf>
    <xf numFmtId="231" fontId="58" fillId="24" borderId="189" xfId="3" applyNumberFormat="1" applyFont="1" applyFill="1" applyBorder="1" applyAlignment="1">
      <alignment vertical="center"/>
    </xf>
    <xf numFmtId="41" fontId="37" fillId="18" borderId="1" xfId="3" applyFont="1" applyFill="1" applyBorder="1" applyAlignment="1">
      <alignment vertical="center"/>
    </xf>
    <xf numFmtId="184" fontId="37" fillId="18" borderId="1" xfId="7" applyNumberFormat="1" applyFont="1" applyFill="1" applyBorder="1" applyAlignment="1">
      <alignment vertical="center"/>
    </xf>
    <xf numFmtId="184" fontId="37" fillId="18" borderId="1" xfId="3" applyNumberFormat="1" applyFont="1" applyFill="1" applyBorder="1" applyAlignment="1">
      <alignment vertical="center"/>
    </xf>
    <xf numFmtId="41" fontId="37" fillId="10" borderId="1" xfId="3" applyFont="1" applyFill="1" applyBorder="1" applyAlignment="1">
      <alignment vertical="center"/>
    </xf>
    <xf numFmtId="184" fontId="37" fillId="10" borderId="1" xfId="3" applyNumberFormat="1" applyFont="1" applyFill="1" applyBorder="1" applyAlignment="1">
      <alignment vertical="center"/>
    </xf>
    <xf numFmtId="184" fontId="37" fillId="10" borderId="1" xfId="7" applyNumberFormat="1" applyFont="1" applyFill="1" applyBorder="1" applyAlignment="1">
      <alignment vertical="center"/>
    </xf>
    <xf numFmtId="41" fontId="2" fillId="0" borderId="0" xfId="1" applyNumberFormat="1">
      <alignment vertical="center"/>
    </xf>
    <xf numFmtId="3" fontId="7" fillId="0" borderId="0" xfId="1" applyNumberFormat="1" applyFont="1">
      <alignment vertical="center"/>
    </xf>
    <xf numFmtId="3" fontId="42" fillId="0" borderId="0" xfId="1" applyNumberFormat="1" applyFont="1" applyAlignment="1">
      <alignment horizontal="center" vertical="center"/>
    </xf>
    <xf numFmtId="10" fontId="42" fillId="0" borderId="0" xfId="1" applyNumberFormat="1" applyFont="1">
      <alignment vertical="center"/>
    </xf>
    <xf numFmtId="3" fontId="61" fillId="0" borderId="0" xfId="1" applyNumberFormat="1" applyFont="1">
      <alignment vertical="center"/>
    </xf>
    <xf numFmtId="41" fontId="61" fillId="0" borderId="0" xfId="3" applyFont="1" applyFill="1" applyBorder="1" applyAlignment="1">
      <alignment vertical="center"/>
    </xf>
    <xf numFmtId="3" fontId="61" fillId="25" borderId="0" xfId="1" applyNumberFormat="1" applyFont="1" applyFill="1">
      <alignment vertical="center"/>
    </xf>
    <xf numFmtId="3" fontId="42" fillId="25" borderId="0" xfId="1" applyNumberFormat="1" applyFont="1" applyFill="1" applyAlignment="1">
      <alignment horizontal="center" vertical="center"/>
    </xf>
    <xf numFmtId="10" fontId="42" fillId="25" borderId="0" xfId="1" applyNumberFormat="1" applyFont="1" applyFill="1">
      <alignment vertical="center"/>
    </xf>
    <xf numFmtId="0" fontId="42" fillId="0" borderId="0" xfId="1" applyFont="1" applyAlignment="1">
      <alignment horizontal="center" vertical="center"/>
    </xf>
    <xf numFmtId="10" fontId="42" fillId="0" borderId="0" xfId="1" applyNumberFormat="1" applyFont="1" applyAlignment="1">
      <alignment horizontal="center" vertical="center"/>
    </xf>
    <xf numFmtId="9" fontId="42" fillId="0" borderId="0" xfId="1" applyNumberFormat="1" applyFont="1" applyAlignment="1">
      <alignment horizontal="center" vertical="center"/>
    </xf>
    <xf numFmtId="3" fontId="42" fillId="0" borderId="27" xfId="1" applyNumberFormat="1" applyFont="1" applyBorder="1" applyAlignment="1">
      <alignment horizontal="center" vertical="center"/>
    </xf>
    <xf numFmtId="3" fontId="42" fillId="0" borderId="0" xfId="1" applyNumberFormat="1" applyFont="1" applyAlignment="1">
      <alignment horizontal="right" vertical="center"/>
    </xf>
    <xf numFmtId="3" fontId="42" fillId="26" borderId="1" xfId="1" applyNumberFormat="1" applyFont="1" applyFill="1" applyBorder="1" applyAlignment="1">
      <alignment horizontal="center" vertical="center"/>
    </xf>
    <xf numFmtId="227" fontId="42" fillId="26" borderId="50" xfId="1" applyNumberFormat="1" applyFont="1" applyFill="1" applyBorder="1" applyAlignment="1">
      <alignment horizontal="center" vertical="center"/>
    </xf>
    <xf numFmtId="3" fontId="42" fillId="26" borderId="26" xfId="1" applyNumberFormat="1" applyFont="1" applyFill="1" applyBorder="1" applyAlignment="1">
      <alignment horizontal="center" vertical="center"/>
    </xf>
    <xf numFmtId="10" fontId="42" fillId="26" borderId="26" xfId="1" applyNumberFormat="1" applyFont="1" applyFill="1" applyBorder="1" applyAlignment="1">
      <alignment horizontal="center" vertical="center"/>
    </xf>
    <xf numFmtId="227" fontId="42" fillId="27" borderId="156" xfId="1" applyNumberFormat="1" applyFont="1" applyFill="1" applyBorder="1" applyAlignment="1">
      <alignment horizontal="center" vertical="center"/>
    </xf>
    <xf numFmtId="41" fontId="42" fillId="0" borderId="156" xfId="3" applyFont="1" applyFill="1" applyBorder="1" applyAlignment="1">
      <alignment vertical="center"/>
    </xf>
    <xf numFmtId="215" fontId="62" fillId="0" borderId="156" xfId="1" applyNumberFormat="1" applyFont="1" applyBorder="1">
      <alignment vertical="center"/>
    </xf>
    <xf numFmtId="215" fontId="42" fillId="0" borderId="156" xfId="1" applyNumberFormat="1" applyFont="1" applyBorder="1">
      <alignment vertical="center"/>
    </xf>
    <xf numFmtId="41" fontId="42" fillId="12" borderId="156" xfId="3" applyFont="1" applyFill="1" applyBorder="1" applyAlignment="1">
      <alignment vertical="center"/>
    </xf>
    <xf numFmtId="41" fontId="42" fillId="26" borderId="156" xfId="3" applyFont="1" applyFill="1" applyBorder="1" applyAlignment="1">
      <alignment vertical="center"/>
    </xf>
    <xf numFmtId="3" fontId="42" fillId="0" borderId="0" xfId="1" applyNumberFormat="1" applyFont="1">
      <alignment vertical="center"/>
    </xf>
    <xf numFmtId="227" fontId="42" fillId="0" borderId="156" xfId="1" applyNumberFormat="1" applyFont="1" applyBorder="1" applyAlignment="1">
      <alignment horizontal="center" vertical="center"/>
    </xf>
    <xf numFmtId="215" fontId="42" fillId="28" borderId="156" xfId="1" applyNumberFormat="1" applyFont="1" applyFill="1" applyBorder="1">
      <alignment vertical="center"/>
    </xf>
    <xf numFmtId="227" fontId="42" fillId="14" borderId="156" xfId="1" applyNumberFormat="1" applyFont="1" applyFill="1" applyBorder="1" applyAlignment="1">
      <alignment horizontal="center" vertical="center"/>
    </xf>
    <xf numFmtId="215" fontId="42" fillId="29" borderId="156" xfId="1" applyNumberFormat="1" applyFont="1" applyFill="1" applyBorder="1">
      <alignment vertical="center"/>
    </xf>
    <xf numFmtId="41" fontId="42" fillId="2" borderId="156" xfId="3" applyFont="1" applyFill="1" applyBorder="1" applyAlignment="1">
      <alignment vertical="center"/>
    </xf>
    <xf numFmtId="0" fontId="42" fillId="21" borderId="3" xfId="1" applyFont="1" applyFill="1" applyBorder="1" applyAlignment="1">
      <alignment horizontal="center" vertical="center"/>
    </xf>
    <xf numFmtId="41" fontId="42" fillId="21" borderId="3" xfId="3" applyFont="1" applyFill="1" applyBorder="1" applyAlignment="1">
      <alignment vertical="center"/>
    </xf>
    <xf numFmtId="215" fontId="42" fillId="21" borderId="3" xfId="1" applyNumberFormat="1" applyFont="1" applyFill="1" applyBorder="1">
      <alignment vertical="center"/>
    </xf>
    <xf numFmtId="41" fontId="42" fillId="21" borderId="1" xfId="3" applyFont="1" applyFill="1" applyBorder="1" applyAlignment="1">
      <alignment vertical="center"/>
    </xf>
    <xf numFmtId="41" fontId="42" fillId="21" borderId="2" xfId="3" applyFont="1" applyFill="1" applyBorder="1" applyAlignment="1">
      <alignment vertical="center"/>
    </xf>
    <xf numFmtId="41" fontId="42" fillId="19" borderId="1" xfId="3" applyFont="1" applyFill="1" applyBorder="1" applyAlignment="1">
      <alignment horizontal="center" vertical="center"/>
    </xf>
    <xf numFmtId="41" fontId="42" fillId="19" borderId="3" xfId="3" applyFont="1" applyFill="1" applyBorder="1" applyAlignment="1">
      <alignment vertical="center"/>
    </xf>
    <xf numFmtId="215" fontId="42" fillId="19" borderId="3" xfId="3" applyNumberFormat="1" applyFont="1" applyFill="1" applyBorder="1" applyAlignment="1">
      <alignment vertical="center"/>
    </xf>
    <xf numFmtId="215" fontId="42" fillId="19" borderId="3" xfId="1" applyNumberFormat="1" applyFont="1" applyFill="1" applyBorder="1">
      <alignment vertical="center"/>
    </xf>
    <xf numFmtId="215" fontId="42" fillId="19" borderId="1" xfId="1" applyNumberFormat="1" applyFont="1" applyFill="1" applyBorder="1">
      <alignment vertical="center"/>
    </xf>
    <xf numFmtId="0" fontId="42" fillId="18" borderId="152" xfId="3" applyNumberFormat="1" applyFont="1" applyFill="1" applyBorder="1" applyAlignment="1">
      <alignment horizontal="center" vertical="center"/>
    </xf>
    <xf numFmtId="41" fontId="42" fillId="18" borderId="152" xfId="3" applyFont="1" applyFill="1" applyBorder="1" applyAlignment="1">
      <alignment vertical="center"/>
    </xf>
    <xf numFmtId="41" fontId="42" fillId="18" borderId="150" xfId="3" applyFont="1" applyFill="1" applyBorder="1" applyAlignment="1">
      <alignment vertical="center"/>
    </xf>
    <xf numFmtId="0" fontId="42" fillId="18" borderId="128" xfId="3" applyNumberFormat="1" applyFont="1" applyFill="1" applyBorder="1" applyAlignment="1">
      <alignment horizontal="center" vertical="center"/>
    </xf>
    <xf numFmtId="41" fontId="42" fillId="18" borderId="128" xfId="3" applyFont="1" applyFill="1" applyBorder="1" applyAlignment="1">
      <alignment vertical="center"/>
    </xf>
    <xf numFmtId="41" fontId="42" fillId="18" borderId="169" xfId="3" applyFont="1" applyFill="1" applyBorder="1" applyAlignment="1">
      <alignment vertical="center"/>
    </xf>
    <xf numFmtId="41" fontId="42" fillId="30" borderId="1" xfId="3" applyFont="1" applyFill="1" applyBorder="1" applyAlignment="1">
      <alignment horizontal="center" vertical="center"/>
    </xf>
    <xf numFmtId="41" fontId="42" fillId="31" borderId="1" xfId="3" applyFont="1" applyFill="1" applyBorder="1" applyAlignment="1">
      <alignment vertical="center"/>
    </xf>
    <xf numFmtId="41" fontId="42" fillId="0" borderId="190" xfId="3" applyFont="1" applyFill="1" applyBorder="1" applyAlignment="1">
      <alignment vertical="center"/>
    </xf>
    <xf numFmtId="41" fontId="42" fillId="12" borderId="190" xfId="3" applyFont="1" applyFill="1" applyBorder="1" applyAlignment="1">
      <alignment vertical="center"/>
    </xf>
    <xf numFmtId="41" fontId="42" fillId="26" borderId="190" xfId="3" applyFont="1" applyFill="1" applyBorder="1" applyAlignment="1">
      <alignment vertical="center"/>
    </xf>
    <xf numFmtId="227" fontId="42" fillId="27" borderId="190" xfId="1" applyNumberFormat="1" applyFont="1" applyFill="1" applyBorder="1" applyAlignment="1">
      <alignment horizontal="center" vertical="center"/>
    </xf>
    <xf numFmtId="215" fontId="42" fillId="21" borderId="3" xfId="3" applyNumberFormat="1" applyFont="1" applyFill="1" applyBorder="1" applyAlignment="1">
      <alignment vertical="center"/>
    </xf>
    <xf numFmtId="41" fontId="63" fillId="0" borderId="0" xfId="3" applyFont="1" applyFill="1" applyBorder="1" applyAlignment="1">
      <alignment vertical="center"/>
    </xf>
    <xf numFmtId="3" fontId="63" fillId="0" borderId="0" xfId="1" applyNumberFormat="1" applyFont="1">
      <alignment vertical="center"/>
    </xf>
    <xf numFmtId="3" fontId="15" fillId="0" borderId="0" xfId="1" applyNumberFormat="1" applyFont="1">
      <alignment vertical="center"/>
    </xf>
    <xf numFmtId="178" fontId="42" fillId="0" borderId="0" xfId="1" applyNumberFormat="1" applyFont="1">
      <alignment vertical="center"/>
    </xf>
    <xf numFmtId="41" fontId="42" fillId="9" borderId="0" xfId="3" applyFont="1" applyFill="1" applyBorder="1" applyAlignment="1">
      <alignment vertical="center"/>
    </xf>
    <xf numFmtId="177" fontId="42" fillId="0" borderId="0" xfId="1" applyNumberFormat="1" applyFont="1" applyAlignment="1">
      <alignment horizontal="center" vertical="center"/>
    </xf>
    <xf numFmtId="41" fontId="42" fillId="0" borderId="0" xfId="2" applyFont="1" applyFill="1" applyBorder="1" applyAlignment="1">
      <alignment vertical="center"/>
    </xf>
    <xf numFmtId="41" fontId="42" fillId="32" borderId="0" xfId="3" applyFont="1" applyFill="1" applyBorder="1" applyAlignment="1">
      <alignment vertical="center"/>
    </xf>
    <xf numFmtId="3" fontId="42" fillId="0" borderId="1" xfId="1" applyNumberFormat="1" applyFont="1" applyBorder="1" applyAlignment="1">
      <alignment horizontal="center" vertical="center"/>
    </xf>
    <xf numFmtId="227" fontId="42" fillId="0" borderId="1" xfId="1" applyNumberFormat="1" applyFont="1" applyBorder="1" applyAlignment="1">
      <alignment horizontal="center" vertical="center"/>
    </xf>
    <xf numFmtId="41" fontId="42" fillId="0" borderId="1" xfId="3" applyFont="1" applyFill="1" applyBorder="1" applyAlignment="1">
      <alignment horizontal="center" vertical="center"/>
    </xf>
    <xf numFmtId="3" fontId="42" fillId="34" borderId="1" xfId="1" applyNumberFormat="1" applyFont="1" applyFill="1" applyBorder="1" applyAlignment="1">
      <alignment horizontal="center" vertical="center"/>
    </xf>
    <xf numFmtId="227" fontId="42" fillId="34" borderId="1" xfId="1" applyNumberFormat="1" applyFont="1" applyFill="1" applyBorder="1" applyAlignment="1">
      <alignment horizontal="center" vertical="center"/>
    </xf>
    <xf numFmtId="0" fontId="42" fillId="0" borderId="0" xfId="1" applyFont="1">
      <alignment vertical="center"/>
    </xf>
    <xf numFmtId="0" fontId="53" fillId="3" borderId="1" xfId="1" applyFont="1" applyFill="1" applyBorder="1" applyAlignment="1">
      <alignment horizontal="center" vertical="center"/>
    </xf>
    <xf numFmtId="41" fontId="53" fillId="3" borderId="1" xfId="3" applyFont="1" applyFill="1" applyBorder="1" applyAlignment="1">
      <alignment horizontal="center" vertical="center"/>
    </xf>
    <xf numFmtId="41" fontId="42" fillId="0" borderId="190" xfId="1" applyNumberFormat="1" applyFont="1" applyBorder="1" applyAlignment="1">
      <alignment horizontal="center" vertical="center"/>
    </xf>
    <xf numFmtId="9" fontId="42" fillId="0" borderId="190" xfId="1" applyNumberFormat="1" applyFont="1" applyBorder="1" applyAlignment="1">
      <alignment horizontal="center" vertical="center"/>
    </xf>
    <xf numFmtId="215" fontId="42" fillId="0" borderId="0" xfId="1" applyNumberFormat="1" applyFont="1">
      <alignment vertical="center"/>
    </xf>
    <xf numFmtId="41" fontId="42" fillId="0" borderId="163" xfId="1" applyNumberFormat="1" applyFont="1" applyBorder="1" applyAlignment="1">
      <alignment horizontal="center" vertical="center"/>
    </xf>
    <xf numFmtId="41" fontId="42" fillId="0" borderId="23" xfId="3" applyFont="1" applyFill="1" applyBorder="1" applyAlignment="1">
      <alignment vertical="center"/>
    </xf>
    <xf numFmtId="9" fontId="42" fillId="0" borderId="156" xfId="1" applyNumberFormat="1" applyFont="1" applyBorder="1" applyAlignment="1">
      <alignment horizontal="center" vertical="center"/>
    </xf>
    <xf numFmtId="41" fontId="42" fillId="0" borderId="163" xfId="3" applyFont="1" applyFill="1" applyBorder="1" applyAlignment="1">
      <alignment vertical="center"/>
    </xf>
    <xf numFmtId="9" fontId="42" fillId="0" borderId="163" xfId="1" applyNumberFormat="1" applyFont="1" applyBorder="1" applyAlignment="1">
      <alignment horizontal="center" vertical="center"/>
    </xf>
    <xf numFmtId="0" fontId="42" fillId="0" borderId="1" xfId="1" applyFont="1" applyBorder="1" applyAlignment="1">
      <alignment horizontal="center" vertical="center"/>
    </xf>
    <xf numFmtId="41" fontId="42" fillId="0" borderId="1" xfId="3" applyFont="1" applyFill="1" applyBorder="1" applyAlignment="1">
      <alignment vertical="center"/>
    </xf>
    <xf numFmtId="9" fontId="42" fillId="0" borderId="1" xfId="1" applyNumberFormat="1" applyFont="1" applyBorder="1">
      <alignment vertical="center"/>
    </xf>
    <xf numFmtId="9" fontId="42" fillId="0" borderId="1" xfId="1" applyNumberFormat="1" applyFont="1" applyBorder="1" applyAlignment="1">
      <alignment horizontal="center" vertical="center"/>
    </xf>
    <xf numFmtId="0" fontId="56" fillId="0" borderId="0" xfId="1" applyFont="1">
      <alignment vertical="center"/>
    </xf>
    <xf numFmtId="41" fontId="56" fillId="0" borderId="0" xfId="3" applyFont="1" applyFill="1" applyBorder="1" applyAlignment="1">
      <alignment vertical="center"/>
    </xf>
    <xf numFmtId="9" fontId="42" fillId="0" borderId="0" xfId="1" applyNumberFormat="1" applyFont="1">
      <alignment vertical="center"/>
    </xf>
    <xf numFmtId="0" fontId="53" fillId="3" borderId="2" xfId="3" applyNumberFormat="1" applyFont="1" applyFill="1" applyBorder="1" applyAlignment="1">
      <alignment horizontal="center" vertical="center"/>
    </xf>
    <xf numFmtId="0" fontId="53" fillId="3" borderId="1" xfId="3" applyNumberFormat="1" applyFont="1" applyFill="1" applyBorder="1" applyAlignment="1">
      <alignment horizontal="center" vertical="center"/>
    </xf>
    <xf numFmtId="0" fontId="37" fillId="19" borderId="1" xfId="1" applyFont="1" applyFill="1" applyBorder="1" applyAlignment="1">
      <alignment horizontal="center" vertical="center"/>
    </xf>
    <xf numFmtId="41" fontId="42" fillId="0" borderId="151" xfId="3" applyFont="1" applyFill="1" applyBorder="1" applyAlignment="1">
      <alignment vertical="center"/>
    </xf>
    <xf numFmtId="215" fontId="42" fillId="0" borderId="150" xfId="1" applyNumberFormat="1" applyFont="1" applyBorder="1">
      <alignment vertical="center"/>
    </xf>
    <xf numFmtId="235" fontId="42" fillId="0" borderId="150" xfId="1" applyNumberFormat="1" applyFont="1" applyBorder="1">
      <alignment vertical="center"/>
    </xf>
    <xf numFmtId="41" fontId="42" fillId="0" borderId="157" xfId="3" applyFont="1" applyFill="1" applyBorder="1" applyAlignment="1">
      <alignment vertical="center"/>
    </xf>
    <xf numFmtId="235" fontId="42" fillId="0" borderId="169" xfId="1" applyNumberFormat="1" applyFont="1" applyBorder="1">
      <alignment vertical="center"/>
    </xf>
    <xf numFmtId="41" fontId="42" fillId="0" borderId="170" xfId="3" applyFont="1" applyFill="1" applyBorder="1" applyAlignment="1">
      <alignment vertical="center"/>
    </xf>
    <xf numFmtId="215" fontId="42" fillId="0" borderId="169" xfId="1" applyNumberFormat="1" applyFont="1" applyBorder="1">
      <alignment vertical="center"/>
    </xf>
    <xf numFmtId="235" fontId="42" fillId="0" borderId="0" xfId="1" applyNumberFormat="1" applyFont="1">
      <alignment vertical="center"/>
    </xf>
    <xf numFmtId="41" fontId="37" fillId="18" borderId="2" xfId="3" applyFont="1" applyFill="1" applyBorder="1" applyAlignment="1">
      <alignment vertical="center"/>
    </xf>
    <xf numFmtId="215" fontId="37" fillId="18" borderId="1" xfId="1" applyNumberFormat="1" applyFont="1" applyFill="1" applyBorder="1">
      <alignment vertical="center"/>
    </xf>
    <xf numFmtId="215" fontId="54" fillId="18" borderId="1" xfId="1" applyNumberFormat="1" applyFont="1" applyFill="1" applyBorder="1">
      <alignment vertical="center"/>
    </xf>
    <xf numFmtId="0" fontId="42" fillId="0" borderId="5" xfId="1" applyFont="1" applyBorder="1">
      <alignment vertical="center"/>
    </xf>
    <xf numFmtId="215" fontId="56" fillId="0" borderId="0" xfId="5" applyNumberFormat="1" applyFont="1" applyFill="1" applyBorder="1" applyAlignment="1">
      <alignment vertical="center"/>
    </xf>
    <xf numFmtId="0" fontId="65" fillId="0" borderId="0" xfId="1" applyFont="1">
      <alignment vertical="center"/>
    </xf>
    <xf numFmtId="10" fontId="42" fillId="0" borderId="0" xfId="1" applyNumberFormat="1" applyFont="1" applyAlignment="1">
      <alignment horizontal="right"/>
    </xf>
    <xf numFmtId="0" fontId="37" fillId="0" borderId="0" xfId="1" applyFont="1">
      <alignment vertical="center"/>
    </xf>
    <xf numFmtId="10" fontId="42" fillId="0" borderId="0" xfId="1" applyNumberFormat="1" applyFont="1" applyAlignment="1">
      <alignment horizontal="right" vertical="center"/>
    </xf>
    <xf numFmtId="0" fontId="53" fillId="3" borderId="47" xfId="1" applyFont="1" applyFill="1" applyBorder="1">
      <alignment vertical="center"/>
    </xf>
    <xf numFmtId="0" fontId="53" fillId="3" borderId="47" xfId="1" applyFont="1" applyFill="1" applyBorder="1" applyAlignment="1">
      <alignment vertical="center" wrapText="1"/>
    </xf>
    <xf numFmtId="0" fontId="53" fillId="3" borderId="115" xfId="1" applyFont="1" applyFill="1" applyBorder="1" applyAlignment="1">
      <alignment horizontal="center" vertical="center"/>
    </xf>
    <xf numFmtId="0" fontId="53" fillId="3" borderId="116" xfId="1" applyFont="1" applyFill="1" applyBorder="1" applyAlignment="1">
      <alignment horizontal="center" vertical="center"/>
    </xf>
    <xf numFmtId="0" fontId="53" fillId="3" borderId="50" xfId="1" applyFont="1" applyFill="1" applyBorder="1" applyAlignment="1">
      <alignment horizontal="center" vertical="center"/>
    </xf>
    <xf numFmtId="0" fontId="53" fillId="3" borderId="114" xfId="1" applyFont="1" applyFill="1" applyBorder="1" applyAlignment="1">
      <alignment horizontal="center" vertical="center"/>
    </xf>
    <xf numFmtId="0" fontId="53" fillId="3" borderId="114" xfId="1" applyFont="1" applyFill="1" applyBorder="1" applyAlignment="1">
      <alignment horizontal="center" vertical="center" wrapText="1"/>
    </xf>
    <xf numFmtId="0" fontId="53" fillId="3" borderId="116" xfId="1" applyFont="1" applyFill="1" applyBorder="1" applyAlignment="1">
      <alignment horizontal="center" vertical="center" wrapText="1"/>
    </xf>
    <xf numFmtId="10" fontId="42" fillId="0" borderId="156" xfId="1" applyNumberFormat="1" applyFont="1" applyBorder="1" applyAlignment="1">
      <alignment horizontal="center" vertical="center"/>
    </xf>
    <xf numFmtId="41" fontId="42" fillId="0" borderId="192" xfId="3" applyFont="1" applyFill="1" applyBorder="1" applyAlignment="1">
      <alignment vertical="center"/>
    </xf>
    <xf numFmtId="41" fontId="42" fillId="0" borderId="193" xfId="3" applyFont="1" applyFill="1" applyBorder="1" applyAlignment="1">
      <alignment vertical="center"/>
    </xf>
    <xf numFmtId="41" fontId="42" fillId="0" borderId="160" xfId="3" applyFont="1" applyFill="1" applyBorder="1" applyAlignment="1">
      <alignment vertical="center"/>
    </xf>
    <xf numFmtId="41" fontId="42" fillId="0" borderId="194" xfId="3" applyFont="1" applyFill="1" applyBorder="1" applyAlignment="1">
      <alignment vertical="center"/>
    </xf>
    <xf numFmtId="41" fontId="42" fillId="0" borderId="158" xfId="3" applyFont="1" applyFill="1" applyBorder="1" applyAlignment="1">
      <alignment vertical="center"/>
    </xf>
    <xf numFmtId="178" fontId="56" fillId="0" borderId="190" xfId="1" applyNumberFormat="1" applyFont="1" applyBorder="1">
      <alignment vertical="center"/>
    </xf>
    <xf numFmtId="41" fontId="42" fillId="0" borderId="158" xfId="2" applyFont="1" applyFill="1" applyBorder="1" applyAlignment="1">
      <alignment vertical="center"/>
    </xf>
    <xf numFmtId="41" fontId="42" fillId="0" borderId="0" xfId="3" applyFont="1" applyFill="1" applyBorder="1" applyAlignment="1">
      <alignment horizontal="left" vertical="center"/>
    </xf>
    <xf numFmtId="10" fontId="42" fillId="0" borderId="190" xfId="1" applyNumberFormat="1" applyFont="1" applyBorder="1" applyAlignment="1">
      <alignment horizontal="center" vertical="center"/>
    </xf>
    <xf numFmtId="41" fontId="42" fillId="0" borderId="195" xfId="3" applyFont="1" applyFill="1" applyBorder="1" applyAlignment="1">
      <alignment vertical="center"/>
    </xf>
    <xf numFmtId="41" fontId="42" fillId="0" borderId="196" xfId="3" applyFont="1" applyFill="1" applyBorder="1" applyAlignment="1">
      <alignment vertical="center"/>
    </xf>
    <xf numFmtId="41" fontId="42" fillId="0" borderId="62" xfId="3" applyFont="1" applyFill="1" applyBorder="1" applyAlignment="1">
      <alignment vertical="center"/>
    </xf>
    <xf numFmtId="41" fontId="42" fillId="0" borderId="197" xfId="3" applyFont="1" applyFill="1" applyBorder="1" applyAlignment="1">
      <alignment vertical="center"/>
    </xf>
    <xf numFmtId="41" fontId="42" fillId="0" borderId="198" xfId="3" applyFont="1" applyFill="1" applyBorder="1" applyAlignment="1">
      <alignment vertical="center"/>
    </xf>
    <xf numFmtId="178" fontId="42" fillId="0" borderId="156" xfId="1" applyNumberFormat="1" applyFont="1" applyBorder="1">
      <alignment vertical="center"/>
    </xf>
    <xf numFmtId="10" fontId="42" fillId="35" borderId="156" xfId="1" applyNumberFormat="1" applyFont="1" applyFill="1" applyBorder="1" applyAlignment="1">
      <alignment horizontal="center" vertical="center"/>
    </xf>
    <xf numFmtId="41" fontId="42" fillId="35" borderId="192" xfId="3" applyFont="1" applyFill="1" applyBorder="1" applyAlignment="1">
      <alignment vertical="center"/>
    </xf>
    <xf numFmtId="41" fontId="42" fillId="35" borderId="193" xfId="3" applyFont="1" applyFill="1" applyBorder="1" applyAlignment="1">
      <alignment vertical="center"/>
    </xf>
    <xf numFmtId="41" fontId="42" fillId="35" borderId="160" xfId="3" applyFont="1" applyFill="1" applyBorder="1" applyAlignment="1">
      <alignment vertical="center"/>
    </xf>
    <xf numFmtId="41" fontId="42" fillId="35" borderId="197" xfId="3" applyFont="1" applyFill="1" applyBorder="1" applyAlignment="1">
      <alignment vertical="center"/>
    </xf>
    <xf numFmtId="41" fontId="42" fillId="35" borderId="158" xfId="3" applyFont="1" applyFill="1" applyBorder="1" applyAlignment="1">
      <alignment vertical="center"/>
    </xf>
    <xf numFmtId="41" fontId="42" fillId="35" borderId="156" xfId="3" applyFont="1" applyFill="1" applyBorder="1" applyAlignment="1">
      <alignment vertical="center"/>
    </xf>
    <xf numFmtId="178" fontId="42" fillId="35" borderId="156" xfId="1" applyNumberFormat="1" applyFont="1" applyFill="1" applyBorder="1">
      <alignment vertical="center"/>
    </xf>
    <xf numFmtId="41" fontId="42" fillId="35" borderId="194" xfId="3" applyFont="1" applyFill="1" applyBorder="1" applyAlignment="1">
      <alignment vertical="center"/>
    </xf>
    <xf numFmtId="41" fontId="37" fillId="0" borderId="0" xfId="3" applyFont="1" applyFill="1" applyBorder="1" applyAlignment="1">
      <alignment horizontal="center" vertical="center"/>
    </xf>
    <xf numFmtId="41" fontId="54" fillId="0" borderId="0" xfId="3" applyFont="1" applyFill="1" applyBorder="1" applyAlignment="1">
      <alignment horizontal="center" vertical="center"/>
    </xf>
    <xf numFmtId="10" fontId="54" fillId="12" borderId="156" xfId="1" applyNumberFormat="1" applyFont="1" applyFill="1" applyBorder="1" applyAlignment="1">
      <alignment horizontal="center" vertical="center"/>
    </xf>
    <xf numFmtId="41" fontId="42" fillId="12" borderId="192" xfId="3" applyFont="1" applyFill="1" applyBorder="1" applyAlignment="1">
      <alignment vertical="center"/>
    </xf>
    <xf numFmtId="41" fontId="42" fillId="12" borderId="193" xfId="3" applyFont="1" applyFill="1" applyBorder="1" applyAlignment="1">
      <alignment vertical="center"/>
    </xf>
    <xf numFmtId="41" fontId="42" fillId="12" borderId="160" xfId="3" applyFont="1" applyFill="1" applyBorder="1" applyAlignment="1">
      <alignment vertical="center"/>
    </xf>
    <xf numFmtId="41" fontId="42" fillId="12" borderId="194" xfId="3" applyFont="1" applyFill="1" applyBorder="1" applyAlignment="1">
      <alignment vertical="center"/>
    </xf>
    <xf numFmtId="41" fontId="54" fillId="12" borderId="158" xfId="3" applyFont="1" applyFill="1" applyBorder="1" applyAlignment="1">
      <alignment vertical="center"/>
    </xf>
    <xf numFmtId="178" fontId="42" fillId="12" borderId="156" xfId="1" applyNumberFormat="1" applyFont="1" applyFill="1" applyBorder="1">
      <alignment vertical="center"/>
    </xf>
    <xf numFmtId="41" fontId="42" fillId="12" borderId="158" xfId="3" applyFont="1" applyFill="1" applyBorder="1" applyAlignment="1">
      <alignment vertical="center"/>
    </xf>
    <xf numFmtId="10" fontId="42" fillId="0" borderId="169" xfId="1" applyNumberFormat="1" applyFont="1" applyBorder="1" applyAlignment="1">
      <alignment horizontal="center" vertical="center"/>
    </xf>
    <xf numFmtId="41" fontId="42" fillId="0" borderId="199" xfId="3" applyFont="1" applyFill="1" applyBorder="1" applyAlignment="1">
      <alignment vertical="center"/>
    </xf>
    <xf numFmtId="41" fontId="42" fillId="0" borderId="200" xfId="3" applyFont="1" applyFill="1" applyBorder="1" applyAlignment="1">
      <alignment vertical="center"/>
    </xf>
    <xf numFmtId="41" fontId="42" fillId="0" borderId="172" xfId="3" applyFont="1" applyFill="1" applyBorder="1" applyAlignment="1">
      <alignment vertical="center"/>
    </xf>
    <xf numFmtId="41" fontId="42" fillId="0" borderId="201" xfId="3" applyFont="1" applyFill="1" applyBorder="1" applyAlignment="1">
      <alignment vertical="center"/>
    </xf>
    <xf numFmtId="41" fontId="42" fillId="0" borderId="128" xfId="3" applyFont="1" applyFill="1" applyBorder="1" applyAlignment="1">
      <alignment vertical="center"/>
    </xf>
    <xf numFmtId="41" fontId="42" fillId="0" borderId="169" xfId="3" applyFont="1" applyFill="1" applyBorder="1" applyAlignment="1">
      <alignment vertical="center"/>
    </xf>
    <xf numFmtId="178" fontId="42" fillId="0" borderId="169" xfId="1" applyNumberFormat="1" applyFont="1" applyBorder="1">
      <alignment vertical="center"/>
    </xf>
    <xf numFmtId="41" fontId="42" fillId="0" borderId="128" xfId="2" applyFont="1" applyFill="1" applyBorder="1" applyAlignment="1">
      <alignment vertical="center"/>
    </xf>
    <xf numFmtId="43" fontId="42" fillId="0" borderId="0" xfId="1" applyNumberFormat="1" applyFont="1">
      <alignment vertical="center"/>
    </xf>
    <xf numFmtId="0" fontId="67" fillId="20" borderId="0" xfId="8" applyFont="1" applyFill="1">
      <alignment vertical="center"/>
    </xf>
    <xf numFmtId="0" fontId="20" fillId="20" borderId="0" xfId="8" applyFont="1" applyFill="1">
      <alignment vertical="center"/>
    </xf>
    <xf numFmtId="0" fontId="10" fillId="20" borderId="0" xfId="8" applyFont="1" applyFill="1" applyAlignment="1">
      <alignment horizontal="right" vertical="center"/>
    </xf>
    <xf numFmtId="0" fontId="20" fillId="0" borderId="0" xfId="8" applyFont="1">
      <alignment vertical="center"/>
    </xf>
    <xf numFmtId="0" fontId="15" fillId="0" borderId="0" xfId="8" applyFont="1">
      <alignment vertical="center"/>
    </xf>
    <xf numFmtId="0" fontId="24" fillId="36" borderId="0" xfId="8" applyFont="1" applyFill="1">
      <alignment vertical="center"/>
    </xf>
    <xf numFmtId="0" fontId="15" fillId="36" borderId="0" xfId="8" applyFont="1" applyFill="1">
      <alignment vertical="center"/>
    </xf>
    <xf numFmtId="0" fontId="24" fillId="0" borderId="0" xfId="8" applyFont="1">
      <alignment vertical="center"/>
    </xf>
    <xf numFmtId="0" fontId="24" fillId="0" borderId="0" xfId="8" applyFont="1" applyAlignment="1">
      <alignment horizontal="center" vertical="center"/>
    </xf>
    <xf numFmtId="0" fontId="15" fillId="0" borderId="48" xfId="8" applyFont="1" applyBorder="1">
      <alignment vertical="center"/>
    </xf>
    <xf numFmtId="237" fontId="15" fillId="0" borderId="202" xfId="8" applyNumberFormat="1" applyFont="1" applyBorder="1" applyAlignment="1">
      <alignment horizontal="center" vertical="center"/>
    </xf>
    <xf numFmtId="238" fontId="15" fillId="0" borderId="203" xfId="8" applyNumberFormat="1" applyFont="1" applyBorder="1" applyAlignment="1">
      <alignment horizontal="center" vertical="center"/>
    </xf>
    <xf numFmtId="0" fontId="15" fillId="15" borderId="47" xfId="8" applyFont="1" applyFill="1" applyBorder="1">
      <alignment vertical="center"/>
    </xf>
    <xf numFmtId="41" fontId="15" fillId="15" borderId="18" xfId="3" applyFont="1" applyFill="1" applyBorder="1" applyAlignment="1">
      <alignment vertical="center"/>
    </xf>
    <xf numFmtId="0" fontId="15" fillId="15" borderId="3" xfId="8" applyFont="1" applyFill="1" applyBorder="1">
      <alignment vertical="center"/>
    </xf>
    <xf numFmtId="41" fontId="15" fillId="15" borderId="1" xfId="3" applyFont="1" applyFill="1" applyBorder="1" applyAlignment="1">
      <alignment vertical="center"/>
    </xf>
    <xf numFmtId="0" fontId="24" fillId="18" borderId="50" xfId="8" applyFont="1" applyFill="1" applyBorder="1">
      <alignment vertical="center"/>
    </xf>
    <xf numFmtId="41" fontId="24" fillId="18" borderId="26" xfId="3" applyFont="1" applyFill="1" applyBorder="1" applyAlignment="1">
      <alignment vertical="center"/>
    </xf>
    <xf numFmtId="237" fontId="15" fillId="0" borderId="0" xfId="8" applyNumberFormat="1" applyFont="1" applyAlignment="1">
      <alignment horizontal="center" vertical="center"/>
    </xf>
    <xf numFmtId="0" fontId="15" fillId="0" borderId="204" xfId="8" applyFont="1" applyBorder="1">
      <alignment vertical="center"/>
    </xf>
    <xf numFmtId="237" fontId="15" fillId="0" borderId="205" xfId="8" applyNumberFormat="1" applyFont="1" applyBorder="1" applyAlignment="1">
      <alignment horizontal="center" vertical="center"/>
    </xf>
    <xf numFmtId="238" fontId="15" fillId="0" borderId="206" xfId="8" applyNumberFormat="1" applyFont="1" applyBorder="1" applyAlignment="1">
      <alignment horizontal="center" vertical="center"/>
    </xf>
    <xf numFmtId="215" fontId="15" fillId="0" borderId="207" xfId="8" applyNumberFormat="1" applyFont="1" applyBorder="1" applyAlignment="1">
      <alignment horizontal="right" vertical="center"/>
    </xf>
    <xf numFmtId="215" fontId="15" fillId="0" borderId="206" xfId="1" applyNumberFormat="1" applyFont="1" applyBorder="1" applyAlignment="1">
      <alignment horizontal="right" vertical="center"/>
    </xf>
    <xf numFmtId="215" fontId="15" fillId="0" borderId="208" xfId="1" applyNumberFormat="1" applyFont="1" applyBorder="1" applyAlignment="1">
      <alignment horizontal="right" vertical="center"/>
    </xf>
    <xf numFmtId="41" fontId="15" fillId="0" borderId="202" xfId="3" applyFont="1" applyFill="1" applyBorder="1" applyAlignment="1">
      <alignment vertical="center"/>
    </xf>
    <xf numFmtId="41" fontId="20" fillId="37" borderId="202" xfId="3" applyFont="1" applyFill="1" applyBorder="1" applyAlignment="1">
      <alignment vertical="center"/>
    </xf>
    <xf numFmtId="0" fontId="15" fillId="0" borderId="209" xfId="8" applyFont="1" applyBorder="1">
      <alignment vertical="center"/>
    </xf>
    <xf numFmtId="0" fontId="15" fillId="0" borderId="210" xfId="8" applyFont="1" applyBorder="1">
      <alignment vertical="center"/>
    </xf>
    <xf numFmtId="235" fontId="15" fillId="0" borderId="210" xfId="1" applyNumberFormat="1" applyFont="1" applyBorder="1" applyAlignment="1">
      <alignment horizontal="right" vertical="center"/>
    </xf>
    <xf numFmtId="0" fontId="15" fillId="16" borderId="207" xfId="8" applyFont="1" applyFill="1" applyBorder="1">
      <alignment vertical="center"/>
    </xf>
    <xf numFmtId="41" fontId="15" fillId="16" borderId="206" xfId="3" applyFont="1" applyFill="1" applyBorder="1" applyAlignment="1">
      <alignment vertical="center"/>
    </xf>
    <xf numFmtId="0" fontId="16" fillId="0" borderId="0" xfId="1" applyFont="1" applyAlignment="1">
      <alignment horizontal="center" vertical="center"/>
    </xf>
    <xf numFmtId="41" fontId="15" fillId="0" borderId="210" xfId="3" applyFont="1" applyFill="1" applyBorder="1" applyAlignment="1">
      <alignment vertical="center"/>
    </xf>
    <xf numFmtId="0" fontId="16" fillId="0" borderId="0" xfId="8" applyFont="1">
      <alignment vertical="center"/>
    </xf>
    <xf numFmtId="0" fontId="15" fillId="17" borderId="211" xfId="8" applyFont="1" applyFill="1" applyBorder="1">
      <alignment vertical="center"/>
    </xf>
    <xf numFmtId="41" fontId="15" fillId="17" borderId="203" xfId="3" applyFont="1" applyFill="1" applyBorder="1" applyAlignment="1">
      <alignment vertical="center"/>
    </xf>
    <xf numFmtId="0" fontId="15" fillId="17" borderId="3" xfId="8" applyFont="1" applyFill="1" applyBorder="1">
      <alignment vertical="center"/>
    </xf>
    <xf numFmtId="41" fontId="15" fillId="17" borderId="1" xfId="3" applyFont="1" applyFill="1" applyBorder="1" applyAlignment="1">
      <alignment vertical="center"/>
    </xf>
    <xf numFmtId="0" fontId="24" fillId="15" borderId="50" xfId="8" applyFont="1" applyFill="1" applyBorder="1">
      <alignment vertical="center"/>
    </xf>
    <xf numFmtId="41" fontId="24" fillId="15" borderId="26" xfId="3" applyFont="1" applyFill="1" applyBorder="1" applyAlignment="1">
      <alignment vertical="center"/>
    </xf>
    <xf numFmtId="10" fontId="15" fillId="0" borderId="0" xfId="1" applyNumberFormat="1" applyFont="1">
      <alignment vertical="center"/>
    </xf>
    <xf numFmtId="239" fontId="15" fillId="0" borderId="0" xfId="8" applyNumberFormat="1" applyFont="1">
      <alignment vertical="center"/>
    </xf>
    <xf numFmtId="210" fontId="15" fillId="0" borderId="0" xfId="1" applyNumberFormat="1" applyFont="1">
      <alignment vertical="center"/>
    </xf>
    <xf numFmtId="0" fontId="15" fillId="0" borderId="212" xfId="8" applyFont="1" applyBorder="1">
      <alignment vertical="center"/>
    </xf>
    <xf numFmtId="41" fontId="15" fillId="0" borderId="213" xfId="3" applyFont="1" applyFill="1" applyBorder="1" applyAlignment="1">
      <alignment vertical="center"/>
    </xf>
    <xf numFmtId="0" fontId="16" fillId="0" borderId="0" xfId="8" applyFont="1" applyAlignment="1">
      <alignment horizontal="center" vertical="center"/>
    </xf>
    <xf numFmtId="0" fontId="15" fillId="0" borderId="211" xfId="8" applyFont="1" applyBorder="1">
      <alignment vertical="center"/>
    </xf>
    <xf numFmtId="41" fontId="15" fillId="0" borderId="203" xfId="3" applyFont="1" applyFill="1" applyBorder="1" applyAlignment="1">
      <alignment vertical="center"/>
    </xf>
    <xf numFmtId="0" fontId="15" fillId="0" borderId="203" xfId="8" applyFont="1" applyBorder="1">
      <alignment vertical="center"/>
    </xf>
    <xf numFmtId="235" fontId="15" fillId="0" borderId="203" xfId="1" applyNumberFormat="1" applyFont="1" applyBorder="1">
      <alignment vertical="center"/>
    </xf>
    <xf numFmtId="0" fontId="42" fillId="0" borderId="214" xfId="1" applyFont="1" applyBorder="1" applyAlignment="1">
      <alignment horizontal="center" vertical="center"/>
    </xf>
    <xf numFmtId="0" fontId="42" fillId="0" borderId="66" xfId="1" applyFont="1" applyBorder="1" applyAlignment="1">
      <alignment horizontal="center" vertical="center" wrapText="1"/>
    </xf>
    <xf numFmtId="0" fontId="42" fillId="0" borderId="215" xfId="1" applyFont="1" applyBorder="1" applyAlignment="1">
      <alignment horizontal="center" vertical="center" wrapText="1"/>
    </xf>
    <xf numFmtId="0" fontId="42" fillId="38" borderId="69" xfId="1" applyFont="1" applyFill="1" applyBorder="1" applyAlignment="1">
      <alignment horizontal="center" vertical="center"/>
    </xf>
    <xf numFmtId="240" fontId="42" fillId="39" borderId="23" xfId="1" applyNumberFormat="1" applyFont="1" applyFill="1" applyBorder="1">
      <alignment vertical="center"/>
    </xf>
    <xf numFmtId="184" fontId="42" fillId="39" borderId="23" xfId="1" applyNumberFormat="1" applyFont="1" applyFill="1" applyBorder="1">
      <alignment vertical="center"/>
    </xf>
    <xf numFmtId="240" fontId="42" fillId="38" borderId="23" xfId="1" applyNumberFormat="1" applyFont="1" applyFill="1" applyBorder="1">
      <alignment vertical="center"/>
    </xf>
    <xf numFmtId="240" fontId="42" fillId="38" borderId="216" xfId="1" applyNumberFormat="1" applyFont="1" applyFill="1" applyBorder="1">
      <alignment vertical="center"/>
    </xf>
    <xf numFmtId="240" fontId="42" fillId="38" borderId="177" xfId="1" applyNumberFormat="1" applyFont="1" applyFill="1" applyBorder="1">
      <alignment vertical="center"/>
    </xf>
    <xf numFmtId="240" fontId="42" fillId="39" borderId="26" xfId="1" applyNumberFormat="1" applyFont="1" applyFill="1" applyBorder="1">
      <alignment vertical="center"/>
    </xf>
    <xf numFmtId="184" fontId="42" fillId="39" borderId="26" xfId="1" applyNumberFormat="1" applyFont="1" applyFill="1" applyBorder="1">
      <alignment vertical="center"/>
    </xf>
    <xf numFmtId="240" fontId="42" fillId="38" borderId="26" xfId="1" applyNumberFormat="1" applyFont="1" applyFill="1" applyBorder="1">
      <alignment vertical="center"/>
    </xf>
    <xf numFmtId="240" fontId="42" fillId="38" borderId="217" xfId="1" applyNumberFormat="1" applyFont="1" applyFill="1" applyBorder="1">
      <alignment vertical="center"/>
    </xf>
    <xf numFmtId="0" fontId="42" fillId="38" borderId="71" xfId="1" applyFont="1" applyFill="1" applyBorder="1" applyAlignment="1">
      <alignment horizontal="center" vertical="center"/>
    </xf>
    <xf numFmtId="0" fontId="42" fillId="0" borderId="50" xfId="1" applyFont="1" applyBorder="1" applyAlignment="1">
      <alignment horizontal="center" vertical="center"/>
    </xf>
    <xf numFmtId="0" fontId="42" fillId="0" borderId="26" xfId="1" applyFont="1" applyBorder="1">
      <alignment vertical="center"/>
    </xf>
    <xf numFmtId="184" fontId="42" fillId="0" borderId="26" xfId="1" applyNumberFormat="1" applyFont="1" applyBorder="1">
      <alignment vertical="center"/>
    </xf>
    <xf numFmtId="240" fontId="37" fillId="38" borderId="26" xfId="1" applyNumberFormat="1" applyFont="1" applyFill="1" applyBorder="1">
      <alignment vertical="center"/>
    </xf>
    <xf numFmtId="240" fontId="37" fillId="38" borderId="217" xfId="1" applyNumberFormat="1" applyFont="1" applyFill="1" applyBorder="1">
      <alignment vertical="center"/>
    </xf>
    <xf numFmtId="0" fontId="42" fillId="38" borderId="109" xfId="1" applyFont="1" applyFill="1" applyBorder="1" applyAlignment="1">
      <alignment horizontal="center" vertical="center"/>
    </xf>
    <xf numFmtId="240" fontId="42" fillId="39" borderId="18" xfId="1" applyNumberFormat="1" applyFont="1" applyFill="1" applyBorder="1">
      <alignment vertical="center"/>
    </xf>
    <xf numFmtId="184" fontId="42" fillId="39" borderId="18" xfId="1" applyNumberFormat="1" applyFont="1" applyFill="1" applyBorder="1">
      <alignment vertical="center"/>
    </xf>
    <xf numFmtId="240" fontId="42" fillId="38" borderId="18" xfId="1" applyNumberFormat="1" applyFont="1" applyFill="1" applyBorder="1">
      <alignment vertical="center"/>
    </xf>
    <xf numFmtId="184" fontId="42" fillId="0" borderId="26" xfId="3" applyNumberFormat="1" applyFont="1" applyBorder="1" applyAlignment="1">
      <alignment vertical="center"/>
    </xf>
    <xf numFmtId="240" fontId="37" fillId="0" borderId="26" xfId="1" applyNumberFormat="1" applyFont="1" applyBorder="1">
      <alignment vertical="center"/>
    </xf>
    <xf numFmtId="240" fontId="42" fillId="0" borderId="26" xfId="1" applyNumberFormat="1" applyFont="1" applyBorder="1">
      <alignment vertical="center"/>
    </xf>
    <xf numFmtId="240" fontId="37" fillId="0" borderId="217" xfId="1" applyNumberFormat="1" applyFont="1" applyBorder="1">
      <alignment vertical="center"/>
    </xf>
    <xf numFmtId="0" fontId="42" fillId="0" borderId="218" xfId="1" applyFont="1" applyBorder="1" applyAlignment="1">
      <alignment horizontal="center" vertical="center"/>
    </xf>
    <xf numFmtId="0" fontId="42" fillId="0" borderId="1" xfId="1" applyFont="1" applyBorder="1">
      <alignment vertical="center"/>
    </xf>
    <xf numFmtId="184" fontId="42" fillId="0" borderId="1" xfId="1" applyNumberFormat="1" applyFont="1" applyBorder="1">
      <alignment vertical="center"/>
    </xf>
    <xf numFmtId="240" fontId="37" fillId="39" borderId="1" xfId="1" applyNumberFormat="1" applyFont="1" applyFill="1" applyBorder="1">
      <alignment vertical="center"/>
    </xf>
    <xf numFmtId="240" fontId="42" fillId="0" borderId="1" xfId="1" applyNumberFormat="1" applyFont="1" applyBorder="1">
      <alignment vertical="center"/>
    </xf>
    <xf numFmtId="240" fontId="37" fillId="0" borderId="219" xfId="1" applyNumberFormat="1" applyFont="1" applyBorder="1">
      <alignment vertical="center"/>
    </xf>
    <xf numFmtId="240" fontId="37" fillId="0" borderId="1" xfId="1" applyNumberFormat="1" applyFont="1" applyBorder="1">
      <alignment vertical="center"/>
    </xf>
    <xf numFmtId="240" fontId="42" fillId="0" borderId="219" xfId="1" applyNumberFormat="1" applyFont="1" applyBorder="1">
      <alignment vertical="center"/>
    </xf>
    <xf numFmtId="0" fontId="42" fillId="0" borderId="77" xfId="1" applyFont="1" applyBorder="1">
      <alignment vertical="center"/>
    </xf>
    <xf numFmtId="184" fontId="42" fillId="0" borderId="77" xfId="1" applyNumberFormat="1" applyFont="1" applyBorder="1">
      <alignment vertical="center"/>
    </xf>
    <xf numFmtId="240" fontId="42" fillId="0" borderId="77" xfId="1" applyNumberFormat="1" applyFont="1" applyBorder="1">
      <alignment vertical="center"/>
    </xf>
    <xf numFmtId="240" fontId="42" fillId="0" borderId="220" xfId="1" applyNumberFormat="1" applyFont="1" applyBorder="1">
      <alignment vertical="center"/>
    </xf>
    <xf numFmtId="241" fontId="37" fillId="40" borderId="221" xfId="4" applyNumberFormat="1" applyFont="1" applyFill="1" applyBorder="1" applyAlignment="1">
      <alignment vertical="center"/>
    </xf>
    <xf numFmtId="241" fontId="37" fillId="41" borderId="221" xfId="4" applyNumberFormat="1" applyFont="1" applyFill="1" applyBorder="1" applyAlignment="1">
      <alignment vertical="center"/>
    </xf>
    <xf numFmtId="41" fontId="42" fillId="0" borderId="0" xfId="3" applyFont="1" applyAlignment="1">
      <alignment vertical="center"/>
    </xf>
    <xf numFmtId="242" fontId="42" fillId="0" borderId="0" xfId="4" applyNumberFormat="1" applyFont="1" applyAlignment="1">
      <alignment vertical="center"/>
    </xf>
    <xf numFmtId="41" fontId="0" fillId="0" borderId="0" xfId="2" applyFont="1">
      <alignment vertical="center"/>
    </xf>
    <xf numFmtId="0" fontId="2" fillId="0" borderId="0" xfId="1" applyAlignment="1">
      <alignment horizontal="center" vertical="center"/>
    </xf>
    <xf numFmtId="0" fontId="71" fillId="0" borderId="0" xfId="1" applyFont="1">
      <alignment vertical="center"/>
    </xf>
    <xf numFmtId="0" fontId="71" fillId="0" borderId="0" xfId="1" applyFont="1" applyAlignment="1">
      <alignment horizontal="right"/>
    </xf>
    <xf numFmtId="0" fontId="71" fillId="42" borderId="1" xfId="1" applyFont="1" applyFill="1" applyBorder="1" applyAlignment="1">
      <alignment horizontal="center" vertical="center"/>
    </xf>
    <xf numFmtId="0" fontId="73" fillId="0" borderId="1" xfId="1" applyFont="1" applyBorder="1" applyAlignment="1">
      <alignment horizontal="center" vertical="center" wrapText="1"/>
    </xf>
    <xf numFmtId="10" fontId="71" fillId="0" borderId="1" xfId="1" applyNumberFormat="1" applyFont="1" applyBorder="1" applyAlignment="1">
      <alignment horizontal="center" vertical="center"/>
    </xf>
    <xf numFmtId="41" fontId="71" fillId="0" borderId="1" xfId="1" applyNumberFormat="1" applyFont="1" applyBorder="1">
      <alignment vertical="center"/>
    </xf>
    <xf numFmtId="0" fontId="71" fillId="0" borderId="1" xfId="1" applyFont="1" applyBorder="1">
      <alignment vertical="center"/>
    </xf>
    <xf numFmtId="41" fontId="71" fillId="0" borderId="1" xfId="2" applyFont="1" applyBorder="1">
      <alignment vertical="center"/>
    </xf>
    <xf numFmtId="0" fontId="71" fillId="0" borderId="1" xfId="1" quotePrefix="1" applyFont="1" applyBorder="1" applyAlignment="1">
      <alignment vertical="center" wrapText="1"/>
    </xf>
    <xf numFmtId="0" fontId="71" fillId="43" borderId="1" xfId="1" applyFont="1" applyFill="1" applyBorder="1" applyAlignment="1">
      <alignment horizontal="center" vertical="center"/>
    </xf>
    <xf numFmtId="0" fontId="71" fillId="0" borderId="1" xfId="1" applyFont="1" applyBorder="1" applyAlignment="1">
      <alignment horizontal="center" vertical="center" wrapText="1"/>
    </xf>
    <xf numFmtId="0" fontId="71" fillId="0" borderId="1" xfId="1" applyFont="1" applyBorder="1" applyAlignment="1">
      <alignment horizontal="center" vertical="center"/>
    </xf>
    <xf numFmtId="10" fontId="0" fillId="0" borderId="0" xfId="5" applyNumberFormat="1" applyFont="1">
      <alignment vertical="center"/>
    </xf>
    <xf numFmtId="0" fontId="71" fillId="0" borderId="1" xfId="1" quotePrefix="1" applyFont="1" applyBorder="1">
      <alignment vertical="center"/>
    </xf>
    <xf numFmtId="0" fontId="71" fillId="0" borderId="1" xfId="1" quotePrefix="1" applyFont="1" applyBorder="1" applyAlignment="1">
      <alignment horizontal="center" vertical="center"/>
    </xf>
    <xf numFmtId="0" fontId="74" fillId="0" borderId="1" xfId="1" quotePrefix="1" applyFont="1" applyBorder="1" applyAlignment="1">
      <alignment vertical="center" wrapText="1"/>
    </xf>
    <xf numFmtId="0" fontId="71" fillId="44" borderId="1" xfId="1" applyFont="1" applyFill="1" applyBorder="1">
      <alignment vertical="center"/>
    </xf>
    <xf numFmtId="41" fontId="71" fillId="44" borderId="1" xfId="1" applyNumberFormat="1" applyFont="1" applyFill="1" applyBorder="1">
      <alignment vertical="center"/>
    </xf>
    <xf numFmtId="0" fontId="19" fillId="0" borderId="0" xfId="1" applyFont="1" applyAlignment="1">
      <alignment horizontal="center" vertical="center"/>
    </xf>
    <xf numFmtId="179" fontId="20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3" fillId="0" borderId="0" xfId="1" applyFont="1">
      <alignment vertical="center"/>
    </xf>
    <xf numFmtId="0" fontId="20" fillId="0" borderId="0" xfId="1" applyFont="1">
      <alignment vertical="center"/>
    </xf>
    <xf numFmtId="0" fontId="24" fillId="0" borderId="0" xfId="1" applyFont="1" applyAlignment="1">
      <alignment horizontal="right" vertical="center"/>
    </xf>
    <xf numFmtId="180" fontId="24" fillId="0" borderId="0" xfId="1" applyNumberFormat="1" applyFont="1" applyAlignment="1">
      <alignment horizontal="left" vertical="center"/>
    </xf>
    <xf numFmtId="0" fontId="21" fillId="0" borderId="0" xfId="1" applyFont="1">
      <alignment vertical="center"/>
    </xf>
    <xf numFmtId="0" fontId="22" fillId="0" borderId="0" xfId="1" applyFont="1">
      <alignment vertical="center"/>
    </xf>
    <xf numFmtId="177" fontId="25" fillId="0" borderId="0" xfId="5" applyNumberFormat="1" applyFont="1" applyFill="1" applyBorder="1" applyAlignment="1">
      <alignment vertical="center"/>
    </xf>
    <xf numFmtId="181" fontId="20" fillId="0" borderId="0" xfId="1" applyNumberFormat="1" applyFont="1">
      <alignment vertical="center"/>
    </xf>
    <xf numFmtId="0" fontId="27" fillId="0" borderId="35" xfId="1" applyFont="1" applyBorder="1" applyAlignment="1">
      <alignment horizontal="center" vertical="center"/>
    </xf>
    <xf numFmtId="0" fontId="29" fillId="0" borderId="0" xfId="1" applyFont="1">
      <alignment vertical="center"/>
    </xf>
    <xf numFmtId="182" fontId="30" fillId="0" borderId="3" xfId="1" applyNumberFormat="1" applyFont="1" applyBorder="1" applyAlignment="1">
      <alignment horizontal="center" vertical="center"/>
    </xf>
    <xf numFmtId="0" fontId="27" fillId="0" borderId="41" xfId="1" applyFont="1" applyBorder="1" applyAlignment="1">
      <alignment horizontal="left" vertical="center"/>
    </xf>
    <xf numFmtId="0" fontId="33" fillId="0" borderId="0" xfId="1" applyFont="1">
      <alignment vertical="center"/>
    </xf>
    <xf numFmtId="0" fontId="15" fillId="0" borderId="48" xfId="1" applyFont="1" applyBorder="1">
      <alignment vertical="center"/>
    </xf>
    <xf numFmtId="183" fontId="35" fillId="0" borderId="51" xfId="1" applyNumberFormat="1" applyFont="1" applyBorder="1" applyAlignment="1">
      <alignment horizontal="center" vertical="center"/>
    </xf>
    <xf numFmtId="0" fontId="15" fillId="0" borderId="51" xfId="1" applyFont="1" applyBorder="1">
      <alignment vertical="center"/>
    </xf>
    <xf numFmtId="0" fontId="15" fillId="0" borderId="0" xfId="1" applyFont="1" applyAlignment="1">
      <alignment horizontal="center" vertical="center"/>
    </xf>
    <xf numFmtId="0" fontId="24" fillId="0" borderId="52" xfId="1" applyFont="1" applyBorder="1">
      <alignment vertical="center"/>
    </xf>
    <xf numFmtId="0" fontId="24" fillId="0" borderId="0" xfId="1" applyFont="1">
      <alignment vertical="center"/>
    </xf>
    <xf numFmtId="0" fontId="35" fillId="0" borderId="51" xfId="1" applyFont="1" applyBorder="1" applyAlignment="1">
      <alignment horizontal="center" vertical="center"/>
    </xf>
    <xf numFmtId="41" fontId="15" fillId="0" borderId="5" xfId="3" applyFont="1" applyFill="1" applyBorder="1" applyAlignment="1">
      <alignment vertical="center"/>
    </xf>
    <xf numFmtId="0" fontId="15" fillId="0" borderId="5" xfId="1" applyFont="1" applyBorder="1">
      <alignment vertical="center"/>
    </xf>
    <xf numFmtId="187" fontId="15" fillId="0" borderId="5" xfId="1" applyNumberFormat="1" applyFont="1" applyBorder="1" applyAlignment="1">
      <alignment horizontal="center" vertical="center"/>
    </xf>
    <xf numFmtId="41" fontId="24" fillId="0" borderId="56" xfId="3" applyFont="1" applyFill="1" applyBorder="1" applyAlignment="1">
      <alignment vertical="center"/>
    </xf>
    <xf numFmtId="177" fontId="15" fillId="0" borderId="0" xfId="1" applyNumberFormat="1" applyFont="1">
      <alignment vertical="center"/>
    </xf>
    <xf numFmtId="0" fontId="37" fillId="0" borderId="52" xfId="1" applyFont="1" applyBorder="1">
      <alignment vertical="center"/>
    </xf>
    <xf numFmtId="41" fontId="29" fillId="0" borderId="0" xfId="1" applyNumberFormat="1" applyFont="1" applyAlignment="1">
      <alignment horizontal="center" vertical="center"/>
    </xf>
    <xf numFmtId="189" fontId="38" fillId="0" borderId="51" xfId="1" applyNumberFormat="1" applyFont="1" applyBorder="1" applyAlignment="1">
      <alignment horizontal="center" vertical="center"/>
    </xf>
    <xf numFmtId="184" fontId="15" fillId="0" borderId="53" xfId="3" applyNumberFormat="1" applyFont="1" applyFill="1" applyBorder="1" applyAlignment="1">
      <alignment vertical="center"/>
    </xf>
    <xf numFmtId="187" fontId="15" fillId="0" borderId="0" xfId="1" applyNumberFormat="1" applyFont="1" applyAlignment="1">
      <alignment horizontal="center" vertical="center"/>
    </xf>
    <xf numFmtId="41" fontId="15" fillId="0" borderId="0" xfId="3" applyFont="1" applyFill="1" applyBorder="1" applyAlignment="1">
      <alignment horizontal="right" vertical="center"/>
    </xf>
    <xf numFmtId="0" fontId="15" fillId="0" borderId="0" xfId="3" applyNumberFormat="1" applyFont="1" applyFill="1" applyBorder="1" applyAlignment="1">
      <alignment vertical="center"/>
    </xf>
    <xf numFmtId="0" fontId="37" fillId="0" borderId="42" xfId="1" applyFont="1" applyBorder="1">
      <alignment vertical="center"/>
    </xf>
    <xf numFmtId="0" fontId="37" fillId="0" borderId="43" xfId="1" applyFont="1" applyBorder="1">
      <alignment vertical="center"/>
    </xf>
    <xf numFmtId="0" fontId="15" fillId="0" borderId="58" xfId="1" applyFont="1" applyBorder="1">
      <alignment vertical="center"/>
    </xf>
    <xf numFmtId="0" fontId="32" fillId="0" borderId="43" xfId="1" applyFont="1" applyBorder="1">
      <alignment vertical="center"/>
    </xf>
    <xf numFmtId="41" fontId="15" fillId="0" borderId="43" xfId="1" applyNumberFormat="1" applyFont="1" applyBorder="1">
      <alignment vertical="center"/>
    </xf>
    <xf numFmtId="0" fontId="15" fillId="0" borderId="43" xfId="1" applyFont="1" applyBorder="1">
      <alignment vertical="center"/>
    </xf>
    <xf numFmtId="0" fontId="2" fillId="0" borderId="45" xfId="1" applyBorder="1">
      <alignment vertical="center"/>
    </xf>
    <xf numFmtId="184" fontId="26" fillId="0" borderId="0" xfId="1" applyNumberFormat="1" applyFont="1">
      <alignment vertical="center"/>
    </xf>
    <xf numFmtId="184" fontId="26" fillId="0" borderId="68" xfId="1" applyNumberFormat="1" applyFont="1" applyBorder="1">
      <alignment vertical="center"/>
    </xf>
    <xf numFmtId="0" fontId="28" fillId="0" borderId="69" xfId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41" fontId="24" fillId="0" borderId="0" xfId="2" applyFont="1" applyFill="1" applyBorder="1" applyAlignment="1">
      <alignment vertical="center"/>
    </xf>
    <xf numFmtId="0" fontId="15" fillId="0" borderId="0" xfId="2" applyNumberFormat="1" applyFont="1" applyFill="1" applyBorder="1" applyAlignment="1">
      <alignment vertical="center"/>
    </xf>
    <xf numFmtId="184" fontId="26" fillId="0" borderId="27" xfId="1" applyNumberFormat="1" applyFont="1" applyBorder="1">
      <alignment vertical="center"/>
    </xf>
    <xf numFmtId="184" fontId="26" fillId="0" borderId="73" xfId="1" applyNumberFormat="1" applyFont="1" applyBorder="1">
      <alignment vertical="center"/>
    </xf>
    <xf numFmtId="184" fontId="24" fillId="0" borderId="43" xfId="1" applyNumberFormat="1" applyFont="1" applyBorder="1">
      <alignment vertical="center"/>
    </xf>
    <xf numFmtId="184" fontId="24" fillId="0" borderId="76" xfId="1" applyNumberFormat="1" applyFont="1" applyBorder="1">
      <alignment vertical="center"/>
    </xf>
    <xf numFmtId="0" fontId="15" fillId="0" borderId="79" xfId="1" applyFont="1" applyBorder="1">
      <alignment vertical="center"/>
    </xf>
    <xf numFmtId="0" fontId="15" fillId="0" borderId="81" xfId="1" applyFont="1" applyBorder="1">
      <alignment vertical="center"/>
    </xf>
    <xf numFmtId="10" fontId="15" fillId="0" borderId="0" xfId="1" applyNumberFormat="1" applyFont="1" applyAlignment="1">
      <alignment horizontal="center" vertical="center"/>
    </xf>
    <xf numFmtId="10" fontId="15" fillId="0" borderId="0" xfId="1" applyNumberFormat="1" applyFont="1" applyAlignment="1">
      <alignment horizontal="left" vertical="center"/>
    </xf>
    <xf numFmtId="41" fontId="24" fillId="0" borderId="0" xfId="3" applyFont="1" applyFill="1" applyBorder="1" applyAlignment="1">
      <alignment vertical="center"/>
    </xf>
    <xf numFmtId="177" fontId="15" fillId="0" borderId="31" xfId="1" applyNumberFormat="1" applyFont="1" applyBorder="1">
      <alignment vertical="center"/>
    </xf>
    <xf numFmtId="0" fontId="15" fillId="0" borderId="31" xfId="1" applyFont="1" applyBorder="1">
      <alignment vertical="center"/>
    </xf>
    <xf numFmtId="177" fontId="24" fillId="0" borderId="31" xfId="1" applyNumberFormat="1" applyFont="1" applyBorder="1" applyAlignment="1">
      <alignment horizontal="left" vertical="center"/>
    </xf>
    <xf numFmtId="41" fontId="15" fillId="0" borderId="0" xfId="1" applyNumberFormat="1" applyFont="1">
      <alignment vertical="center"/>
    </xf>
    <xf numFmtId="192" fontId="24" fillId="0" borderId="64" xfId="1" applyNumberFormat="1" applyFont="1" applyBorder="1" applyAlignment="1">
      <alignment horizontal="center" vertical="center"/>
    </xf>
    <xf numFmtId="10" fontId="24" fillId="0" borderId="65" xfId="1" applyNumberFormat="1" applyFont="1" applyBorder="1" applyAlignment="1">
      <alignment horizontal="center" vertical="center"/>
    </xf>
    <xf numFmtId="0" fontId="31" fillId="0" borderId="32" xfId="1" applyFont="1" applyBorder="1" applyAlignment="1">
      <alignment horizontal="center" vertical="center"/>
    </xf>
    <xf numFmtId="196" fontId="30" fillId="0" borderId="32" xfId="1" applyNumberFormat="1" applyFont="1" applyBorder="1" applyAlignment="1">
      <alignment horizontal="center" vertical="center"/>
    </xf>
    <xf numFmtId="196" fontId="30" fillId="0" borderId="36" xfId="1" applyNumberFormat="1" applyFont="1" applyBorder="1" applyAlignment="1">
      <alignment horizontal="center" vertical="center"/>
    </xf>
    <xf numFmtId="41" fontId="24" fillId="0" borderId="5" xfId="3" applyFont="1" applyFill="1" applyBorder="1" applyAlignment="1">
      <alignment vertical="center"/>
    </xf>
    <xf numFmtId="191" fontId="15" fillId="0" borderId="83" xfId="1" applyNumberFormat="1" applyFont="1" applyBorder="1">
      <alignment vertical="center"/>
    </xf>
    <xf numFmtId="0" fontId="15" fillId="0" borderId="56" xfId="1" applyFont="1" applyBorder="1">
      <alignment vertical="center"/>
    </xf>
    <xf numFmtId="0" fontId="15" fillId="0" borderId="88" xfId="1" applyFont="1" applyBorder="1">
      <alignment vertical="center"/>
    </xf>
    <xf numFmtId="41" fontId="30" fillId="0" borderId="88" xfId="3" applyFont="1" applyFill="1" applyBorder="1" applyAlignment="1">
      <alignment horizontal="center" vertical="center"/>
    </xf>
    <xf numFmtId="0" fontId="15" fillId="0" borderId="88" xfId="1" applyFont="1" applyBorder="1" applyAlignment="1">
      <alignment horizontal="center" vertical="center"/>
    </xf>
    <xf numFmtId="191" fontId="15" fillId="0" borderId="88" xfId="1" applyNumberFormat="1" applyFont="1" applyBorder="1">
      <alignment vertical="center"/>
    </xf>
    <xf numFmtId="0" fontId="15" fillId="0" borderId="89" xfId="1" applyFont="1" applyBorder="1">
      <alignment vertical="center"/>
    </xf>
    <xf numFmtId="41" fontId="30" fillId="0" borderId="0" xfId="3" applyFont="1" applyFill="1" applyBorder="1" applyAlignment="1">
      <alignment horizontal="center" vertical="center"/>
    </xf>
    <xf numFmtId="197" fontId="15" fillId="0" borderId="0" xfId="5" applyNumberFormat="1" applyFont="1" applyFill="1" applyBorder="1" applyAlignment="1">
      <alignment horizontal="left" vertical="center"/>
    </xf>
    <xf numFmtId="41" fontId="15" fillId="0" borderId="0" xfId="1" applyNumberFormat="1" applyFont="1" applyAlignment="1">
      <alignment horizontal="left" vertical="center"/>
    </xf>
    <xf numFmtId="41" fontId="15" fillId="0" borderId="0" xfId="1" applyNumberFormat="1" applyFont="1" applyAlignment="1">
      <alignment horizontal="right" vertical="center"/>
    </xf>
    <xf numFmtId="177" fontId="15" fillId="0" borderId="0" xfId="1" applyNumberFormat="1" applyFont="1" applyAlignment="1">
      <alignment horizontal="center" vertical="center"/>
    </xf>
    <xf numFmtId="41" fontId="33" fillId="0" borderId="0" xfId="1" applyNumberFormat="1" applyFont="1">
      <alignment vertical="center"/>
    </xf>
    <xf numFmtId="41" fontId="33" fillId="0" borderId="0" xfId="1" applyNumberFormat="1" applyFont="1" applyAlignment="1">
      <alignment horizontal="left" vertical="center"/>
    </xf>
    <xf numFmtId="177" fontId="33" fillId="0" borderId="0" xfId="1" applyNumberFormat="1" applyFont="1" applyAlignment="1">
      <alignment horizontal="left" vertical="center"/>
    </xf>
    <xf numFmtId="41" fontId="33" fillId="0" borderId="51" xfId="1" applyNumberFormat="1" applyFont="1" applyBorder="1" applyAlignment="1">
      <alignment horizontal="left" vertical="center"/>
    </xf>
    <xf numFmtId="192" fontId="24" fillId="0" borderId="93" xfId="1" applyNumberFormat="1" applyFont="1" applyBorder="1">
      <alignment vertical="center"/>
    </xf>
    <xf numFmtId="9" fontId="15" fillId="0" borderId="51" xfId="1" applyNumberFormat="1" applyFont="1" applyBorder="1">
      <alignment vertical="center"/>
    </xf>
    <xf numFmtId="0" fontId="24" fillId="0" borderId="0" xfId="1" applyFont="1" applyAlignment="1">
      <alignment horizontal="center" vertical="center"/>
    </xf>
    <xf numFmtId="198" fontId="24" fillId="0" borderId="0" xfId="1" applyNumberFormat="1" applyFont="1" applyAlignment="1">
      <alignment horizontal="center" vertical="center"/>
    </xf>
    <xf numFmtId="199" fontId="24" fillId="0" borderId="0" xfId="1" applyNumberFormat="1" applyFont="1" applyAlignment="1">
      <alignment horizontal="center" vertical="center"/>
    </xf>
    <xf numFmtId="192" fontId="15" fillId="0" borderId="0" xfId="1" applyNumberFormat="1" applyFont="1" applyAlignment="1">
      <alignment horizontal="right" vertical="center"/>
    </xf>
    <xf numFmtId="41" fontId="24" fillId="0" borderId="0" xfId="3" applyFont="1" applyFill="1" applyBorder="1" applyAlignment="1">
      <alignment horizontal="left" vertical="center"/>
    </xf>
    <xf numFmtId="41" fontId="20" fillId="0" borderId="0" xfId="3" applyFont="1" applyFill="1" applyBorder="1" applyAlignment="1">
      <alignment vertical="center"/>
    </xf>
    <xf numFmtId="176" fontId="15" fillId="0" borderId="0" xfId="3" applyNumberFormat="1" applyFont="1" applyFill="1" applyBorder="1" applyAlignment="1">
      <alignment vertical="center"/>
    </xf>
    <xf numFmtId="0" fontId="15" fillId="0" borderId="83" xfId="1" applyFont="1" applyBorder="1">
      <alignment vertical="center"/>
    </xf>
    <xf numFmtId="41" fontId="24" fillId="0" borderId="83" xfId="3" applyFont="1" applyFill="1" applyBorder="1" applyAlignment="1">
      <alignment vertical="center"/>
    </xf>
    <xf numFmtId="0" fontId="15" fillId="0" borderId="83" xfId="1" applyFont="1" applyBorder="1" applyAlignment="1">
      <alignment horizontal="center" vertical="center"/>
    </xf>
    <xf numFmtId="0" fontId="26" fillId="0" borderId="83" xfId="1" applyFont="1" applyBorder="1">
      <alignment vertical="center"/>
    </xf>
    <xf numFmtId="0" fontId="15" fillId="0" borderId="98" xfId="1" applyFont="1" applyBorder="1">
      <alignment vertical="center"/>
    </xf>
    <xf numFmtId="41" fontId="24" fillId="0" borderId="88" xfId="3" applyFont="1" applyFill="1" applyBorder="1" applyAlignment="1">
      <alignment horizontal="left" vertical="center"/>
    </xf>
    <xf numFmtId="0" fontId="33" fillId="0" borderId="51" xfId="1" applyFont="1" applyBorder="1">
      <alignment vertical="center"/>
    </xf>
    <xf numFmtId="10" fontId="15" fillId="0" borderId="0" xfId="5" applyNumberFormat="1" applyFont="1" applyFill="1" applyBorder="1" applyAlignment="1">
      <alignment vertical="center"/>
    </xf>
    <xf numFmtId="0" fontId="15" fillId="0" borderId="5" xfId="1" applyFont="1" applyBorder="1" applyAlignment="1">
      <alignment horizontal="center" vertical="center"/>
    </xf>
    <xf numFmtId="41" fontId="15" fillId="0" borderId="88" xfId="1" applyNumberFormat="1" applyFont="1" applyBorder="1" applyAlignment="1">
      <alignment horizontal="center" vertical="center"/>
    </xf>
    <xf numFmtId="41" fontId="30" fillId="0" borderId="89" xfId="1" applyNumberFormat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27" xfId="1" applyFont="1" applyBorder="1">
      <alignment vertical="center"/>
    </xf>
    <xf numFmtId="184" fontId="15" fillId="0" borderId="113" xfId="3" applyNumberFormat="1" applyFont="1" applyFill="1" applyBorder="1" applyAlignment="1">
      <alignment vertical="center"/>
    </xf>
    <xf numFmtId="187" fontId="15" fillId="0" borderId="27" xfId="1" applyNumberFormat="1" applyFont="1" applyBorder="1" applyAlignment="1">
      <alignment horizontal="center" vertical="center"/>
    </xf>
    <xf numFmtId="0" fontId="15" fillId="0" borderId="27" xfId="1" applyFont="1" applyBorder="1" applyAlignment="1">
      <alignment horizontal="left" vertical="center"/>
    </xf>
    <xf numFmtId="0" fontId="15" fillId="0" borderId="27" xfId="1" applyFont="1" applyBorder="1" applyAlignment="1">
      <alignment horizontal="center" vertical="center"/>
    </xf>
    <xf numFmtId="0" fontId="15" fillId="0" borderId="74" xfId="1" applyFont="1" applyBorder="1">
      <alignment vertical="center"/>
    </xf>
    <xf numFmtId="177" fontId="15" fillId="0" borderId="5" xfId="1" applyNumberFormat="1" applyFont="1" applyBorder="1">
      <alignment vertical="center"/>
    </xf>
    <xf numFmtId="41" fontId="15" fillId="0" borderId="88" xfId="3" applyFont="1" applyFill="1" applyBorder="1" applyAlignment="1">
      <alignment vertical="center"/>
    </xf>
    <xf numFmtId="0" fontId="33" fillId="0" borderId="88" xfId="1" applyFont="1" applyBorder="1">
      <alignment vertical="center"/>
    </xf>
    <xf numFmtId="0" fontId="33" fillId="0" borderId="89" xfId="1" applyFont="1" applyBorder="1">
      <alignment vertical="center"/>
    </xf>
    <xf numFmtId="201" fontId="15" fillId="0" borderId="0" xfId="3" applyNumberFormat="1" applyFont="1" applyFill="1" applyBorder="1" applyAlignment="1">
      <alignment vertical="center"/>
    </xf>
    <xf numFmtId="202" fontId="15" fillId="0" borderId="0" xfId="3" applyNumberFormat="1" applyFont="1" applyFill="1" applyBorder="1" applyAlignment="1">
      <alignment horizontal="center" vertical="center"/>
    </xf>
    <xf numFmtId="202" fontId="15" fillId="0" borderId="0" xfId="3" applyNumberFormat="1" applyFont="1" applyFill="1" applyBorder="1" applyAlignment="1">
      <alignment horizontal="right" vertical="center"/>
    </xf>
    <xf numFmtId="202" fontId="15" fillId="0" borderId="0" xfId="3" applyNumberFormat="1" applyFont="1" applyFill="1" applyBorder="1" applyAlignment="1">
      <alignment vertical="center"/>
    </xf>
    <xf numFmtId="202" fontId="15" fillId="0" borderId="51" xfId="3" applyNumberFormat="1" applyFont="1" applyFill="1" applyBorder="1" applyAlignment="1">
      <alignment vertical="center"/>
    </xf>
    <xf numFmtId="201" fontId="15" fillId="0" borderId="0" xfId="3" applyNumberFormat="1" applyFont="1" applyFill="1" applyBorder="1" applyAlignment="1">
      <alignment horizontal="center" vertical="center"/>
    </xf>
    <xf numFmtId="202" fontId="15" fillId="0" borderId="51" xfId="3" applyNumberFormat="1" applyFont="1" applyFill="1" applyBorder="1" applyAlignment="1">
      <alignment horizontal="right" vertical="center"/>
    </xf>
    <xf numFmtId="187" fontId="15" fillId="0" borderId="83" xfId="1" applyNumberFormat="1" applyFont="1" applyBorder="1" applyAlignment="1">
      <alignment horizontal="center" vertical="center"/>
    </xf>
    <xf numFmtId="191" fontId="15" fillId="0" borderId="83" xfId="1" applyNumberFormat="1" applyFont="1" applyBorder="1" applyAlignment="1">
      <alignment horizontal="left" vertical="center"/>
    </xf>
    <xf numFmtId="184" fontId="15" fillId="0" borderId="83" xfId="1" applyNumberFormat="1" applyFont="1" applyBorder="1" applyAlignment="1">
      <alignment horizontal="right" vertical="center"/>
    </xf>
    <xf numFmtId="0" fontId="33" fillId="0" borderId="83" xfId="1" applyFont="1" applyBorder="1">
      <alignment vertical="center"/>
    </xf>
    <xf numFmtId="41" fontId="24" fillId="0" borderId="118" xfId="3" applyFont="1" applyFill="1" applyBorder="1" applyAlignment="1">
      <alignment horizontal="left" vertical="center"/>
    </xf>
    <xf numFmtId="187" fontId="24" fillId="0" borderId="88" xfId="1" applyNumberFormat="1" applyFont="1" applyBorder="1" applyAlignment="1">
      <alignment horizontal="center" vertical="center"/>
    </xf>
    <xf numFmtId="206" fontId="15" fillId="0" borderId="0" xfId="3" applyNumberFormat="1" applyFont="1" applyFill="1" applyBorder="1" applyAlignment="1">
      <alignment horizontal="center" vertical="center"/>
    </xf>
    <xf numFmtId="205" fontId="15" fillId="0" borderId="0" xfId="3" applyNumberFormat="1" applyFont="1" applyFill="1" applyBorder="1" applyAlignment="1">
      <alignment vertical="center"/>
    </xf>
    <xf numFmtId="177" fontId="15" fillId="0" borderId="5" xfId="1" applyNumberFormat="1" applyFont="1" applyBorder="1" applyAlignment="1">
      <alignment horizontal="left" vertical="center"/>
    </xf>
    <xf numFmtId="9" fontId="15" fillId="0" borderId="88" xfId="1" applyNumberFormat="1" applyFont="1" applyBorder="1">
      <alignment vertical="center"/>
    </xf>
    <xf numFmtId="41" fontId="15" fillId="0" borderId="88" xfId="3" quotePrefix="1" applyFont="1" applyFill="1" applyBorder="1" applyAlignment="1">
      <alignment vertical="center"/>
    </xf>
    <xf numFmtId="10" fontId="37" fillId="0" borderId="0" xfId="1" applyNumberFormat="1" applyFont="1">
      <alignment vertical="center"/>
    </xf>
    <xf numFmtId="41" fontId="15" fillId="0" borderId="0" xfId="3" quotePrefix="1" applyFont="1" applyFill="1" applyBorder="1" applyAlignment="1">
      <alignment vertical="center"/>
    </xf>
    <xf numFmtId="0" fontId="2" fillId="0" borderId="74" xfId="1" applyBorder="1">
      <alignment vertical="center"/>
    </xf>
    <xf numFmtId="41" fontId="24" fillId="0" borderId="88" xfId="3" applyFont="1" applyFill="1" applyBorder="1" applyAlignment="1">
      <alignment vertical="center"/>
    </xf>
    <xf numFmtId="0" fontId="15" fillId="0" borderId="88" xfId="3" applyNumberFormat="1" applyFont="1" applyFill="1" applyBorder="1" applyAlignment="1">
      <alignment horizontal="left" vertical="center"/>
    </xf>
    <xf numFmtId="0" fontId="15" fillId="0" borderId="88" xfId="3" applyNumberFormat="1" applyFont="1" applyFill="1" applyBorder="1" applyAlignment="1">
      <alignment horizontal="center" vertical="center"/>
    </xf>
    <xf numFmtId="177" fontId="32" fillId="0" borderId="88" xfId="1" applyNumberFormat="1" applyFont="1" applyBorder="1" applyAlignment="1">
      <alignment horizontal="left" vertical="center"/>
    </xf>
    <xf numFmtId="41" fontId="30" fillId="0" borderId="0" xfId="3" applyFont="1" applyFill="1" applyBorder="1" applyAlignment="1">
      <alignment horizontal="left" vertical="center"/>
    </xf>
    <xf numFmtId="217" fontId="30" fillId="0" borderId="0" xfId="1" applyNumberFormat="1" applyFont="1" applyAlignment="1">
      <alignment horizontal="center" vertical="center"/>
    </xf>
    <xf numFmtId="177" fontId="26" fillId="0" borderId="0" xfId="1" applyNumberFormat="1" applyFont="1" applyAlignment="1">
      <alignment horizontal="center" vertical="center"/>
    </xf>
    <xf numFmtId="218" fontId="32" fillId="0" borderId="0" xfId="1" applyNumberFormat="1" applyFont="1">
      <alignment vertical="center"/>
    </xf>
    <xf numFmtId="218" fontId="30" fillId="0" borderId="0" xfId="1" applyNumberFormat="1" applyFont="1">
      <alignment vertical="center"/>
    </xf>
    <xf numFmtId="10" fontId="33" fillId="0" borderId="0" xfId="1" applyNumberFormat="1" applyFont="1">
      <alignment vertical="center"/>
    </xf>
    <xf numFmtId="0" fontId="30" fillId="0" borderId="0" xfId="1" applyFont="1" applyAlignment="1">
      <alignment horizontal="left" vertical="center"/>
    </xf>
    <xf numFmtId="0" fontId="30" fillId="0" borderId="51" xfId="1" applyFont="1" applyBorder="1" applyAlignment="1">
      <alignment horizontal="left" vertical="center"/>
    </xf>
    <xf numFmtId="218" fontId="24" fillId="0" borderId="0" xfId="1" applyNumberFormat="1" applyFont="1">
      <alignment vertical="center"/>
    </xf>
    <xf numFmtId="0" fontId="24" fillId="0" borderId="0" xfId="1" applyFont="1" applyAlignment="1">
      <alignment horizontal="left" vertical="center"/>
    </xf>
    <xf numFmtId="177" fontId="15" fillId="0" borderId="83" xfId="1" applyNumberFormat="1" applyFont="1" applyBorder="1" applyAlignment="1">
      <alignment horizontal="left" vertical="center"/>
    </xf>
    <xf numFmtId="0" fontId="30" fillId="0" borderId="88" xfId="1" applyFont="1" applyBorder="1" applyAlignment="1">
      <alignment horizontal="center" vertical="center"/>
    </xf>
    <xf numFmtId="184" fontId="15" fillId="0" borderId="88" xfId="1" applyNumberFormat="1" applyFont="1" applyBorder="1">
      <alignment vertical="center"/>
    </xf>
    <xf numFmtId="184" fontId="30" fillId="0" borderId="0" xfId="1" applyNumberFormat="1" applyFont="1">
      <alignment vertical="center"/>
    </xf>
    <xf numFmtId="209" fontId="32" fillId="0" borderId="0" xfId="1" applyNumberFormat="1" applyFont="1" applyAlignment="1">
      <alignment horizontal="center" vertical="center"/>
    </xf>
    <xf numFmtId="221" fontId="15" fillId="0" borderId="43" xfId="1" applyNumberFormat="1" applyFont="1" applyBorder="1">
      <alignment vertical="center"/>
    </xf>
    <xf numFmtId="221" fontId="15" fillId="0" borderId="0" xfId="1" applyNumberFormat="1" applyFont="1">
      <alignment vertical="center"/>
    </xf>
    <xf numFmtId="0" fontId="24" fillId="0" borderId="133" xfId="1" applyFont="1" applyBorder="1">
      <alignment vertical="center"/>
    </xf>
    <xf numFmtId="0" fontId="15" fillId="0" borderId="133" xfId="1" applyFont="1" applyBorder="1">
      <alignment vertical="center"/>
    </xf>
    <xf numFmtId="0" fontId="24" fillId="0" borderId="133" xfId="1" applyFont="1" applyBorder="1" applyAlignment="1">
      <alignment horizontal="center" vertical="center"/>
    </xf>
    <xf numFmtId="10" fontId="24" fillId="0" borderId="133" xfId="1" applyNumberFormat="1" applyFont="1" applyBorder="1" applyAlignment="1">
      <alignment horizontal="center" vertical="center"/>
    </xf>
    <xf numFmtId="10" fontId="15" fillId="0" borderId="133" xfId="1" applyNumberFormat="1" applyFont="1" applyBorder="1">
      <alignment vertical="center"/>
    </xf>
    <xf numFmtId="0" fontId="15" fillId="0" borderId="135" xfId="1" applyFont="1" applyBorder="1">
      <alignment vertical="center"/>
    </xf>
    <xf numFmtId="10" fontId="26" fillId="0" borderId="31" xfId="3" applyNumberFormat="1" applyFont="1" applyFill="1" applyBorder="1" applyAlignment="1">
      <alignment horizontal="center" vertical="center"/>
    </xf>
    <xf numFmtId="0" fontId="26" fillId="0" borderId="31" xfId="1" applyFont="1" applyBorder="1" applyAlignment="1">
      <alignment horizontal="center" vertical="center"/>
    </xf>
    <xf numFmtId="9" fontId="30" fillId="0" borderId="31" xfId="1" applyNumberFormat="1" applyFont="1" applyBorder="1" applyAlignment="1">
      <alignment horizontal="right" vertical="center"/>
    </xf>
    <xf numFmtId="9" fontId="30" fillId="0" borderId="31" xfId="1" applyNumberFormat="1" applyFont="1" applyBorder="1" applyAlignment="1">
      <alignment horizontal="center" vertical="center"/>
    </xf>
    <xf numFmtId="9" fontId="15" fillId="0" borderId="31" xfId="1" applyNumberFormat="1" applyFont="1" applyBorder="1" applyAlignment="1">
      <alignment horizontal="left" vertical="center"/>
    </xf>
    <xf numFmtId="0" fontId="15" fillId="0" borderId="36" xfId="1" applyFont="1" applyBorder="1">
      <alignment vertical="center"/>
    </xf>
    <xf numFmtId="0" fontId="24" fillId="0" borderId="83" xfId="1" applyFont="1" applyBorder="1">
      <alignment vertical="center"/>
    </xf>
    <xf numFmtId="177" fontId="15" fillId="0" borderId="0" xfId="1" applyNumberFormat="1" applyFont="1" applyAlignment="1">
      <alignment horizontal="right" vertical="center" shrinkToFit="1"/>
    </xf>
    <xf numFmtId="177" fontId="15" fillId="0" borderId="0" xfId="5" applyNumberFormat="1" applyFont="1" applyFill="1" applyBorder="1" applyAlignment="1">
      <alignment horizontal="right" vertical="center" shrinkToFit="1"/>
    </xf>
    <xf numFmtId="41" fontId="15" fillId="0" borderId="27" xfId="3" applyFont="1" applyFill="1" applyBorder="1" applyAlignment="1">
      <alignment vertical="center"/>
    </xf>
    <xf numFmtId="41" fontId="24" fillId="0" borderId="27" xfId="3" applyFont="1" applyFill="1" applyBorder="1" applyAlignment="1">
      <alignment vertical="center"/>
    </xf>
    <xf numFmtId="41" fontId="24" fillId="0" borderId="74" xfId="3" applyFont="1" applyFill="1" applyBorder="1" applyAlignment="1">
      <alignment vertical="center"/>
    </xf>
    <xf numFmtId="10" fontId="24" fillId="0" borderId="79" xfId="1" applyNumberFormat="1" applyFont="1" applyBorder="1" applyAlignment="1">
      <alignment horizontal="center" vertical="center"/>
    </xf>
    <xf numFmtId="0" fontId="24" fillId="0" borderId="79" xfId="1" applyFont="1" applyBorder="1" applyAlignment="1">
      <alignment horizontal="center" vertical="center"/>
    </xf>
    <xf numFmtId="10" fontId="15" fillId="0" borderId="79" xfId="1" applyNumberFormat="1" applyFont="1" applyBorder="1" applyAlignment="1">
      <alignment horizontal="left" vertical="center"/>
    </xf>
    <xf numFmtId="0" fontId="1" fillId="0" borderId="0" xfId="1" applyFont="1">
      <alignment vertical="center"/>
    </xf>
    <xf numFmtId="0" fontId="2" fillId="45" borderId="0" xfId="1" applyFill="1">
      <alignment vertical="center"/>
    </xf>
    <xf numFmtId="0" fontId="2" fillId="29" borderId="0" xfId="1" applyFill="1">
      <alignment vertical="center"/>
    </xf>
    <xf numFmtId="0" fontId="2" fillId="14" borderId="0" xfId="1" applyFill="1">
      <alignment vertical="center"/>
    </xf>
    <xf numFmtId="0" fontId="2" fillId="34" borderId="0" xfId="1" applyFill="1">
      <alignment vertical="center"/>
    </xf>
    <xf numFmtId="0" fontId="2" fillId="46" borderId="0" xfId="1" applyFill="1">
      <alignment vertical="center"/>
    </xf>
    <xf numFmtId="0" fontId="2" fillId="47" borderId="0" xfId="1" applyFill="1">
      <alignment vertical="center"/>
    </xf>
    <xf numFmtId="0" fontId="2" fillId="48" borderId="0" xfId="1" applyFill="1">
      <alignment vertical="center"/>
    </xf>
    <xf numFmtId="0" fontId="4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33" fillId="14" borderId="0" xfId="1" applyFont="1" applyFill="1">
      <alignment vertical="center"/>
    </xf>
    <xf numFmtId="0" fontId="27" fillId="14" borderId="34" xfId="1" applyFont="1" applyFill="1" applyBorder="1">
      <alignment vertical="center"/>
    </xf>
    <xf numFmtId="182" fontId="30" fillId="14" borderId="7" xfId="1" applyNumberFormat="1" applyFont="1" applyFill="1" applyBorder="1" applyAlignment="1">
      <alignment horizontal="center" vertical="center"/>
    </xf>
    <xf numFmtId="182" fontId="36" fillId="14" borderId="4" xfId="1" applyNumberFormat="1" applyFont="1" applyFill="1" applyBorder="1" applyAlignment="1">
      <alignment horizontal="center" vertical="center"/>
    </xf>
    <xf numFmtId="0" fontId="36" fillId="14" borderId="47" xfId="1" applyFont="1" applyFill="1" applyBorder="1" applyAlignment="1">
      <alignment horizontal="center" vertical="center"/>
    </xf>
    <xf numFmtId="182" fontId="36" fillId="14" borderId="49" xfId="1" applyNumberFormat="1" applyFont="1" applyFill="1" applyBorder="1" applyAlignment="1">
      <alignment horizontal="center" vertical="center"/>
    </xf>
    <xf numFmtId="182" fontId="36" fillId="14" borderId="48" xfId="1" applyNumberFormat="1" applyFont="1" applyFill="1" applyBorder="1" applyAlignment="1">
      <alignment horizontal="center" vertical="center"/>
    </xf>
    <xf numFmtId="0" fontId="36" fillId="14" borderId="59" xfId="1" applyFont="1" applyFill="1" applyBorder="1" applyAlignment="1">
      <alignment horizontal="center" vertical="center"/>
    </xf>
    <xf numFmtId="0" fontId="36" fillId="14" borderId="58" xfId="1" applyFont="1" applyFill="1" applyBorder="1" applyAlignment="1">
      <alignment horizontal="center" vertical="center"/>
    </xf>
    <xf numFmtId="0" fontId="15" fillId="14" borderId="7" xfId="1" applyFont="1" applyFill="1" applyBorder="1" applyAlignment="1">
      <alignment horizontal="left" vertical="center"/>
    </xf>
    <xf numFmtId="188" fontId="38" fillId="14" borderId="0" xfId="1" applyNumberFormat="1" applyFont="1" applyFill="1" applyAlignment="1">
      <alignment horizontal="left" vertical="center"/>
    </xf>
    <xf numFmtId="0" fontId="35" fillId="14" borderId="0" xfId="1" applyFont="1" applyFill="1">
      <alignment vertical="center"/>
    </xf>
    <xf numFmtId="192" fontId="24" fillId="14" borderId="67" xfId="1" applyNumberFormat="1" applyFont="1" applyFill="1" applyBorder="1">
      <alignment vertical="center"/>
    </xf>
    <xf numFmtId="192" fontId="24" fillId="14" borderId="72" xfId="1" applyNumberFormat="1" applyFont="1" applyFill="1" applyBorder="1">
      <alignment vertical="center"/>
    </xf>
    <xf numFmtId="193" fontId="30" fillId="14" borderId="51" xfId="1" applyNumberFormat="1" applyFont="1" applyFill="1" applyBorder="1" applyAlignment="1">
      <alignment horizontal="center" vertical="center"/>
    </xf>
    <xf numFmtId="193" fontId="30" fillId="14" borderId="74" xfId="1" applyNumberFormat="1" applyFont="1" applyFill="1" applyBorder="1" applyAlignment="1">
      <alignment horizontal="center" vertical="center"/>
    </xf>
    <xf numFmtId="0" fontId="30" fillId="14" borderId="36" xfId="1" applyFont="1" applyFill="1" applyBorder="1" applyAlignment="1">
      <alignment horizontal="center" vertical="center"/>
    </xf>
    <xf numFmtId="193" fontId="30" fillId="14" borderId="45" xfId="1" applyNumberFormat="1" applyFont="1" applyFill="1" applyBorder="1" applyAlignment="1">
      <alignment horizontal="center" vertical="center"/>
    </xf>
    <xf numFmtId="41" fontId="24" fillId="14" borderId="18" xfId="3" applyFont="1" applyFill="1" applyBorder="1" applyAlignment="1">
      <alignment horizontal="center" vertical="center"/>
    </xf>
    <xf numFmtId="41" fontId="24" fillId="14" borderId="23" xfId="3" applyFont="1" applyFill="1" applyBorder="1" applyAlignment="1">
      <alignment horizontal="center" vertical="center"/>
    </xf>
    <xf numFmtId="41" fontId="24" fillId="14" borderId="23" xfId="2" applyFont="1" applyFill="1" applyBorder="1" applyAlignment="1">
      <alignment vertical="center"/>
    </xf>
    <xf numFmtId="41" fontId="24" fillId="14" borderId="26" xfId="2" applyFont="1" applyFill="1" applyBorder="1" applyAlignment="1">
      <alignment vertical="center"/>
    </xf>
    <xf numFmtId="0" fontId="41" fillId="14" borderId="18" xfId="1" applyFont="1" applyFill="1" applyBorder="1">
      <alignment vertical="center"/>
    </xf>
    <xf numFmtId="0" fontId="41" fillId="14" borderId="23" xfId="1" applyFont="1" applyFill="1" applyBorder="1">
      <alignment vertical="center"/>
    </xf>
    <xf numFmtId="192" fontId="24" fillId="14" borderId="93" xfId="3" applyNumberFormat="1" applyFont="1" applyFill="1" applyBorder="1" applyAlignment="1">
      <alignment vertical="center"/>
    </xf>
    <xf numFmtId="192" fontId="24" fillId="14" borderId="110" xfId="3" applyNumberFormat="1" applyFont="1" applyFill="1" applyBorder="1" applyAlignment="1">
      <alignment vertical="center"/>
    </xf>
    <xf numFmtId="192" fontId="24" fillId="14" borderId="92" xfId="3" applyNumberFormat="1" applyFont="1" applyFill="1" applyBorder="1" applyAlignment="1">
      <alignment vertical="center"/>
    </xf>
    <xf numFmtId="192" fontId="24" fillId="14" borderId="67" xfId="3" applyNumberFormat="1" applyFont="1" applyFill="1" applyBorder="1" applyAlignment="1">
      <alignment vertical="center"/>
    </xf>
    <xf numFmtId="192" fontId="24" fillId="14" borderId="96" xfId="3" applyNumberFormat="1" applyFont="1" applyFill="1" applyBorder="1" applyAlignment="1">
      <alignment vertical="center"/>
    </xf>
    <xf numFmtId="207" fontId="41" fillId="14" borderId="110" xfId="1" applyNumberFormat="1" applyFont="1" applyFill="1" applyBorder="1">
      <alignment vertical="center"/>
    </xf>
    <xf numFmtId="192" fontId="24" fillId="14" borderId="72" xfId="3" applyNumberFormat="1" applyFont="1" applyFill="1" applyBorder="1" applyAlignment="1">
      <alignment vertical="center"/>
    </xf>
    <xf numFmtId="207" fontId="41" fillId="14" borderId="4" xfId="1" applyNumberFormat="1" applyFont="1" applyFill="1" applyBorder="1">
      <alignment vertical="center"/>
    </xf>
    <xf numFmtId="207" fontId="41" fillId="14" borderId="49" xfId="1" applyNumberFormat="1" applyFont="1" applyFill="1" applyBorder="1">
      <alignment vertical="center"/>
    </xf>
    <xf numFmtId="207" fontId="41" fillId="14" borderId="0" xfId="1" applyNumberFormat="1" applyFont="1" applyFill="1">
      <alignment vertical="center"/>
    </xf>
    <xf numFmtId="184" fontId="24" fillId="14" borderId="129" xfId="3" applyNumberFormat="1" applyFont="1" applyFill="1" applyBorder="1" applyAlignment="1">
      <alignment vertical="center"/>
    </xf>
    <xf numFmtId="184" fontId="24" fillId="14" borderId="130" xfId="3" applyNumberFormat="1" applyFont="1" applyFill="1" applyBorder="1" applyAlignment="1">
      <alignment vertical="center"/>
    </xf>
    <xf numFmtId="184" fontId="24" fillId="14" borderId="142" xfId="3" applyNumberFormat="1" applyFont="1" applyFill="1" applyBorder="1" applyAlignment="1">
      <alignment vertical="center"/>
    </xf>
    <xf numFmtId="214" fontId="24" fillId="14" borderId="105" xfId="1" applyNumberFormat="1" applyFont="1" applyFill="1" applyBorder="1" applyAlignment="1">
      <alignment horizontal="center" vertical="center"/>
    </xf>
    <xf numFmtId="194" fontId="30" fillId="14" borderId="0" xfId="1" applyNumberFormat="1" applyFont="1" applyFill="1" applyAlignment="1">
      <alignment horizontal="left"/>
    </xf>
    <xf numFmtId="182" fontId="30" fillId="14" borderId="48" xfId="1" applyNumberFormat="1" applyFont="1" applyFill="1" applyBorder="1" applyAlignment="1">
      <alignment horizontal="center" vertical="center"/>
    </xf>
    <xf numFmtId="184" fontId="15" fillId="14" borderId="70" xfId="3" applyNumberFormat="1" applyFont="1" applyFill="1" applyBorder="1" applyAlignment="1">
      <alignment vertical="center"/>
    </xf>
    <xf numFmtId="177" fontId="15" fillId="14" borderId="0" xfId="1" applyNumberFormat="1" applyFont="1" applyFill="1">
      <alignment vertical="center"/>
    </xf>
    <xf numFmtId="243" fontId="15" fillId="0" borderId="0" xfId="8" applyNumberFormat="1" applyFont="1" applyAlignment="1">
      <alignment horizontal="center" vertical="center"/>
    </xf>
    <xf numFmtId="184" fontId="15" fillId="14" borderId="53" xfId="3" applyNumberFormat="1" applyFont="1" applyFill="1" applyBorder="1" applyAlignment="1">
      <alignment vertical="center"/>
    </xf>
    <xf numFmtId="177" fontId="15" fillId="14" borderId="27" xfId="1" applyNumberFormat="1" applyFont="1" applyFill="1" applyBorder="1" applyAlignment="1">
      <alignment horizontal="center" vertical="center"/>
    </xf>
    <xf numFmtId="0" fontId="15" fillId="14" borderId="0" xfId="1" applyFont="1" applyFill="1">
      <alignment vertical="center"/>
    </xf>
    <xf numFmtId="10" fontId="24" fillId="14" borderId="65" xfId="1" applyNumberFormat="1" applyFont="1" applyFill="1" applyBorder="1" applyAlignment="1">
      <alignment horizontal="center" vertical="center"/>
    </xf>
    <xf numFmtId="0" fontId="24" fillId="14" borderId="48" xfId="1" applyFont="1" applyFill="1" applyBorder="1" applyAlignment="1">
      <alignment horizontal="center" vertical="center"/>
    </xf>
    <xf numFmtId="0" fontId="24" fillId="14" borderId="26" xfId="1" applyFont="1" applyFill="1" applyBorder="1" applyAlignment="1">
      <alignment horizontal="center" vertical="center"/>
    </xf>
    <xf numFmtId="0" fontId="24" fillId="14" borderId="18" xfId="1" applyFont="1" applyFill="1" applyBorder="1" applyAlignment="1">
      <alignment horizontal="center" vertical="center"/>
    </xf>
    <xf numFmtId="0" fontId="24" fillId="14" borderId="23" xfId="1" applyFont="1" applyFill="1" applyBorder="1" applyAlignment="1">
      <alignment horizontal="center" vertical="center"/>
    </xf>
    <xf numFmtId="192" fontId="24" fillId="14" borderId="92" xfId="1" applyNumberFormat="1" applyFont="1" applyFill="1" applyBorder="1">
      <alignment vertical="center"/>
    </xf>
    <xf numFmtId="1" fontId="24" fillId="47" borderId="48" xfId="1" applyNumberFormat="1" applyFont="1" applyFill="1" applyBorder="1" applyAlignment="1">
      <alignment horizontal="center" vertical="center"/>
    </xf>
    <xf numFmtId="192" fontId="24" fillId="47" borderId="47" xfId="3" applyNumberFormat="1" applyFont="1" applyFill="1" applyBorder="1" applyAlignment="1">
      <alignment vertical="center"/>
    </xf>
    <xf numFmtId="192" fontId="24" fillId="47" borderId="48" xfId="3" applyNumberFormat="1" applyFont="1" applyFill="1" applyBorder="1" applyAlignment="1">
      <alignment vertical="center"/>
    </xf>
    <xf numFmtId="192" fontId="24" fillId="47" borderId="94" xfId="3" applyNumberFormat="1" applyFont="1" applyFill="1" applyBorder="1" applyAlignment="1">
      <alignment vertical="center"/>
    </xf>
    <xf numFmtId="192" fontId="24" fillId="47" borderId="68" xfId="3" applyNumberFormat="1" applyFont="1" applyFill="1" applyBorder="1" applyAlignment="1">
      <alignment vertical="center"/>
    </xf>
    <xf numFmtId="192" fontId="24" fillId="47" borderId="95" xfId="3" applyNumberFormat="1" applyFont="1" applyFill="1" applyBorder="1" applyAlignment="1">
      <alignment vertical="center"/>
    </xf>
    <xf numFmtId="192" fontId="24" fillId="47" borderId="111" xfId="3" applyNumberFormat="1" applyFont="1" applyFill="1" applyBorder="1" applyAlignment="1">
      <alignment vertical="center"/>
    </xf>
    <xf numFmtId="41" fontId="24" fillId="47" borderId="3" xfId="3" applyFont="1" applyFill="1" applyBorder="1" applyAlignment="1">
      <alignment vertical="center"/>
    </xf>
    <xf numFmtId="192" fontId="24" fillId="47" borderId="114" xfId="3" applyNumberFormat="1" applyFont="1" applyFill="1" applyBorder="1" applyAlignment="1">
      <alignment vertical="center"/>
    </xf>
    <xf numFmtId="192" fontId="24" fillId="47" borderId="3" xfId="3" applyNumberFormat="1" applyFont="1" applyFill="1" applyBorder="1" applyAlignment="1">
      <alignment vertical="center"/>
    </xf>
    <xf numFmtId="192" fontId="24" fillId="47" borderId="115" xfId="3" applyNumberFormat="1" applyFont="1" applyFill="1" applyBorder="1" applyAlignment="1">
      <alignment vertical="center"/>
    </xf>
    <xf numFmtId="192" fontId="24" fillId="47" borderId="116" xfId="3" applyNumberFormat="1" applyFont="1" applyFill="1" applyBorder="1" applyAlignment="1">
      <alignment vertical="center"/>
    </xf>
    <xf numFmtId="192" fontId="24" fillId="47" borderId="117" xfId="3" applyNumberFormat="1" applyFont="1" applyFill="1" applyBorder="1" applyAlignment="1">
      <alignment vertical="center"/>
    </xf>
    <xf numFmtId="192" fontId="24" fillId="47" borderId="92" xfId="3" applyNumberFormat="1" applyFont="1" applyFill="1" applyBorder="1" applyAlignment="1">
      <alignment vertical="center"/>
    </xf>
    <xf numFmtId="192" fontId="24" fillId="47" borderId="67" xfId="3" applyNumberFormat="1" applyFont="1" applyFill="1" applyBorder="1" applyAlignment="1">
      <alignment vertical="center"/>
    </xf>
    <xf numFmtId="41" fontId="24" fillId="47" borderId="1" xfId="3" applyFont="1" applyFill="1" applyBorder="1" applyAlignment="1">
      <alignment vertical="center"/>
    </xf>
    <xf numFmtId="192" fontId="24" fillId="47" borderId="50" xfId="3" applyNumberFormat="1" applyFont="1" applyFill="1" applyBorder="1" applyAlignment="1">
      <alignment vertical="center"/>
    </xf>
    <xf numFmtId="192" fontId="24" fillId="47" borderId="73" xfId="3" applyNumberFormat="1" applyFont="1" applyFill="1" applyBorder="1" applyAlignment="1">
      <alignment vertical="center"/>
    </xf>
    <xf numFmtId="192" fontId="24" fillId="47" borderId="72" xfId="3" applyNumberFormat="1" applyFont="1" applyFill="1" applyBorder="1" applyAlignment="1">
      <alignment vertical="center"/>
    </xf>
    <xf numFmtId="192" fontId="24" fillId="47" borderId="90" xfId="3" applyNumberFormat="1" applyFont="1" applyFill="1" applyBorder="1" applyAlignment="1">
      <alignment vertical="center"/>
    </xf>
    <xf numFmtId="41" fontId="24" fillId="47" borderId="50" xfId="1" applyNumberFormat="1" applyFont="1" applyFill="1" applyBorder="1" applyAlignment="1">
      <alignment horizontal="center" vertical="center"/>
    </xf>
    <xf numFmtId="192" fontId="24" fillId="47" borderId="96" xfId="3" applyNumberFormat="1" applyFont="1" applyFill="1" applyBorder="1" applyAlignment="1">
      <alignment vertical="center"/>
    </xf>
    <xf numFmtId="207" fontId="24" fillId="47" borderId="0" xfId="3" applyNumberFormat="1" applyFont="1" applyFill="1" applyBorder="1" applyAlignment="1">
      <alignment vertical="center"/>
    </xf>
    <xf numFmtId="207" fontId="24" fillId="47" borderId="94" xfId="3" applyNumberFormat="1" applyFont="1" applyFill="1" applyBorder="1" applyAlignment="1">
      <alignment vertical="center"/>
    </xf>
    <xf numFmtId="207" fontId="24" fillId="47" borderId="68" xfId="3" applyNumberFormat="1" applyFont="1" applyFill="1" applyBorder="1" applyAlignment="1">
      <alignment vertical="center"/>
    </xf>
    <xf numFmtId="207" fontId="24" fillId="47" borderId="91" xfId="3" applyNumberFormat="1" applyFont="1" applyFill="1" applyBorder="1" applyAlignment="1">
      <alignment vertical="center"/>
    </xf>
    <xf numFmtId="207" fontId="41" fillId="47" borderId="4" xfId="1" applyNumberFormat="1" applyFont="1" applyFill="1" applyBorder="1">
      <alignment vertical="center"/>
    </xf>
    <xf numFmtId="207" fontId="24" fillId="47" borderId="95" xfId="3" applyNumberFormat="1" applyFont="1" applyFill="1" applyBorder="1" applyAlignment="1">
      <alignment vertical="center"/>
    </xf>
    <xf numFmtId="207" fontId="41" fillId="47" borderId="49" xfId="1" applyNumberFormat="1" applyFont="1" applyFill="1" applyBorder="1">
      <alignment vertical="center"/>
    </xf>
    <xf numFmtId="207" fontId="24" fillId="47" borderId="111" xfId="3" applyNumberFormat="1" applyFont="1" applyFill="1" applyBorder="1" applyAlignment="1">
      <alignment vertical="center"/>
    </xf>
    <xf numFmtId="207" fontId="41" fillId="47" borderId="114" xfId="1" applyNumberFormat="1" applyFont="1" applyFill="1" applyBorder="1">
      <alignment vertical="center"/>
    </xf>
    <xf numFmtId="207" fontId="41" fillId="47" borderId="41" xfId="1" applyNumberFormat="1" applyFont="1" applyFill="1" applyBorder="1">
      <alignment vertical="center"/>
    </xf>
    <xf numFmtId="192" fontId="26" fillId="47" borderId="120" xfId="3" applyNumberFormat="1" applyFont="1" applyFill="1" applyBorder="1" applyAlignment="1">
      <alignment vertical="center"/>
    </xf>
    <xf numFmtId="192" fontId="24" fillId="47" borderId="122" xfId="3" applyNumberFormat="1" applyFont="1" applyFill="1" applyBorder="1" applyAlignment="1">
      <alignment vertical="center"/>
    </xf>
    <xf numFmtId="0" fontId="41" fillId="47" borderId="18" xfId="1" applyFont="1" applyFill="1" applyBorder="1">
      <alignment vertical="center"/>
    </xf>
    <xf numFmtId="207" fontId="41" fillId="47" borderId="93" xfId="1" applyNumberFormat="1" applyFont="1" applyFill="1" applyBorder="1">
      <alignment vertical="center"/>
    </xf>
    <xf numFmtId="207" fontId="41" fillId="47" borderId="5" xfId="1" applyNumberFormat="1" applyFont="1" applyFill="1" applyBorder="1">
      <alignment vertical="center"/>
    </xf>
    <xf numFmtId="207" fontId="41" fillId="47" borderId="3" xfId="1" applyNumberFormat="1" applyFont="1" applyFill="1" applyBorder="1">
      <alignment vertical="center"/>
    </xf>
    <xf numFmtId="192" fontId="24" fillId="47" borderId="121" xfId="3" applyNumberFormat="1" applyFont="1" applyFill="1" applyBorder="1" applyAlignment="1">
      <alignment vertical="center"/>
    </xf>
    <xf numFmtId="192" fontId="24" fillId="47" borderId="94" xfId="1" applyNumberFormat="1" applyFont="1" applyFill="1" applyBorder="1">
      <alignment vertical="center"/>
    </xf>
    <xf numFmtId="192" fontId="24" fillId="47" borderId="92" xfId="1" applyNumberFormat="1" applyFont="1" applyFill="1" applyBorder="1">
      <alignment vertical="center"/>
    </xf>
    <xf numFmtId="192" fontId="24" fillId="47" borderId="95" xfId="1" applyNumberFormat="1" applyFont="1" applyFill="1" applyBorder="1">
      <alignment vertical="center"/>
    </xf>
    <xf numFmtId="192" fontId="24" fillId="47" borderId="73" xfId="1" applyNumberFormat="1" applyFont="1" applyFill="1" applyBorder="1">
      <alignment vertical="center"/>
    </xf>
    <xf numFmtId="192" fontId="24" fillId="47" borderId="72" xfId="1" applyNumberFormat="1" applyFont="1" applyFill="1" applyBorder="1">
      <alignment vertical="center"/>
    </xf>
    <xf numFmtId="192" fontId="24" fillId="47" borderId="90" xfId="1" applyNumberFormat="1" applyFont="1" applyFill="1" applyBorder="1">
      <alignment vertical="center"/>
    </xf>
    <xf numFmtId="192" fontId="24" fillId="47" borderId="58" xfId="1" applyNumberFormat="1" applyFont="1" applyFill="1" applyBorder="1" applyAlignment="1">
      <alignment vertical="center" shrinkToFit="1"/>
    </xf>
    <xf numFmtId="192" fontId="24" fillId="47" borderId="75" xfId="1" applyNumberFormat="1" applyFont="1" applyFill="1" applyBorder="1">
      <alignment vertical="center"/>
    </xf>
    <xf numFmtId="192" fontId="30" fillId="47" borderId="45" xfId="1" applyNumberFormat="1" applyFont="1" applyFill="1" applyBorder="1" applyAlignment="1">
      <alignment vertical="center" shrinkToFit="1"/>
    </xf>
    <xf numFmtId="192" fontId="24" fillId="47" borderId="96" xfId="1" applyNumberFormat="1" applyFont="1" applyFill="1" applyBorder="1">
      <alignment vertical="center"/>
    </xf>
    <xf numFmtId="192" fontId="24" fillId="47" borderId="47" xfId="1" applyNumberFormat="1" applyFont="1" applyFill="1" applyBorder="1">
      <alignment vertical="center"/>
    </xf>
    <xf numFmtId="192" fontId="24" fillId="47" borderId="93" xfId="1" applyNumberFormat="1" applyFont="1" applyFill="1" applyBorder="1">
      <alignment vertical="center"/>
    </xf>
    <xf numFmtId="192" fontId="24" fillId="47" borderId="50" xfId="1" applyNumberFormat="1" applyFont="1" applyFill="1" applyBorder="1">
      <alignment vertical="center"/>
    </xf>
    <xf numFmtId="192" fontId="24" fillId="47" borderId="58" xfId="1" applyNumberFormat="1" applyFont="1" applyFill="1" applyBorder="1">
      <alignment vertical="center"/>
    </xf>
    <xf numFmtId="0" fontId="24" fillId="47" borderId="84" xfId="1" applyFont="1" applyFill="1" applyBorder="1" applyAlignment="1">
      <alignment horizontal="centerContinuous" vertical="center"/>
    </xf>
    <xf numFmtId="0" fontId="24" fillId="47" borderId="85" xfId="1" applyFont="1" applyFill="1" applyBorder="1" applyAlignment="1">
      <alignment horizontal="centerContinuous" vertical="center"/>
    </xf>
    <xf numFmtId="10" fontId="24" fillId="47" borderId="65" xfId="1" applyNumberFormat="1" applyFont="1" applyFill="1" applyBorder="1" applyAlignment="1">
      <alignment horizontal="center" vertical="center"/>
    </xf>
    <xf numFmtId="192" fontId="24" fillId="47" borderId="68" xfId="1" applyNumberFormat="1" applyFont="1" applyFill="1" applyBorder="1">
      <alignment vertical="center"/>
    </xf>
    <xf numFmtId="192" fontId="24" fillId="47" borderId="76" xfId="1" applyNumberFormat="1" applyFont="1" applyFill="1" applyBorder="1">
      <alignment vertical="center"/>
    </xf>
    <xf numFmtId="192" fontId="30" fillId="47" borderId="75" xfId="1" applyNumberFormat="1" applyFont="1" applyFill="1" applyBorder="1">
      <alignment vertical="center"/>
    </xf>
    <xf numFmtId="192" fontId="24" fillId="47" borderId="67" xfId="1" applyNumberFormat="1" applyFont="1" applyFill="1" applyBorder="1">
      <alignment vertical="center"/>
    </xf>
    <xf numFmtId="192" fontId="24" fillId="47" borderId="48" xfId="1" applyNumberFormat="1" applyFont="1" applyFill="1" applyBorder="1">
      <alignment vertical="center"/>
    </xf>
    <xf numFmtId="185" fontId="30" fillId="47" borderId="0" xfId="1" applyNumberFormat="1" applyFont="1" applyFill="1" applyAlignment="1">
      <alignment horizontal="left" vertical="center"/>
    </xf>
    <xf numFmtId="188" fontId="38" fillId="47" borderId="43" xfId="1" applyNumberFormat="1" applyFont="1" applyFill="1" applyBorder="1" applyAlignment="1">
      <alignment horizontal="left" vertical="center"/>
    </xf>
    <xf numFmtId="195" fontId="26" fillId="47" borderId="0" xfId="1" applyNumberFormat="1" applyFont="1" applyFill="1" applyAlignment="1">
      <alignment horizontal="left"/>
    </xf>
    <xf numFmtId="1" fontId="24" fillId="47" borderId="47" xfId="1" applyNumberFormat="1" applyFont="1" applyFill="1" applyBorder="1" applyAlignment="1">
      <alignment horizontal="center" vertical="center"/>
    </xf>
    <xf numFmtId="41" fontId="24" fillId="47" borderId="18" xfId="3" applyFont="1" applyFill="1" applyBorder="1" applyAlignment="1">
      <alignment horizontal="center" vertical="center"/>
    </xf>
    <xf numFmtId="192" fontId="24" fillId="47" borderId="5" xfId="3" applyNumberFormat="1" applyFont="1" applyFill="1" applyBorder="1" applyAlignment="1">
      <alignment vertical="center"/>
    </xf>
    <xf numFmtId="41" fontId="24" fillId="47" borderId="23" xfId="3" applyFont="1" applyFill="1" applyBorder="1" applyAlignment="1">
      <alignment horizontal="center" vertical="center"/>
    </xf>
    <xf numFmtId="192" fontId="24" fillId="47" borderId="0" xfId="3" applyNumberFormat="1" applyFont="1" applyFill="1" applyBorder="1" applyAlignment="1">
      <alignment vertical="center"/>
    </xf>
    <xf numFmtId="184" fontId="24" fillId="47" borderId="5" xfId="3" applyNumberFormat="1" applyFont="1" applyFill="1" applyBorder="1" applyAlignment="1">
      <alignment vertical="center"/>
    </xf>
    <xf numFmtId="192" fontId="24" fillId="47" borderId="93" xfId="3" applyNumberFormat="1" applyFont="1" applyFill="1" applyBorder="1" applyAlignment="1">
      <alignment vertical="center"/>
    </xf>
    <xf numFmtId="215" fontId="24" fillId="47" borderId="47" xfId="1" applyNumberFormat="1" applyFont="1" applyFill="1" applyBorder="1">
      <alignment vertical="center"/>
    </xf>
    <xf numFmtId="184" fontId="24" fillId="47" borderId="93" xfId="3" applyNumberFormat="1" applyFont="1" applyFill="1" applyBorder="1" applyAlignment="1">
      <alignment vertical="center" shrinkToFit="1"/>
    </xf>
    <xf numFmtId="184" fontId="24" fillId="47" borderId="18" xfId="3" applyNumberFormat="1" applyFont="1" applyFill="1" applyBorder="1" applyAlignment="1">
      <alignment vertical="center" shrinkToFit="1"/>
    </xf>
    <xf numFmtId="184" fontId="24" fillId="47" borderId="56" xfId="3" applyNumberFormat="1" applyFont="1" applyFill="1" applyBorder="1" applyAlignment="1">
      <alignment vertical="center"/>
    </xf>
    <xf numFmtId="184" fontId="24" fillId="47" borderId="0" xfId="3" applyNumberFormat="1" applyFont="1" applyFill="1" applyBorder="1" applyAlignment="1">
      <alignment vertical="center"/>
    </xf>
    <xf numFmtId="192" fontId="24" fillId="47" borderId="110" xfId="3" applyNumberFormat="1" applyFont="1" applyFill="1" applyBorder="1" applyAlignment="1">
      <alignment vertical="center"/>
    </xf>
    <xf numFmtId="215" fontId="24" fillId="47" borderId="48" xfId="1" applyNumberFormat="1" applyFont="1" applyFill="1" applyBorder="1">
      <alignment vertical="center"/>
    </xf>
    <xf numFmtId="184" fontId="24" fillId="47" borderId="110" xfId="3" applyNumberFormat="1" applyFont="1" applyFill="1" applyBorder="1" applyAlignment="1">
      <alignment vertical="center" shrinkToFit="1"/>
    </xf>
    <xf numFmtId="184" fontId="24" fillId="47" borderId="23" xfId="3" applyNumberFormat="1" applyFont="1" applyFill="1" applyBorder="1" applyAlignment="1">
      <alignment vertical="center" shrinkToFit="1"/>
    </xf>
    <xf numFmtId="184" fontId="24" fillId="47" borderId="51" xfId="3" applyNumberFormat="1" applyFont="1" applyFill="1" applyBorder="1" applyAlignment="1">
      <alignment vertical="center"/>
    </xf>
    <xf numFmtId="184" fontId="30" fillId="47" borderId="0" xfId="3" applyNumberFormat="1" applyFont="1" applyFill="1" applyBorder="1" applyAlignment="1">
      <alignment vertical="center"/>
    </xf>
    <xf numFmtId="215" fontId="24" fillId="47" borderId="3" xfId="1" applyNumberFormat="1" applyFont="1" applyFill="1" applyBorder="1">
      <alignment vertical="center"/>
    </xf>
    <xf numFmtId="184" fontId="24" fillId="47" borderId="114" xfId="3" applyNumberFormat="1" applyFont="1" applyFill="1" applyBorder="1" applyAlignment="1">
      <alignment vertical="center" shrinkToFit="1"/>
    </xf>
    <xf numFmtId="184" fontId="24" fillId="47" borderId="1" xfId="3" applyNumberFormat="1" applyFont="1" applyFill="1" applyBorder="1" applyAlignment="1">
      <alignment vertical="center" shrinkToFit="1"/>
    </xf>
    <xf numFmtId="184" fontId="24" fillId="47" borderId="41" xfId="3" applyNumberFormat="1" applyFont="1" applyFill="1" applyBorder="1" applyAlignment="1">
      <alignment vertical="center"/>
    </xf>
    <xf numFmtId="176" fontId="41" fillId="47" borderId="114" xfId="2" applyNumberFormat="1" applyFont="1" applyFill="1" applyBorder="1">
      <alignment vertical="center"/>
    </xf>
    <xf numFmtId="215" fontId="41" fillId="47" borderId="3" xfId="1" applyNumberFormat="1" applyFont="1" applyFill="1" applyBorder="1">
      <alignment vertical="center"/>
    </xf>
    <xf numFmtId="41" fontId="41" fillId="47" borderId="114" xfId="2" applyFont="1" applyFill="1" applyBorder="1">
      <alignment vertical="center"/>
    </xf>
    <xf numFmtId="176" fontId="41" fillId="47" borderId="7" xfId="2" applyNumberFormat="1" applyFont="1" applyFill="1" applyBorder="1">
      <alignment vertical="center"/>
    </xf>
    <xf numFmtId="41" fontId="41" fillId="47" borderId="1" xfId="2" applyFont="1" applyFill="1" applyBorder="1">
      <alignment vertical="center"/>
    </xf>
    <xf numFmtId="41" fontId="41" fillId="47" borderId="41" xfId="2" applyFont="1" applyFill="1" applyBorder="1">
      <alignment vertical="center"/>
    </xf>
    <xf numFmtId="215" fontId="24" fillId="47" borderId="50" xfId="1" applyNumberFormat="1" applyFont="1" applyFill="1" applyBorder="1">
      <alignment vertical="center"/>
    </xf>
    <xf numFmtId="184" fontId="24" fillId="47" borderId="96" xfId="3" applyNumberFormat="1" applyFont="1" applyFill="1" applyBorder="1" applyAlignment="1">
      <alignment vertical="center" shrinkToFit="1"/>
    </xf>
    <xf numFmtId="184" fontId="24" fillId="47" borderId="26" xfId="3" applyNumberFormat="1" applyFont="1" applyFill="1" applyBorder="1" applyAlignment="1">
      <alignment vertical="center" shrinkToFit="1"/>
    </xf>
    <xf numFmtId="184" fontId="24" fillId="47" borderId="74" xfId="3" applyNumberFormat="1" applyFont="1" applyFill="1" applyBorder="1" applyAlignment="1">
      <alignment vertical="center"/>
    </xf>
    <xf numFmtId="215" fontId="24" fillId="47" borderId="116" xfId="1" applyNumberFormat="1" applyFont="1" applyFill="1" applyBorder="1">
      <alignment vertical="center"/>
    </xf>
    <xf numFmtId="184" fontId="24" fillId="47" borderId="1" xfId="3" applyNumberFormat="1" applyFont="1" applyFill="1" applyBorder="1" applyAlignment="1">
      <alignment vertical="center"/>
    </xf>
    <xf numFmtId="184" fontId="50" fillId="47" borderId="41" xfId="3" applyNumberFormat="1" applyFont="1" applyFill="1" applyBorder="1" applyAlignment="1">
      <alignment vertical="center"/>
    </xf>
    <xf numFmtId="192" fontId="24" fillId="47" borderId="147" xfId="3" applyNumberFormat="1" applyFont="1" applyFill="1" applyBorder="1" applyAlignment="1">
      <alignment vertical="center"/>
    </xf>
    <xf numFmtId="215" fontId="24" fillId="47" borderId="58" xfId="1" applyNumberFormat="1" applyFont="1" applyFill="1" applyBorder="1">
      <alignment vertical="center"/>
    </xf>
    <xf numFmtId="41" fontId="24" fillId="47" borderId="147" xfId="2" applyFont="1" applyFill="1" applyBorder="1" applyAlignment="1">
      <alignment vertical="center"/>
    </xf>
    <xf numFmtId="41" fontId="24" fillId="47" borderId="148" xfId="2" applyFont="1" applyFill="1" applyBorder="1" applyAlignment="1">
      <alignment vertical="center"/>
    </xf>
    <xf numFmtId="184" fontId="30" fillId="47" borderId="7" xfId="3" applyNumberFormat="1" applyFont="1" applyFill="1" applyBorder="1" applyAlignment="1">
      <alignment vertical="center"/>
    </xf>
    <xf numFmtId="41" fontId="47" fillId="47" borderId="3" xfId="2" applyFont="1" applyFill="1" applyBorder="1">
      <alignment vertical="center"/>
    </xf>
    <xf numFmtId="184" fontId="24" fillId="47" borderId="27" xfId="3" applyNumberFormat="1" applyFont="1" applyFill="1" applyBorder="1" applyAlignment="1">
      <alignment vertical="center"/>
    </xf>
    <xf numFmtId="192" fontId="24" fillId="47" borderId="7" xfId="3" applyNumberFormat="1" applyFont="1" applyFill="1" applyBorder="1" applyAlignment="1">
      <alignment vertical="center"/>
    </xf>
    <xf numFmtId="184" fontId="24" fillId="47" borderId="43" xfId="3" applyNumberFormat="1" applyFont="1" applyFill="1" applyBorder="1" applyAlignment="1">
      <alignment vertical="center"/>
    </xf>
    <xf numFmtId="0" fontId="24" fillId="47" borderId="48" xfId="1" applyFont="1" applyFill="1" applyBorder="1" applyAlignment="1">
      <alignment horizontal="center" vertical="center"/>
    </xf>
    <xf numFmtId="41" fontId="24" fillId="47" borderId="23" xfId="3" applyFont="1" applyFill="1" applyBorder="1" applyAlignment="1">
      <alignment vertical="center"/>
    </xf>
    <xf numFmtId="0" fontId="24" fillId="47" borderId="26" xfId="1" applyFont="1" applyFill="1" applyBorder="1" applyAlignment="1">
      <alignment horizontal="center" vertical="center"/>
    </xf>
    <xf numFmtId="41" fontId="24" fillId="47" borderId="26" xfId="3" applyFont="1" applyFill="1" applyBorder="1" applyAlignment="1">
      <alignment vertical="center"/>
    </xf>
    <xf numFmtId="41" fontId="24" fillId="47" borderId="3" xfId="1" applyNumberFormat="1" applyFont="1" applyFill="1" applyBorder="1">
      <alignment vertical="center"/>
    </xf>
    <xf numFmtId="184" fontId="30" fillId="47" borderId="131" xfId="3" applyNumberFormat="1" applyFont="1" applyFill="1" applyBorder="1" applyAlignment="1">
      <alignment vertical="center"/>
    </xf>
    <xf numFmtId="41" fontId="24" fillId="47" borderId="58" xfId="1" applyNumberFormat="1" applyFont="1" applyFill="1" applyBorder="1">
      <alignment vertical="center"/>
    </xf>
    <xf numFmtId="192" fontId="24" fillId="47" borderId="59" xfId="3" applyNumberFormat="1" applyFont="1" applyFill="1" applyBorder="1" applyAlignment="1">
      <alignment vertical="center"/>
    </xf>
    <xf numFmtId="184" fontId="24" fillId="47" borderId="146" xfId="3" applyNumberFormat="1" applyFont="1" applyFill="1" applyBorder="1" applyAlignment="1">
      <alignment vertical="center"/>
    </xf>
    <xf numFmtId="41" fontId="41" fillId="47" borderId="1" xfId="1" applyNumberFormat="1" applyFont="1" applyFill="1" applyBorder="1">
      <alignment vertical="center"/>
    </xf>
    <xf numFmtId="41" fontId="47" fillId="47" borderId="131" xfId="2" applyFont="1" applyFill="1" applyBorder="1">
      <alignment vertical="center"/>
    </xf>
    <xf numFmtId="41" fontId="24" fillId="47" borderId="1" xfId="3" applyFont="1" applyFill="1" applyBorder="1" applyAlignment="1">
      <alignment horizontal="center" vertical="center"/>
    </xf>
    <xf numFmtId="0" fontId="43" fillId="47" borderId="0" xfId="1" applyFont="1" applyFill="1" applyAlignment="1">
      <alignment horizontal="center" vertical="center"/>
    </xf>
    <xf numFmtId="192" fontId="44" fillId="47" borderId="0" xfId="1" applyNumberFormat="1" applyFont="1" applyFill="1">
      <alignment vertical="center"/>
    </xf>
    <xf numFmtId="10" fontId="15" fillId="47" borderId="0" xfId="1" applyNumberFormat="1" applyFont="1" applyFill="1">
      <alignment vertical="center"/>
    </xf>
    <xf numFmtId="0" fontId="0" fillId="51" borderId="0" xfId="0" applyFill="1" applyAlignment="1">
      <alignment vertical="center" wrapText="1"/>
    </xf>
    <xf numFmtId="0" fontId="15" fillId="47" borderId="0" xfId="1" applyFont="1" applyFill="1">
      <alignment vertical="center"/>
    </xf>
    <xf numFmtId="10" fontId="15" fillId="47" borderId="0" xfId="1" applyNumberFormat="1" applyFont="1" applyFill="1" applyAlignment="1">
      <alignment horizontal="center" vertical="center"/>
    </xf>
    <xf numFmtId="184" fontId="24" fillId="47" borderId="53" xfId="3" applyNumberFormat="1" applyFont="1" applyFill="1" applyBorder="1" applyAlignment="1">
      <alignment vertical="center"/>
    </xf>
    <xf numFmtId="184" fontId="15" fillId="47" borderId="55" xfId="3" applyNumberFormat="1" applyFont="1" applyFill="1" applyBorder="1" applyAlignment="1">
      <alignment vertical="center"/>
    </xf>
    <xf numFmtId="184" fontId="15" fillId="47" borderId="53" xfId="3" applyNumberFormat="1" applyFont="1" applyFill="1" applyBorder="1" applyAlignment="1">
      <alignment vertical="center"/>
    </xf>
    <xf numFmtId="184" fontId="15" fillId="47" borderId="70" xfId="3" applyNumberFormat="1" applyFont="1" applyFill="1" applyBorder="1" applyAlignment="1">
      <alignment vertical="center"/>
    </xf>
    <xf numFmtId="184" fontId="24" fillId="47" borderId="80" xfId="3" applyNumberFormat="1" applyFont="1" applyFill="1" applyBorder="1" applyAlignment="1">
      <alignment vertical="center"/>
    </xf>
    <xf numFmtId="184" fontId="24" fillId="47" borderId="55" xfId="3" applyNumberFormat="1" applyFont="1" applyFill="1" applyBorder="1" applyAlignment="1">
      <alignment vertical="center"/>
    </xf>
    <xf numFmtId="41" fontId="24" fillId="47" borderId="47" xfId="1" applyNumberFormat="1" applyFont="1" applyFill="1" applyBorder="1">
      <alignment vertical="center"/>
    </xf>
    <xf numFmtId="192" fontId="26" fillId="47" borderId="93" xfId="3" applyNumberFormat="1" applyFont="1" applyFill="1" applyBorder="1" applyAlignment="1">
      <alignment vertical="center"/>
    </xf>
    <xf numFmtId="192" fontId="26" fillId="47" borderId="92" xfId="3" applyNumberFormat="1" applyFont="1" applyFill="1" applyBorder="1" applyAlignment="1">
      <alignment vertical="center"/>
    </xf>
    <xf numFmtId="241" fontId="37" fillId="34" borderId="226" xfId="4" applyNumberFormat="1" applyFont="1" applyFill="1" applyBorder="1" applyAlignment="1">
      <alignment vertical="center"/>
    </xf>
    <xf numFmtId="241" fontId="37" fillId="47" borderId="227" xfId="4" applyNumberFormat="1" applyFont="1" applyFill="1" applyBorder="1" applyAlignment="1">
      <alignment vertical="center"/>
    </xf>
    <xf numFmtId="41" fontId="42" fillId="47" borderId="227" xfId="3" applyFont="1" applyFill="1" applyBorder="1" applyAlignment="1">
      <alignment vertical="center"/>
    </xf>
    <xf numFmtId="242" fontId="42" fillId="47" borderId="148" xfId="4" applyNumberFormat="1" applyFont="1" applyFill="1" applyBorder="1" applyAlignment="1">
      <alignment vertical="center"/>
    </xf>
    <xf numFmtId="41" fontId="71" fillId="47" borderId="1" xfId="2" applyFont="1" applyFill="1" applyBorder="1">
      <alignment vertical="center"/>
    </xf>
    <xf numFmtId="177" fontId="15" fillId="13" borderId="0" xfId="10" applyNumberFormat="1" applyFont="1" applyFill="1">
      <alignment vertical="center"/>
    </xf>
    <xf numFmtId="184" fontId="24" fillId="47" borderId="97" xfId="3" applyNumberFormat="1" applyFont="1" applyFill="1" applyBorder="1" applyAlignment="1">
      <alignment vertical="center"/>
    </xf>
    <xf numFmtId="184" fontId="15" fillId="47" borderId="113" xfId="3" applyNumberFormat="1" applyFont="1" applyFill="1" applyBorder="1" applyAlignment="1">
      <alignment vertical="center"/>
    </xf>
    <xf numFmtId="41" fontId="15" fillId="47" borderId="53" xfId="3" applyFont="1" applyFill="1" applyBorder="1" applyAlignment="1">
      <alignment vertical="center"/>
    </xf>
    <xf numFmtId="184" fontId="24" fillId="47" borderId="134" xfId="3" applyNumberFormat="1" applyFont="1" applyFill="1" applyBorder="1" applyAlignment="1">
      <alignment vertical="center"/>
    </xf>
    <xf numFmtId="184" fontId="24" fillId="47" borderId="137" xfId="3" applyNumberFormat="1" applyFont="1" applyFill="1" applyBorder="1" applyAlignment="1">
      <alignment vertical="center"/>
    </xf>
    <xf numFmtId="184" fontId="24" fillId="47" borderId="61" xfId="3" applyNumberFormat="1" applyFont="1" applyFill="1" applyBorder="1" applyAlignment="1">
      <alignment vertical="center"/>
    </xf>
    <xf numFmtId="184" fontId="24" fillId="47" borderId="149" xfId="3" applyNumberFormat="1" applyFont="1" applyFill="1" applyBorder="1" applyAlignment="1">
      <alignment vertical="center"/>
    </xf>
    <xf numFmtId="206" fontId="15" fillId="47" borderId="88" xfId="3" applyNumberFormat="1" applyFont="1" applyFill="1" applyBorder="1" applyAlignment="1">
      <alignment horizontal="center" vertical="center"/>
    </xf>
    <xf numFmtId="177" fontId="15" fillId="14" borderId="88" xfId="1" applyNumberFormat="1" applyFont="1" applyFill="1" applyBorder="1" applyAlignment="1">
      <alignment horizontal="center" vertical="center"/>
    </xf>
    <xf numFmtId="177" fontId="15" fillId="47" borderId="0" xfId="1" applyNumberFormat="1" applyFont="1" applyFill="1" applyAlignment="1">
      <alignment horizontal="right" vertical="center" shrinkToFit="1"/>
    </xf>
    <xf numFmtId="0" fontId="28" fillId="0" borderId="143" xfId="1" applyFont="1" applyBorder="1" applyAlignment="1">
      <alignment horizontal="left" vertical="center"/>
    </xf>
    <xf numFmtId="0" fontId="28" fillId="0" borderId="69" xfId="1" applyFont="1" applyBorder="1">
      <alignment vertical="center"/>
    </xf>
    <xf numFmtId="184" fontId="15" fillId="0" borderId="49" xfId="1" applyNumberFormat="1" applyFont="1" applyBorder="1">
      <alignment vertical="center"/>
    </xf>
    <xf numFmtId="184" fontId="15" fillId="0" borderId="0" xfId="1" applyNumberFormat="1" applyFont="1" applyAlignment="1">
      <alignment horizontal="center" vertical="center"/>
    </xf>
    <xf numFmtId="0" fontId="15" fillId="0" borderId="57" xfId="1" applyFont="1" applyBorder="1">
      <alignment vertical="center"/>
    </xf>
    <xf numFmtId="0" fontId="15" fillId="0" borderId="25" xfId="1" applyFont="1" applyBorder="1" applyAlignment="1">
      <alignment horizontal="left" vertical="center"/>
    </xf>
    <xf numFmtId="0" fontId="28" fillId="0" borderId="27" xfId="1" applyFont="1" applyBorder="1" applyAlignment="1">
      <alignment horizontal="left" vertical="center"/>
    </xf>
    <xf numFmtId="0" fontId="28" fillId="0" borderId="60" xfId="1" applyFont="1" applyBorder="1" applyAlignment="1">
      <alignment horizontal="left" vertical="center"/>
    </xf>
    <xf numFmtId="0" fontId="15" fillId="0" borderId="27" xfId="3" applyNumberFormat="1" applyFont="1" applyFill="1" applyBorder="1" applyAlignment="1">
      <alignment vertical="center"/>
    </xf>
    <xf numFmtId="187" fontId="24" fillId="0" borderId="27" xfId="1" applyNumberFormat="1" applyFont="1" applyBorder="1" applyAlignment="1">
      <alignment horizontal="center" vertical="center"/>
    </xf>
    <xf numFmtId="0" fontId="15" fillId="13" borderId="0" xfId="1" applyFont="1" applyFill="1" applyAlignment="1">
      <alignment horizontal="center" vertical="center"/>
    </xf>
    <xf numFmtId="177" fontId="2" fillId="13" borderId="0" xfId="1" applyNumberFormat="1" applyFill="1" applyAlignment="1">
      <alignment horizontal="center" vertical="center"/>
    </xf>
    <xf numFmtId="0" fontId="41" fillId="13" borderId="0" xfId="1" applyFont="1" applyFill="1" applyAlignment="1">
      <alignment horizontal="center" vertical="center"/>
    </xf>
    <xf numFmtId="0" fontId="24" fillId="13" borderId="0" xfId="1" applyFont="1" applyFill="1" applyAlignment="1">
      <alignment horizontal="center" vertical="center"/>
    </xf>
    <xf numFmtId="1" fontId="2" fillId="13" borderId="0" xfId="1" applyNumberFormat="1" applyFill="1" applyAlignment="1">
      <alignment horizontal="center" vertical="center"/>
    </xf>
    <xf numFmtId="177" fontId="15" fillId="13" borderId="0" xfId="6" applyNumberFormat="1" applyFont="1" applyFill="1" applyBorder="1" applyAlignment="1">
      <alignment horizontal="center" vertical="center"/>
    </xf>
    <xf numFmtId="184" fontId="2" fillId="13" borderId="0" xfId="1" applyNumberFormat="1" applyFill="1">
      <alignment vertical="center"/>
    </xf>
    <xf numFmtId="0" fontId="2" fillId="13" borderId="0" xfId="1" applyFill="1" applyAlignment="1">
      <alignment horizontal="center" vertical="center"/>
    </xf>
    <xf numFmtId="0" fontId="42" fillId="13" borderId="0" xfId="1" applyFont="1" applyFill="1" applyAlignment="1">
      <alignment horizontal="center" vertical="center"/>
    </xf>
    <xf numFmtId="241" fontId="37" fillId="13" borderId="0" xfId="4" applyNumberFormat="1" applyFont="1" applyFill="1" applyBorder="1" applyAlignment="1">
      <alignment vertical="center"/>
    </xf>
    <xf numFmtId="177" fontId="30" fillId="13" borderId="0" xfId="6" applyNumberFormat="1" applyFont="1" applyFill="1" applyBorder="1" applyAlignment="1">
      <alignment horizontal="center" vertical="center"/>
    </xf>
    <xf numFmtId="184" fontId="47" fillId="13" borderId="0" xfId="1" applyNumberFormat="1" applyFont="1" applyFill="1">
      <alignment vertical="center"/>
    </xf>
    <xf numFmtId="41" fontId="30" fillId="13" borderId="0" xfId="2" applyFont="1" applyFill="1" applyBorder="1" applyAlignment="1">
      <alignment vertical="center"/>
    </xf>
    <xf numFmtId="0" fontId="42" fillId="13" borderId="0" xfId="1" applyFont="1" applyFill="1">
      <alignment vertical="center"/>
    </xf>
    <xf numFmtId="41" fontId="42" fillId="13" borderId="0" xfId="3" applyFont="1" applyFill="1" applyBorder="1" applyAlignment="1">
      <alignment vertical="center"/>
    </xf>
    <xf numFmtId="242" fontId="42" fillId="13" borderId="0" xfId="4" applyNumberFormat="1" applyFont="1" applyFill="1" applyBorder="1" applyAlignment="1">
      <alignment vertical="center"/>
    </xf>
    <xf numFmtId="184" fontId="15" fillId="47" borderId="0" xfId="1" applyNumberFormat="1" applyFont="1" applyFill="1">
      <alignment vertical="center"/>
    </xf>
    <xf numFmtId="10" fontId="24" fillId="47" borderId="105" xfId="1" applyNumberFormat="1" applyFont="1" applyFill="1" applyBorder="1" applyAlignment="1">
      <alignment horizontal="centerContinuous" vertical="center"/>
    </xf>
    <xf numFmtId="177" fontId="15" fillId="47" borderId="0" xfId="1" applyNumberFormat="1" applyFont="1" applyFill="1">
      <alignment vertical="center"/>
    </xf>
    <xf numFmtId="41" fontId="15" fillId="47" borderId="0" xfId="3" applyFont="1" applyFill="1" applyBorder="1" applyAlignment="1">
      <alignment vertical="center"/>
    </xf>
    <xf numFmtId="41" fontId="24" fillId="47" borderId="79" xfId="3" applyFont="1" applyFill="1" applyBorder="1" applyAlignment="1">
      <alignment vertical="center"/>
    </xf>
    <xf numFmtId="41" fontId="24" fillId="47" borderId="31" xfId="3" applyFont="1" applyFill="1" applyBorder="1" applyAlignment="1">
      <alignment vertical="center"/>
    </xf>
    <xf numFmtId="41" fontId="15" fillId="47" borderId="0" xfId="1" applyNumberFormat="1" applyFont="1" applyFill="1">
      <alignment vertical="center"/>
    </xf>
    <xf numFmtId="43" fontId="15" fillId="47" borderId="0" xfId="1" applyNumberFormat="1" applyFont="1" applyFill="1">
      <alignment vertical="center"/>
    </xf>
    <xf numFmtId="41" fontId="24" fillId="47" borderId="133" xfId="3" applyFont="1" applyFill="1" applyBorder="1" applyAlignment="1">
      <alignment vertical="center"/>
    </xf>
    <xf numFmtId="41" fontId="24" fillId="47" borderId="79" xfId="1" applyNumberFormat="1" applyFont="1" applyFill="1" applyBorder="1">
      <alignment vertical="center"/>
    </xf>
    <xf numFmtId="0" fontId="32" fillId="29" borderId="0" xfId="1" applyFont="1" applyFill="1">
      <alignment vertical="center"/>
    </xf>
    <xf numFmtId="0" fontId="34" fillId="29" borderId="0" xfId="1" applyFont="1" applyFill="1">
      <alignment vertical="center"/>
    </xf>
    <xf numFmtId="0" fontId="8" fillId="29" borderId="0" xfId="1" applyFont="1" applyFill="1">
      <alignment vertical="center"/>
    </xf>
    <xf numFmtId="0" fontId="15" fillId="29" borderId="49" xfId="1" applyFont="1" applyFill="1" applyBorder="1">
      <alignment vertical="center"/>
    </xf>
    <xf numFmtId="0" fontId="15" fillId="29" borderId="4" xfId="1" applyFont="1" applyFill="1" applyBorder="1">
      <alignment vertical="center"/>
    </xf>
    <xf numFmtId="0" fontId="15" fillId="29" borderId="59" xfId="1" applyFont="1" applyFill="1" applyBorder="1">
      <alignment vertical="center"/>
    </xf>
    <xf numFmtId="0" fontId="24" fillId="29" borderId="33" xfId="1" applyFont="1" applyFill="1" applyBorder="1" applyAlignment="1">
      <alignment horizontal="center" vertical="center"/>
    </xf>
    <xf numFmtId="0" fontId="24" fillId="29" borderId="2" xfId="1" applyFont="1" applyFill="1" applyBorder="1" applyAlignment="1">
      <alignment horizontal="center" vertical="center"/>
    </xf>
    <xf numFmtId="182" fontId="26" fillId="29" borderId="25" xfId="1" applyNumberFormat="1" applyFont="1" applyFill="1" applyBorder="1" applyAlignment="1">
      <alignment horizontal="center" vertical="center"/>
    </xf>
    <xf numFmtId="0" fontId="24" fillId="29" borderId="50" xfId="1" applyFont="1" applyFill="1" applyBorder="1" applyAlignment="1">
      <alignment horizontal="center" vertical="center"/>
    </xf>
    <xf numFmtId="0" fontId="24" fillId="29" borderId="34" xfId="1" applyFont="1" applyFill="1" applyBorder="1" applyAlignment="1">
      <alignment horizontal="center" vertical="center"/>
    </xf>
    <xf numFmtId="0" fontId="24" fillId="29" borderId="7" xfId="1" applyFont="1" applyFill="1" applyBorder="1" applyAlignment="1">
      <alignment horizontal="center" vertical="center"/>
    </xf>
    <xf numFmtId="0" fontId="15" fillId="29" borderId="0" xfId="1" applyFont="1" applyFill="1">
      <alignment vertical="center"/>
    </xf>
    <xf numFmtId="0" fontId="15" fillId="29" borderId="43" xfId="1" applyFont="1" applyFill="1" applyBorder="1">
      <alignment vertical="center"/>
    </xf>
    <xf numFmtId="0" fontId="28" fillId="29" borderId="38" xfId="3" applyNumberFormat="1" applyFont="1" applyFill="1" applyBorder="1" applyAlignment="1">
      <alignment horizontal="center" vertical="center"/>
    </xf>
    <xf numFmtId="0" fontId="28" fillId="29" borderId="44" xfId="3" applyNumberFormat="1" applyFont="1" applyFill="1" applyBorder="1" applyAlignment="1">
      <alignment horizontal="center" vertical="center"/>
    </xf>
    <xf numFmtId="0" fontId="15" fillId="29" borderId="5" xfId="1" applyFont="1" applyFill="1" applyBorder="1">
      <alignment vertical="center"/>
    </xf>
    <xf numFmtId="41" fontId="15" fillId="29" borderId="5" xfId="3" applyFont="1" applyFill="1" applyBorder="1" applyAlignment="1">
      <alignment horizontal="right" vertical="center"/>
    </xf>
    <xf numFmtId="41" fontId="15" fillId="29" borderId="0" xfId="3" applyFont="1" applyFill="1" applyBorder="1" applyAlignment="1">
      <alignment horizontal="right" vertical="center"/>
    </xf>
    <xf numFmtId="184" fontId="15" fillId="29" borderId="49" xfId="1" applyNumberFormat="1" applyFont="1" applyFill="1" applyBorder="1">
      <alignment vertical="center"/>
    </xf>
    <xf numFmtId="0" fontId="28" fillId="29" borderId="52" xfId="1" applyFont="1" applyFill="1" applyBorder="1">
      <alignment vertical="center"/>
    </xf>
    <xf numFmtId="0" fontId="28" fillId="29" borderId="78" xfId="1" applyFont="1" applyFill="1" applyBorder="1">
      <alignment vertical="center"/>
    </xf>
    <xf numFmtId="0" fontId="29" fillId="29" borderId="79" xfId="1" applyFont="1" applyFill="1" applyBorder="1">
      <alignment vertical="center"/>
    </xf>
    <xf numFmtId="0" fontId="15" fillId="29" borderId="79" xfId="1" applyFont="1" applyFill="1" applyBorder="1">
      <alignment vertical="center"/>
    </xf>
    <xf numFmtId="0" fontId="29" fillId="29" borderId="0" xfId="1" applyFont="1" applyFill="1">
      <alignment vertical="center"/>
    </xf>
    <xf numFmtId="0" fontId="24" fillId="29" borderId="0" xfId="1" applyFont="1" applyFill="1">
      <alignment vertical="center"/>
    </xf>
    <xf numFmtId="0" fontId="28" fillId="29" borderId="4" xfId="1" applyFont="1" applyFill="1" applyBorder="1">
      <alignment vertical="center"/>
    </xf>
    <xf numFmtId="0" fontId="29" fillId="29" borderId="5" xfId="1" applyFont="1" applyFill="1" applyBorder="1">
      <alignment vertical="center"/>
    </xf>
    <xf numFmtId="0" fontId="28" fillId="29" borderId="49" xfId="1" applyFont="1" applyFill="1" applyBorder="1">
      <alignment vertical="center"/>
    </xf>
    <xf numFmtId="0" fontId="15" fillId="29" borderId="87" xfId="1" applyFont="1" applyFill="1" applyBorder="1">
      <alignment vertical="center"/>
    </xf>
    <xf numFmtId="0" fontId="15" fillId="29" borderId="88" xfId="1" applyFont="1" applyFill="1" applyBorder="1">
      <alignment vertical="center"/>
    </xf>
    <xf numFmtId="0" fontId="15" fillId="29" borderId="91" xfId="1" applyFont="1" applyFill="1" applyBorder="1">
      <alignment vertical="center"/>
    </xf>
    <xf numFmtId="0" fontId="15" fillId="29" borderId="83" xfId="1" applyFont="1" applyFill="1" applyBorder="1">
      <alignment vertical="center"/>
    </xf>
    <xf numFmtId="0" fontId="40" fillId="29" borderId="49" xfId="1" applyFont="1" applyFill="1" applyBorder="1">
      <alignment vertical="center"/>
    </xf>
    <xf numFmtId="41" fontId="28" fillId="29" borderId="110" xfId="1" applyNumberFormat="1" applyFont="1" applyFill="1" applyBorder="1">
      <alignment vertical="center"/>
    </xf>
    <xf numFmtId="0" fontId="15" fillId="29" borderId="87" xfId="1" applyFont="1" applyFill="1" applyBorder="1" applyAlignment="1">
      <alignment horizontal="left" vertical="center"/>
    </xf>
    <xf numFmtId="41" fontId="15" fillId="29" borderId="88" xfId="1" applyNumberFormat="1" applyFont="1" applyFill="1" applyBorder="1">
      <alignment vertical="center"/>
    </xf>
    <xf numFmtId="0" fontId="28" fillId="29" borderId="110" xfId="1" applyFont="1" applyFill="1" applyBorder="1">
      <alignment vertical="center"/>
    </xf>
    <xf numFmtId="0" fontId="28" fillId="29" borderId="25" xfId="1" applyFont="1" applyFill="1" applyBorder="1">
      <alignment vertical="center"/>
    </xf>
    <xf numFmtId="0" fontId="15" fillId="29" borderId="112" xfId="1" applyFont="1" applyFill="1" applyBorder="1">
      <alignment vertical="center"/>
    </xf>
    <xf numFmtId="0" fontId="15" fillId="29" borderId="27" xfId="1" applyFont="1" applyFill="1" applyBorder="1">
      <alignment vertical="center"/>
    </xf>
    <xf numFmtId="0" fontId="28" fillId="29" borderId="5" xfId="1" applyFont="1" applyFill="1" applyBorder="1">
      <alignment vertical="center"/>
    </xf>
    <xf numFmtId="0" fontId="24" fillId="29" borderId="5" xfId="1" applyFont="1" applyFill="1" applyBorder="1">
      <alignment vertical="center"/>
    </xf>
    <xf numFmtId="0" fontId="15" fillId="29" borderId="110" xfId="1" applyFont="1" applyFill="1" applyBorder="1">
      <alignment vertical="center"/>
    </xf>
    <xf numFmtId="0" fontId="24" fillId="29" borderId="88" xfId="1" applyFont="1" applyFill="1" applyBorder="1">
      <alignment vertical="center"/>
    </xf>
    <xf numFmtId="0" fontId="24" fillId="29" borderId="133" xfId="1" applyFont="1" applyFill="1" applyBorder="1">
      <alignment vertical="center"/>
    </xf>
    <xf numFmtId="0" fontId="15" fillId="29" borderId="133" xfId="1" applyFont="1" applyFill="1" applyBorder="1">
      <alignment vertical="center"/>
    </xf>
    <xf numFmtId="0" fontId="28" fillId="29" borderId="31" xfId="1" applyFont="1" applyFill="1" applyBorder="1">
      <alignment vertical="center"/>
    </xf>
    <xf numFmtId="0" fontId="15" fillId="29" borderId="31" xfId="1" applyFont="1" applyFill="1" applyBorder="1">
      <alignment vertical="center"/>
    </xf>
    <xf numFmtId="0" fontId="24" fillId="29" borderId="31" xfId="1" applyFont="1" applyFill="1" applyBorder="1">
      <alignment vertical="center"/>
    </xf>
    <xf numFmtId="0" fontId="28" fillId="29" borderId="0" xfId="1" applyFont="1" applyFill="1">
      <alignment vertical="center"/>
    </xf>
    <xf numFmtId="0" fontId="24" fillId="29" borderId="79" xfId="1" applyFont="1" applyFill="1" applyBorder="1">
      <alignment vertical="center"/>
    </xf>
    <xf numFmtId="0" fontId="24" fillId="29" borderId="83" xfId="1" applyFont="1" applyFill="1" applyBorder="1">
      <alignment vertical="center"/>
    </xf>
    <xf numFmtId="177" fontId="15" fillId="29" borderId="83" xfId="1" applyNumberFormat="1" applyFont="1" applyFill="1" applyBorder="1">
      <alignment vertical="center"/>
    </xf>
    <xf numFmtId="10" fontId="15" fillId="29" borderId="0" xfId="1" applyNumberFormat="1" applyFont="1" applyFill="1" applyAlignment="1">
      <alignment horizontal="center" vertical="center"/>
    </xf>
    <xf numFmtId="0" fontId="15" fillId="29" borderId="0" xfId="1" applyFont="1" applyFill="1" applyAlignment="1">
      <alignment horizontal="center" vertical="center"/>
    </xf>
    <xf numFmtId="191" fontId="15" fillId="29" borderId="0" xfId="1" applyNumberFormat="1" applyFont="1" applyFill="1">
      <alignment vertical="center"/>
    </xf>
    <xf numFmtId="208" fontId="15" fillId="29" borderId="0" xfId="1" applyNumberFormat="1" applyFont="1" applyFill="1">
      <alignment vertical="center"/>
    </xf>
    <xf numFmtId="41" fontId="15" fillId="29" borderId="0" xfId="3" applyFont="1" applyFill="1" applyBorder="1" applyAlignment="1">
      <alignment horizontal="left" vertical="center"/>
    </xf>
    <xf numFmtId="41" fontId="32" fillId="29" borderId="0" xfId="3" applyFont="1" applyFill="1" applyBorder="1" applyAlignment="1">
      <alignment horizontal="left" vertical="center"/>
    </xf>
    <xf numFmtId="0" fontId="46" fillId="29" borderId="0" xfId="1" applyFont="1" applyFill="1">
      <alignment vertical="center"/>
    </xf>
    <xf numFmtId="217" fontId="30" fillId="29" borderId="0" xfId="1" applyNumberFormat="1" applyFont="1" applyFill="1" applyAlignment="1">
      <alignment horizontal="center" vertical="center"/>
    </xf>
    <xf numFmtId="177" fontId="26" fillId="29" borderId="0" xfId="1" applyNumberFormat="1" applyFont="1" applyFill="1" applyAlignment="1">
      <alignment horizontal="center" vertical="center"/>
    </xf>
    <xf numFmtId="218" fontId="32" fillId="29" borderId="0" xfId="1" applyNumberFormat="1" applyFont="1" applyFill="1">
      <alignment vertical="center"/>
    </xf>
    <xf numFmtId="218" fontId="30" fillId="29" borderId="0" xfId="1" applyNumberFormat="1" applyFont="1" applyFill="1">
      <alignment vertical="center"/>
    </xf>
    <xf numFmtId="10" fontId="33" fillId="29" borderId="0" xfId="1" applyNumberFormat="1" applyFont="1" applyFill="1">
      <alignment vertical="center"/>
    </xf>
    <xf numFmtId="0" fontId="30" fillId="29" borderId="0" xfId="1" applyFont="1" applyFill="1" applyAlignment="1">
      <alignment horizontal="left" vertical="center"/>
    </xf>
    <xf numFmtId="204" fontId="15" fillId="29" borderId="0" xfId="3" applyNumberFormat="1" applyFont="1" applyFill="1" applyBorder="1" applyAlignment="1">
      <alignment vertical="center"/>
    </xf>
    <xf numFmtId="219" fontId="15" fillId="29" borderId="0" xfId="1" applyNumberFormat="1" applyFont="1" applyFill="1" applyAlignment="1">
      <alignment horizontal="left" vertical="center"/>
    </xf>
    <xf numFmtId="220" fontId="15" fillId="29" borderId="0" xfId="1" applyNumberFormat="1" applyFont="1" applyFill="1">
      <alignment vertical="center"/>
    </xf>
    <xf numFmtId="217" fontId="15" fillId="29" borderId="0" xfId="1" applyNumberFormat="1" applyFont="1" applyFill="1">
      <alignment vertical="center"/>
    </xf>
    <xf numFmtId="177" fontId="24" fillId="29" borderId="0" xfId="1" applyNumberFormat="1" applyFont="1" applyFill="1">
      <alignment vertical="center"/>
    </xf>
    <xf numFmtId="177" fontId="24" fillId="0" borderId="51" xfId="1" applyNumberFormat="1" applyFont="1" applyBorder="1">
      <alignment vertical="center"/>
    </xf>
    <xf numFmtId="218" fontId="15" fillId="29" borderId="0" xfId="1" applyNumberFormat="1" applyFont="1" applyFill="1">
      <alignment vertical="center"/>
    </xf>
    <xf numFmtId="202" fontId="15" fillId="29" borderId="0" xfId="3" applyNumberFormat="1" applyFont="1" applyFill="1" applyBorder="1" applyAlignment="1">
      <alignment horizontal="center" vertical="center"/>
    </xf>
    <xf numFmtId="0" fontId="15" fillId="29" borderId="0" xfId="1" applyFont="1" applyFill="1" applyAlignment="1">
      <alignment horizontal="left" vertical="center"/>
    </xf>
    <xf numFmtId="0" fontId="3" fillId="29" borderId="0" xfId="1" applyFont="1" applyFill="1" applyAlignment="1">
      <alignment horizontal="center" vertical="center"/>
    </xf>
    <xf numFmtId="41" fontId="15" fillId="29" borderId="0" xfId="1" applyNumberFormat="1" applyFont="1" applyFill="1">
      <alignment vertical="center"/>
    </xf>
    <xf numFmtId="9" fontId="15" fillId="29" borderId="0" xfId="1" applyNumberFormat="1" applyFont="1" applyFill="1">
      <alignment vertical="center"/>
    </xf>
    <xf numFmtId="9" fontId="15" fillId="29" borderId="0" xfId="1" applyNumberFormat="1" applyFont="1" applyFill="1" applyAlignment="1">
      <alignment horizontal="right" vertical="center"/>
    </xf>
    <xf numFmtId="0" fontId="15" fillId="29" borderId="88" xfId="1" applyFont="1" applyFill="1" applyBorder="1" applyAlignment="1">
      <alignment horizontal="center" vertical="center"/>
    </xf>
    <xf numFmtId="211" fontId="15" fillId="29" borderId="88" xfId="1" applyNumberFormat="1" applyFont="1" applyFill="1" applyBorder="1" applyAlignment="1">
      <alignment horizontal="center" vertical="center"/>
    </xf>
    <xf numFmtId="206" fontId="15" fillId="29" borderId="0" xfId="3" applyNumberFormat="1" applyFont="1" applyFill="1" applyBorder="1" applyAlignment="1">
      <alignment horizontal="center" vertical="center"/>
    </xf>
    <xf numFmtId="0" fontId="33" fillId="29" borderId="0" xfId="1" applyFont="1" applyFill="1">
      <alignment vertical="center"/>
    </xf>
    <xf numFmtId="191" fontId="15" fillId="29" borderId="0" xfId="1" applyNumberFormat="1" applyFont="1" applyFill="1" applyAlignment="1">
      <alignment horizontal="left" vertical="center"/>
    </xf>
    <xf numFmtId="184" fontId="15" fillId="29" borderId="0" xfId="1" applyNumberFormat="1" applyFont="1" applyFill="1" applyAlignment="1">
      <alignment horizontal="right" vertical="center"/>
    </xf>
    <xf numFmtId="0" fontId="15" fillId="29" borderId="88" xfId="1" applyFont="1" applyFill="1" applyBorder="1" applyAlignment="1">
      <alignment horizontal="left" vertical="center"/>
    </xf>
    <xf numFmtId="191" fontId="15" fillId="29" borderId="27" xfId="1" applyNumberFormat="1" applyFont="1" applyFill="1" applyBorder="1">
      <alignment vertical="center"/>
    </xf>
    <xf numFmtId="0" fontId="15" fillId="29" borderId="88" xfId="3" applyNumberFormat="1" applyFont="1" applyFill="1" applyBorder="1" applyAlignment="1">
      <alignment vertical="center"/>
    </xf>
    <xf numFmtId="0" fontId="24" fillId="29" borderId="0" xfId="1" applyFont="1" applyFill="1" applyAlignment="1">
      <alignment horizontal="center" vertical="center"/>
    </xf>
    <xf numFmtId="201" fontId="15" fillId="29" borderId="0" xfId="3" applyNumberFormat="1" applyFont="1" applyFill="1" applyBorder="1" applyAlignment="1">
      <alignment vertical="center"/>
    </xf>
    <xf numFmtId="201" fontId="15" fillId="29" borderId="0" xfId="3" applyNumberFormat="1" applyFont="1" applyFill="1" applyBorder="1" applyAlignment="1">
      <alignment horizontal="center" vertical="center"/>
    </xf>
    <xf numFmtId="41" fontId="15" fillId="29" borderId="0" xfId="3" applyFont="1" applyFill="1" applyBorder="1" applyAlignment="1">
      <alignment vertical="center"/>
    </xf>
    <xf numFmtId="200" fontId="15" fillId="29" borderId="0" xfId="1" applyNumberFormat="1" applyFont="1" applyFill="1" applyAlignment="1">
      <alignment horizontal="left" vertical="center"/>
    </xf>
    <xf numFmtId="0" fontId="15" fillId="29" borderId="0" xfId="3" applyNumberFormat="1" applyFont="1" applyFill="1" applyBorder="1" applyAlignment="1">
      <alignment horizontal="left" vertical="center"/>
    </xf>
    <xf numFmtId="0" fontId="15" fillId="29" borderId="5" xfId="1" applyFont="1" applyFill="1" applyBorder="1" applyAlignment="1">
      <alignment horizontal="center" vertical="center"/>
    </xf>
    <xf numFmtId="41" fontId="15" fillId="29" borderId="88" xfId="1" applyNumberFormat="1" applyFont="1" applyFill="1" applyBorder="1" applyAlignment="1">
      <alignment horizontal="center" vertical="center"/>
    </xf>
    <xf numFmtId="0" fontId="15" fillId="29" borderId="27" xfId="1" applyFont="1" applyFill="1" applyBorder="1" applyAlignment="1">
      <alignment horizontal="center" vertical="center"/>
    </xf>
    <xf numFmtId="41" fontId="33" fillId="29" borderId="88" xfId="1" applyNumberFormat="1" applyFont="1" applyFill="1" applyBorder="1">
      <alignment vertical="center"/>
    </xf>
    <xf numFmtId="41" fontId="30" fillId="29" borderId="88" xfId="1" applyNumberFormat="1" applyFont="1" applyFill="1" applyBorder="1" applyAlignment="1">
      <alignment horizontal="center" vertical="center"/>
    </xf>
    <xf numFmtId="10" fontId="15" fillId="29" borderId="0" xfId="1" applyNumberFormat="1" applyFont="1" applyFill="1">
      <alignment vertical="center"/>
    </xf>
    <xf numFmtId="0" fontId="33" fillId="29" borderId="27" xfId="1" applyFont="1" applyFill="1" applyBorder="1">
      <alignment vertical="center"/>
    </xf>
    <xf numFmtId="0" fontId="15" fillId="29" borderId="83" xfId="1" applyFont="1" applyFill="1" applyBorder="1" applyAlignment="1">
      <alignment horizontal="left" vertical="center"/>
    </xf>
    <xf numFmtId="0" fontId="15" fillId="29" borderId="5" xfId="1" applyFont="1" applyFill="1" applyBorder="1" applyAlignment="1">
      <alignment horizontal="left" vertical="center"/>
    </xf>
    <xf numFmtId="0" fontId="15" fillId="29" borderId="27" xfId="1" applyFont="1" applyFill="1" applyBorder="1" applyAlignment="1">
      <alignment horizontal="left" vertical="center"/>
    </xf>
    <xf numFmtId="41" fontId="15" fillId="29" borderId="0" xfId="1" applyNumberFormat="1" applyFont="1" applyFill="1" applyAlignment="1">
      <alignment horizontal="left" vertical="center"/>
    </xf>
    <xf numFmtId="184" fontId="15" fillId="29" borderId="0" xfId="1" applyNumberFormat="1" applyFont="1" applyFill="1" applyAlignment="1">
      <alignment horizontal="left" vertical="center"/>
    </xf>
    <xf numFmtId="41" fontId="33" fillId="29" borderId="0" xfId="1" applyNumberFormat="1" applyFont="1" applyFill="1">
      <alignment vertical="center"/>
    </xf>
    <xf numFmtId="41" fontId="33" fillId="29" borderId="0" xfId="1" applyNumberFormat="1" applyFont="1" applyFill="1" applyAlignment="1">
      <alignment horizontal="left" vertical="center"/>
    </xf>
    <xf numFmtId="177" fontId="33" fillId="29" borderId="0" xfId="1" applyNumberFormat="1" applyFont="1" applyFill="1" applyAlignment="1">
      <alignment horizontal="left" vertical="center"/>
    </xf>
    <xf numFmtId="184" fontId="15" fillId="29" borderId="0" xfId="1" applyNumberFormat="1" applyFont="1" applyFill="1">
      <alignment vertical="center"/>
    </xf>
    <xf numFmtId="0" fontId="15" fillId="29" borderId="83" xfId="3" applyNumberFormat="1" applyFont="1" applyFill="1" applyBorder="1" applyAlignment="1">
      <alignment vertical="center"/>
    </xf>
    <xf numFmtId="187" fontId="24" fillId="29" borderId="83" xfId="1" applyNumberFormat="1" applyFont="1" applyFill="1" applyBorder="1" applyAlignment="1">
      <alignment horizontal="center" vertical="center"/>
    </xf>
    <xf numFmtId="0" fontId="15" fillId="29" borderId="0" xfId="3" applyNumberFormat="1" applyFont="1" applyFill="1" applyBorder="1" applyAlignment="1">
      <alignment vertical="center"/>
    </xf>
    <xf numFmtId="187" fontId="15" fillId="29" borderId="0" xfId="1" applyNumberFormat="1" applyFont="1" applyFill="1" applyAlignment="1">
      <alignment horizontal="left" vertical="center"/>
    </xf>
    <xf numFmtId="187" fontId="24" fillId="29" borderId="0" xfId="1" applyNumberFormat="1" applyFont="1" applyFill="1" applyAlignment="1">
      <alignment horizontal="center" vertical="center"/>
    </xf>
    <xf numFmtId="0" fontId="15" fillId="29" borderId="5" xfId="3" applyNumberFormat="1" applyFont="1" applyFill="1" applyBorder="1" applyAlignment="1">
      <alignment vertical="center"/>
    </xf>
    <xf numFmtId="187" fontId="15" fillId="29" borderId="5" xfId="1" applyNumberFormat="1" applyFont="1" applyFill="1" applyBorder="1">
      <alignment vertical="center"/>
    </xf>
    <xf numFmtId="187" fontId="15" fillId="29" borderId="0" xfId="1" applyNumberFormat="1" applyFont="1" applyFill="1">
      <alignment vertical="center"/>
    </xf>
    <xf numFmtId="0" fontId="29" fillId="29" borderId="52" xfId="1" applyFont="1" applyFill="1" applyBorder="1">
      <alignment vertical="center"/>
    </xf>
    <xf numFmtId="184" fontId="15" fillId="29" borderId="5" xfId="1" applyNumberFormat="1" applyFont="1" applyFill="1" applyBorder="1">
      <alignment vertical="center"/>
    </xf>
    <xf numFmtId="0" fontId="2" fillId="29" borderId="54" xfId="1" applyFill="1" applyBorder="1">
      <alignment vertical="center"/>
    </xf>
    <xf numFmtId="0" fontId="2" fillId="29" borderId="57" xfId="1" applyFill="1" applyBorder="1">
      <alignment vertical="center"/>
    </xf>
    <xf numFmtId="0" fontId="29" fillId="29" borderId="69" xfId="1" applyFont="1" applyFill="1" applyBorder="1">
      <alignment vertical="center"/>
    </xf>
    <xf numFmtId="184" fontId="15" fillId="29" borderId="0" xfId="1" applyNumberFormat="1" applyFont="1" applyFill="1" applyAlignment="1">
      <alignment horizontal="center" vertical="center"/>
    </xf>
    <xf numFmtId="0" fontId="15" fillId="29" borderId="57" xfId="1" applyFont="1" applyFill="1" applyBorder="1">
      <alignment vertical="center"/>
    </xf>
    <xf numFmtId="179" fontId="15" fillId="29" borderId="88" xfId="1" applyNumberFormat="1" applyFont="1" applyFill="1" applyBorder="1">
      <alignment vertical="center"/>
    </xf>
    <xf numFmtId="179" fontId="15" fillId="29" borderId="88" xfId="1" applyNumberFormat="1" applyFont="1" applyFill="1" applyBorder="1" applyAlignment="1">
      <alignment horizontal="center" vertical="center"/>
    </xf>
    <xf numFmtId="10" fontId="15" fillId="29" borderId="88" xfId="1" applyNumberFormat="1" applyFont="1" applyFill="1" applyBorder="1">
      <alignment vertical="center"/>
    </xf>
    <xf numFmtId="0" fontId="32" fillId="29" borderId="88" xfId="1" applyFont="1" applyFill="1" applyBorder="1" applyAlignment="1">
      <alignment horizontal="left" vertical="center"/>
    </xf>
    <xf numFmtId="177" fontId="15" fillId="29" borderId="88" xfId="1" applyNumberFormat="1" applyFont="1" applyFill="1" applyBorder="1">
      <alignment vertical="center"/>
    </xf>
    <xf numFmtId="184" fontId="15" fillId="29" borderId="88" xfId="1" applyNumberFormat="1" applyFont="1" applyFill="1" applyBorder="1">
      <alignment vertical="center"/>
    </xf>
    <xf numFmtId="177" fontId="49" fillId="29" borderId="0" xfId="1" applyNumberFormat="1" applyFont="1" applyFill="1" applyAlignment="1">
      <alignment horizontal="center" vertical="center"/>
    </xf>
    <xf numFmtId="0" fontId="15" fillId="29" borderId="0" xfId="1" applyFont="1" applyFill="1" applyAlignment="1">
      <alignment horizontal="right" vertical="center"/>
    </xf>
    <xf numFmtId="0" fontId="15" fillId="29" borderId="141" xfId="1" applyFont="1" applyFill="1" applyBorder="1" applyAlignment="1">
      <alignment horizontal="right" vertical="center"/>
    </xf>
    <xf numFmtId="0" fontId="24" fillId="29" borderId="30" xfId="1" applyFont="1" applyFill="1" applyBorder="1" applyAlignment="1">
      <alignment horizontal="centerContinuous" vertical="center"/>
    </xf>
    <xf numFmtId="0" fontId="24" fillId="29" borderId="31" xfId="1" applyFont="1" applyFill="1" applyBorder="1" applyAlignment="1">
      <alignment horizontal="centerContinuous" vertical="center"/>
    </xf>
    <xf numFmtId="0" fontId="15" fillId="29" borderId="32" xfId="1" applyFont="1" applyFill="1" applyBorder="1" applyAlignment="1">
      <alignment horizontal="centerContinuous" vertical="center"/>
    </xf>
    <xf numFmtId="0" fontId="24" fillId="29" borderId="63" xfId="1" applyFont="1" applyFill="1" applyBorder="1" applyAlignment="1">
      <alignment horizontal="centerContinuous" vertical="center"/>
    </xf>
    <xf numFmtId="0" fontId="24" fillId="29" borderId="64" xfId="1" applyFont="1" applyFill="1" applyBorder="1" applyAlignment="1">
      <alignment horizontal="center" vertical="center"/>
    </xf>
    <xf numFmtId="0" fontId="24" fillId="29" borderId="65" xfId="1" applyFont="1" applyFill="1" applyBorder="1" applyAlignment="1">
      <alignment horizontal="center" vertical="center"/>
    </xf>
    <xf numFmtId="0" fontId="24" fillId="29" borderId="66" xfId="1" applyFont="1" applyFill="1" applyBorder="1" applyAlignment="1">
      <alignment horizontal="center" vertical="center"/>
    </xf>
    <xf numFmtId="0" fontId="24" fillId="29" borderId="31" xfId="1" applyFont="1" applyFill="1" applyBorder="1" applyAlignment="1">
      <alignment horizontal="center" vertical="center"/>
    </xf>
    <xf numFmtId="185" fontId="24" fillId="29" borderId="32" xfId="1" applyNumberFormat="1" applyFont="1" applyFill="1" applyBorder="1" applyAlignment="1">
      <alignment horizontal="right" vertical="center"/>
    </xf>
    <xf numFmtId="0" fontId="24" fillId="29" borderId="32" xfId="1" applyFont="1" applyFill="1" applyBorder="1" applyAlignment="1">
      <alignment horizontal="center" vertical="center"/>
    </xf>
    <xf numFmtId="184" fontId="15" fillId="29" borderId="23" xfId="1" applyNumberFormat="1" applyFont="1" applyFill="1" applyBorder="1" applyAlignment="1">
      <alignment horizontal="center" vertical="center"/>
    </xf>
    <xf numFmtId="192" fontId="15" fillId="29" borderId="26" xfId="1" applyNumberFormat="1" applyFont="1" applyFill="1" applyBorder="1" applyAlignment="1">
      <alignment horizontal="center" vertical="center"/>
    </xf>
    <xf numFmtId="0" fontId="15" fillId="29" borderId="77" xfId="1" applyFont="1" applyFill="1" applyBorder="1" applyAlignment="1">
      <alignment horizontal="center" vertical="center"/>
    </xf>
    <xf numFmtId="0" fontId="24" fillId="29" borderId="0" xfId="1" applyFont="1" applyFill="1" applyAlignment="1"/>
    <xf numFmtId="0" fontId="15" fillId="29" borderId="0" xfId="1" applyFont="1" applyFill="1" applyAlignment="1"/>
    <xf numFmtId="0" fontId="15" fillId="29" borderId="67" xfId="1" applyFont="1" applyFill="1" applyBorder="1">
      <alignment vertical="center"/>
    </xf>
    <xf numFmtId="0" fontId="15" fillId="29" borderId="72" xfId="1" applyFont="1" applyFill="1" applyBorder="1">
      <alignment vertical="center"/>
    </xf>
    <xf numFmtId="0" fontId="15" fillId="29" borderId="75" xfId="1" applyFont="1" applyFill="1" applyBorder="1">
      <alignment vertical="center"/>
    </xf>
    <xf numFmtId="0" fontId="15" fillId="29" borderId="48" xfId="1" applyFont="1" applyFill="1" applyBorder="1">
      <alignment vertical="center"/>
    </xf>
    <xf numFmtId="0" fontId="24" fillId="29" borderId="106" xfId="1" applyFont="1" applyFill="1" applyBorder="1" applyAlignment="1">
      <alignment horizontal="center" vertical="center"/>
    </xf>
    <xf numFmtId="0" fontId="24" fillId="29" borderId="107" xfId="1" applyFont="1" applyFill="1" applyBorder="1" applyAlignment="1">
      <alignment horizontal="center" vertical="center"/>
    </xf>
    <xf numFmtId="0" fontId="24" fillId="29" borderId="108" xfId="1" applyFont="1" applyFill="1" applyBorder="1" applyAlignment="1">
      <alignment horizontal="center" vertical="center"/>
    </xf>
    <xf numFmtId="0" fontId="24" fillId="29" borderId="72" xfId="1" applyFont="1" applyFill="1" applyBorder="1" applyAlignment="1">
      <alignment horizontal="center" vertical="center"/>
    </xf>
    <xf numFmtId="0" fontId="24" fillId="29" borderId="96" xfId="1" applyFont="1" applyFill="1" applyBorder="1" applyAlignment="1">
      <alignment horizontal="center" vertical="center"/>
    </xf>
    <xf numFmtId="0" fontId="24" fillId="29" borderId="73" xfId="1" applyFont="1" applyFill="1" applyBorder="1" applyAlignment="1">
      <alignment horizontal="center" vertical="center"/>
    </xf>
    <xf numFmtId="0" fontId="24" fillId="29" borderId="90" xfId="1" applyFont="1" applyFill="1" applyBorder="1" applyAlignment="1">
      <alignment horizontal="center" vertical="center"/>
    </xf>
    <xf numFmtId="0" fontId="24" fillId="29" borderId="102" xfId="1" applyFont="1" applyFill="1" applyBorder="1" applyAlignment="1">
      <alignment horizontal="centerContinuous" vertical="center"/>
    </xf>
    <xf numFmtId="0" fontId="24" fillId="29" borderId="103" xfId="1" applyFont="1" applyFill="1" applyBorder="1" applyAlignment="1">
      <alignment horizontal="centerContinuous" vertical="center"/>
    </xf>
    <xf numFmtId="0" fontId="24" fillId="29" borderId="102" xfId="1" applyFont="1" applyFill="1" applyBorder="1" applyAlignment="1">
      <alignment horizontal="center" vertical="center"/>
    </xf>
    <xf numFmtId="0" fontId="24" fillId="29" borderId="100" xfId="1" applyFont="1" applyFill="1" applyBorder="1" applyAlignment="1">
      <alignment horizontal="centerContinuous" vertical="center"/>
    </xf>
    <xf numFmtId="0" fontId="24" fillId="29" borderId="99" xfId="1" applyFont="1" applyFill="1" applyBorder="1" applyAlignment="1">
      <alignment horizontal="centerContinuous" vertical="center"/>
    </xf>
    <xf numFmtId="0" fontId="15" fillId="29" borderId="101" xfId="1" applyFont="1" applyFill="1" applyBorder="1" applyAlignment="1">
      <alignment horizontal="centerContinuous" vertical="center"/>
    </xf>
    <xf numFmtId="0" fontId="24" fillId="29" borderId="71" xfId="1" applyFont="1" applyFill="1" applyBorder="1">
      <alignment vertical="center"/>
    </xf>
    <xf numFmtId="0" fontId="24" fillId="29" borderId="3" xfId="1" applyFont="1" applyFill="1" applyBorder="1" applyAlignment="1">
      <alignment horizontal="center" vertical="center"/>
    </xf>
    <xf numFmtId="0" fontId="41" fillId="29" borderId="52" xfId="1" applyFont="1" applyFill="1" applyBorder="1">
      <alignment vertical="center"/>
    </xf>
    <xf numFmtId="0" fontId="41" fillId="29" borderId="7" xfId="1" applyFont="1" applyFill="1" applyBorder="1" applyAlignment="1">
      <alignment horizontal="center" vertical="center"/>
    </xf>
    <xf numFmtId="0" fontId="24" fillId="29" borderId="47" xfId="1" applyFont="1" applyFill="1" applyBorder="1" applyAlignment="1">
      <alignment horizontal="center" vertical="center"/>
    </xf>
    <xf numFmtId="0" fontId="37" fillId="29" borderId="66" xfId="1" applyFont="1" applyFill="1" applyBorder="1" applyAlignment="1">
      <alignment horizontal="center" vertical="center"/>
    </xf>
    <xf numFmtId="0" fontId="37" fillId="29" borderId="215" xfId="1" applyFont="1" applyFill="1" applyBorder="1">
      <alignment vertical="center"/>
    </xf>
    <xf numFmtId="0" fontId="31" fillId="29" borderId="222" xfId="1" applyFont="1" applyFill="1" applyBorder="1" applyAlignment="1">
      <alignment horizontal="centerContinuous" vertical="center"/>
    </xf>
    <xf numFmtId="0" fontId="31" fillId="29" borderId="223" xfId="1" applyFont="1" applyFill="1" applyBorder="1" applyAlignment="1">
      <alignment horizontal="centerContinuous" vertical="center"/>
    </xf>
    <xf numFmtId="0" fontId="20" fillId="29" borderId="224" xfId="1" applyFont="1" applyFill="1" applyBorder="1" applyAlignment="1">
      <alignment horizontal="centerContinuous" vertical="center"/>
    </xf>
    <xf numFmtId="0" fontId="24" fillId="29" borderId="85" xfId="1" applyFont="1" applyFill="1" applyBorder="1" applyAlignment="1">
      <alignment horizontal="center" vertical="center"/>
    </xf>
    <xf numFmtId="0" fontId="24" fillId="29" borderId="85" xfId="1" applyFont="1" applyFill="1" applyBorder="1" applyAlignment="1">
      <alignment horizontal="centerContinuous" vertical="center"/>
    </xf>
    <xf numFmtId="0" fontId="24" fillId="29" borderId="84" xfId="1" applyFont="1" applyFill="1" applyBorder="1" applyAlignment="1">
      <alignment horizontal="centerContinuous" vertical="center"/>
    </xf>
    <xf numFmtId="0" fontId="24" fillId="29" borderId="225" xfId="1" applyFont="1" applyFill="1" applyBorder="1" applyAlignment="1">
      <alignment horizontal="centerContinuous" vertical="center"/>
    </xf>
    <xf numFmtId="0" fontId="15" fillId="29" borderId="198" xfId="1" applyFont="1" applyFill="1" applyBorder="1" applyAlignment="1">
      <alignment horizontal="centerContinuous" vertical="center"/>
    </xf>
    <xf numFmtId="0" fontId="15" fillId="29" borderId="123" xfId="1" applyFont="1" applyFill="1" applyBorder="1" applyAlignment="1">
      <alignment horizontal="centerContinuous" vertical="center"/>
    </xf>
    <xf numFmtId="0" fontId="24" fillId="29" borderId="103" xfId="1" applyFont="1" applyFill="1" applyBorder="1" applyAlignment="1">
      <alignment horizontal="center" vertical="center"/>
    </xf>
    <xf numFmtId="0" fontId="24" fillId="29" borderId="124" xfId="1" applyFont="1" applyFill="1" applyBorder="1" applyAlignment="1">
      <alignment horizontal="center" vertical="center"/>
    </xf>
    <xf numFmtId="0" fontId="24" fillId="29" borderId="125" xfId="1" applyFont="1" applyFill="1" applyBorder="1" applyAlignment="1">
      <alignment horizontal="center" vertical="center"/>
    </xf>
    <xf numFmtId="0" fontId="24" fillId="29" borderId="126" xfId="1" applyFont="1" applyFill="1" applyBorder="1" applyAlignment="1">
      <alignment horizontal="center" vertical="center"/>
    </xf>
    <xf numFmtId="0" fontId="24" fillId="29" borderId="127" xfId="1" applyFont="1" applyFill="1" applyBorder="1" applyAlignment="1">
      <alignment horizontal="center" vertical="center"/>
    </xf>
    <xf numFmtId="0" fontId="24" fillId="29" borderId="128" xfId="1" applyFont="1" applyFill="1" applyBorder="1" applyAlignment="1">
      <alignment horizontal="center" vertical="center"/>
    </xf>
    <xf numFmtId="0" fontId="24" fillId="29" borderId="26" xfId="1" applyFont="1" applyFill="1" applyBorder="1" applyAlignment="1">
      <alignment horizontal="center" vertical="center"/>
    </xf>
    <xf numFmtId="0" fontId="24" fillId="29" borderId="74" xfId="1" applyFont="1" applyFill="1" applyBorder="1" applyAlignment="1">
      <alignment horizontal="center" vertical="center"/>
    </xf>
    <xf numFmtId="184" fontId="24" fillId="29" borderId="71" xfId="1" applyNumberFormat="1" applyFont="1" applyFill="1" applyBorder="1">
      <alignment vertical="center"/>
    </xf>
    <xf numFmtId="184" fontId="24" fillId="29" borderId="3" xfId="1" applyNumberFormat="1" applyFont="1" applyFill="1" applyBorder="1" applyAlignment="1">
      <alignment horizontal="center" vertical="center"/>
    </xf>
    <xf numFmtId="0" fontId="2" fillId="29" borderId="27" xfId="1" applyFill="1" applyBorder="1">
      <alignment vertical="center"/>
    </xf>
    <xf numFmtId="0" fontId="2" fillId="29" borderId="7" xfId="1" applyFill="1" applyBorder="1" applyAlignment="1">
      <alignment horizontal="center" vertical="center"/>
    </xf>
    <xf numFmtId="41" fontId="29" fillId="29" borderId="52" xfId="1" applyNumberFormat="1" applyFont="1" applyFill="1" applyBorder="1">
      <alignment vertical="center"/>
    </xf>
    <xf numFmtId="0" fontId="28" fillId="29" borderId="69" xfId="1" applyFont="1" applyFill="1" applyBorder="1">
      <alignment vertical="center"/>
    </xf>
    <xf numFmtId="0" fontId="15" fillId="29" borderId="52" xfId="1" applyFont="1" applyFill="1" applyBorder="1">
      <alignment vertical="center"/>
    </xf>
    <xf numFmtId="0" fontId="28" fillId="29" borderId="132" xfId="1" applyFont="1" applyFill="1" applyBorder="1">
      <alignment vertical="center"/>
    </xf>
    <xf numFmtId="0" fontId="28" fillId="29" borderId="136" xfId="1" applyFont="1" applyFill="1" applyBorder="1">
      <alignment vertical="center"/>
    </xf>
    <xf numFmtId="0" fontId="15" fillId="29" borderId="69" xfId="1" applyFont="1" applyFill="1" applyBorder="1">
      <alignment vertical="center"/>
    </xf>
    <xf numFmtId="0" fontId="15" fillId="29" borderId="143" xfId="1" applyFont="1" applyFill="1" applyBorder="1">
      <alignment vertical="center"/>
    </xf>
    <xf numFmtId="0" fontId="24" fillId="29" borderId="86" xfId="1" applyFont="1" applyFill="1" applyBorder="1" applyAlignment="1">
      <alignment horizontal="centerContinuous" vertical="center"/>
    </xf>
    <xf numFmtId="192" fontId="24" fillId="29" borderId="64" xfId="1" applyNumberFormat="1" applyFont="1" applyFill="1" applyBorder="1" applyAlignment="1">
      <alignment horizontal="center" vertical="center"/>
    </xf>
    <xf numFmtId="192" fontId="24" fillId="29" borderId="82" xfId="1" applyNumberFormat="1" applyFont="1" applyFill="1" applyBorder="1" applyAlignment="1">
      <alignment horizontal="center" vertical="center"/>
    </xf>
    <xf numFmtId="177" fontId="15" fillId="34" borderId="88" xfId="1" applyNumberFormat="1" applyFont="1" applyFill="1" applyBorder="1">
      <alignment vertical="center"/>
    </xf>
    <xf numFmtId="206" fontId="12" fillId="34" borderId="0" xfId="9" applyNumberFormat="1" applyFont="1" applyFill="1">
      <alignment vertical="center"/>
    </xf>
    <xf numFmtId="0" fontId="15" fillId="29" borderId="0" xfId="3" applyNumberFormat="1" applyFont="1" applyFill="1" applyBorder="1" applyAlignment="1">
      <alignment horizontal="center" vertical="center"/>
    </xf>
    <xf numFmtId="177" fontId="15" fillId="34" borderId="0" xfId="1" applyNumberFormat="1" applyFont="1" applyFill="1">
      <alignment vertical="center"/>
    </xf>
    <xf numFmtId="215" fontId="62" fillId="14" borderId="156" xfId="1" applyNumberFormat="1" applyFont="1" applyFill="1" applyBorder="1">
      <alignment vertical="center"/>
    </xf>
    <xf numFmtId="3" fontId="42" fillId="52" borderId="50" xfId="1" applyNumberFormat="1" applyFont="1" applyFill="1" applyBorder="1" applyAlignment="1">
      <alignment horizontal="center" vertical="center"/>
    </xf>
    <xf numFmtId="3" fontId="42" fillId="53" borderId="1" xfId="1" applyNumberFormat="1" applyFont="1" applyFill="1" applyBorder="1" applyAlignment="1">
      <alignment horizontal="center" vertical="center"/>
    </xf>
    <xf numFmtId="3" fontId="42" fillId="54" borderId="1" xfId="1" applyNumberFormat="1" applyFont="1" applyFill="1" applyBorder="1" applyAlignment="1">
      <alignment horizontal="center" vertical="center"/>
    </xf>
    <xf numFmtId="9" fontId="42" fillId="14" borderId="1" xfId="10" applyFont="1" applyFill="1" applyBorder="1" applyAlignment="1">
      <alignment horizontal="center" vertical="center"/>
    </xf>
    <xf numFmtId="41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41" fontId="3" fillId="2" borderId="1" xfId="2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41" fontId="3" fillId="3" borderId="1" xfId="1" applyNumberFormat="1" applyFont="1" applyFill="1" applyBorder="1">
      <alignment vertical="center"/>
    </xf>
    <xf numFmtId="0" fontId="9" fillId="4" borderId="4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 wrapText="1"/>
    </xf>
    <xf numFmtId="0" fontId="9" fillId="4" borderId="20" xfId="1" applyFont="1" applyFill="1" applyBorder="1" applyAlignment="1">
      <alignment horizontal="center" vertical="center"/>
    </xf>
    <xf numFmtId="0" fontId="9" fillId="4" borderId="29" xfId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41" fontId="9" fillId="5" borderId="10" xfId="1" applyNumberFormat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41" fontId="9" fillId="5" borderId="12" xfId="1" applyNumberFormat="1" applyFont="1" applyFill="1" applyBorder="1" applyAlignment="1">
      <alignment horizontal="center" vertical="center"/>
    </xf>
    <xf numFmtId="0" fontId="9" fillId="5" borderId="12" xfId="1" applyFont="1" applyFill="1" applyBorder="1" applyAlignment="1">
      <alignment horizontal="center" vertical="center"/>
    </xf>
    <xf numFmtId="0" fontId="9" fillId="5" borderId="13" xfId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/>
    </xf>
    <xf numFmtId="0" fontId="9" fillId="6" borderId="14" xfId="1" applyFont="1" applyFill="1" applyBorder="1" applyAlignment="1">
      <alignment horizontal="center" vertical="center"/>
    </xf>
    <xf numFmtId="0" fontId="9" fillId="6" borderId="15" xfId="1" applyFont="1" applyFill="1" applyBorder="1" applyAlignment="1">
      <alignment horizontal="center" vertical="center"/>
    </xf>
    <xf numFmtId="0" fontId="8" fillId="7" borderId="18" xfId="1" applyFont="1" applyFill="1" applyBorder="1" applyAlignment="1">
      <alignment horizontal="center" vertical="center"/>
    </xf>
    <xf numFmtId="0" fontId="8" fillId="7" borderId="23" xfId="1" applyFont="1" applyFill="1" applyBorder="1" applyAlignment="1">
      <alignment horizontal="center" vertical="center"/>
    </xf>
    <xf numFmtId="0" fontId="8" fillId="7" borderId="26" xfId="1" applyFont="1" applyFill="1" applyBorder="1" applyAlignment="1">
      <alignment horizontal="center" vertical="center"/>
    </xf>
    <xf numFmtId="0" fontId="8" fillId="8" borderId="18" xfId="1" applyFont="1" applyFill="1" applyBorder="1" applyAlignment="1">
      <alignment horizontal="center" vertical="center" wrapText="1"/>
    </xf>
    <xf numFmtId="0" fontId="8" fillId="8" borderId="23" xfId="1" applyFont="1" applyFill="1" applyBorder="1" applyAlignment="1">
      <alignment horizontal="center" vertical="center"/>
    </xf>
    <xf numFmtId="0" fontId="8" fillId="8" borderId="26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 wrapText="1"/>
    </xf>
    <xf numFmtId="0" fontId="9" fillId="4" borderId="24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8" fillId="9" borderId="2" xfId="1" applyFont="1" applyFill="1" applyBorder="1" applyAlignment="1">
      <alignment horizontal="center" vertical="center"/>
    </xf>
    <xf numFmtId="0" fontId="8" fillId="9" borderId="3" xfId="1" applyFont="1" applyFill="1" applyBorder="1" applyAlignment="1">
      <alignment horizontal="center" vertical="center"/>
    </xf>
    <xf numFmtId="0" fontId="8" fillId="10" borderId="2" xfId="1" applyFont="1" applyFill="1" applyBorder="1" applyAlignment="1">
      <alignment horizontal="center" vertical="center" wrapText="1"/>
    </xf>
    <xf numFmtId="0" fontId="8" fillId="10" borderId="3" xfId="1" applyFont="1" applyFill="1" applyBorder="1" applyAlignment="1">
      <alignment horizontal="center" vertical="center" wrapText="1"/>
    </xf>
    <xf numFmtId="0" fontId="8" fillId="9" borderId="7" xfId="1" applyFont="1" applyFill="1" applyBorder="1" applyAlignment="1">
      <alignment horizontal="center" vertical="center"/>
    </xf>
    <xf numFmtId="0" fontId="8" fillId="11" borderId="18" xfId="1" applyFont="1" applyFill="1" applyBorder="1" applyAlignment="1">
      <alignment horizontal="center" vertical="center"/>
    </xf>
    <xf numFmtId="0" fontId="8" fillId="11" borderId="26" xfId="1" applyFont="1" applyFill="1" applyBorder="1" applyAlignment="1">
      <alignment horizontal="center" vertical="center"/>
    </xf>
    <xf numFmtId="0" fontId="9" fillId="6" borderId="22" xfId="1" applyFont="1" applyFill="1" applyBorder="1" applyAlignment="1">
      <alignment horizontal="center" vertical="center" wrapText="1"/>
    </xf>
    <xf numFmtId="0" fontId="9" fillId="6" borderId="28" xfId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8" fillId="3" borderId="26" xfId="1" applyFont="1" applyFill="1" applyBorder="1" applyAlignment="1">
      <alignment horizontal="center" vertical="center"/>
    </xf>
    <xf numFmtId="41" fontId="30" fillId="0" borderId="88" xfId="3" applyFont="1" applyFill="1" applyBorder="1" applyAlignment="1">
      <alignment vertical="center"/>
    </xf>
    <xf numFmtId="0" fontId="24" fillId="29" borderId="71" xfId="1" applyFont="1" applyFill="1" applyBorder="1" applyAlignment="1">
      <alignment horizontal="center" vertical="center"/>
    </xf>
    <xf numFmtId="0" fontId="24" fillId="29" borderId="27" xfId="1" applyFont="1" applyFill="1" applyBorder="1" applyAlignment="1">
      <alignment horizontal="center" vertical="center"/>
    </xf>
    <xf numFmtId="0" fontId="24" fillId="29" borderId="50" xfId="1" applyFont="1" applyFill="1" applyBorder="1" applyAlignment="1">
      <alignment horizontal="center" vertical="center"/>
    </xf>
    <xf numFmtId="191" fontId="15" fillId="0" borderId="27" xfId="1" applyNumberFormat="1" applyFont="1" applyBorder="1">
      <alignment vertical="center"/>
    </xf>
    <xf numFmtId="41" fontId="15" fillId="0" borderId="27" xfId="3" applyFont="1" applyFill="1" applyBorder="1" applyAlignment="1">
      <alignment horizontal="right" vertical="center"/>
    </xf>
    <xf numFmtId="41" fontId="15" fillId="0" borderId="27" xfId="3" applyFont="1" applyFill="1" applyBorder="1" applyAlignment="1">
      <alignment vertical="center"/>
    </xf>
    <xf numFmtId="0" fontId="24" fillId="29" borderId="42" xfId="1" applyFont="1" applyFill="1" applyBorder="1" applyAlignment="1">
      <alignment horizontal="center" vertical="center"/>
    </xf>
    <xf numFmtId="0" fontId="24" fillId="29" borderId="43" xfId="1" applyFont="1" applyFill="1" applyBorder="1" applyAlignment="1">
      <alignment horizontal="center" vertical="center"/>
    </xf>
    <xf numFmtId="0" fontId="24" fillId="29" borderId="58" xfId="1" applyFont="1" applyFill="1" applyBorder="1" applyAlignment="1">
      <alignment horizontal="center" vertical="center"/>
    </xf>
    <xf numFmtId="41" fontId="15" fillId="0" borderId="79" xfId="3" applyFont="1" applyFill="1" applyBorder="1" applyAlignment="1">
      <alignment horizontal="center" vertical="center"/>
    </xf>
    <xf numFmtId="190" fontId="15" fillId="14" borderId="0" xfId="2" applyNumberFormat="1" applyFont="1" applyFill="1" applyBorder="1" applyAlignment="1">
      <alignment horizontal="left" vertical="center"/>
    </xf>
    <xf numFmtId="0" fontId="24" fillId="29" borderId="46" xfId="1" applyFont="1" applyFill="1" applyBorder="1" applyAlignment="1">
      <alignment horizontal="center" vertical="center"/>
    </xf>
    <xf numFmtId="0" fontId="24" fillId="29" borderId="5" xfId="1" applyFont="1" applyFill="1" applyBorder="1" applyAlignment="1">
      <alignment horizontal="center" vertical="center"/>
    </xf>
    <xf numFmtId="0" fontId="24" fillId="29" borderId="47" xfId="1" applyFont="1" applyFill="1" applyBorder="1" applyAlignment="1">
      <alignment horizontal="center" vertical="center"/>
    </xf>
    <xf numFmtId="186" fontId="15" fillId="47" borderId="5" xfId="3" applyNumberFormat="1" applyFont="1" applyFill="1" applyBorder="1" applyAlignment="1">
      <alignment horizontal="right" vertical="center"/>
    </xf>
    <xf numFmtId="41" fontId="15" fillId="47" borderId="5" xfId="3" applyFont="1" applyFill="1" applyBorder="1" applyAlignment="1">
      <alignment vertical="center"/>
    </xf>
    <xf numFmtId="186" fontId="15" fillId="47" borderId="0" xfId="3" applyNumberFormat="1" applyFont="1" applyFill="1" applyBorder="1" applyAlignment="1">
      <alignment horizontal="right" vertical="center"/>
    </xf>
    <xf numFmtId="41" fontId="15" fillId="47" borderId="0" xfId="3" applyFont="1" applyFill="1" applyBorder="1" applyAlignment="1">
      <alignment vertical="center"/>
    </xf>
    <xf numFmtId="0" fontId="24" fillId="29" borderId="52" xfId="1" applyFont="1" applyFill="1" applyBorder="1" applyAlignment="1">
      <alignment horizontal="center" vertical="center"/>
    </xf>
    <xf numFmtId="0" fontId="24" fillId="29" borderId="0" xfId="1" applyFont="1" applyFill="1" applyAlignment="1">
      <alignment horizontal="center" vertical="center"/>
    </xf>
    <xf numFmtId="0" fontId="24" fillId="29" borderId="48" xfId="1" applyFont="1" applyFill="1" applyBorder="1" applyAlignment="1">
      <alignment horizontal="center" vertical="center"/>
    </xf>
    <xf numFmtId="191" fontId="15" fillId="0" borderId="0" xfId="1" applyNumberFormat="1" applyFont="1">
      <alignment vertical="center"/>
    </xf>
    <xf numFmtId="41" fontId="15" fillId="0" borderId="0" xfId="3" applyFont="1" applyFill="1" applyBorder="1" applyAlignment="1">
      <alignment horizontal="right" vertical="center"/>
    </xf>
    <xf numFmtId="41" fontId="15" fillId="0" borderId="0" xfId="3" applyFont="1" applyFill="1" applyBorder="1" applyAlignment="1">
      <alignment vertical="center"/>
    </xf>
    <xf numFmtId="245" fontId="76" fillId="34" borderId="0" xfId="1" applyNumberFormat="1" applyFont="1" applyFill="1" applyAlignment="1">
      <alignment horizontal="center" vertical="center"/>
    </xf>
    <xf numFmtId="0" fontId="24" fillId="29" borderId="30" xfId="1" applyFont="1" applyFill="1" applyBorder="1" applyAlignment="1">
      <alignment horizontal="center" vertical="center"/>
    </xf>
    <xf numFmtId="0" fontId="24" fillId="29" borderId="31" xfId="1" applyFont="1" applyFill="1" applyBorder="1" applyAlignment="1">
      <alignment horizontal="center" vertical="center"/>
    </xf>
    <xf numFmtId="0" fontId="24" fillId="29" borderId="32" xfId="1" applyFont="1" applyFill="1" applyBorder="1" applyAlignment="1">
      <alignment horizontal="center" vertical="center"/>
    </xf>
    <xf numFmtId="0" fontId="26" fillId="14" borderId="33" xfId="1" applyFont="1" applyFill="1" applyBorder="1" applyAlignment="1">
      <alignment horizontal="center" vertical="center"/>
    </xf>
    <xf numFmtId="0" fontId="26" fillId="14" borderId="34" xfId="1" applyFont="1" applyFill="1" applyBorder="1" applyAlignment="1">
      <alignment horizontal="center" vertical="center"/>
    </xf>
    <xf numFmtId="0" fontId="26" fillId="14" borderId="35" xfId="1" applyFont="1" applyFill="1" applyBorder="1" applyAlignment="1">
      <alignment horizontal="center" vertical="center"/>
    </xf>
    <xf numFmtId="180" fontId="24" fillId="14" borderId="31" xfId="1" applyNumberFormat="1" applyFont="1" applyFill="1" applyBorder="1" applyAlignment="1">
      <alignment horizontal="center" vertical="center"/>
    </xf>
    <xf numFmtId="180" fontId="24" fillId="14" borderId="36" xfId="1" applyNumberFormat="1" applyFont="1" applyFill="1" applyBorder="1" applyAlignment="1">
      <alignment horizontal="center" vertical="center"/>
    </xf>
    <xf numFmtId="0" fontId="28" fillId="29" borderId="37" xfId="1" applyFont="1" applyFill="1" applyBorder="1" applyAlignment="1">
      <alignment horizontal="center" vertical="center"/>
    </xf>
    <xf numFmtId="0" fontId="28" fillId="29" borderId="34" xfId="1" applyFont="1" applyFill="1" applyBorder="1" applyAlignment="1">
      <alignment horizontal="center" vertical="center"/>
    </xf>
    <xf numFmtId="0" fontId="28" fillId="29" borderId="42" xfId="1" applyFont="1" applyFill="1" applyBorder="1" applyAlignment="1">
      <alignment horizontal="center" vertical="center"/>
    </xf>
    <xf numFmtId="0" fontId="28" fillId="29" borderId="43" xfId="1" applyFont="1" applyFill="1" applyBorder="1" applyAlignment="1">
      <alignment horizontal="center" vertical="center"/>
    </xf>
    <xf numFmtId="0" fontId="28" fillId="29" borderId="39" xfId="1" applyFont="1" applyFill="1" applyBorder="1" applyAlignment="1">
      <alignment horizontal="center" vertical="center"/>
    </xf>
    <xf numFmtId="0" fontId="28" fillId="29" borderId="45" xfId="1" applyFont="1" applyFill="1" applyBorder="1" applyAlignment="1">
      <alignment horizontal="center" vertical="center"/>
    </xf>
    <xf numFmtId="0" fontId="24" fillId="29" borderId="40" xfId="1" applyFont="1" applyFill="1" applyBorder="1" applyAlignment="1">
      <alignment horizontal="center" vertical="center"/>
    </xf>
    <xf numFmtId="0" fontId="24" fillId="29" borderId="7" xfId="1" applyFont="1" applyFill="1" applyBorder="1" applyAlignment="1">
      <alignment horizontal="center" vertical="center"/>
    </xf>
    <xf numFmtId="0" fontId="24" fillId="29" borderId="3" xfId="1" applyFont="1" applyFill="1" applyBorder="1" applyAlignment="1">
      <alignment horizontal="center" vertical="center"/>
    </xf>
    <xf numFmtId="41" fontId="30" fillId="14" borderId="2" xfId="1" applyNumberFormat="1" applyFont="1" applyFill="1" applyBorder="1" applyAlignment="1">
      <alignment horizontal="center" vertical="center"/>
    </xf>
    <xf numFmtId="41" fontId="30" fillId="14" borderId="7" xfId="1" applyNumberFormat="1" applyFont="1" applyFill="1" applyBorder="1" applyAlignment="1">
      <alignment horizontal="center" vertical="center"/>
    </xf>
    <xf numFmtId="41" fontId="30" fillId="14" borderId="3" xfId="1" applyNumberFormat="1" applyFont="1" applyFill="1" applyBorder="1" applyAlignment="1">
      <alignment horizontal="center" vertical="center"/>
    </xf>
    <xf numFmtId="41" fontId="30" fillId="0" borderId="0" xfId="3" applyFont="1" applyFill="1" applyBorder="1" applyAlignment="1">
      <alignment vertical="center"/>
    </xf>
    <xf numFmtId="0" fontId="15" fillId="29" borderId="46" xfId="1" applyFont="1" applyFill="1" applyBorder="1" applyAlignment="1">
      <alignment horizontal="center" vertical="center"/>
    </xf>
    <xf numFmtId="0" fontId="15" fillId="29" borderId="5" xfId="1" applyFont="1" applyFill="1" applyBorder="1" applyAlignment="1">
      <alignment horizontal="center" vertical="center"/>
    </xf>
    <xf numFmtId="0" fontId="15" fillId="29" borderId="47" xfId="1" applyFont="1" applyFill="1" applyBorder="1" applyAlignment="1">
      <alignment horizontal="center" vertical="center"/>
    </xf>
    <xf numFmtId="41" fontId="15" fillId="47" borderId="0" xfId="1" applyNumberFormat="1" applyFont="1" applyFill="1" applyAlignment="1">
      <alignment horizontal="right" vertical="center"/>
    </xf>
    <xf numFmtId="177" fontId="15" fillId="14" borderId="0" xfId="1" applyNumberFormat="1" applyFont="1" applyFill="1" applyAlignment="1">
      <alignment horizontal="center" vertical="center"/>
    </xf>
    <xf numFmtId="0" fontId="15" fillId="29" borderId="71" xfId="1" applyFont="1" applyFill="1" applyBorder="1" applyAlignment="1">
      <alignment horizontal="center" vertical="center"/>
    </xf>
    <xf numFmtId="0" fontId="15" fillId="29" borderId="27" xfId="1" applyFont="1" applyFill="1" applyBorder="1" applyAlignment="1">
      <alignment horizontal="center" vertical="center"/>
    </xf>
    <xf numFmtId="0" fontId="15" fillId="29" borderId="50" xfId="1" applyFont="1" applyFill="1" applyBorder="1" applyAlignment="1">
      <alignment horizontal="center" vertical="center"/>
    </xf>
    <xf numFmtId="177" fontId="15" fillId="0" borderId="0" xfId="1" applyNumberFormat="1" applyFont="1" applyAlignment="1">
      <alignment horizontal="center" vertical="center"/>
    </xf>
    <xf numFmtId="191" fontId="15" fillId="47" borderId="83" xfId="1" applyNumberFormat="1" applyFont="1" applyFill="1" applyBorder="1">
      <alignment vertical="center"/>
    </xf>
    <xf numFmtId="41" fontId="26" fillId="47" borderId="0" xfId="3" applyFont="1" applyFill="1" applyBorder="1" applyAlignment="1">
      <alignment horizontal="center" vertical="center"/>
    </xf>
    <xf numFmtId="0" fontId="15" fillId="29" borderId="48" xfId="1" applyFont="1" applyFill="1" applyBorder="1" applyAlignment="1">
      <alignment horizontal="center" vertical="center"/>
    </xf>
    <xf numFmtId="191" fontId="15" fillId="47" borderId="88" xfId="1" applyNumberFormat="1" applyFont="1" applyFill="1" applyBorder="1">
      <alignment vertical="center"/>
    </xf>
    <xf numFmtId="41" fontId="30" fillId="47" borderId="88" xfId="3" applyFont="1" applyFill="1" applyBorder="1" applyAlignment="1">
      <alignment vertical="center"/>
    </xf>
    <xf numFmtId="0" fontId="24" fillId="29" borderId="104" xfId="1" applyFont="1" applyFill="1" applyBorder="1" applyAlignment="1">
      <alignment horizontal="center" vertical="center"/>
    </xf>
    <xf numFmtId="0" fontId="24" fillId="29" borderId="103" xfId="1" applyFont="1" applyFill="1" applyBorder="1" applyAlignment="1">
      <alignment horizontal="center" vertical="center"/>
    </xf>
    <xf numFmtId="191" fontId="15" fillId="47" borderId="0" xfId="1" applyNumberFormat="1" applyFont="1" applyFill="1">
      <alignment vertical="center"/>
    </xf>
    <xf numFmtId="41" fontId="15" fillId="47" borderId="0" xfId="3" applyFont="1" applyFill="1" applyBorder="1" applyAlignment="1">
      <alignment horizontal="right" vertical="center"/>
    </xf>
    <xf numFmtId="41" fontId="15" fillId="14" borderId="0" xfId="3" applyFont="1" applyFill="1" applyBorder="1" applyAlignment="1">
      <alignment vertical="center"/>
    </xf>
    <xf numFmtId="41" fontId="15" fillId="47" borderId="0" xfId="2" applyFont="1" applyFill="1" applyBorder="1" applyAlignment="1">
      <alignment horizontal="right" vertical="center"/>
    </xf>
    <xf numFmtId="10" fontId="15" fillId="47" borderId="0" xfId="3" applyNumberFormat="1" applyFont="1" applyFill="1" applyBorder="1" applyAlignment="1">
      <alignment horizontal="center" vertical="center"/>
    </xf>
    <xf numFmtId="41" fontId="15" fillId="29" borderId="83" xfId="3" applyFont="1" applyFill="1" applyBorder="1" applyAlignment="1">
      <alignment horizontal="right" vertical="center"/>
    </xf>
    <xf numFmtId="41" fontId="30" fillId="47" borderId="83" xfId="3" applyFont="1" applyFill="1" applyBorder="1" applyAlignment="1">
      <alignment vertical="center"/>
    </xf>
    <xf numFmtId="0" fontId="15" fillId="29" borderId="0" xfId="3" applyNumberFormat="1" applyFont="1" applyFill="1" applyBorder="1" applyAlignment="1">
      <alignment horizontal="left" vertical="center"/>
    </xf>
    <xf numFmtId="203" fontId="15" fillId="47" borderId="0" xfId="1" applyNumberFormat="1" applyFont="1" applyFill="1">
      <alignment vertical="center"/>
    </xf>
    <xf numFmtId="0" fontId="24" fillId="14" borderId="109" xfId="1" applyFont="1" applyFill="1" applyBorder="1" applyAlignment="1">
      <alignment horizontal="center" vertical="center"/>
    </xf>
    <xf numFmtId="0" fontId="24" fillId="14" borderId="69" xfId="1" applyFont="1" applyFill="1" applyBorder="1" applyAlignment="1">
      <alignment horizontal="center" vertical="center"/>
    </xf>
    <xf numFmtId="41" fontId="15" fillId="47" borderId="83" xfId="3" applyFont="1" applyFill="1" applyBorder="1" applyAlignment="1">
      <alignment vertical="center"/>
    </xf>
    <xf numFmtId="41" fontId="15" fillId="14" borderId="88" xfId="3" applyFont="1" applyFill="1" applyBorder="1" applyAlignment="1">
      <alignment vertical="center"/>
    </xf>
    <xf numFmtId="191" fontId="15" fillId="47" borderId="27" xfId="1" applyNumberFormat="1" applyFont="1" applyFill="1" applyBorder="1">
      <alignment vertical="center"/>
    </xf>
    <xf numFmtId="41" fontId="15" fillId="14" borderId="27" xfId="3" applyFont="1" applyFill="1" applyBorder="1" applyAlignment="1">
      <alignment vertical="center"/>
    </xf>
    <xf numFmtId="41" fontId="15" fillId="14" borderId="0" xfId="3" applyFont="1" applyFill="1" applyBorder="1" applyAlignment="1">
      <alignment horizontal="left" vertical="center"/>
    </xf>
    <xf numFmtId="41" fontId="15" fillId="47" borderId="0" xfId="3" applyFont="1" applyFill="1" applyBorder="1" applyAlignment="1">
      <alignment horizontal="left" vertical="center"/>
    </xf>
    <xf numFmtId="184" fontId="15" fillId="14" borderId="0" xfId="1" applyNumberFormat="1" applyFont="1" applyFill="1" applyAlignment="1">
      <alignment horizontal="right" vertical="center"/>
    </xf>
    <xf numFmtId="41" fontId="15" fillId="14" borderId="0" xfId="2" applyFont="1" applyFill="1" applyBorder="1" applyAlignment="1">
      <alignment horizontal="left" vertical="center"/>
    </xf>
    <xf numFmtId="41" fontId="15" fillId="14" borderId="88" xfId="2" applyFont="1" applyFill="1" applyBorder="1" applyAlignment="1">
      <alignment horizontal="left" vertical="center"/>
    </xf>
    <xf numFmtId="41" fontId="15" fillId="0" borderId="88" xfId="3" applyFont="1" applyFill="1" applyBorder="1" applyAlignment="1">
      <alignment vertical="center"/>
    </xf>
    <xf numFmtId="204" fontId="15" fillId="47" borderId="0" xfId="3" applyNumberFormat="1" applyFont="1" applyFill="1" applyBorder="1" applyAlignment="1">
      <alignment vertical="center" shrinkToFit="1"/>
    </xf>
    <xf numFmtId="205" fontId="15" fillId="34" borderId="0" xfId="3" applyNumberFormat="1" applyFont="1" applyFill="1" applyBorder="1" applyAlignment="1">
      <alignment vertical="center"/>
    </xf>
    <xf numFmtId="0" fontId="41" fillId="14" borderId="46" xfId="1" applyFont="1" applyFill="1" applyBorder="1" applyAlignment="1">
      <alignment horizontal="center" vertical="center"/>
    </xf>
    <xf numFmtId="0" fontId="41" fillId="14" borderId="52" xfId="1" applyFont="1" applyFill="1" applyBorder="1" applyAlignment="1">
      <alignment horizontal="center" vertical="center"/>
    </xf>
    <xf numFmtId="205" fontId="15" fillId="14" borderId="0" xfId="3" applyNumberFormat="1" applyFont="1" applyFill="1" applyBorder="1" applyAlignment="1">
      <alignment vertical="center"/>
    </xf>
    <xf numFmtId="209" fontId="15" fillId="0" borderId="0" xfId="1" applyNumberFormat="1" applyFont="1" applyAlignment="1">
      <alignment horizontal="center" vertical="center"/>
    </xf>
    <xf numFmtId="187" fontId="15" fillId="0" borderId="83" xfId="1" applyNumberFormat="1" applyFont="1" applyBorder="1" applyAlignment="1">
      <alignment horizontal="left" vertical="center"/>
    </xf>
    <xf numFmtId="41" fontId="15" fillId="0" borderId="5" xfId="3" applyFont="1" applyFill="1" applyBorder="1" applyAlignment="1">
      <alignment vertical="center"/>
    </xf>
    <xf numFmtId="0" fontId="15" fillId="0" borderId="0" xfId="3" applyNumberFormat="1" applyFont="1" applyFill="1" applyBorder="1" applyAlignment="1">
      <alignment horizontal="left" vertical="center"/>
    </xf>
    <xf numFmtId="41" fontId="15" fillId="14" borderId="88" xfId="2" applyFont="1" applyFill="1" applyBorder="1" applyAlignment="1">
      <alignment vertical="center"/>
    </xf>
    <xf numFmtId="41" fontId="45" fillId="0" borderId="0" xfId="2" applyFont="1" applyFill="1" applyBorder="1" applyAlignment="1">
      <alignment vertical="center"/>
    </xf>
    <xf numFmtId="213" fontId="15" fillId="47" borderId="0" xfId="1" applyNumberFormat="1" applyFont="1" applyFill="1" applyAlignment="1">
      <alignment horizontal="left" vertical="center"/>
    </xf>
    <xf numFmtId="10" fontId="15" fillId="47" borderId="0" xfId="1" applyNumberFormat="1" applyFont="1" applyFill="1">
      <alignment vertical="center"/>
    </xf>
    <xf numFmtId="0" fontId="15" fillId="47" borderId="0" xfId="1" applyFont="1" applyFill="1">
      <alignment vertical="center"/>
    </xf>
    <xf numFmtId="10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9" fontId="15" fillId="14" borderId="0" xfId="1" applyNumberFormat="1" applyFont="1" applyFill="1" applyAlignment="1">
      <alignment horizontal="left" vertical="center"/>
    </xf>
    <xf numFmtId="177" fontId="45" fillId="0" borderId="0" xfId="1" applyNumberFormat="1" applyFont="1" applyAlignment="1">
      <alignment horizontal="left" vertical="center"/>
    </xf>
    <xf numFmtId="0" fontId="15" fillId="29" borderId="0" xfId="1" applyFont="1" applyFill="1">
      <alignment vertical="center"/>
    </xf>
    <xf numFmtId="0" fontId="15" fillId="29" borderId="88" xfId="1" applyFont="1" applyFill="1" applyBorder="1">
      <alignment vertical="center"/>
    </xf>
    <xf numFmtId="203" fontId="15" fillId="47" borderId="88" xfId="3" applyNumberFormat="1" applyFont="1" applyFill="1" applyBorder="1" applyAlignment="1">
      <alignment horizontal="center" vertical="center"/>
    </xf>
    <xf numFmtId="210" fontId="15" fillId="14" borderId="88" xfId="1" applyNumberFormat="1" applyFont="1" applyFill="1" applyBorder="1" applyAlignment="1">
      <alignment horizontal="center" vertical="center"/>
    </xf>
    <xf numFmtId="212" fontId="15" fillId="47" borderId="0" xfId="1" applyNumberFormat="1" applyFont="1" applyFill="1" applyAlignment="1">
      <alignment horizontal="left" vertical="center"/>
    </xf>
    <xf numFmtId="0" fontId="37" fillId="29" borderId="66" xfId="1" applyFont="1" applyFill="1" applyBorder="1" applyAlignment="1">
      <alignment horizontal="center" vertical="center"/>
    </xf>
    <xf numFmtId="0" fontId="37" fillId="29" borderId="227" xfId="1" applyFont="1" applyFill="1" applyBorder="1" applyAlignment="1">
      <alignment horizontal="center" vertical="center"/>
    </xf>
    <xf numFmtId="0" fontId="15" fillId="29" borderId="27" xfId="3" applyNumberFormat="1" applyFont="1" applyFill="1" applyBorder="1" applyAlignment="1">
      <alignment horizontal="center" vertical="center"/>
    </xf>
    <xf numFmtId="184" fontId="24" fillId="47" borderId="109" xfId="1" applyNumberFormat="1" applyFont="1" applyFill="1" applyBorder="1" applyAlignment="1">
      <alignment horizontal="center" vertical="center"/>
    </xf>
    <xf numFmtId="184" fontId="24" fillId="47" borderId="69" xfId="1" applyNumberFormat="1" applyFont="1" applyFill="1" applyBorder="1" applyAlignment="1">
      <alignment horizontal="center" vertical="center"/>
    </xf>
    <xf numFmtId="187" fontId="15" fillId="0" borderId="5" xfId="1" applyNumberFormat="1" applyFont="1" applyBorder="1" applyAlignment="1">
      <alignment horizontal="left" vertical="center"/>
    </xf>
    <xf numFmtId="41" fontId="15" fillId="47" borderId="88" xfId="3" applyFont="1" applyFill="1" applyBorder="1" applyAlignment="1">
      <alignment vertical="center"/>
    </xf>
    <xf numFmtId="202" fontId="15" fillId="14" borderId="0" xfId="3" applyNumberFormat="1" applyFont="1" applyFill="1" applyBorder="1" applyAlignment="1">
      <alignment vertical="center"/>
    </xf>
    <xf numFmtId="204" fontId="15" fillId="47" borderId="0" xfId="3" applyNumberFormat="1" applyFont="1" applyFill="1" applyBorder="1" applyAlignment="1">
      <alignment vertical="center"/>
    </xf>
    <xf numFmtId="216" fontId="15" fillId="14" borderId="0" xfId="1" applyNumberFormat="1" applyFont="1" applyFill="1">
      <alignment vertical="center"/>
    </xf>
    <xf numFmtId="41" fontId="15" fillId="0" borderId="83" xfId="3" applyFont="1" applyFill="1" applyBorder="1" applyAlignment="1">
      <alignment vertical="center"/>
    </xf>
    <xf numFmtId="208" fontId="15" fillId="47" borderId="0" xfId="1" applyNumberFormat="1" applyFont="1" applyFill="1">
      <alignment vertical="center"/>
    </xf>
    <xf numFmtId="10" fontId="24" fillId="47" borderId="133" xfId="1" applyNumberFormat="1" applyFont="1" applyFill="1" applyBorder="1" applyAlignment="1">
      <alignment horizontal="center" vertical="center"/>
    </xf>
    <xf numFmtId="10" fontId="24" fillId="0" borderId="133" xfId="1" applyNumberFormat="1" applyFont="1" applyBorder="1" applyAlignment="1">
      <alignment horizontal="center" vertical="center"/>
    </xf>
    <xf numFmtId="222" fontId="24" fillId="0" borderId="133" xfId="5" applyNumberFormat="1" applyFont="1" applyFill="1" applyBorder="1" applyAlignment="1">
      <alignment horizontal="center" vertical="center"/>
    </xf>
    <xf numFmtId="177" fontId="48" fillId="47" borderId="83" xfId="1" applyNumberFormat="1" applyFont="1" applyFill="1" applyBorder="1" applyAlignment="1">
      <alignment horizontal="left" vertical="center"/>
    </xf>
    <xf numFmtId="177" fontId="48" fillId="47" borderId="98" xfId="1" applyNumberFormat="1" applyFont="1" applyFill="1" applyBorder="1" applyAlignment="1">
      <alignment horizontal="left" vertical="center"/>
    </xf>
    <xf numFmtId="10" fontId="24" fillId="47" borderId="88" xfId="1" applyNumberFormat="1" applyFont="1" applyFill="1" applyBorder="1">
      <alignment vertical="center"/>
    </xf>
    <xf numFmtId="10" fontId="30" fillId="47" borderId="138" xfId="1" applyNumberFormat="1" applyFont="1" applyFill="1" applyBorder="1" applyAlignment="1">
      <alignment horizontal="center" vertical="center"/>
    </xf>
    <xf numFmtId="10" fontId="30" fillId="47" borderId="139" xfId="1" applyNumberFormat="1" applyFont="1" applyFill="1" applyBorder="1" applyAlignment="1">
      <alignment horizontal="center" vertical="center"/>
    </xf>
    <xf numFmtId="177" fontId="15" fillId="29" borderId="88" xfId="1" applyNumberFormat="1" applyFont="1" applyFill="1" applyBorder="1" applyAlignment="1">
      <alignment horizontal="right" vertical="center"/>
    </xf>
    <xf numFmtId="223" fontId="15" fillId="14" borderId="88" xfId="1" applyNumberFormat="1" applyFont="1" applyFill="1" applyBorder="1" applyAlignment="1">
      <alignment horizontal="left" vertical="center"/>
    </xf>
    <xf numFmtId="223" fontId="15" fillId="14" borderId="89" xfId="1" applyNumberFormat="1" applyFont="1" applyFill="1" applyBorder="1" applyAlignment="1">
      <alignment horizontal="left" vertical="center"/>
    </xf>
    <xf numFmtId="10" fontId="26" fillId="29" borderId="31" xfId="3" applyNumberFormat="1" applyFont="1" applyFill="1" applyBorder="1" applyAlignment="1">
      <alignment horizontal="center" vertical="center"/>
    </xf>
    <xf numFmtId="10" fontId="24" fillId="14" borderId="31" xfId="1" applyNumberFormat="1" applyFont="1" applyFill="1" applyBorder="1" applyAlignment="1">
      <alignment horizontal="center" vertical="center"/>
    </xf>
    <xf numFmtId="0" fontId="24" fillId="47" borderId="69" xfId="1" applyFont="1" applyFill="1" applyBorder="1" applyAlignment="1">
      <alignment horizontal="center" vertical="center" wrapText="1"/>
    </xf>
    <xf numFmtId="177" fontId="48" fillId="47" borderId="5" xfId="1" applyNumberFormat="1" applyFont="1" applyFill="1" applyBorder="1" applyAlignment="1">
      <alignment horizontal="left" vertical="center"/>
    </xf>
    <xf numFmtId="10" fontId="16" fillId="47" borderId="0" xfId="1" applyNumberFormat="1" applyFont="1" applyFill="1">
      <alignment vertical="center"/>
    </xf>
    <xf numFmtId="10" fontId="30" fillId="47" borderId="140" xfId="1" applyNumberFormat="1" applyFont="1" applyFill="1" applyBorder="1" applyAlignment="1">
      <alignment horizontal="center" vertical="center"/>
    </xf>
    <xf numFmtId="10" fontId="30" fillId="47" borderId="141" xfId="1" applyNumberFormat="1" applyFont="1" applyFill="1" applyBorder="1" applyAlignment="1">
      <alignment horizontal="center" vertical="center"/>
    </xf>
    <xf numFmtId="244" fontId="24" fillId="14" borderId="31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right" vertical="center"/>
    </xf>
    <xf numFmtId="0" fontId="24" fillId="13" borderId="0" xfId="1" applyFont="1" applyFill="1" applyAlignment="1">
      <alignment horizontal="center" vertical="center"/>
    </xf>
    <xf numFmtId="0" fontId="15" fillId="13" borderId="0" xfId="1" applyFont="1" applyFill="1" applyAlignment="1">
      <alignment horizontal="center" vertical="center"/>
    </xf>
    <xf numFmtId="10" fontId="15" fillId="29" borderId="0" xfId="1" applyNumberFormat="1" applyFont="1" applyFill="1" applyAlignment="1">
      <alignment horizontal="right" vertical="center"/>
    </xf>
    <xf numFmtId="223" fontId="15" fillId="14" borderId="0" xfId="1" applyNumberFormat="1" applyFont="1" applyFill="1" applyAlignment="1">
      <alignment horizontal="left" vertical="center"/>
    </xf>
    <xf numFmtId="223" fontId="15" fillId="14" borderId="51" xfId="1" applyNumberFormat="1" applyFont="1" applyFill="1" applyBorder="1" applyAlignment="1">
      <alignment horizontal="left" vertical="center"/>
    </xf>
    <xf numFmtId="10" fontId="30" fillId="0" borderId="140" xfId="1" applyNumberFormat="1" applyFont="1" applyBorder="1" applyAlignment="1">
      <alignment horizontal="center" vertical="center"/>
    </xf>
    <xf numFmtId="10" fontId="30" fillId="0" borderId="141" xfId="1" applyNumberFormat="1" applyFont="1" applyBorder="1" applyAlignment="1">
      <alignment horizontal="center" vertical="center"/>
    </xf>
    <xf numFmtId="10" fontId="30" fillId="14" borderId="144" xfId="1" applyNumberFormat="1" applyFont="1" applyFill="1" applyBorder="1" applyAlignment="1">
      <alignment horizontal="center" vertical="center"/>
    </xf>
    <xf numFmtId="10" fontId="30" fillId="14" borderId="145" xfId="1" applyNumberFormat="1" applyFont="1" applyFill="1" applyBorder="1" applyAlignment="1">
      <alignment horizontal="center" vertical="center"/>
    </xf>
    <xf numFmtId="0" fontId="24" fillId="29" borderId="78" xfId="1" applyFont="1" applyFill="1" applyBorder="1" applyAlignment="1">
      <alignment horizontal="center" vertical="center"/>
    </xf>
    <xf numFmtId="0" fontId="24" fillId="29" borderId="119" xfId="1" applyFont="1" applyFill="1" applyBorder="1" applyAlignment="1">
      <alignment horizontal="center" vertical="center"/>
    </xf>
    <xf numFmtId="10" fontId="24" fillId="47" borderId="79" xfId="1" applyNumberFormat="1" applyFont="1" applyFill="1" applyBorder="1" applyAlignment="1">
      <alignment horizontal="center" vertical="center"/>
    </xf>
    <xf numFmtId="10" fontId="24" fillId="0" borderId="79" xfId="1" applyNumberFormat="1" applyFont="1" applyBorder="1" applyAlignment="1">
      <alignment horizontal="center" vertical="center"/>
    </xf>
    <xf numFmtId="10" fontId="24" fillId="0" borderId="79" xfId="1" applyNumberFormat="1" applyFont="1" applyBorder="1" applyAlignment="1">
      <alignment horizontal="right" vertical="center"/>
    </xf>
    <xf numFmtId="41" fontId="37" fillId="3" borderId="1" xfId="3" applyFont="1" applyFill="1" applyBorder="1" applyAlignment="1">
      <alignment horizontal="center" vertical="center"/>
    </xf>
    <xf numFmtId="179" fontId="37" fillId="3" borderId="39" xfId="7" applyNumberFormat="1" applyFont="1" applyFill="1" applyBorder="1" applyAlignment="1">
      <alignment horizontal="center" vertical="center"/>
    </xf>
    <xf numFmtId="179" fontId="37" fillId="3" borderId="51" xfId="7" applyNumberFormat="1" applyFont="1" applyFill="1" applyBorder="1" applyAlignment="1">
      <alignment horizontal="center" vertical="center"/>
    </xf>
    <xf numFmtId="179" fontId="37" fillId="3" borderId="74" xfId="7" applyNumberFormat="1" applyFont="1" applyFill="1" applyBorder="1" applyAlignment="1">
      <alignment horizontal="center" vertical="center"/>
    </xf>
    <xf numFmtId="179" fontId="42" fillId="0" borderId="52" xfId="7" applyNumberFormat="1" applyFont="1" applyFill="1" applyBorder="1" applyAlignment="1">
      <alignment horizontal="center" vertical="center"/>
    </xf>
    <xf numFmtId="179" fontId="37" fillId="12" borderId="18" xfId="7" applyNumberFormat="1" applyFont="1" applyFill="1" applyBorder="1" applyAlignment="1">
      <alignment horizontal="center" vertical="center"/>
    </xf>
    <xf numFmtId="179" fontId="37" fillId="12" borderId="23" xfId="7" applyNumberFormat="1" applyFont="1" applyFill="1" applyBorder="1" applyAlignment="1">
      <alignment horizontal="center" vertical="center"/>
    </xf>
    <xf numFmtId="49" fontId="37" fillId="2" borderId="4" xfId="7" applyNumberFormat="1" applyFont="1" applyFill="1" applyBorder="1" applyAlignment="1">
      <alignment vertical="center" wrapText="1"/>
    </xf>
    <xf numFmtId="49" fontId="37" fillId="2" borderId="49" xfId="7" applyNumberFormat="1" applyFont="1" applyFill="1" applyBorder="1" applyAlignment="1">
      <alignment vertical="center" wrapText="1"/>
    </xf>
    <xf numFmtId="49" fontId="37" fillId="2" borderId="25" xfId="7" applyNumberFormat="1" applyFont="1" applyFill="1" applyBorder="1" applyAlignment="1">
      <alignment vertical="center" wrapText="1"/>
    </xf>
    <xf numFmtId="179" fontId="37" fillId="2" borderId="151" xfId="7" applyNumberFormat="1" applyFont="1" applyFill="1" applyBorder="1" applyAlignment="1">
      <alignment horizontal="left" vertical="center"/>
    </xf>
    <xf numFmtId="179" fontId="37" fillId="2" borderId="152" xfId="7" applyNumberFormat="1" applyFont="1" applyFill="1" applyBorder="1" applyAlignment="1">
      <alignment horizontal="left" vertical="center"/>
    </xf>
    <xf numFmtId="179" fontId="37" fillId="2" borderId="170" xfId="7" applyNumberFormat="1" applyFont="1" applyFill="1" applyBorder="1" applyAlignment="1">
      <alignment horizontal="left" vertical="center"/>
    </xf>
    <xf numFmtId="179" fontId="37" fillId="2" borderId="128" xfId="7" applyNumberFormat="1" applyFont="1" applyFill="1" applyBorder="1" applyAlignment="1">
      <alignment horizontal="left" vertical="center"/>
    </xf>
    <xf numFmtId="179" fontId="37" fillId="3" borderId="2" xfId="7" applyNumberFormat="1" applyFont="1" applyFill="1" applyBorder="1" applyAlignment="1">
      <alignment horizontal="left" vertical="center"/>
    </xf>
    <xf numFmtId="179" fontId="37" fillId="3" borderId="3" xfId="7" applyNumberFormat="1" applyFont="1" applyFill="1" applyBorder="1" applyAlignment="1">
      <alignment horizontal="left" vertical="center"/>
    </xf>
    <xf numFmtId="0" fontId="37" fillId="2" borderId="4" xfId="7" applyNumberFormat="1" applyFont="1" applyFill="1" applyBorder="1" applyAlignment="1">
      <alignment vertical="center" wrapText="1"/>
    </xf>
    <xf numFmtId="0" fontId="37" fillId="2" borderId="49" xfId="7" applyNumberFormat="1" applyFont="1" applyFill="1" applyBorder="1" applyAlignment="1">
      <alignment vertical="center" wrapText="1"/>
    </xf>
    <xf numFmtId="0" fontId="37" fillId="2" borderId="25" xfId="7" applyNumberFormat="1" applyFont="1" applyFill="1" applyBorder="1" applyAlignment="1">
      <alignment vertical="center" wrapText="1"/>
    </xf>
    <xf numFmtId="0" fontId="37" fillId="2" borderId="18" xfId="7" applyNumberFormat="1" applyFont="1" applyFill="1" applyBorder="1" applyAlignment="1">
      <alignment vertical="center" wrapText="1"/>
    </xf>
    <xf numFmtId="0" fontId="37" fillId="2" borderId="23" xfId="7" applyNumberFormat="1" applyFont="1" applyFill="1" applyBorder="1" applyAlignment="1">
      <alignment vertical="center" wrapText="1"/>
    </xf>
    <xf numFmtId="0" fontId="37" fillId="2" borderId="26" xfId="7" applyNumberFormat="1" applyFont="1" applyFill="1" applyBorder="1" applyAlignment="1">
      <alignment vertical="center" wrapText="1"/>
    </xf>
    <xf numFmtId="179" fontId="37" fillId="3" borderId="1" xfId="7" applyNumberFormat="1" applyFont="1" applyFill="1" applyBorder="1" applyAlignment="1">
      <alignment horizontal="center" vertical="center"/>
    </xf>
    <xf numFmtId="179" fontId="37" fillId="2" borderId="18" xfId="7" applyNumberFormat="1" applyFont="1" applyFill="1" applyBorder="1" applyAlignment="1">
      <alignment vertical="center" wrapText="1"/>
    </xf>
    <xf numFmtId="179" fontId="37" fillId="2" borderId="23" xfId="7" applyNumberFormat="1" applyFont="1" applyFill="1" applyBorder="1" applyAlignment="1">
      <alignment vertical="center" wrapText="1"/>
    </xf>
    <xf numFmtId="179" fontId="37" fillId="2" borderId="26" xfId="7" applyNumberFormat="1" applyFont="1" applyFill="1" applyBorder="1" applyAlignment="1">
      <alignment vertical="center" wrapText="1"/>
    </xf>
    <xf numFmtId="49" fontId="37" fillId="19" borderId="18" xfId="7" applyNumberFormat="1" applyFont="1" applyFill="1" applyBorder="1" applyAlignment="1">
      <alignment vertical="center"/>
    </xf>
    <xf numFmtId="49" fontId="37" fillId="19" borderId="23" xfId="7" applyNumberFormat="1" applyFont="1" applyFill="1" applyBorder="1" applyAlignment="1">
      <alignment vertical="center"/>
    </xf>
    <xf numFmtId="49" fontId="37" fillId="19" borderId="26" xfId="7" applyNumberFormat="1" applyFont="1" applyFill="1" applyBorder="1" applyAlignment="1">
      <alignment vertical="center"/>
    </xf>
    <xf numFmtId="49" fontId="37" fillId="18" borderId="18" xfId="7" applyNumberFormat="1" applyFont="1" applyFill="1" applyBorder="1" applyAlignment="1">
      <alignment horizontal="left" vertical="center"/>
    </xf>
    <xf numFmtId="49" fontId="37" fillId="18" borderId="23" xfId="7" applyNumberFormat="1" applyFont="1" applyFill="1" applyBorder="1" applyAlignment="1">
      <alignment horizontal="left" vertical="center"/>
    </xf>
    <xf numFmtId="49" fontId="37" fillId="18" borderId="26" xfId="7" applyNumberFormat="1" applyFont="1" applyFill="1" applyBorder="1" applyAlignment="1">
      <alignment horizontal="left" vertical="center"/>
    </xf>
    <xf numFmtId="49" fontId="37" fillId="18" borderId="2" xfId="3" applyNumberFormat="1" applyFont="1" applyFill="1" applyBorder="1" applyAlignment="1">
      <alignment vertical="center"/>
    </xf>
    <xf numFmtId="49" fontId="37" fillId="18" borderId="3" xfId="3" applyNumberFormat="1" applyFont="1" applyFill="1" applyBorder="1" applyAlignment="1">
      <alignment vertical="center"/>
    </xf>
    <xf numFmtId="49" fontId="37" fillId="0" borderId="2" xfId="7" applyNumberFormat="1" applyFont="1" applyFill="1" applyBorder="1" applyAlignment="1">
      <alignment horizontal="left" vertical="center"/>
    </xf>
    <xf numFmtId="49" fontId="37" fillId="0" borderId="7" xfId="7" applyNumberFormat="1" applyFont="1" applyFill="1" applyBorder="1" applyAlignment="1">
      <alignment horizontal="left" vertical="center"/>
    </xf>
    <xf numFmtId="49" fontId="37" fillId="0" borderId="3" xfId="7" applyNumberFormat="1" applyFont="1" applyFill="1" applyBorder="1" applyAlignment="1">
      <alignment horizontal="left" vertical="center"/>
    </xf>
    <xf numFmtId="49" fontId="37" fillId="0" borderId="2" xfId="7" applyNumberFormat="1" applyFont="1" applyFill="1" applyBorder="1" applyAlignment="1">
      <alignment vertical="center"/>
    </xf>
    <xf numFmtId="49" fontId="37" fillId="0" borderId="7" xfId="7" applyNumberFormat="1" applyFont="1" applyFill="1" applyBorder="1" applyAlignment="1">
      <alignment vertical="center"/>
    </xf>
    <xf numFmtId="49" fontId="37" fillId="0" borderId="3" xfId="7" applyNumberFormat="1" applyFont="1" applyFill="1" applyBorder="1" applyAlignment="1">
      <alignment vertical="center"/>
    </xf>
    <xf numFmtId="49" fontId="37" fillId="2" borderId="1" xfId="3" applyNumberFormat="1" applyFont="1" applyFill="1" applyBorder="1" applyAlignment="1">
      <alignment horizontal="left" vertical="center"/>
    </xf>
    <xf numFmtId="49" fontId="37" fillId="12" borderId="3" xfId="3" applyNumberFormat="1" applyFont="1" applyFill="1" applyBorder="1" applyAlignment="1">
      <alignment horizontal="center" vertical="center"/>
    </xf>
    <xf numFmtId="49" fontId="37" fillId="12" borderId="1" xfId="3" applyNumberFormat="1" applyFont="1" applyFill="1" applyBorder="1" applyAlignment="1">
      <alignment horizontal="center" vertical="center"/>
    </xf>
    <xf numFmtId="49" fontId="37" fillId="2" borderId="18" xfId="7" applyNumberFormat="1" applyFont="1" applyFill="1" applyBorder="1" applyAlignment="1">
      <alignment vertical="center"/>
    </xf>
    <xf numFmtId="49" fontId="37" fillId="2" borderId="23" xfId="7" applyNumberFormat="1" applyFont="1" applyFill="1" applyBorder="1" applyAlignment="1">
      <alignment vertical="center"/>
    </xf>
    <xf numFmtId="49" fontId="37" fillId="2" borderId="2" xfId="7" applyNumberFormat="1" applyFont="1" applyFill="1" applyBorder="1" applyAlignment="1">
      <alignment horizontal="left" vertical="center"/>
    </xf>
    <xf numFmtId="49" fontId="37" fillId="2" borderId="3" xfId="7" applyNumberFormat="1" applyFont="1" applyFill="1" applyBorder="1" applyAlignment="1">
      <alignment horizontal="left" vertical="center"/>
    </xf>
    <xf numFmtId="49" fontId="37" fillId="2" borderId="2" xfId="3" applyNumberFormat="1" applyFont="1" applyFill="1" applyBorder="1" applyAlignment="1">
      <alignment horizontal="left" vertical="center"/>
    </xf>
    <xf numFmtId="49" fontId="37" fillId="2" borderId="3" xfId="3" applyNumberFormat="1" applyFont="1" applyFill="1" applyBorder="1" applyAlignment="1">
      <alignment horizontal="left" vertical="center"/>
    </xf>
    <xf numFmtId="49" fontId="37" fillId="2" borderId="7" xfId="7" applyNumberFormat="1" applyFont="1" applyFill="1" applyBorder="1" applyAlignment="1">
      <alignment horizontal="left" vertical="center"/>
    </xf>
    <xf numFmtId="49" fontId="37" fillId="19" borderId="4" xfId="7" applyNumberFormat="1" applyFont="1" applyFill="1" applyBorder="1" applyAlignment="1">
      <alignment vertical="center"/>
    </xf>
    <xf numFmtId="49" fontId="37" fillId="19" borderId="25" xfId="7" applyNumberFormat="1" applyFont="1" applyFill="1" applyBorder="1" applyAlignment="1">
      <alignment vertical="center"/>
    </xf>
    <xf numFmtId="10" fontId="37" fillId="19" borderId="18" xfId="1" applyNumberFormat="1" applyFont="1" applyFill="1" applyBorder="1" applyAlignment="1">
      <alignment horizontal="center" vertical="center"/>
    </xf>
    <xf numFmtId="10" fontId="37" fillId="19" borderId="26" xfId="1" applyNumberFormat="1" applyFont="1" applyFill="1" applyBorder="1" applyAlignment="1">
      <alignment horizontal="center" vertical="center"/>
    </xf>
    <xf numFmtId="49" fontId="37" fillId="2" borderId="18" xfId="1" applyNumberFormat="1" applyFont="1" applyFill="1" applyBorder="1" applyAlignment="1">
      <alignment horizontal="left" vertical="center" wrapText="1"/>
    </xf>
    <xf numFmtId="49" fontId="37" fillId="2" borderId="23" xfId="1" applyNumberFormat="1" applyFont="1" applyFill="1" applyBorder="1" applyAlignment="1">
      <alignment horizontal="left" vertical="center"/>
    </xf>
    <xf numFmtId="49" fontId="37" fillId="2" borderId="26" xfId="1" applyNumberFormat="1" applyFont="1" applyFill="1" applyBorder="1" applyAlignment="1">
      <alignment horizontal="left" vertical="center"/>
    </xf>
    <xf numFmtId="49" fontId="37" fillId="2" borderId="4" xfId="1" applyNumberFormat="1" applyFont="1" applyFill="1" applyBorder="1">
      <alignment vertical="center"/>
    </xf>
    <xf numFmtId="49" fontId="37" fillId="2" borderId="47" xfId="1" applyNumberFormat="1" applyFont="1" applyFill="1" applyBorder="1">
      <alignment vertical="center"/>
    </xf>
    <xf numFmtId="49" fontId="37" fillId="2" borderId="25" xfId="1" applyNumberFormat="1" applyFont="1" applyFill="1" applyBorder="1">
      <alignment vertical="center"/>
    </xf>
    <xf numFmtId="49" fontId="37" fillId="2" borderId="50" xfId="1" applyNumberFormat="1" applyFont="1" applyFill="1" applyBorder="1">
      <alignment vertical="center"/>
    </xf>
    <xf numFmtId="41" fontId="37" fillId="12" borderId="7" xfId="3" applyFont="1" applyFill="1" applyBorder="1" applyAlignment="1">
      <alignment horizontal="center" vertical="center"/>
    </xf>
    <xf numFmtId="41" fontId="37" fillId="12" borderId="3" xfId="3" applyFont="1" applyFill="1" applyBorder="1" applyAlignment="1">
      <alignment horizontal="center" vertical="center"/>
    </xf>
    <xf numFmtId="179" fontId="37" fillId="21" borderId="1" xfId="7" applyNumberFormat="1" applyFont="1" applyFill="1" applyBorder="1" applyAlignment="1">
      <alignment horizontal="center" vertical="center"/>
    </xf>
    <xf numFmtId="179" fontId="37" fillId="21" borderId="150" xfId="7" applyNumberFormat="1" applyFont="1" applyFill="1" applyBorder="1" applyAlignment="1">
      <alignment horizontal="center" vertical="center"/>
    </xf>
    <xf numFmtId="179" fontId="37" fillId="21" borderId="169" xfId="7" applyNumberFormat="1" applyFont="1" applyFill="1" applyBorder="1" applyAlignment="1">
      <alignment horizontal="center" vertical="center"/>
    </xf>
    <xf numFmtId="49" fontId="37" fillId="18" borderId="18" xfId="7" applyNumberFormat="1" applyFont="1" applyFill="1" applyBorder="1" applyAlignment="1">
      <alignment vertical="center"/>
    </xf>
    <xf numFmtId="49" fontId="37" fillId="18" borderId="26" xfId="7" applyNumberFormat="1" applyFont="1" applyFill="1" applyBorder="1" applyAlignment="1">
      <alignment vertical="center"/>
    </xf>
    <xf numFmtId="10" fontId="37" fillId="18" borderId="18" xfId="1" applyNumberFormat="1" applyFont="1" applyFill="1" applyBorder="1" applyAlignment="1">
      <alignment horizontal="center" vertical="center"/>
    </xf>
    <xf numFmtId="10" fontId="37" fillId="18" borderId="26" xfId="1" applyNumberFormat="1" applyFont="1" applyFill="1" applyBorder="1" applyAlignment="1">
      <alignment horizontal="center" vertical="center"/>
    </xf>
    <xf numFmtId="49" fontId="37" fillId="17" borderId="18" xfId="7" applyNumberFormat="1" applyFont="1" applyFill="1" applyBorder="1" applyAlignment="1">
      <alignment horizontal="center" vertical="center"/>
    </xf>
    <xf numFmtId="49" fontId="37" fillId="17" borderId="26" xfId="7" applyNumberFormat="1" applyFont="1" applyFill="1" applyBorder="1" applyAlignment="1">
      <alignment horizontal="center" vertical="center"/>
    </xf>
    <xf numFmtId="49" fontId="37" fillId="17" borderId="151" xfId="7" applyNumberFormat="1" applyFont="1" applyFill="1" applyBorder="1" applyAlignment="1">
      <alignment horizontal="center" vertical="center"/>
    </xf>
    <xf numFmtId="49" fontId="37" fillId="17" borderId="83" xfId="7" applyNumberFormat="1" applyFont="1" applyFill="1" applyBorder="1" applyAlignment="1">
      <alignment horizontal="center" vertical="center"/>
    </xf>
    <xf numFmtId="49" fontId="37" fillId="17" borderId="152" xfId="7" applyNumberFormat="1" applyFont="1" applyFill="1" applyBorder="1" applyAlignment="1">
      <alignment horizontal="center" vertical="center"/>
    </xf>
    <xf numFmtId="49" fontId="37" fillId="17" borderId="170" xfId="7" applyNumberFormat="1" applyFont="1" applyFill="1" applyBorder="1" applyAlignment="1">
      <alignment horizontal="center" vertical="center"/>
    </xf>
    <xf numFmtId="49" fontId="37" fillId="17" borderId="172" xfId="7" applyNumberFormat="1" applyFont="1" applyFill="1" applyBorder="1" applyAlignment="1">
      <alignment horizontal="center" vertical="center"/>
    </xf>
    <xf numFmtId="49" fontId="37" fillId="17" borderId="128" xfId="7" applyNumberFormat="1" applyFont="1" applyFill="1" applyBorder="1" applyAlignment="1">
      <alignment horizontal="center" vertical="center"/>
    </xf>
    <xf numFmtId="49" fontId="37" fillId="2" borderId="18" xfId="7" applyNumberFormat="1" applyFont="1" applyFill="1" applyBorder="1" applyAlignment="1">
      <alignment horizontal="center" vertical="center"/>
    </xf>
    <xf numFmtId="49" fontId="37" fillId="2" borderId="26" xfId="7" applyNumberFormat="1" applyFont="1" applyFill="1" applyBorder="1" applyAlignment="1">
      <alignment horizontal="center" vertical="center"/>
    </xf>
    <xf numFmtId="49" fontId="37" fillId="0" borderId="151" xfId="7" applyNumberFormat="1" applyFont="1" applyFill="1" applyBorder="1" applyAlignment="1">
      <alignment horizontal="center" vertical="center"/>
    </xf>
    <xf numFmtId="49" fontId="37" fillId="0" borderId="83" xfId="7" applyNumberFormat="1" applyFont="1" applyFill="1" applyBorder="1" applyAlignment="1">
      <alignment horizontal="center" vertical="center"/>
    </xf>
    <xf numFmtId="49" fontId="37" fillId="0" borderId="152" xfId="7" applyNumberFormat="1" applyFont="1" applyFill="1" applyBorder="1" applyAlignment="1">
      <alignment horizontal="center" vertical="center"/>
    </xf>
    <xf numFmtId="49" fontId="37" fillId="0" borderId="170" xfId="7" applyNumberFormat="1" applyFont="1" applyFill="1" applyBorder="1" applyAlignment="1">
      <alignment horizontal="center" vertical="center"/>
    </xf>
    <xf numFmtId="49" fontId="37" fillId="0" borderId="172" xfId="7" applyNumberFormat="1" applyFont="1" applyFill="1" applyBorder="1" applyAlignment="1">
      <alignment horizontal="center" vertical="center"/>
    </xf>
    <xf numFmtId="49" fontId="37" fillId="0" borderId="128" xfId="7" applyNumberFormat="1" applyFont="1" applyFill="1" applyBorder="1" applyAlignment="1">
      <alignment horizontal="center" vertical="center"/>
    </xf>
    <xf numFmtId="49" fontId="37" fillId="0" borderId="18" xfId="7" applyNumberFormat="1" applyFont="1" applyFill="1" applyBorder="1" applyAlignment="1">
      <alignment horizontal="center" vertical="center"/>
    </xf>
    <xf numFmtId="49" fontId="37" fillId="0" borderId="23" xfId="7" applyNumberFormat="1" applyFont="1" applyFill="1" applyBorder="1" applyAlignment="1">
      <alignment horizontal="center" vertical="center"/>
    </xf>
    <xf numFmtId="49" fontId="37" fillId="0" borderId="26" xfId="7" applyNumberFormat="1" applyFont="1" applyFill="1" applyBorder="1" applyAlignment="1">
      <alignment horizontal="center" vertical="center"/>
    </xf>
    <xf numFmtId="49" fontId="37" fillId="0" borderId="4" xfId="7" applyNumberFormat="1" applyFont="1" applyFill="1" applyBorder="1" applyAlignment="1">
      <alignment horizontal="center" vertical="center" wrapText="1"/>
    </xf>
    <xf numFmtId="49" fontId="37" fillId="0" borderId="47" xfId="7" applyNumberFormat="1" applyFont="1" applyFill="1" applyBorder="1" applyAlignment="1">
      <alignment horizontal="center" vertical="center" wrapText="1"/>
    </xf>
    <xf numFmtId="49" fontId="37" fillId="0" borderId="25" xfId="7" applyNumberFormat="1" applyFont="1" applyFill="1" applyBorder="1" applyAlignment="1">
      <alignment horizontal="center" vertical="center" wrapText="1"/>
    </xf>
    <xf numFmtId="49" fontId="37" fillId="0" borderId="50" xfId="7" applyNumberFormat="1" applyFont="1" applyFill="1" applyBorder="1" applyAlignment="1">
      <alignment horizontal="center" vertical="center" wrapText="1"/>
    </xf>
    <xf numFmtId="49" fontId="37" fillId="0" borderId="18" xfId="7" applyNumberFormat="1" applyFont="1" applyFill="1" applyBorder="1" applyAlignment="1">
      <alignment horizontal="center" vertical="center" wrapText="1"/>
    </xf>
    <xf numFmtId="49" fontId="37" fillId="0" borderId="2" xfId="7" applyNumberFormat="1" applyFont="1" applyFill="1" applyBorder="1" applyAlignment="1">
      <alignment horizontal="center" vertical="center"/>
    </xf>
    <xf numFmtId="49" fontId="37" fillId="0" borderId="7" xfId="7" applyNumberFormat="1" applyFont="1" applyFill="1" applyBorder="1" applyAlignment="1">
      <alignment horizontal="center" vertical="center"/>
    </xf>
    <xf numFmtId="49" fontId="37" fillId="0" borderId="2" xfId="7" applyNumberFormat="1" applyFont="1" applyFill="1" applyBorder="1" applyAlignment="1">
      <alignment horizontal="center" vertical="center" wrapText="1"/>
    </xf>
    <xf numFmtId="49" fontId="37" fillId="0" borderId="3" xfId="7" applyNumberFormat="1" applyFont="1" applyFill="1" applyBorder="1" applyAlignment="1">
      <alignment horizontal="center" vertical="center" wrapText="1"/>
    </xf>
    <xf numFmtId="49" fontId="37" fillId="22" borderId="4" xfId="7" applyNumberFormat="1" applyFont="1" applyFill="1" applyBorder="1" applyAlignment="1">
      <alignment horizontal="center" vertical="center"/>
    </xf>
    <xf numFmtId="49" fontId="37" fillId="22" borderId="47" xfId="7" applyNumberFormat="1" applyFont="1" applyFill="1" applyBorder="1" applyAlignment="1">
      <alignment horizontal="center" vertical="center"/>
    </xf>
    <xf numFmtId="49" fontId="37" fillId="22" borderId="25" xfId="7" applyNumberFormat="1" applyFont="1" applyFill="1" applyBorder="1" applyAlignment="1">
      <alignment horizontal="center" vertical="center"/>
    </xf>
    <xf numFmtId="49" fontId="37" fillId="22" borderId="50" xfId="7" applyNumberFormat="1" applyFont="1" applyFill="1" applyBorder="1" applyAlignment="1">
      <alignment horizontal="center" vertical="center"/>
    </xf>
    <xf numFmtId="179" fontId="37" fillId="2" borderId="4" xfId="7" applyNumberFormat="1" applyFont="1" applyFill="1" applyBorder="1" applyAlignment="1">
      <alignment horizontal="center" vertical="center"/>
    </xf>
    <xf numFmtId="179" fontId="37" fillId="2" borderId="47" xfId="7" applyNumberFormat="1" applyFont="1" applyFill="1" applyBorder="1" applyAlignment="1">
      <alignment horizontal="center" vertical="center"/>
    </xf>
    <xf numFmtId="177" fontId="37" fillId="2" borderId="25" xfId="1" applyNumberFormat="1" applyFont="1" applyFill="1" applyBorder="1" applyAlignment="1">
      <alignment horizontal="center" vertical="center"/>
    </xf>
    <xf numFmtId="177" fontId="37" fillId="2" borderId="50" xfId="1" applyNumberFormat="1" applyFont="1" applyFill="1" applyBorder="1" applyAlignment="1">
      <alignment horizontal="center" vertical="center"/>
    </xf>
    <xf numFmtId="49" fontId="37" fillId="17" borderId="150" xfId="7" applyNumberFormat="1" applyFont="1" applyFill="1" applyBorder="1" applyAlignment="1">
      <alignment horizontal="center" vertical="center"/>
    </xf>
    <xf numFmtId="49" fontId="37" fillId="17" borderId="169" xfId="7" applyNumberFormat="1" applyFont="1" applyFill="1" applyBorder="1" applyAlignment="1">
      <alignment horizontal="center" vertical="center"/>
    </xf>
    <xf numFmtId="0" fontId="37" fillId="0" borderId="0" xfId="7" applyNumberFormat="1" applyFont="1" applyFill="1" applyBorder="1" applyAlignment="1">
      <alignment horizontal="center" vertical="center"/>
    </xf>
    <xf numFmtId="178" fontId="37" fillId="0" borderId="0" xfId="1" applyNumberFormat="1" applyFont="1">
      <alignment vertical="center"/>
    </xf>
    <xf numFmtId="49" fontId="37" fillId="0" borderId="5" xfId="7" applyNumberFormat="1" applyFont="1" applyFill="1" applyBorder="1" applyAlignment="1">
      <alignment horizontal="center" vertical="center"/>
    </xf>
    <xf numFmtId="49" fontId="37" fillId="0" borderId="47" xfId="7" applyNumberFormat="1" applyFont="1" applyFill="1" applyBorder="1" applyAlignment="1">
      <alignment horizontal="center" vertical="center"/>
    </xf>
    <xf numFmtId="49" fontId="37" fillId="0" borderId="0" xfId="7" applyNumberFormat="1" applyFont="1" applyFill="1" applyBorder="1" applyAlignment="1">
      <alignment horizontal="center" vertical="center"/>
    </xf>
    <xf numFmtId="49" fontId="37" fillId="0" borderId="48" xfId="7" applyNumberFormat="1" applyFont="1" applyFill="1" applyBorder="1" applyAlignment="1">
      <alignment horizontal="center" vertical="center"/>
    </xf>
    <xf numFmtId="49" fontId="37" fillId="0" borderId="3" xfId="7" applyNumberFormat="1" applyFont="1" applyFill="1" applyBorder="1" applyAlignment="1">
      <alignment horizontal="center" vertical="center"/>
    </xf>
    <xf numFmtId="49" fontId="37" fillId="23" borderId="2" xfId="7" applyNumberFormat="1" applyFont="1" applyFill="1" applyBorder="1" applyAlignment="1">
      <alignment horizontal="center" vertical="center"/>
    </xf>
    <xf numFmtId="49" fontId="37" fillId="23" borderId="3" xfId="7" applyNumberFormat="1" applyFont="1" applyFill="1" applyBorder="1" applyAlignment="1">
      <alignment horizontal="center" vertical="center"/>
    </xf>
    <xf numFmtId="49" fontId="37" fillId="3" borderId="27" xfId="7" applyNumberFormat="1" applyFont="1" applyFill="1" applyBorder="1" applyAlignment="1">
      <alignment horizontal="center" vertical="center"/>
    </xf>
    <xf numFmtId="49" fontId="37" fillId="3" borderId="50" xfId="7" applyNumberFormat="1" applyFont="1" applyFill="1" applyBorder="1" applyAlignment="1">
      <alignment horizontal="center" vertical="center"/>
    </xf>
    <xf numFmtId="49" fontId="37" fillId="12" borderId="4" xfId="7" applyNumberFormat="1" applyFont="1" applyFill="1" applyBorder="1" applyAlignment="1">
      <alignment horizontal="center" vertical="center"/>
    </xf>
    <xf numFmtId="49" fontId="37" fillId="12" borderId="47" xfId="7" applyNumberFormat="1" applyFont="1" applyFill="1" applyBorder="1" applyAlignment="1">
      <alignment horizontal="center" vertical="center"/>
    </xf>
    <xf numFmtId="224" fontId="37" fillId="0" borderId="5" xfId="7" applyFont="1" applyFill="1" applyBorder="1" applyAlignment="1">
      <alignment horizontal="center" vertical="center"/>
    </xf>
    <xf numFmtId="49" fontId="58" fillId="24" borderId="187" xfId="7" applyNumberFormat="1" applyFont="1" applyFill="1" applyBorder="1" applyAlignment="1">
      <alignment horizontal="center" vertical="center"/>
    </xf>
    <xf numFmtId="49" fontId="58" fillId="24" borderId="188" xfId="7" applyNumberFormat="1" applyFont="1" applyFill="1" applyBorder="1" applyAlignment="1">
      <alignment horizontal="center" vertical="center"/>
    </xf>
    <xf numFmtId="49" fontId="37" fillId="18" borderId="4" xfId="7" applyNumberFormat="1" applyFont="1" applyFill="1" applyBorder="1" applyAlignment="1">
      <alignment horizontal="center" vertical="center"/>
    </xf>
    <xf numFmtId="49" fontId="37" fillId="18" borderId="5" xfId="7" applyNumberFormat="1" applyFont="1" applyFill="1" applyBorder="1" applyAlignment="1">
      <alignment horizontal="center" vertical="center"/>
    </xf>
    <xf numFmtId="49" fontId="37" fillId="18" borderId="47" xfId="7" applyNumberFormat="1" applyFont="1" applyFill="1" applyBorder="1" applyAlignment="1">
      <alignment horizontal="center" vertical="center"/>
    </xf>
    <xf numFmtId="49" fontId="37" fillId="18" borderId="49" xfId="7" applyNumberFormat="1" applyFont="1" applyFill="1" applyBorder="1" applyAlignment="1">
      <alignment horizontal="center" vertical="center"/>
    </xf>
    <xf numFmtId="49" fontId="37" fillId="18" borderId="0" xfId="7" applyNumberFormat="1" applyFont="1" applyFill="1" applyBorder="1" applyAlignment="1">
      <alignment horizontal="center" vertical="center"/>
    </xf>
    <xf numFmtId="49" fontId="37" fillId="18" borderId="48" xfId="7" applyNumberFormat="1" applyFont="1" applyFill="1" applyBorder="1" applyAlignment="1">
      <alignment horizontal="center" vertical="center"/>
    </xf>
    <xf numFmtId="49" fontId="37" fillId="18" borderId="25" xfId="7" applyNumberFormat="1" applyFont="1" applyFill="1" applyBorder="1" applyAlignment="1">
      <alignment horizontal="center" vertical="center"/>
    </xf>
    <xf numFmtId="49" fontId="37" fillId="18" borderId="27" xfId="7" applyNumberFormat="1" applyFont="1" applyFill="1" applyBorder="1" applyAlignment="1">
      <alignment horizontal="center" vertical="center"/>
    </xf>
    <xf numFmtId="49" fontId="37" fillId="18" borderId="50" xfId="7" applyNumberFormat="1" applyFont="1" applyFill="1" applyBorder="1" applyAlignment="1">
      <alignment horizontal="center" vertical="center"/>
    </xf>
    <xf numFmtId="41" fontId="37" fillId="18" borderId="3" xfId="2" applyFont="1" applyFill="1" applyBorder="1" applyAlignment="1">
      <alignment horizontal="center" vertical="center"/>
    </xf>
    <xf numFmtId="41" fontId="37" fillId="18" borderId="1" xfId="2" applyFont="1" applyFill="1" applyBorder="1" applyAlignment="1">
      <alignment horizontal="center" vertical="center"/>
    </xf>
    <xf numFmtId="49" fontId="37" fillId="10" borderId="4" xfId="7" applyNumberFormat="1" applyFont="1" applyFill="1" applyBorder="1" applyAlignment="1">
      <alignment horizontal="center" vertical="center"/>
    </xf>
    <xf numFmtId="49" fontId="37" fillId="10" borderId="5" xfId="7" applyNumberFormat="1" applyFont="1" applyFill="1" applyBorder="1" applyAlignment="1">
      <alignment horizontal="center" vertical="center"/>
    </xf>
    <xf numFmtId="49" fontId="37" fillId="10" borderId="47" xfId="7" applyNumberFormat="1" applyFont="1" applyFill="1" applyBorder="1" applyAlignment="1">
      <alignment horizontal="center" vertical="center"/>
    </xf>
    <xf numFmtId="49" fontId="37" fillId="10" borderId="49" xfId="7" applyNumberFormat="1" applyFont="1" applyFill="1" applyBorder="1" applyAlignment="1">
      <alignment horizontal="center" vertical="center"/>
    </xf>
    <xf numFmtId="49" fontId="37" fillId="10" borderId="0" xfId="7" applyNumberFormat="1" applyFont="1" applyFill="1" applyBorder="1" applyAlignment="1">
      <alignment horizontal="center" vertical="center"/>
    </xf>
    <xf numFmtId="49" fontId="37" fillId="10" borderId="48" xfId="7" applyNumberFormat="1" applyFont="1" applyFill="1" applyBorder="1" applyAlignment="1">
      <alignment horizontal="center" vertical="center"/>
    </xf>
    <xf numFmtId="49" fontId="37" fillId="10" borderId="25" xfId="7" applyNumberFormat="1" applyFont="1" applyFill="1" applyBorder="1" applyAlignment="1">
      <alignment horizontal="center" vertical="center"/>
    </xf>
    <xf numFmtId="49" fontId="37" fillId="10" borderId="27" xfId="7" applyNumberFormat="1" applyFont="1" applyFill="1" applyBorder="1" applyAlignment="1">
      <alignment horizontal="center" vertical="center"/>
    </xf>
    <xf numFmtId="49" fontId="37" fillId="10" borderId="50" xfId="7" applyNumberFormat="1" applyFont="1" applyFill="1" applyBorder="1" applyAlignment="1">
      <alignment horizontal="center" vertical="center"/>
    </xf>
    <xf numFmtId="41" fontId="37" fillId="10" borderId="2" xfId="2" applyFont="1" applyFill="1" applyBorder="1" applyAlignment="1">
      <alignment horizontal="center" vertical="center"/>
    </xf>
    <xf numFmtId="41" fontId="37" fillId="10" borderId="3" xfId="2" applyFont="1" applyFill="1" applyBorder="1" applyAlignment="1">
      <alignment horizontal="center" vertical="center"/>
    </xf>
    <xf numFmtId="41" fontId="37" fillId="10" borderId="1" xfId="2" applyFont="1" applyFill="1" applyBorder="1" applyAlignment="1">
      <alignment horizontal="center" vertical="center"/>
    </xf>
    <xf numFmtId="0" fontId="42" fillId="0" borderId="18" xfId="1" applyFont="1" applyBorder="1" applyAlignment="1">
      <alignment horizontal="center" vertical="center"/>
    </xf>
    <xf numFmtId="0" fontId="42" fillId="0" borderId="23" xfId="1" applyFont="1" applyBorder="1" applyAlignment="1">
      <alignment horizontal="center" vertical="center"/>
    </xf>
    <xf numFmtId="0" fontId="42" fillId="0" borderId="26" xfId="1" applyFont="1" applyBorder="1" applyAlignment="1">
      <alignment horizontal="center" vertical="center"/>
    </xf>
    <xf numFmtId="41" fontId="42" fillId="18" borderId="151" xfId="3" applyFont="1" applyFill="1" applyBorder="1" applyAlignment="1">
      <alignment horizontal="center" vertical="center"/>
    </xf>
    <xf numFmtId="41" fontId="42" fillId="18" borderId="152" xfId="3" applyFont="1" applyFill="1" applyBorder="1" applyAlignment="1">
      <alignment horizontal="center" vertical="center"/>
    </xf>
    <xf numFmtId="41" fontId="42" fillId="18" borderId="170" xfId="3" applyFont="1" applyFill="1" applyBorder="1" applyAlignment="1">
      <alignment horizontal="center" vertical="center"/>
    </xf>
    <xf numFmtId="41" fontId="42" fillId="18" borderId="128" xfId="3" applyFont="1" applyFill="1" applyBorder="1" applyAlignment="1">
      <alignment horizontal="center" vertical="center"/>
    </xf>
    <xf numFmtId="0" fontId="42" fillId="18" borderId="150" xfId="3" applyNumberFormat="1" applyFont="1" applyFill="1" applyBorder="1" applyAlignment="1">
      <alignment horizontal="center" vertical="center"/>
    </xf>
    <xf numFmtId="0" fontId="42" fillId="18" borderId="169" xfId="3" applyNumberFormat="1" applyFont="1" applyFill="1" applyBorder="1" applyAlignment="1">
      <alignment horizontal="center" vertical="center"/>
    </xf>
    <xf numFmtId="215" fontId="42" fillId="18" borderId="150" xfId="1" applyNumberFormat="1" applyFont="1" applyFill="1" applyBorder="1">
      <alignment vertical="center"/>
    </xf>
    <xf numFmtId="215" fontId="42" fillId="18" borderId="169" xfId="1" applyNumberFormat="1" applyFont="1" applyFill="1" applyBorder="1">
      <alignment vertical="center"/>
    </xf>
    <xf numFmtId="3" fontId="42" fillId="26" borderId="18" xfId="1" applyNumberFormat="1" applyFont="1" applyFill="1" applyBorder="1" applyAlignment="1">
      <alignment horizontal="center" vertical="center"/>
    </xf>
    <xf numFmtId="3" fontId="42" fillId="26" borderId="26" xfId="1" applyNumberFormat="1" applyFont="1" applyFill="1" applyBorder="1" applyAlignment="1">
      <alignment horizontal="center" vertical="center"/>
    </xf>
    <xf numFmtId="41" fontId="42" fillId="26" borderId="1" xfId="3" applyFont="1" applyFill="1" applyBorder="1" applyAlignment="1">
      <alignment horizontal="center" vertical="center"/>
    </xf>
    <xf numFmtId="0" fontId="42" fillId="0" borderId="47" xfId="1" applyFont="1" applyBorder="1" applyAlignment="1">
      <alignment horizontal="center" vertical="center"/>
    </xf>
    <xf numFmtId="0" fontId="42" fillId="0" borderId="48" xfId="1" applyFont="1" applyBorder="1" applyAlignment="1">
      <alignment horizontal="center" vertical="center"/>
    </xf>
    <xf numFmtId="0" fontId="42" fillId="0" borderId="50" xfId="1" applyFont="1" applyBorder="1" applyAlignment="1">
      <alignment horizontal="center" vertical="center"/>
    </xf>
    <xf numFmtId="3" fontId="58" fillId="33" borderId="1" xfId="1" applyNumberFormat="1" applyFont="1" applyFill="1" applyBorder="1" applyAlignment="1">
      <alignment horizontal="center" vertical="center"/>
    </xf>
    <xf numFmtId="3" fontId="58" fillId="33" borderId="191" xfId="1" applyNumberFormat="1" applyFont="1" applyFill="1" applyBorder="1" applyAlignment="1">
      <alignment horizontal="center" vertical="center"/>
    </xf>
    <xf numFmtId="3" fontId="58" fillId="33" borderId="3" xfId="1" applyNumberFormat="1" applyFont="1" applyFill="1" applyBorder="1" applyAlignment="1">
      <alignment horizontal="center" vertical="center"/>
    </xf>
    <xf numFmtId="3" fontId="42" fillId="21" borderId="2" xfId="1" applyNumberFormat="1" applyFont="1" applyFill="1" applyBorder="1" applyAlignment="1">
      <alignment horizontal="center" vertical="center"/>
    </xf>
    <xf numFmtId="3" fontId="42" fillId="21" borderId="3" xfId="1" applyNumberFormat="1" applyFont="1" applyFill="1" applyBorder="1" applyAlignment="1">
      <alignment horizontal="center" vertical="center"/>
    </xf>
    <xf numFmtId="3" fontId="42" fillId="0" borderId="0" xfId="1" applyNumberFormat="1" applyFont="1" applyAlignment="1">
      <alignment horizontal="center" vertical="center"/>
    </xf>
    <xf numFmtId="232" fontId="42" fillId="9" borderId="0" xfId="1" applyNumberFormat="1" applyFont="1" applyFill="1" applyAlignment="1">
      <alignment horizontal="center" vertical="center"/>
    </xf>
    <xf numFmtId="233" fontId="42" fillId="32" borderId="0" xfId="1" applyNumberFormat="1" applyFont="1" applyFill="1" applyAlignment="1">
      <alignment horizontal="center" vertical="center"/>
    </xf>
    <xf numFmtId="3" fontId="42" fillId="54" borderId="1" xfId="1" applyNumberFormat="1" applyFont="1" applyFill="1" applyBorder="1" applyAlignment="1">
      <alignment horizontal="center" vertical="center"/>
    </xf>
    <xf numFmtId="177" fontId="42" fillId="14" borderId="1" xfId="10" applyNumberFormat="1" applyFont="1" applyFill="1" applyBorder="1" applyAlignment="1">
      <alignment horizontal="center" vertical="center"/>
    </xf>
    <xf numFmtId="3" fontId="42" fillId="53" borderId="49" xfId="1" applyNumberFormat="1" applyFont="1" applyFill="1" applyBorder="1" applyAlignment="1">
      <alignment horizontal="center" vertical="center"/>
    </xf>
    <xf numFmtId="3" fontId="42" fillId="53" borderId="0" xfId="1" applyNumberFormat="1" applyFont="1" applyFill="1" applyAlignment="1">
      <alignment horizontal="center" vertical="center"/>
    </xf>
    <xf numFmtId="0" fontId="53" fillId="3" borderId="1" xfId="1" applyFont="1" applyFill="1" applyBorder="1" applyAlignment="1">
      <alignment horizontal="center" vertical="center"/>
    </xf>
    <xf numFmtId="0" fontId="37" fillId="19" borderId="1" xfId="1" applyFont="1" applyFill="1" applyBorder="1" applyAlignment="1">
      <alignment horizontal="center" vertical="center"/>
    </xf>
    <xf numFmtId="0" fontId="42" fillId="0" borderId="150" xfId="1" applyFont="1" applyBorder="1" applyAlignment="1">
      <alignment horizontal="center" vertical="center"/>
    </xf>
    <xf numFmtId="234" fontId="42" fillId="0" borderId="1" xfId="1" applyNumberFormat="1" applyFont="1" applyBorder="1" applyAlignment="1">
      <alignment horizontal="center" vertical="center" wrapText="1"/>
    </xf>
    <xf numFmtId="234" fontId="42" fillId="0" borderId="1" xfId="1" applyNumberFormat="1" applyFont="1" applyBorder="1" applyAlignment="1">
      <alignment horizontal="center" vertical="center"/>
    </xf>
    <xf numFmtId="0" fontId="42" fillId="0" borderId="156" xfId="1" applyFont="1" applyBorder="1" applyAlignment="1">
      <alignment horizontal="center" vertical="center"/>
    </xf>
    <xf numFmtId="0" fontId="42" fillId="0" borderId="169" xfId="1" applyFont="1" applyBorder="1" applyAlignment="1">
      <alignment horizontal="center" vertical="center"/>
    </xf>
    <xf numFmtId="0" fontId="53" fillId="3" borderId="150" xfId="1" applyFont="1" applyFill="1" applyBorder="1" applyAlignment="1">
      <alignment horizontal="center" vertical="center"/>
    </xf>
    <xf numFmtId="0" fontId="53" fillId="3" borderId="169" xfId="1" applyFont="1" applyFill="1" applyBorder="1" applyAlignment="1">
      <alignment horizontal="center" vertical="center"/>
    </xf>
    <xf numFmtId="0" fontId="53" fillId="3" borderId="5" xfId="1" applyFont="1" applyFill="1" applyBorder="1" applyAlignment="1">
      <alignment horizontal="center" vertical="center"/>
    </xf>
    <xf numFmtId="0" fontId="53" fillId="3" borderId="2" xfId="1" applyFont="1" applyFill="1" applyBorder="1" applyAlignment="1">
      <alignment horizontal="center" vertical="center"/>
    </xf>
    <xf numFmtId="0" fontId="53" fillId="3" borderId="7" xfId="1" applyFont="1" applyFill="1" applyBorder="1" applyAlignment="1">
      <alignment horizontal="center" vertical="center"/>
    </xf>
    <xf numFmtId="0" fontId="53" fillId="3" borderId="150" xfId="3" applyNumberFormat="1" applyFont="1" applyFill="1" applyBorder="1" applyAlignment="1">
      <alignment horizontal="center" vertical="center"/>
    </xf>
    <xf numFmtId="0" fontId="53" fillId="3" borderId="169" xfId="3" applyNumberFormat="1" applyFont="1" applyFill="1" applyBorder="1" applyAlignment="1">
      <alignment horizontal="center" vertical="center"/>
    </xf>
    <xf numFmtId="236" fontId="42" fillId="0" borderId="1" xfId="1" applyNumberFormat="1" applyFont="1" applyBorder="1" applyAlignment="1">
      <alignment horizontal="center" vertical="center" wrapText="1"/>
    </xf>
    <xf numFmtId="236" fontId="42" fillId="0" borderId="1" xfId="1" applyNumberFormat="1" applyFont="1" applyBorder="1" applyAlignment="1">
      <alignment horizontal="center" vertical="center"/>
    </xf>
    <xf numFmtId="0" fontId="37" fillId="18" borderId="1" xfId="1" applyFont="1" applyFill="1" applyBorder="1" applyAlignment="1">
      <alignment horizontal="center" vertical="center"/>
    </xf>
    <xf numFmtId="0" fontId="53" fillId="3" borderId="18" xfId="1" applyFont="1" applyFill="1" applyBorder="1" applyAlignment="1">
      <alignment horizontal="center" vertical="center" wrapText="1"/>
    </xf>
    <xf numFmtId="0" fontId="53" fillId="3" borderId="26" xfId="1" applyFont="1" applyFill="1" applyBorder="1" applyAlignment="1">
      <alignment horizontal="center" vertical="center" wrapText="1"/>
    </xf>
    <xf numFmtId="0" fontId="42" fillId="0" borderId="0" xfId="1" applyFont="1" applyAlignment="1">
      <alignment horizontal="center" vertical="center" wrapText="1"/>
    </xf>
    <xf numFmtId="0" fontId="15" fillId="0" borderId="18" xfId="8" applyFont="1" applyBorder="1" applyAlignment="1">
      <alignment horizontal="center" vertical="center"/>
    </xf>
    <xf numFmtId="0" fontId="15" fillId="0" borderId="23" xfId="8" applyFont="1" applyBorder="1" applyAlignment="1">
      <alignment horizontal="center" vertical="center"/>
    </xf>
    <xf numFmtId="0" fontId="15" fillId="0" borderId="26" xfId="8" applyFont="1" applyBorder="1" applyAlignment="1">
      <alignment horizontal="center" vertical="center"/>
    </xf>
    <xf numFmtId="0" fontId="42" fillId="0" borderId="2" xfId="1" applyFont="1" applyBorder="1" applyAlignment="1">
      <alignment horizontal="center" vertical="center"/>
    </xf>
    <xf numFmtId="0" fontId="42" fillId="0" borderId="3" xfId="1" applyFont="1" applyBorder="1" applyAlignment="1">
      <alignment horizontal="center" vertical="center"/>
    </xf>
    <xf numFmtId="0" fontId="42" fillId="0" borderId="40" xfId="1" applyFont="1" applyBorder="1" applyAlignment="1">
      <alignment horizontal="center" vertical="center"/>
    </xf>
    <xf numFmtId="0" fontId="42" fillId="0" borderId="78" xfId="1" applyFont="1" applyBorder="1" applyAlignment="1">
      <alignment horizontal="center" vertical="center"/>
    </xf>
    <xf numFmtId="0" fontId="42" fillId="0" borderId="119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71" fillId="44" borderId="1" xfId="1" applyFont="1" applyFill="1" applyBorder="1" applyAlignment="1">
      <alignment horizontal="center" vertical="center"/>
    </xf>
    <xf numFmtId="0" fontId="72" fillId="0" borderId="0" xfId="1" applyFont="1">
      <alignment vertical="center"/>
    </xf>
    <xf numFmtId="0" fontId="71" fillId="42" borderId="1" xfId="1" applyFont="1" applyFill="1" applyBorder="1" applyAlignment="1">
      <alignment horizontal="center" vertical="center"/>
    </xf>
    <xf numFmtId="0" fontId="71" fillId="43" borderId="1" xfId="1" applyFont="1" applyFill="1" applyBorder="1" applyAlignment="1">
      <alignment horizontal="center" vertical="center"/>
    </xf>
    <xf numFmtId="0" fontId="71" fillId="43" borderId="1" xfId="1" applyFont="1" applyFill="1" applyBorder="1" applyAlignment="1">
      <alignment horizontal="center" vertical="center" wrapText="1"/>
    </xf>
    <xf numFmtId="0" fontId="71" fillId="43" borderId="18" xfId="1" applyFont="1" applyFill="1" applyBorder="1" applyAlignment="1">
      <alignment horizontal="center" vertical="center" wrapText="1"/>
    </xf>
    <xf numFmtId="0" fontId="71" fillId="43" borderId="23" xfId="1" applyFont="1" applyFill="1" applyBorder="1" applyAlignment="1">
      <alignment horizontal="center" vertical="center" wrapText="1"/>
    </xf>
    <xf numFmtId="0" fontId="71" fillId="43" borderId="26" xfId="1" applyFont="1" applyFill="1" applyBorder="1" applyAlignment="1">
      <alignment horizontal="center" vertical="center" wrapText="1"/>
    </xf>
  </cellXfs>
  <cellStyles count="11">
    <cellStyle name="백분율" xfId="10" builtinId="5"/>
    <cellStyle name="백분율 13" xfId="6" xr:uid="{00000000-0005-0000-0000-000001000000}"/>
    <cellStyle name="백분율 2" xfId="4" xr:uid="{00000000-0005-0000-0000-000002000000}"/>
    <cellStyle name="백분율 3" xfId="5" xr:uid="{00000000-0005-0000-0000-000003000000}"/>
    <cellStyle name="쉼표 [0]" xfId="9" builtinId="6"/>
    <cellStyle name="쉼표 [0] 2" xfId="2" xr:uid="{00000000-0005-0000-0000-000005000000}"/>
    <cellStyle name="쉼표 [0] 2 2" xfId="3" xr:uid="{00000000-0005-0000-0000-000006000000}"/>
    <cellStyle name="쉼표 [0]_사업성검토" xfId="7" xr:uid="{00000000-0005-0000-0000-000007000000}"/>
    <cellStyle name="표준" xfId="0" builtinId="0"/>
    <cellStyle name="표준 11 10" xfId="8" xr:uid="{00000000-0005-0000-0000-000009000000}"/>
    <cellStyle name="표준 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13</v>
    <v>1</v>
  </rv>
  <rv s="1">
    <v>13</v>
    <v>3</v>
  </rv>
</rvData>
</file>

<file path=xl/richData/rdrichvaluestructure.xml><?xml version="1.0" encoding="utf-8"?>
<rvStructures xmlns="http://schemas.microsoft.com/office/spreadsheetml/2017/richdata" count="2">
  <s t="_error">
    <k n="errorType" t="i"/>
    <k n="propagated" t="b"/>
  </s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FF9A-D353-4358-8E5B-FCAE7DF3AE98}">
  <sheetPr>
    <tabColor theme="9"/>
    <pageSetUpPr fitToPage="1"/>
  </sheetPr>
  <dimension ref="A1:AC30"/>
  <sheetViews>
    <sheetView topLeftCell="A3" workbookViewId="0">
      <selection activeCell="L8" sqref="L8"/>
    </sheetView>
  </sheetViews>
  <sheetFormatPr defaultColWidth="9" defaultRowHeight="17" outlineLevelCol="1"/>
  <cols>
    <col min="1" max="1" width="5.58203125" style="2" customWidth="1"/>
    <col min="2" max="3" width="7.6640625" style="2" customWidth="1"/>
    <col min="4" max="4" width="7.08203125" style="2" customWidth="1"/>
    <col min="5" max="5" width="7.6640625" style="2" customWidth="1"/>
    <col min="6" max="6" width="7.08203125" style="2" customWidth="1"/>
    <col min="7" max="7" width="7.6640625" style="2" customWidth="1"/>
    <col min="8" max="8" width="7.08203125" style="2" customWidth="1"/>
    <col min="9" max="9" width="7.6640625" style="2" customWidth="1"/>
    <col min="10" max="10" width="7.08203125" style="2" customWidth="1"/>
    <col min="11" max="11" width="7.6640625" style="2" customWidth="1"/>
    <col min="12" max="12" width="7.08203125" style="2" customWidth="1"/>
    <col min="13" max="13" width="7.6640625" style="2" customWidth="1"/>
    <col min="14" max="14" width="7.08203125" style="2" customWidth="1"/>
    <col min="15" max="15" width="7.6640625" style="2" hidden="1" customWidth="1" outlineLevel="1"/>
    <col min="16" max="16" width="7.08203125" style="2" hidden="1" customWidth="1" outlineLevel="1"/>
    <col min="17" max="17" width="7.6640625" style="2" customWidth="1" collapsed="1"/>
    <col min="18" max="20" width="7.6640625" style="2" customWidth="1"/>
    <col min="21" max="21" width="8" style="2" customWidth="1"/>
    <col min="22" max="23" width="7.6640625" style="2" customWidth="1"/>
    <col min="24" max="24" width="8" style="2" customWidth="1"/>
    <col min="25" max="25" width="7.6640625" style="2" customWidth="1"/>
    <col min="26" max="26" width="10.08203125" style="2" customWidth="1"/>
    <col min="27" max="27" width="1.58203125" style="2" customWidth="1"/>
    <col min="28" max="29" width="8.58203125" style="2" customWidth="1"/>
    <col min="30" max="16384" width="9" style="2"/>
  </cols>
  <sheetData>
    <row r="1" spans="1:29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8" customHeight="1">
      <c r="A2" s="1"/>
      <c r="B2" s="1506" t="str">
        <f>'PF상환 민감도'!B3</f>
        <v>공동주택</v>
      </c>
      <c r="C2" s="1507"/>
      <c r="D2" s="1508">
        <f>'PF상환 민감도'!C3/1000</f>
        <v>252872.3675049</v>
      </c>
      <c r="E2" s="150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>
      <c r="A3" s="1"/>
      <c r="B3" s="1506" t="str">
        <f>'PF상환 민감도'!B4</f>
        <v xml:space="preserve"> 오피스텔</v>
      </c>
      <c r="C3" s="1507"/>
      <c r="D3" s="1508">
        <f>'PF상환 민감도'!C4/1000</f>
        <v>157992.36497659996</v>
      </c>
      <c r="E3" s="150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8" customHeight="1">
      <c r="A4" s="1"/>
      <c r="B4" s="1506" t="str">
        <f>'PF상환 민감도'!B5</f>
        <v xml:space="preserve"> 근린생활시설</v>
      </c>
      <c r="C4" s="1507"/>
      <c r="D4" s="1508">
        <f>'PF상환 민감도'!C5/1000</f>
        <v>21284.968815239681</v>
      </c>
      <c r="E4" s="150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8" customHeight="1">
      <c r="A5" s="1"/>
      <c r="B5" s="1506" t="str">
        <f>'PF상환 민감도'!B6</f>
        <v xml:space="preserve"> 발코니확장</v>
      </c>
      <c r="C5" s="1507"/>
      <c r="D5" s="1508">
        <f>'PF상환 민감도'!C6/1000</f>
        <v>6714.4</v>
      </c>
      <c r="E5" s="1508"/>
      <c r="F5" s="1"/>
      <c r="G5" s="3"/>
      <c r="H5" s="1"/>
      <c r="I5" s="1"/>
      <c r="J5" s="1"/>
      <c r="K5" s="3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8" hidden="1" customHeight="1">
      <c r="A6" s="1"/>
      <c r="B6" s="1506" t="str">
        <f>'PF상환 민감도'!B7</f>
        <v>중도금이자후불</v>
      </c>
      <c r="C6" s="1507"/>
      <c r="D6" s="1508"/>
      <c r="E6" s="1508"/>
      <c r="F6" s="1"/>
      <c r="G6" s="3"/>
      <c r="H6" s="1"/>
      <c r="I6" s="1"/>
      <c r="J6" s="1"/>
      <c r="K6" s="3"/>
      <c r="L6" s="1"/>
      <c r="M6" s="1"/>
      <c r="N6" s="1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8" customHeight="1">
      <c r="A7" s="1"/>
      <c r="B7" s="1509" t="s">
        <v>0</v>
      </c>
      <c r="C7" s="1510"/>
      <c r="D7" s="1511">
        <f>SUM(D2:E6)</f>
        <v>438864.10129673965</v>
      </c>
      <c r="E7" s="1511"/>
      <c r="F7" s="1"/>
      <c r="G7" s="4"/>
      <c r="H7" s="1"/>
      <c r="I7" s="1"/>
      <c r="J7" s="1"/>
      <c r="K7" s="4"/>
      <c r="L7" s="1"/>
      <c r="M7" s="1"/>
      <c r="N7" s="1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8" customHeight="1">
      <c r="A8" s="1"/>
      <c r="B8" s="5"/>
      <c r="C8" s="5"/>
      <c r="D8" s="6"/>
      <c r="E8" s="6"/>
      <c r="F8" s="1"/>
      <c r="G8" s="4"/>
      <c r="H8" s="1"/>
      <c r="I8" s="1"/>
      <c r="J8" s="1"/>
      <c r="K8" s="4"/>
      <c r="L8" s="1"/>
      <c r="M8" s="1"/>
      <c r="N8" s="1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4.9" customHeight="1">
      <c r="A9" s="1"/>
      <c r="B9" s="7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8" t="s">
        <v>2</v>
      </c>
      <c r="Z9" s="1"/>
      <c r="AA9" s="1"/>
      <c r="AB9" s="1"/>
      <c r="AC9" s="1"/>
    </row>
    <row r="10" spans="1:29" ht="5.1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0"/>
      <c r="Z10" s="1"/>
      <c r="AA10" s="1"/>
      <c r="AB10" s="1"/>
      <c r="AC10" s="1"/>
    </row>
    <row r="11" spans="1:29" ht="18" customHeight="1">
      <c r="A11" s="1"/>
      <c r="B11" s="1512" t="s">
        <v>3</v>
      </c>
      <c r="C11" s="1513"/>
      <c r="D11" s="1513"/>
      <c r="E11" s="1513"/>
      <c r="F11" s="1513"/>
      <c r="G11" s="1513"/>
      <c r="H11" s="1513"/>
      <c r="I11" s="1513"/>
      <c r="J11" s="1513"/>
      <c r="K11" s="1513"/>
      <c r="L11" s="1513"/>
      <c r="M11" s="1513"/>
      <c r="N11" s="1513"/>
      <c r="O11" s="1513"/>
      <c r="P11" s="1513"/>
      <c r="Q11" s="1513"/>
      <c r="R11" s="1513"/>
      <c r="S11" s="1513"/>
      <c r="T11" s="1513"/>
      <c r="U11" s="11"/>
      <c r="V11" s="1514" t="s">
        <v>4</v>
      </c>
      <c r="W11" s="1514"/>
      <c r="X11" s="12"/>
      <c r="Y11" s="1515" t="s">
        <v>5</v>
      </c>
      <c r="Z11" s="1"/>
      <c r="AA11" s="1"/>
      <c r="AB11" s="1"/>
      <c r="AC11" s="1"/>
    </row>
    <row r="12" spans="1:29" ht="18" customHeight="1">
      <c r="A12" s="1"/>
      <c r="B12" s="1518" t="s">
        <v>6</v>
      </c>
      <c r="C12" s="1520" t="s">
        <v>7</v>
      </c>
      <c r="D12" s="1521"/>
      <c r="E12" s="1521"/>
      <c r="F12" s="1522"/>
      <c r="G12" s="1523" t="str">
        <f>B3</f>
        <v xml:space="preserve"> 오피스텔</v>
      </c>
      <c r="H12" s="1521"/>
      <c r="I12" s="1521"/>
      <c r="J12" s="1522"/>
      <c r="K12" s="1523" t="str">
        <f>B4</f>
        <v xml:space="preserve"> 근린생활시설</v>
      </c>
      <c r="L12" s="1521"/>
      <c r="M12" s="1521"/>
      <c r="N12" s="1522"/>
      <c r="O12" s="1524" t="s">
        <v>8</v>
      </c>
      <c r="P12" s="1522"/>
      <c r="Q12" s="1525" t="s">
        <v>9</v>
      </c>
      <c r="R12" s="1527" t="s">
        <v>10</v>
      </c>
      <c r="S12" s="1528"/>
      <c r="T12" s="13"/>
      <c r="U12" s="1547" t="s">
        <v>11</v>
      </c>
      <c r="V12" s="1529" t="s">
        <v>12</v>
      </c>
      <c r="W12" s="1532" t="s">
        <v>13</v>
      </c>
      <c r="X12" s="1535" t="s">
        <v>14</v>
      </c>
      <c r="Y12" s="1516"/>
      <c r="Z12" s="1"/>
      <c r="AA12" s="1"/>
      <c r="AB12" s="1"/>
      <c r="AC12" s="1"/>
    </row>
    <row r="13" spans="1:29" ht="35.15" customHeight="1">
      <c r="A13" s="1"/>
      <c r="B13" s="1519"/>
      <c r="C13" s="1538" t="s">
        <v>15</v>
      </c>
      <c r="D13" s="1539"/>
      <c r="E13" s="1540" t="s">
        <v>16</v>
      </c>
      <c r="F13" s="1541"/>
      <c r="G13" s="1542" t="s">
        <v>15</v>
      </c>
      <c r="H13" s="1539"/>
      <c r="I13" s="1540" t="s">
        <v>16</v>
      </c>
      <c r="J13" s="1541"/>
      <c r="K13" s="1542" t="s">
        <v>15</v>
      </c>
      <c r="L13" s="1539"/>
      <c r="M13" s="1540" t="s">
        <v>16</v>
      </c>
      <c r="N13" s="1541"/>
      <c r="O13" s="1538" t="s">
        <v>15</v>
      </c>
      <c r="P13" s="1539"/>
      <c r="Q13" s="1526"/>
      <c r="R13" s="1550" t="s">
        <v>17</v>
      </c>
      <c r="S13" s="1543" t="s">
        <v>18</v>
      </c>
      <c r="T13" s="1545" t="s">
        <v>19</v>
      </c>
      <c r="U13" s="1548"/>
      <c r="V13" s="1530"/>
      <c r="W13" s="1533"/>
      <c r="X13" s="1536"/>
      <c r="Y13" s="1516"/>
      <c r="Z13" s="1"/>
      <c r="AA13" s="1"/>
      <c r="AB13" s="1"/>
      <c r="AC13" s="1"/>
    </row>
    <row r="14" spans="1:29" ht="18" customHeight="1">
      <c r="A14" s="1"/>
      <c r="B14" s="1519"/>
      <c r="C14" s="14" t="s">
        <v>20</v>
      </c>
      <c r="D14" s="15" t="s">
        <v>21</v>
      </c>
      <c r="E14" s="16" t="s">
        <v>20</v>
      </c>
      <c r="F14" s="17" t="s">
        <v>22</v>
      </c>
      <c r="G14" s="18" t="s">
        <v>20</v>
      </c>
      <c r="H14" s="15" t="s">
        <v>21</v>
      </c>
      <c r="I14" s="14" t="s">
        <v>20</v>
      </c>
      <c r="J14" s="17" t="s">
        <v>22</v>
      </c>
      <c r="K14" s="18" t="s">
        <v>20</v>
      </c>
      <c r="L14" s="15" t="s">
        <v>21</v>
      </c>
      <c r="M14" s="14" t="s">
        <v>20</v>
      </c>
      <c r="N14" s="17" t="s">
        <v>22</v>
      </c>
      <c r="O14" s="18" t="s">
        <v>20</v>
      </c>
      <c r="P14" s="15" t="s">
        <v>21</v>
      </c>
      <c r="Q14" s="1521"/>
      <c r="R14" s="1551"/>
      <c r="S14" s="1544"/>
      <c r="T14" s="1546"/>
      <c r="U14" s="1549"/>
      <c r="V14" s="1531"/>
      <c r="W14" s="1534"/>
      <c r="X14" s="1537"/>
      <c r="Y14" s="1517"/>
      <c r="Z14" s="1"/>
      <c r="AA14" s="1"/>
      <c r="AB14" s="19" t="s">
        <v>23</v>
      </c>
      <c r="AC14" s="20" t="s">
        <v>24</v>
      </c>
    </row>
    <row r="15" spans="1:29" ht="18" customHeight="1">
      <c r="A15" s="5" t="s">
        <v>25</v>
      </c>
      <c r="B15" s="21">
        <f>'PF상환 민감도'!Q20/1000</f>
        <v>1000</v>
      </c>
      <c r="C15" s="22">
        <f>SUM($D$2,$D$5)*D15</f>
        <v>239202.90714807602</v>
      </c>
      <c r="D15" s="23">
        <f>H15</f>
        <v>0.92147573409557859</v>
      </c>
      <c r="E15" s="21">
        <f>(($D$2+$D$5)*(1-D15))*F15</f>
        <v>0</v>
      </c>
      <c r="F15" s="24"/>
      <c r="G15" s="25">
        <f>SUM($D$3)*H15</f>
        <v>145586.13049830904</v>
      </c>
      <c r="H15" s="23">
        <v>0.92147573409557859</v>
      </c>
      <c r="I15" s="21">
        <f>($D$3*(1-H15))*J15</f>
        <v>0</v>
      </c>
      <c r="J15" s="24"/>
      <c r="K15" s="25">
        <f>SUM($D$4)*L15</f>
        <v>0</v>
      </c>
      <c r="L15" s="23"/>
      <c r="M15" s="21">
        <f>($D$4*(1-L15))*N15</f>
        <v>0</v>
      </c>
      <c r="N15" s="24"/>
      <c r="O15" s="25">
        <f ca="1">(('CASH FLOW'!$E$82*D15)+('CASH FLOW'!$E$83*H15))*0</f>
        <v>0</v>
      </c>
      <c r="P15" s="23">
        <f>IF($D$6=0,0,O15/$D$6)</f>
        <v>0</v>
      </c>
      <c r="Q15" s="26">
        <f ca="1">SUM(C15,E15,G15,I15,K15,M15,O15)</f>
        <v>384789.03764638503</v>
      </c>
      <c r="R15" s="26">
        <f>손익!Z49*100</f>
        <v>120000</v>
      </c>
      <c r="S15" s="26">
        <f>-R15</f>
        <v>-120000</v>
      </c>
      <c r="T15" s="26">
        <f>R15+S15</f>
        <v>0</v>
      </c>
      <c r="U15" s="27">
        <f ca="1">SUM(B15,Q15,T15)</f>
        <v>385789.03764638503</v>
      </c>
      <c r="V15" s="28">
        <f ca="1">((손익!$AT$15-손익!$AT$35-손익!$AT$36-손익!$AT$37-손익!$AT$38-손익!$AT$51-손익!$AT$63+손익!$AT$65+손익!$AT$67+손익!$AT$68+손익!$AT$70)+(손익!$AT$35*D15+손익!$AT$36*H15+손익!$AT$37*L15+손익!$AT$38*50%*(1+AC15)+(('CASH FLOW'!$E$82*D15)+('CASH FLOW'!$E$83*H15))*1000*0+(손익!$X$51)*AC15))/1000-W15</f>
        <v>168939.06200031895</v>
      </c>
      <c r="W15" s="28">
        <f>SUM(손익!$AT$23:$AT$24)/1000</f>
        <v>212677.962</v>
      </c>
      <c r="X15" s="29">
        <f ca="1">SUM(V15:W15)</f>
        <v>381617.02400031895</v>
      </c>
      <c r="Y15" s="30">
        <f ca="1">U15-X15</f>
        <v>4172.0136460660724</v>
      </c>
      <c r="Z15" s="5" t="str">
        <f ca="1">IF(Y15&gt;=0,"EXIT","분양 더 해~")</f>
        <v>EXIT</v>
      </c>
      <c r="AA15" s="1"/>
      <c r="AB15" s="31">
        <f>SUM(C15,G15)/SUM($D$2:$E$3,$D$5)</f>
        <v>0.92147573409557848</v>
      </c>
      <c r="AC15" s="32">
        <f>($D$2*D15+$D$3*H15+$D$4*L15+$D$5*D15)/SUM($D$2:$E$5)</f>
        <v>0.8767840352159687</v>
      </c>
    </row>
    <row r="16" spans="1:29" ht="5.1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3"/>
      <c r="W16" s="34"/>
      <c r="X16" s="1"/>
      <c r="Y16" s="34"/>
      <c r="Z16" s="1"/>
      <c r="AA16" s="1"/>
      <c r="AB16" s="31"/>
      <c r="AC16" s="32"/>
    </row>
    <row r="17" spans="1:29" ht="18" customHeight="1">
      <c r="A17" s="5" t="s">
        <v>26</v>
      </c>
      <c r="B17" s="21">
        <f>B15</f>
        <v>1000</v>
      </c>
      <c r="C17" s="22">
        <f>SUM($D$2,$D$5)*D17</f>
        <v>259586.7675049</v>
      </c>
      <c r="D17" s="35">
        <v>1</v>
      </c>
      <c r="E17" s="21">
        <f>(($D$2+$D$5)*(1-D17))*F17</f>
        <v>0</v>
      </c>
      <c r="F17" s="36">
        <v>0.6</v>
      </c>
      <c r="G17" s="25">
        <f>SUM($D$3)*H17</f>
        <v>51910.926897252248</v>
      </c>
      <c r="H17" s="35">
        <v>0.32856604751084462</v>
      </c>
      <c r="I17" s="21">
        <f>($D$3*(1-H17))*J17</f>
        <v>63648.862847608631</v>
      </c>
      <c r="J17" s="36">
        <v>0.6</v>
      </c>
      <c r="K17" s="25">
        <f>SUM($D$4)*L17</f>
        <v>0</v>
      </c>
      <c r="L17" s="35"/>
      <c r="M17" s="21">
        <f>($D$4*(1-L17))*N17</f>
        <v>6385.4906445719043</v>
      </c>
      <c r="N17" s="36">
        <v>0.3</v>
      </c>
      <c r="O17" s="25">
        <f ca="1">(('CASH FLOW'!$E$82*D17)+('CASH FLOW'!$E$83*H17))*0</f>
        <v>0</v>
      </c>
      <c r="P17" s="35">
        <f>IF($D$6=0,0,O17/$D$6)</f>
        <v>0</v>
      </c>
      <c r="Q17" s="26">
        <f ca="1">SUM(C17,E17,G17,I17,K17,M17,O17)</f>
        <v>381532.04789433279</v>
      </c>
      <c r="R17" s="26">
        <f>R15</f>
        <v>120000</v>
      </c>
      <c r="S17" s="26">
        <f>-R17</f>
        <v>-120000</v>
      </c>
      <c r="T17" s="26">
        <f>R17+S17</f>
        <v>0</v>
      </c>
      <c r="U17" s="37">
        <f ca="1">SUM(B17,Q17,T17)</f>
        <v>382532.04789433279</v>
      </c>
      <c r="V17" s="28">
        <f ca="1">((손익!$AT$15-손익!$AT$35-손익!$AT$36-손익!$AT$37-손익!$AT$38-손익!$AT$51-손익!$AT$63+손익!$AT$65+손익!$AT$67+손익!$AT$68+손익!$AT$70)+(손익!$AT$35*D17+손익!$AT$36*H17+손익!$AT$37*L17+손익!$AT$38*50%*(1+AC17)+(('CASH FLOW'!$E$82*D17)+('CASH FLOW'!$E$83*H17))*1000*0+(손익!$X$51)*AC17))/1000-W17</f>
        <v>165682.07224826678</v>
      </c>
      <c r="W17" s="28">
        <f>W15</f>
        <v>212677.962</v>
      </c>
      <c r="X17" s="29">
        <f ca="1">SUM(V17:W17)</f>
        <v>378360.03424826678</v>
      </c>
      <c r="Y17" s="30">
        <f ca="1">U17-X17</f>
        <v>4172.0136460660142</v>
      </c>
      <c r="Z17" s="5" t="str">
        <f ca="1">IF(Y17&gt;=0,"EXIT","분양 더 해~")</f>
        <v>EXIT</v>
      </c>
      <c r="AA17" s="1"/>
      <c r="AB17" s="31">
        <f>SUM(C17,G17)/SUM($D$2:$E$3,$D$5)</f>
        <v>0.74596087345421302</v>
      </c>
      <c r="AC17" s="32">
        <f>($D$2*D17+$D$3*H17+$D$4*L17+$D$5*D17)/SUM($D$2:$E$5)</f>
        <v>0.70978166927244724</v>
      </c>
    </row>
    <row r="18" spans="1:29" ht="5.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3"/>
      <c r="W18" s="34"/>
      <c r="X18" s="1"/>
      <c r="Y18" s="34"/>
      <c r="Z18" s="1"/>
      <c r="AA18" s="1"/>
      <c r="AB18" s="31"/>
      <c r="AC18" s="32"/>
    </row>
    <row r="19" spans="1:29" ht="18" customHeight="1">
      <c r="A19" s="5" t="s">
        <v>27</v>
      </c>
      <c r="B19" s="21">
        <f>B17</f>
        <v>1000</v>
      </c>
      <c r="C19" s="22">
        <f>SUM($D$2,$D$5)*D19</f>
        <v>195450.83863774186</v>
      </c>
      <c r="D19" s="35">
        <f>H19</f>
        <v>0.75293066944967646</v>
      </c>
      <c r="E19" s="21">
        <f>(($D$2+$D$5)*(1-D19))*F19</f>
        <v>38481.557320294873</v>
      </c>
      <c r="F19" s="36">
        <v>0.6</v>
      </c>
      <c r="G19" s="25">
        <f>SUM($D$3)*H19</f>
        <v>118957.29712976902</v>
      </c>
      <c r="H19" s="35">
        <v>0.75293066944967646</v>
      </c>
      <c r="I19" s="21">
        <f>($D$3*(1-H19))*J19</f>
        <v>23421.040708098561</v>
      </c>
      <c r="J19" s="36">
        <v>0.6</v>
      </c>
      <c r="K19" s="25">
        <f>SUM($D$4)*L19</f>
        <v>0</v>
      </c>
      <c r="L19" s="35"/>
      <c r="M19" s="21">
        <f>($D$4*(1-L19))*N19</f>
        <v>6385.4906445719043</v>
      </c>
      <c r="N19" s="36">
        <v>0.3</v>
      </c>
      <c r="O19" s="25">
        <f ca="1">(('CASH FLOW'!$E$82*D19)+('CASH FLOW'!$E$83*H19))*0</f>
        <v>0</v>
      </c>
      <c r="P19" s="35">
        <f>IF($D$6=0,0,O19/$D$6)</f>
        <v>0</v>
      </c>
      <c r="Q19" s="26">
        <f ca="1">SUM(C19,E19,G19,I19,K19,M19,O19)</f>
        <v>382696.22444047622</v>
      </c>
      <c r="R19" s="26">
        <f>R17</f>
        <v>120000</v>
      </c>
      <c r="S19" s="26">
        <f>-R19</f>
        <v>-120000</v>
      </c>
      <c r="T19" s="26">
        <f>R19+S19</f>
        <v>0</v>
      </c>
      <c r="U19" s="37">
        <f ca="1">SUM(B19,Q19,T19)</f>
        <v>383696.22444047622</v>
      </c>
      <c r="V19" s="28">
        <f ca="1">((손익!$AT$15-손익!$AT$35-손익!$AT$36-손익!$AT$37-손익!$AT$38-손익!$AT$51-손익!$AT$63+손익!$AT$65+손익!$AT$67+손익!$AT$68+손익!$AT$70)+(손익!$AT$35*D19+손익!$AT$36*H19+손익!$AT$37*L19+손익!$AT$38*50%*(1+AC19)+(('CASH FLOW'!$E$82*D19)+('CASH FLOW'!$E$83*H19))*1000*0+(손익!$X$51)*AC19))/1000-W19</f>
        <v>166846.24879441014</v>
      </c>
      <c r="W19" s="28">
        <f>W17</f>
        <v>212677.962</v>
      </c>
      <c r="X19" s="29">
        <f ca="1">SUM(V19:W19)</f>
        <v>379524.21079441014</v>
      </c>
      <c r="Y19" s="30">
        <f ca="1">U19-X19</f>
        <v>4172.0136460660724</v>
      </c>
      <c r="Z19" s="5" t="str">
        <f ca="1">IF(Y19&gt;=0,"EXIT","분양 더 해~")</f>
        <v>EXIT</v>
      </c>
      <c r="AA19" s="1"/>
      <c r="AB19" s="31">
        <f>SUM(C19,G19)/SUM($D$2:$E$3,$D$5)</f>
        <v>0.75293066944967635</v>
      </c>
      <c r="AC19" s="32">
        <f>($D$2*D19+$D$3*H19+$D$4*L19+$D$5*D19)/SUM($D$2:$E$5)</f>
        <v>0.71641342921079487</v>
      </c>
    </row>
    <row r="20" spans="1:29" ht="5.15" customHeight="1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4"/>
      <c r="W20" s="34"/>
      <c r="X20" s="1"/>
      <c r="Y20" s="34"/>
      <c r="Z20" s="1"/>
      <c r="AA20" s="1"/>
      <c r="AB20" s="38"/>
      <c r="AC20" s="38"/>
    </row>
    <row r="21" spans="1:29" ht="18" hidden="1" customHeight="1">
      <c r="A21" s="5" t="s">
        <v>28</v>
      </c>
      <c r="B21" s="21">
        <f>B19</f>
        <v>1000</v>
      </c>
      <c r="C21" s="21">
        <f>$D$2*D21</f>
        <v>0</v>
      </c>
      <c r="D21" s="35"/>
      <c r="E21" s="21">
        <f>($D$2*(1-D21))*F21</f>
        <v>151723.42050293999</v>
      </c>
      <c r="F21" s="36">
        <v>0.6</v>
      </c>
      <c r="G21" s="25">
        <f>$D$5*H21</f>
        <v>0</v>
      </c>
      <c r="H21" s="35">
        <v>0</v>
      </c>
      <c r="I21" s="21">
        <f>($D$5*(1-H21))*J21</f>
        <v>2014.3199999999997</v>
      </c>
      <c r="J21" s="36">
        <v>0.3</v>
      </c>
      <c r="K21" s="25">
        <f>$D$5*L21</f>
        <v>0</v>
      </c>
      <c r="L21" s="35">
        <v>0</v>
      </c>
      <c r="M21" s="21">
        <f>($D$5*(1-L21))*N21</f>
        <v>2014.3199999999997</v>
      </c>
      <c r="N21" s="36">
        <v>0.3</v>
      </c>
      <c r="O21" s="25">
        <f>$D$6*P21</f>
        <v>0</v>
      </c>
      <c r="P21" s="35"/>
      <c r="Q21" s="26" t="e">
        <f>SUM(C21,E21,G21,I21,O21,#REF!)</f>
        <v>#REF!</v>
      </c>
      <c r="R21" s="26">
        <f>R19</f>
        <v>120000</v>
      </c>
      <c r="S21" s="26">
        <f>-R21</f>
        <v>-120000</v>
      </c>
      <c r="T21" s="26">
        <f>R21+S21</f>
        <v>0</v>
      </c>
      <c r="U21" s="37" t="e">
        <f>SUM(B21,Q21,T21)</f>
        <v>#REF!</v>
      </c>
      <c r="V21" s="30">
        <v>209359.9172211033</v>
      </c>
      <c r="W21" s="28">
        <v>155862.29999999999</v>
      </c>
      <c r="X21" s="29">
        <f>SUM(V21:W21)</f>
        <v>365222.21722110326</v>
      </c>
      <c r="Y21" s="30" t="e">
        <f>U21-X21</f>
        <v>#REF!</v>
      </c>
      <c r="Z21" s="5" t="e">
        <f>IF(Y21&gt;=0,"EXIT","분양 더 해~")</f>
        <v>#REF!</v>
      </c>
      <c r="AA21" s="1"/>
      <c r="AB21" s="38">
        <f>($D$5*H21+$D$6*P21)/SUM($D$5:$E$6)</f>
        <v>0</v>
      </c>
      <c r="AC21" s="38">
        <f>($D$2*D21+$D$5*H21+$D$6*P21)/SUM($D$2:$E$6)</f>
        <v>0</v>
      </c>
    </row>
    <row r="22" spans="1:29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4"/>
      <c r="W22" s="1"/>
      <c r="X22" s="1"/>
      <c r="Y22" s="34"/>
      <c r="Z22" s="1"/>
      <c r="AA22" s="1"/>
      <c r="AB22" s="38"/>
      <c r="AC22" s="38"/>
    </row>
    <row r="23" spans="1:29" ht="18" customHeight="1">
      <c r="A23" s="39"/>
      <c r="B23" s="40" t="s">
        <v>29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41"/>
      <c r="Y23" s="39"/>
      <c r="Z23" s="39"/>
      <c r="AA23" s="39"/>
      <c r="AB23" s="39"/>
      <c r="AC23" s="39"/>
    </row>
    <row r="24" spans="1:29" ht="5.1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 spans="1:29" ht="18" customHeight="1">
      <c r="A25" s="39"/>
      <c r="B25" s="40" t="s">
        <v>30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41"/>
      <c r="Y25" s="39"/>
      <c r="Z25" s="39"/>
      <c r="AA25" s="39"/>
      <c r="AB25" s="39"/>
      <c r="AC25" s="39"/>
    </row>
    <row r="26" spans="1:29" ht="5.1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 spans="1:29" ht="18" customHeight="1">
      <c r="A27" s="39"/>
      <c r="B27" s="40" t="s">
        <v>31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 spans="1:29" ht="5.1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 spans="1:29" ht="18" hidden="1" customHeight="1">
      <c r="A29" s="39"/>
      <c r="B29" s="40" t="s">
        <v>32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 spans="1:29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</sheetData>
  <mergeCells count="36">
    <mergeCell ref="S13:S14"/>
    <mergeCell ref="T13:T14"/>
    <mergeCell ref="U12:U14"/>
    <mergeCell ref="I13:J13"/>
    <mergeCell ref="K13:L13"/>
    <mergeCell ref="M13:N13"/>
    <mergeCell ref="O13:P13"/>
    <mergeCell ref="R13:R14"/>
    <mergeCell ref="B11:T11"/>
    <mergeCell ref="V11:W11"/>
    <mergeCell ref="Y11:Y14"/>
    <mergeCell ref="B12:B14"/>
    <mergeCell ref="C12:F12"/>
    <mergeCell ref="G12:J12"/>
    <mergeCell ref="K12:N12"/>
    <mergeCell ref="O12:P12"/>
    <mergeCell ref="Q12:Q14"/>
    <mergeCell ref="R12:S12"/>
    <mergeCell ref="V12:V14"/>
    <mergeCell ref="W12:W14"/>
    <mergeCell ref="X12:X14"/>
    <mergeCell ref="C13:D13"/>
    <mergeCell ref="E13:F13"/>
    <mergeCell ref="G13:H13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4" type="noConversion"/>
  <pageMargins left="0.39370078740157483" right="0.39370078740157483" top="0.59055118110236227" bottom="0.59055118110236227" header="0.31496062992125984" footer="0.31496062992125984"/>
  <pageSetup paperSize="9" scale="59" orientation="landscape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B94D-625D-4F8E-AA45-7DE0CEE953DA}">
  <sheetPr>
    <pageSetUpPr fitToPage="1"/>
  </sheetPr>
  <dimension ref="B1:N23"/>
  <sheetViews>
    <sheetView topLeftCell="A8" zoomScale="85" zoomScaleNormal="85" zoomScaleSheetLayoutView="85" workbookViewId="0">
      <selection activeCell="F10" sqref="F10"/>
    </sheetView>
  </sheetViews>
  <sheetFormatPr defaultColWidth="9" defaultRowHeight="17"/>
  <cols>
    <col min="1" max="2" width="9" style="2"/>
    <col min="3" max="3" width="20.1640625" style="2" customWidth="1"/>
    <col min="4" max="4" width="19.58203125" style="2" customWidth="1"/>
    <col min="5" max="5" width="9" style="2"/>
    <col min="6" max="6" width="16.58203125" style="2" bestFit="1" customWidth="1"/>
    <col min="7" max="11" width="14.5" style="2" customWidth="1"/>
    <col min="12" max="12" width="25.6640625" style="2" customWidth="1"/>
    <col min="13" max="13" width="3.58203125" style="2" customWidth="1"/>
    <col min="14" max="15" width="9" style="2"/>
    <col min="16" max="16" width="17.58203125" style="2" bestFit="1" customWidth="1"/>
    <col min="17" max="16384" width="9" style="2"/>
  </cols>
  <sheetData>
    <row r="1" spans="2:14" ht="36.65" customHeight="1">
      <c r="B1" s="839"/>
      <c r="C1" s="839"/>
      <c r="D1" s="839"/>
      <c r="E1" s="839"/>
      <c r="F1" s="839"/>
      <c r="G1" s="839"/>
      <c r="H1" s="839"/>
      <c r="I1" s="839"/>
      <c r="J1" s="839"/>
      <c r="K1" s="839"/>
      <c r="L1" s="839"/>
    </row>
    <row r="2" spans="2:14" ht="36.5">
      <c r="B2" s="1911" t="s">
        <v>518</v>
      </c>
      <c r="C2" s="1911"/>
      <c r="D2" s="1911"/>
      <c r="E2" s="1911"/>
      <c r="F2" s="1911"/>
      <c r="G2" s="1911"/>
      <c r="H2" s="1911"/>
      <c r="I2" s="1911"/>
      <c r="J2" s="1911"/>
      <c r="K2" s="1911"/>
      <c r="L2" s="1911"/>
    </row>
    <row r="3" spans="2:14">
      <c r="B3" s="839"/>
      <c r="C3" s="839"/>
      <c r="D3" s="839"/>
      <c r="E3" s="839"/>
      <c r="F3" s="839"/>
      <c r="G3" s="839"/>
      <c r="H3" s="839"/>
      <c r="I3" s="839"/>
      <c r="J3" s="839"/>
      <c r="K3" s="839"/>
      <c r="L3" s="840" t="s">
        <v>519</v>
      </c>
    </row>
    <row r="4" spans="2:14" ht="20.399999999999999" customHeight="1">
      <c r="B4" s="1912" t="s">
        <v>520</v>
      </c>
      <c r="C4" s="1912"/>
      <c r="D4" s="1912" t="s">
        <v>521</v>
      </c>
      <c r="E4" s="1912" t="s">
        <v>522</v>
      </c>
      <c r="F4" s="1912" t="s">
        <v>523</v>
      </c>
      <c r="G4" s="1912"/>
      <c r="H4" s="1912"/>
      <c r="I4" s="1912" t="s">
        <v>524</v>
      </c>
      <c r="J4" s="1912"/>
      <c r="K4" s="1912"/>
      <c r="L4" s="1912" t="s">
        <v>525</v>
      </c>
    </row>
    <row r="5" spans="2:14" ht="20.399999999999999" customHeight="1">
      <c r="B5" s="1912"/>
      <c r="C5" s="1912"/>
      <c r="D5" s="1912"/>
      <c r="E5" s="1912"/>
      <c r="F5" s="841" t="s">
        <v>526</v>
      </c>
      <c r="G5" s="841" t="s">
        <v>527</v>
      </c>
      <c r="H5" s="841" t="s">
        <v>499</v>
      </c>
      <c r="I5" s="841" t="s">
        <v>526</v>
      </c>
      <c r="J5" s="841" t="s">
        <v>527</v>
      </c>
      <c r="K5" s="841" t="s">
        <v>499</v>
      </c>
      <c r="L5" s="1912"/>
    </row>
    <row r="6" spans="2:14" ht="38" customHeight="1">
      <c r="B6" s="1913" t="s">
        <v>528</v>
      </c>
      <c r="C6" s="1913"/>
      <c r="D6" s="842" t="s">
        <v>529</v>
      </c>
      <c r="E6" s="843">
        <v>4.8000000000000001E-2</v>
      </c>
      <c r="F6" s="844">
        <v>20563199992</v>
      </c>
      <c r="G6" s="845"/>
      <c r="H6" s="846">
        <f t="shared" ref="G6:H9" si="0">K6</f>
        <v>1174356164</v>
      </c>
      <c r="I6" s="844">
        <v>1174356164</v>
      </c>
      <c r="J6" s="845"/>
      <c r="K6" s="846">
        <f>I6+J6</f>
        <v>1174356164</v>
      </c>
      <c r="L6" s="847" t="s">
        <v>530</v>
      </c>
    </row>
    <row r="7" spans="2:14" ht="38" customHeight="1">
      <c r="B7" s="1913" t="s">
        <v>531</v>
      </c>
      <c r="C7" s="848" t="s">
        <v>532</v>
      </c>
      <c r="D7" s="849" t="s">
        <v>533</v>
      </c>
      <c r="E7" s="843">
        <v>0.01</v>
      </c>
      <c r="F7" s="846">
        <f>I7</f>
        <v>1200000000</v>
      </c>
      <c r="G7" s="846">
        <f t="shared" si="0"/>
        <v>0</v>
      </c>
      <c r="H7" s="846">
        <f t="shared" si="0"/>
        <v>1200000000</v>
      </c>
      <c r="I7" s="846">
        <f>$F$23*E7</f>
        <v>1200000000</v>
      </c>
      <c r="J7" s="846"/>
      <c r="K7" s="846">
        <f t="shared" ref="K7:K20" si="1">I7+J7</f>
        <v>1200000000</v>
      </c>
      <c r="L7" s="845"/>
    </row>
    <row r="8" spans="2:14" ht="38" customHeight="1">
      <c r="B8" s="1913"/>
      <c r="C8" s="848" t="s">
        <v>534</v>
      </c>
      <c r="D8" s="842" t="s">
        <v>529</v>
      </c>
      <c r="E8" s="843">
        <v>0.02</v>
      </c>
      <c r="F8" s="846">
        <f>I8</f>
        <v>2400000000</v>
      </c>
      <c r="G8" s="846">
        <f t="shared" si="0"/>
        <v>0</v>
      </c>
      <c r="H8" s="846">
        <f t="shared" si="0"/>
        <v>2400000000</v>
      </c>
      <c r="I8" s="846">
        <f>F23*E8</f>
        <v>2400000000</v>
      </c>
      <c r="J8" s="846"/>
      <c r="K8" s="846">
        <f t="shared" si="1"/>
        <v>2400000000</v>
      </c>
      <c r="L8" s="845"/>
    </row>
    <row r="9" spans="2:14" ht="38" customHeight="1">
      <c r="B9" s="1913"/>
      <c r="C9" s="848" t="s">
        <v>535</v>
      </c>
      <c r="D9" s="850" t="s">
        <v>536</v>
      </c>
      <c r="E9" s="843">
        <v>0.01</v>
      </c>
      <c r="F9" s="846">
        <f>I9</f>
        <v>1200000000</v>
      </c>
      <c r="G9" s="846">
        <f t="shared" si="0"/>
        <v>120000000</v>
      </c>
      <c r="H9" s="846">
        <f t="shared" si="0"/>
        <v>1320000000</v>
      </c>
      <c r="I9" s="846">
        <f>$F$23*E9</f>
        <v>1200000000</v>
      </c>
      <c r="J9" s="846">
        <f>I9*10%</f>
        <v>120000000</v>
      </c>
      <c r="K9" s="846">
        <f>I9+J9</f>
        <v>1320000000</v>
      </c>
      <c r="L9" s="845"/>
    </row>
    <row r="10" spans="2:14" ht="38" customHeight="1">
      <c r="B10" s="1913"/>
      <c r="C10" s="848" t="s">
        <v>537</v>
      </c>
      <c r="D10" s="850" t="s">
        <v>536</v>
      </c>
      <c r="E10" s="843"/>
      <c r="F10" s="1244">
        <f>I10*4</f>
        <v>80000000</v>
      </c>
      <c r="G10" s="846">
        <f>F10*10%</f>
        <v>8000000</v>
      </c>
      <c r="H10" s="846">
        <f>F10+G10</f>
        <v>88000000</v>
      </c>
      <c r="I10" s="846">
        <v>20000000</v>
      </c>
      <c r="J10" s="846">
        <f>I10*10%</f>
        <v>2000000</v>
      </c>
      <c r="K10" s="846">
        <f t="shared" ref="K10" si="2">I10+J10</f>
        <v>22000000</v>
      </c>
      <c r="L10" s="845"/>
      <c r="N10" s="851">
        <f>SUM(F7:F10)/120000000000/4</f>
        <v>1.0166666666666666E-2</v>
      </c>
    </row>
    <row r="11" spans="2:14" ht="38" customHeight="1">
      <c r="B11" s="1914" t="s">
        <v>538</v>
      </c>
      <c r="C11" s="848" t="s">
        <v>539</v>
      </c>
      <c r="D11" s="850" t="s">
        <v>540</v>
      </c>
      <c r="E11" s="845"/>
      <c r="F11" s="846">
        <f>I11</f>
        <v>40000000</v>
      </c>
      <c r="G11" s="846">
        <f t="shared" ref="G11:H14" si="3">J11</f>
        <v>4000000</v>
      </c>
      <c r="H11" s="846">
        <f t="shared" si="3"/>
        <v>44000000</v>
      </c>
      <c r="I11" s="846">
        <v>40000000</v>
      </c>
      <c r="J11" s="846">
        <f>I11*10%</f>
        <v>4000000</v>
      </c>
      <c r="K11" s="846">
        <f t="shared" si="1"/>
        <v>44000000</v>
      </c>
      <c r="L11" s="845"/>
    </row>
    <row r="12" spans="2:14" ht="38" customHeight="1">
      <c r="B12" s="1914"/>
      <c r="C12" s="848" t="s">
        <v>541</v>
      </c>
      <c r="D12" s="850" t="s">
        <v>542</v>
      </c>
      <c r="E12" s="845"/>
      <c r="F12" s="846">
        <v>420000000</v>
      </c>
      <c r="G12" s="846">
        <f t="shared" si="3"/>
        <v>0</v>
      </c>
      <c r="H12" s="846">
        <f t="shared" si="3"/>
        <v>42000000</v>
      </c>
      <c r="I12" s="846">
        <f>F12*10%</f>
        <v>42000000</v>
      </c>
      <c r="J12" s="846"/>
      <c r="K12" s="846">
        <f t="shared" si="1"/>
        <v>42000000</v>
      </c>
      <c r="L12" s="852" t="s">
        <v>543</v>
      </c>
    </row>
    <row r="13" spans="2:14" ht="38" customHeight="1">
      <c r="B13" s="1914"/>
      <c r="C13" s="848" t="s">
        <v>544</v>
      </c>
      <c r="D13" s="850" t="s">
        <v>545</v>
      </c>
      <c r="E13" s="845"/>
      <c r="F13" s="846">
        <f t="shared" ref="F13:F14" si="4">I13</f>
        <v>40000000</v>
      </c>
      <c r="G13" s="846">
        <f t="shared" si="3"/>
        <v>4000000</v>
      </c>
      <c r="H13" s="846">
        <f t="shared" si="3"/>
        <v>44000000</v>
      </c>
      <c r="I13" s="846">
        <v>40000000</v>
      </c>
      <c r="J13" s="846">
        <f>I13*10%</f>
        <v>4000000</v>
      </c>
      <c r="K13" s="846">
        <f t="shared" si="1"/>
        <v>44000000</v>
      </c>
      <c r="L13" s="845"/>
    </row>
    <row r="14" spans="2:14" ht="38" customHeight="1">
      <c r="B14" s="1914"/>
      <c r="C14" s="848" t="s">
        <v>546</v>
      </c>
      <c r="D14" s="853" t="s">
        <v>547</v>
      </c>
      <c r="E14" s="845"/>
      <c r="F14" s="846">
        <f t="shared" si="4"/>
        <v>0</v>
      </c>
      <c r="G14" s="846">
        <f t="shared" si="3"/>
        <v>0</v>
      </c>
      <c r="H14" s="846">
        <f t="shared" si="3"/>
        <v>0</v>
      </c>
      <c r="I14" s="846"/>
      <c r="J14" s="846"/>
      <c r="K14" s="846">
        <f t="shared" si="1"/>
        <v>0</v>
      </c>
      <c r="L14" s="854" t="s">
        <v>548</v>
      </c>
    </row>
    <row r="15" spans="2:14" ht="38" customHeight="1">
      <c r="B15" s="1915" t="s">
        <v>549</v>
      </c>
      <c r="C15" s="1913" t="s">
        <v>550</v>
      </c>
      <c r="D15" s="850" t="s">
        <v>545</v>
      </c>
      <c r="E15" s="845"/>
      <c r="F15" s="846">
        <f>I15+5000000*3</f>
        <v>23000000</v>
      </c>
      <c r="G15" s="846">
        <f>F15*10%</f>
        <v>2300000</v>
      </c>
      <c r="H15" s="846">
        <f>F15+G15</f>
        <v>25300000</v>
      </c>
      <c r="I15" s="846">
        <v>8000000</v>
      </c>
      <c r="J15" s="846">
        <f t="shared" ref="J15:J19" si="5">I15*10%</f>
        <v>800000</v>
      </c>
      <c r="K15" s="846">
        <f t="shared" si="1"/>
        <v>8800000</v>
      </c>
      <c r="L15" s="845"/>
    </row>
    <row r="16" spans="2:14" ht="38" customHeight="1">
      <c r="B16" s="1916"/>
      <c r="C16" s="1913"/>
      <c r="D16" s="850" t="s">
        <v>551</v>
      </c>
      <c r="E16" s="845"/>
      <c r="F16" s="846">
        <f>I16+5000000*3</f>
        <v>23000000</v>
      </c>
      <c r="G16" s="846">
        <f t="shared" ref="G16:G17" si="6">F16*10%</f>
        <v>2300000</v>
      </c>
      <c r="H16" s="846">
        <f t="shared" ref="H16:H20" si="7">F16+G16</f>
        <v>25300000</v>
      </c>
      <c r="I16" s="846">
        <v>8000000</v>
      </c>
      <c r="J16" s="846">
        <f t="shared" si="5"/>
        <v>800000</v>
      </c>
      <c r="K16" s="846">
        <f t="shared" si="1"/>
        <v>8800000</v>
      </c>
      <c r="L16" s="845"/>
    </row>
    <row r="17" spans="2:12" ht="38" customHeight="1">
      <c r="B17" s="1916"/>
      <c r="C17" s="848" t="s">
        <v>552</v>
      </c>
      <c r="D17" s="850" t="s">
        <v>553</v>
      </c>
      <c r="E17" s="845"/>
      <c r="F17" s="846">
        <f t="shared" ref="F17" si="8">I17*4</f>
        <v>28000000</v>
      </c>
      <c r="G17" s="846">
        <f t="shared" si="6"/>
        <v>2800000</v>
      </c>
      <c r="H17" s="846">
        <f t="shared" si="7"/>
        <v>30800000</v>
      </c>
      <c r="I17" s="846">
        <v>7000000</v>
      </c>
      <c r="J17" s="846">
        <f t="shared" si="5"/>
        <v>700000</v>
      </c>
      <c r="K17" s="846">
        <f t="shared" si="1"/>
        <v>7700000</v>
      </c>
      <c r="L17" s="845"/>
    </row>
    <row r="18" spans="2:12" ht="38" customHeight="1">
      <c r="B18" s="1916"/>
      <c r="C18" s="848" t="s">
        <v>554</v>
      </c>
      <c r="D18" s="850" t="s">
        <v>555</v>
      </c>
      <c r="E18" s="845"/>
      <c r="F18" s="846">
        <f>I18*4</f>
        <v>28000000</v>
      </c>
      <c r="G18" s="846">
        <f>F18*10%</f>
        <v>2800000</v>
      </c>
      <c r="H18" s="846">
        <f t="shared" si="7"/>
        <v>30800000</v>
      </c>
      <c r="I18" s="846">
        <v>7000000</v>
      </c>
      <c r="J18" s="846">
        <f t="shared" si="5"/>
        <v>700000</v>
      </c>
      <c r="K18" s="846">
        <f t="shared" si="1"/>
        <v>7700000</v>
      </c>
      <c r="L18" s="845"/>
    </row>
    <row r="19" spans="2:12" ht="38" customHeight="1">
      <c r="B19" s="1916"/>
      <c r="C19" s="848" t="s">
        <v>556</v>
      </c>
      <c r="D19" s="850" t="s">
        <v>536</v>
      </c>
      <c r="E19" s="845"/>
      <c r="F19" s="846">
        <f>I19*4</f>
        <v>28000000</v>
      </c>
      <c r="G19" s="846">
        <f>F19*10%</f>
        <v>2800000</v>
      </c>
      <c r="H19" s="846">
        <f t="shared" si="7"/>
        <v>30800000</v>
      </c>
      <c r="I19" s="846">
        <v>7000000</v>
      </c>
      <c r="J19" s="846">
        <f t="shared" si="5"/>
        <v>700000</v>
      </c>
      <c r="K19" s="846">
        <f t="shared" si="1"/>
        <v>7700000</v>
      </c>
      <c r="L19" s="845"/>
    </row>
    <row r="20" spans="2:12" ht="38" customHeight="1">
      <c r="B20" s="1917"/>
      <c r="C20" s="848" t="s">
        <v>515</v>
      </c>
      <c r="D20" s="850"/>
      <c r="E20" s="845"/>
      <c r="F20" s="846">
        <f>I20</f>
        <v>5000000</v>
      </c>
      <c r="G20" s="846"/>
      <c r="H20" s="846">
        <f t="shared" si="7"/>
        <v>5000000</v>
      </c>
      <c r="I20" s="846">
        <v>5000000</v>
      </c>
      <c r="J20" s="846"/>
      <c r="K20" s="846">
        <f t="shared" si="1"/>
        <v>5000000</v>
      </c>
      <c r="L20" s="847" t="s">
        <v>557</v>
      </c>
    </row>
    <row r="21" spans="2:12" ht="38" customHeight="1">
      <c r="B21" s="1910" t="s">
        <v>558</v>
      </c>
      <c r="C21" s="1910"/>
      <c r="D21" s="1910"/>
      <c r="E21" s="855"/>
      <c r="F21" s="856">
        <f>SUM(F6:F20)</f>
        <v>26078199992</v>
      </c>
      <c r="G21" s="856">
        <f t="shared" ref="G21:K21" si="9">SUM(G6:G20)</f>
        <v>149000000</v>
      </c>
      <c r="H21" s="856">
        <f t="shared" si="9"/>
        <v>6460356164</v>
      </c>
      <c r="I21" s="856">
        <f t="shared" si="9"/>
        <v>6158356164</v>
      </c>
      <c r="J21" s="856">
        <f t="shared" si="9"/>
        <v>133700000</v>
      </c>
      <c r="K21" s="856">
        <f t="shared" si="9"/>
        <v>6292056164</v>
      </c>
      <c r="L21" s="855"/>
    </row>
    <row r="23" spans="2:12">
      <c r="F23" s="837">
        <v>120000000000</v>
      </c>
    </row>
  </sheetData>
  <mergeCells count="13">
    <mergeCell ref="B21:D21"/>
    <mergeCell ref="B2:L2"/>
    <mergeCell ref="B4:C5"/>
    <mergeCell ref="D4:D5"/>
    <mergeCell ref="E4:E5"/>
    <mergeCell ref="F4:H4"/>
    <mergeCell ref="I4:K4"/>
    <mergeCell ref="L4:L5"/>
    <mergeCell ref="B6:C6"/>
    <mergeCell ref="B7:B10"/>
    <mergeCell ref="B11:B14"/>
    <mergeCell ref="B15:B20"/>
    <mergeCell ref="C15:C16"/>
  </mergeCells>
  <phoneticPr fontId="4" type="noConversion"/>
  <printOptions horizontalCentered="1"/>
  <pageMargins left="0.47244094488188981" right="0.31496062992125984" top="0" bottom="0" header="0.31496062992125984" footer="0.31496062992125984"/>
  <pageSetup paperSize="9" scale="74" fitToHeight="0" orientation="landscape" horizontalDpi="1200" verticalDpi="1200" r:id="rId1"/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0:I34"/>
  <sheetViews>
    <sheetView workbookViewId="0">
      <selection activeCell="H8" sqref="H8"/>
    </sheetView>
  </sheetViews>
  <sheetFormatPr defaultRowHeight="17"/>
  <sheetData>
    <row r="10" spans="9:9">
      <c r="I10" t="s">
        <v>607</v>
      </c>
    </row>
    <row r="11" spans="9:9">
      <c r="I11" t="s">
        <v>608</v>
      </c>
    </row>
    <row r="12" spans="9:9">
      <c r="I12" t="s">
        <v>609</v>
      </c>
    </row>
    <row r="13" spans="9:9">
      <c r="I13" t="s">
        <v>610</v>
      </c>
    </row>
    <row r="14" spans="9:9">
      <c r="I14" t="s">
        <v>611</v>
      </c>
    </row>
    <row r="15" spans="9:9">
      <c r="I15" t="s">
        <v>612</v>
      </c>
    </row>
    <row r="16" spans="9:9">
      <c r="I16" t="s">
        <v>613</v>
      </c>
    </row>
    <row r="17" spans="9:9">
      <c r="I17" t="s">
        <v>614</v>
      </c>
    </row>
    <row r="18" spans="9:9">
      <c r="I18" t="s">
        <v>615</v>
      </c>
    </row>
    <row r="19" spans="9:9">
      <c r="I19" t="s">
        <v>616</v>
      </c>
    </row>
    <row r="20" spans="9:9">
      <c r="I20" t="s">
        <v>617</v>
      </c>
    </row>
    <row r="21" spans="9:9">
      <c r="I21" t="s">
        <v>618</v>
      </c>
    </row>
    <row r="22" spans="9:9">
      <c r="I22" t="s">
        <v>619</v>
      </c>
    </row>
    <row r="23" spans="9:9">
      <c r="I23" t="s">
        <v>620</v>
      </c>
    </row>
    <row r="24" spans="9:9">
      <c r="I24" t="s">
        <v>621</v>
      </c>
    </row>
    <row r="25" spans="9:9">
      <c r="I25" t="s">
        <v>622</v>
      </c>
    </row>
    <row r="26" spans="9:9">
      <c r="I26" t="s">
        <v>623</v>
      </c>
    </row>
    <row r="27" spans="9:9">
      <c r="I27" t="s">
        <v>624</v>
      </c>
    </row>
    <row r="28" spans="9:9">
      <c r="I28" t="s">
        <v>625</v>
      </c>
    </row>
    <row r="29" spans="9:9">
      <c r="I29" t="s">
        <v>626</v>
      </c>
    </row>
    <row r="30" spans="9:9">
      <c r="I30" t="s">
        <v>627</v>
      </c>
    </row>
    <row r="31" spans="9:9">
      <c r="I31" t="s">
        <v>628</v>
      </c>
    </row>
    <row r="32" spans="9:9">
      <c r="I32" t="s">
        <v>629</v>
      </c>
    </row>
    <row r="33" spans="9:9">
      <c r="I33" t="s">
        <v>630</v>
      </c>
    </row>
    <row r="34" spans="9:9">
      <c r="I34" t="s">
        <v>631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D638-9FBA-4348-82E4-774050C30790}">
  <sheetPr>
    <tabColor rgb="FFFF0000"/>
    <pageSetUpPr fitToPage="1"/>
  </sheetPr>
  <dimension ref="E1:AW88"/>
  <sheetViews>
    <sheetView topLeftCell="I52" zoomScale="70" zoomScaleNormal="70" workbookViewId="0">
      <selection activeCell="M85" sqref="M85"/>
    </sheetView>
  </sheetViews>
  <sheetFormatPr defaultColWidth="9" defaultRowHeight="17"/>
  <cols>
    <col min="1" max="4" width="9" style="43"/>
    <col min="5" max="5" width="10.58203125" style="43" customWidth="1"/>
    <col min="6" max="7" width="9.58203125" style="43" customWidth="1"/>
    <col min="8" max="12" width="12.58203125" style="43" customWidth="1"/>
    <col min="13" max="13" width="13.83203125" style="43" customWidth="1"/>
    <col min="14" max="15" width="12.58203125" style="43" customWidth="1"/>
    <col min="16" max="16" width="13.9140625" style="43" customWidth="1"/>
    <col min="17" max="17" width="12.58203125" style="43" customWidth="1"/>
    <col min="18" max="18" width="3.58203125" style="43" customWidth="1"/>
    <col min="19" max="21" width="2.08203125" style="43" customWidth="1"/>
    <col min="22" max="22" width="5.5" style="43" customWidth="1"/>
    <col min="23" max="23" width="15.58203125" style="43" customWidth="1"/>
    <col min="24" max="24" width="15.08203125" style="43" customWidth="1"/>
    <col min="25" max="25" width="3.08203125" style="43" customWidth="1"/>
    <col min="26" max="26" width="10.58203125" style="43" customWidth="1"/>
    <col min="27" max="31" width="6.1640625" style="43" customWidth="1"/>
    <col min="32" max="32" width="7.08203125" style="43" customWidth="1"/>
    <col min="33" max="35" width="6.1640625" style="43" customWidth="1"/>
    <col min="36" max="36" width="6.5" style="43" customWidth="1"/>
    <col min="37" max="42" width="6.1640625" style="43" customWidth="1"/>
    <col min="43" max="43" width="8.1640625" style="43" bestFit="1" customWidth="1"/>
    <col min="44" max="45" width="14.58203125" style="43" customWidth="1"/>
    <col min="46" max="46" width="15.58203125" style="43" customWidth="1"/>
    <col min="47" max="47" width="7" style="43" customWidth="1"/>
    <col min="48" max="48" width="14.58203125" style="43" bestFit="1" customWidth="1"/>
    <col min="49" max="49" width="16.5" style="43" bestFit="1" customWidth="1"/>
    <col min="50" max="16384" width="9" style="43"/>
  </cols>
  <sheetData>
    <row r="1" spans="5:49" ht="42" customHeight="1">
      <c r="E1" s="1577"/>
      <c r="F1" s="1577"/>
      <c r="G1" s="1577"/>
      <c r="H1" s="1577"/>
      <c r="I1" s="1577"/>
      <c r="J1" s="1577"/>
      <c r="K1" s="1577"/>
      <c r="L1" s="1577"/>
      <c r="M1" s="1577"/>
      <c r="N1" s="1577"/>
      <c r="O1" s="1577"/>
      <c r="P1" s="1577"/>
      <c r="Q1" s="1577"/>
      <c r="R1" s="1577"/>
      <c r="S1" s="1577"/>
      <c r="T1" s="1577"/>
      <c r="U1" s="1577"/>
      <c r="V1" s="1577"/>
      <c r="W1" s="1577"/>
      <c r="X1" s="1577"/>
      <c r="Y1" s="1577"/>
      <c r="Z1" s="1577"/>
      <c r="AA1" s="1577"/>
      <c r="AB1" s="1577"/>
      <c r="AC1" s="1577"/>
      <c r="AD1" s="1577"/>
      <c r="AE1" s="1577"/>
      <c r="AF1" s="1577"/>
      <c r="AG1" s="1577"/>
      <c r="AH1" s="1577"/>
      <c r="AI1" s="1577"/>
      <c r="AJ1" s="1577"/>
      <c r="AK1" s="1577"/>
      <c r="AL1" s="1577"/>
      <c r="AM1" s="1577"/>
      <c r="AN1" s="1577"/>
      <c r="AO1" s="1577"/>
      <c r="AP1" s="1577"/>
      <c r="AQ1" s="857"/>
      <c r="AR1" s="39"/>
      <c r="AS1" s="39"/>
      <c r="AT1" s="39"/>
      <c r="AU1" s="39"/>
      <c r="AV1" s="39"/>
      <c r="AW1" s="42"/>
    </row>
    <row r="2" spans="5:49" ht="30" customHeight="1"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  <c r="P2" s="857"/>
      <c r="Q2" s="857"/>
      <c r="R2" s="857"/>
      <c r="S2" s="857"/>
      <c r="T2" s="857"/>
      <c r="U2" s="857"/>
      <c r="V2" s="857"/>
      <c r="W2" s="857"/>
      <c r="X2" s="858"/>
      <c r="Y2" s="859"/>
      <c r="Z2" s="859"/>
      <c r="AA2" s="859"/>
      <c r="AB2" s="859"/>
      <c r="AC2" s="859"/>
      <c r="AD2" s="859"/>
      <c r="AE2" s="859"/>
      <c r="AF2" s="859"/>
      <c r="AG2" s="859"/>
      <c r="AH2" s="859"/>
      <c r="AI2" s="859"/>
      <c r="AJ2" s="859"/>
      <c r="AK2" s="859"/>
      <c r="AL2" s="859"/>
      <c r="AM2" s="859"/>
      <c r="AN2" s="859"/>
      <c r="AO2" s="859"/>
      <c r="AP2" s="859"/>
      <c r="AQ2" s="857"/>
      <c r="AR2" s="39"/>
      <c r="AS2" s="39"/>
      <c r="AT2" s="39"/>
      <c r="AU2" s="39"/>
      <c r="AV2" s="39"/>
      <c r="AW2" s="42"/>
    </row>
    <row r="3" spans="5:49" ht="30" customHeight="1" thickBot="1">
      <c r="E3" s="860" t="s">
        <v>33</v>
      </c>
      <c r="F3" s="861"/>
      <c r="G3" s="862"/>
      <c r="H3" s="863"/>
      <c r="I3" s="39"/>
      <c r="J3" s="39"/>
      <c r="K3" s="864"/>
      <c r="L3" s="865"/>
      <c r="M3" s="865"/>
      <c r="N3" s="39"/>
      <c r="O3" s="39"/>
      <c r="P3" s="39"/>
      <c r="Q3" s="39"/>
      <c r="R3" s="39"/>
      <c r="S3" s="866" t="s">
        <v>34</v>
      </c>
      <c r="T3" s="867"/>
      <c r="U3" s="867"/>
      <c r="V3" s="867"/>
      <c r="W3" s="867"/>
      <c r="X3" s="868"/>
      <c r="Y3" s="867"/>
      <c r="Z3" s="867"/>
      <c r="AA3" s="867"/>
      <c r="AB3" s="867"/>
      <c r="AC3" s="869"/>
      <c r="AD3" s="39"/>
      <c r="AE3" s="39"/>
      <c r="AF3" s="39"/>
      <c r="AG3" s="39"/>
      <c r="AH3" s="39"/>
      <c r="AI3" s="39"/>
      <c r="AJ3" s="39"/>
      <c r="AK3" s="39"/>
      <c r="AL3" s="39"/>
      <c r="AM3" s="1304"/>
      <c r="AN3" s="1304"/>
      <c r="AO3" s="1304"/>
      <c r="AP3" s="1425" t="s">
        <v>35</v>
      </c>
      <c r="AQ3" s="39"/>
      <c r="AR3" s="39"/>
      <c r="AS3" s="39"/>
      <c r="AT3" s="39"/>
      <c r="AU3" s="39"/>
      <c r="AV3" s="39"/>
      <c r="AW3" s="42"/>
    </row>
    <row r="4" spans="5:49" ht="18" thickBot="1">
      <c r="E4" s="1578" t="s">
        <v>36</v>
      </c>
      <c r="F4" s="1579"/>
      <c r="G4" s="1580"/>
      <c r="H4" s="1581" t="s">
        <v>37</v>
      </c>
      <c r="I4" s="1582"/>
      <c r="J4" s="1582"/>
      <c r="K4" s="1583"/>
      <c r="L4" s="1298" t="s">
        <v>38</v>
      </c>
      <c r="M4" s="1054" t="s">
        <v>39</v>
      </c>
      <c r="N4" s="870"/>
      <c r="O4" s="1302" t="s">
        <v>40</v>
      </c>
      <c r="P4" s="1584">
        <v>44680</v>
      </c>
      <c r="Q4" s="1585"/>
      <c r="R4" s="39"/>
      <c r="S4" s="1586" t="s">
        <v>41</v>
      </c>
      <c r="T4" s="1587"/>
      <c r="U4" s="1587"/>
      <c r="V4" s="1587"/>
      <c r="W4" s="1587"/>
      <c r="X4" s="1306" t="s">
        <v>42</v>
      </c>
      <c r="Y4" s="1587" t="s">
        <v>43</v>
      </c>
      <c r="Z4" s="1587"/>
      <c r="AA4" s="1587"/>
      <c r="AB4" s="1587"/>
      <c r="AC4" s="1587"/>
      <c r="AD4" s="1587"/>
      <c r="AE4" s="1587"/>
      <c r="AF4" s="1587"/>
      <c r="AG4" s="1587"/>
      <c r="AH4" s="1587"/>
      <c r="AI4" s="1587"/>
      <c r="AJ4" s="1587"/>
      <c r="AK4" s="1587"/>
      <c r="AL4" s="1587"/>
      <c r="AM4" s="1587"/>
      <c r="AN4" s="1587"/>
      <c r="AO4" s="1587"/>
      <c r="AP4" s="1590"/>
      <c r="AQ4" s="871"/>
      <c r="AR4" s="39"/>
      <c r="AS4" s="39"/>
      <c r="AT4" s="39"/>
      <c r="AU4" s="39"/>
      <c r="AV4" s="39"/>
      <c r="AW4" s="42"/>
    </row>
    <row r="5" spans="5:49" ht="18" thickBot="1">
      <c r="E5" s="1592" t="s">
        <v>44</v>
      </c>
      <c r="F5" s="1593"/>
      <c r="G5" s="1594"/>
      <c r="H5" s="1595" t="s">
        <v>45</v>
      </c>
      <c r="I5" s="1596"/>
      <c r="J5" s="1596"/>
      <c r="K5" s="1597"/>
      <c r="L5" s="1299" t="s">
        <v>46</v>
      </c>
      <c r="M5" s="1055">
        <v>37</v>
      </c>
      <c r="N5" s="872"/>
      <c r="O5" s="1303" t="s">
        <v>47</v>
      </c>
      <c r="P5" s="1062" t="s">
        <v>48</v>
      </c>
      <c r="Q5" s="873"/>
      <c r="R5" s="39"/>
      <c r="S5" s="1588"/>
      <c r="T5" s="1589"/>
      <c r="U5" s="1589"/>
      <c r="V5" s="1589"/>
      <c r="W5" s="1589"/>
      <c r="X5" s="1307" t="s">
        <v>49</v>
      </c>
      <c r="Y5" s="1589"/>
      <c r="Z5" s="1589"/>
      <c r="AA5" s="1589"/>
      <c r="AB5" s="1589"/>
      <c r="AC5" s="1589"/>
      <c r="AD5" s="1589"/>
      <c r="AE5" s="1589"/>
      <c r="AF5" s="1589"/>
      <c r="AG5" s="1589"/>
      <c r="AH5" s="1589"/>
      <c r="AI5" s="1589"/>
      <c r="AJ5" s="1589"/>
      <c r="AK5" s="1589"/>
      <c r="AL5" s="1589"/>
      <c r="AM5" s="1589"/>
      <c r="AN5" s="1589"/>
      <c r="AO5" s="1589"/>
      <c r="AP5" s="1591"/>
      <c r="AQ5" s="39"/>
      <c r="AR5" s="39"/>
      <c r="AS5" s="39"/>
      <c r="AT5" s="39"/>
      <c r="AU5" s="39"/>
      <c r="AV5" s="39"/>
      <c r="AW5" s="42"/>
    </row>
    <row r="6" spans="5:49" ht="17.5">
      <c r="E6" s="1564" t="s">
        <v>50</v>
      </c>
      <c r="F6" s="1565"/>
      <c r="G6" s="1566"/>
      <c r="H6" s="1292" t="s">
        <v>51</v>
      </c>
      <c r="I6" s="1053" t="s">
        <v>52</v>
      </c>
      <c r="J6" s="1293" t="s">
        <v>53</v>
      </c>
      <c r="K6" s="1445"/>
      <c r="L6" s="1295" t="s">
        <v>54</v>
      </c>
      <c r="M6" s="1300" t="s">
        <v>55</v>
      </c>
      <c r="N6" s="1301" t="s">
        <v>56</v>
      </c>
      <c r="O6" s="1304" t="s">
        <v>57</v>
      </c>
      <c r="P6" s="1064" t="s">
        <v>58</v>
      </c>
      <c r="Q6" s="876"/>
      <c r="R6" s="39"/>
      <c r="S6" s="1312" t="s">
        <v>59</v>
      </c>
      <c r="T6" s="1316"/>
      <c r="U6" s="1316"/>
      <c r="V6" s="1316"/>
      <c r="W6" s="1304"/>
      <c r="X6" s="1231">
        <f>SUM(X7:X10)</f>
        <v>427497061.26922929</v>
      </c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877"/>
      <c r="AQ6" s="1304"/>
      <c r="AR6" s="1347" t="s">
        <v>60</v>
      </c>
      <c r="AS6" s="1347" t="s">
        <v>61</v>
      </c>
      <c r="AT6" s="1347" t="s">
        <v>62</v>
      </c>
      <c r="AU6" s="1304"/>
      <c r="AV6" s="1304"/>
      <c r="AW6" s="42"/>
    </row>
    <row r="7" spans="5:49" ht="17.5">
      <c r="E7" s="879"/>
      <c r="F7" s="880"/>
      <c r="G7" s="875"/>
      <c r="H7" s="1292" t="s">
        <v>63</v>
      </c>
      <c r="I7" s="1166">
        <f>AH23</f>
        <v>4530</v>
      </c>
      <c r="J7" s="1294" t="s">
        <v>64</v>
      </c>
      <c r="K7" s="1092" t="s">
        <v>65</v>
      </c>
      <c r="L7" s="1296" t="s">
        <v>66</v>
      </c>
      <c r="M7" s="1056"/>
      <c r="N7" s="1057" t="s">
        <v>67</v>
      </c>
      <c r="O7" s="1304" t="s">
        <v>68</v>
      </c>
      <c r="P7" s="1064" t="s">
        <v>69</v>
      </c>
      <c r="Q7" s="881"/>
      <c r="R7" s="39"/>
      <c r="S7" s="1411"/>
      <c r="T7" s="1296" t="s">
        <v>70</v>
      </c>
      <c r="U7" s="1412"/>
      <c r="V7" s="1412"/>
      <c r="W7" s="1413"/>
      <c r="X7" s="1232">
        <f>P58</f>
        <v>252872367.50490001</v>
      </c>
      <c r="Y7" s="882"/>
      <c r="Z7" s="1308" t="s">
        <v>71</v>
      </c>
      <c r="AA7" s="1567">
        <f>M31</f>
        <v>15069.866955</v>
      </c>
      <c r="AB7" s="1567"/>
      <c r="AC7" s="884"/>
      <c r="AD7" s="883"/>
      <c r="AE7" s="883"/>
      <c r="AF7" s="882"/>
      <c r="AG7" s="1309" t="s">
        <v>72</v>
      </c>
      <c r="AH7" s="1568">
        <f>I58</f>
        <v>16780</v>
      </c>
      <c r="AI7" s="1568"/>
      <c r="AJ7" s="1408" t="s">
        <v>73</v>
      </c>
      <c r="AK7" s="1409" t="s">
        <v>74</v>
      </c>
      <c r="AL7" s="1308"/>
      <c r="AM7" s="1308"/>
      <c r="AN7" s="1308"/>
      <c r="AO7" s="883"/>
      <c r="AP7" s="885"/>
      <c r="AQ7" s="1284">
        <f>X7/$X$14</f>
        <v>0.59151837618281533</v>
      </c>
      <c r="AR7" s="1285">
        <f>X7</f>
        <v>252872367.50490001</v>
      </c>
      <c r="AS7" s="1285">
        <f>Q58</f>
        <v>0</v>
      </c>
      <c r="AT7" s="1285">
        <f>SUM(AR7:AS7)</f>
        <v>252872367.50490001</v>
      </c>
      <c r="AU7" s="1284">
        <f>IF(AR7=0,0,AS7/SUM(AR7:AS7))</f>
        <v>0</v>
      </c>
      <c r="AV7" s="1229"/>
      <c r="AW7" s="42"/>
    </row>
    <row r="8" spans="5:49" ht="17.5">
      <c r="E8" s="887"/>
      <c r="F8" s="688"/>
      <c r="G8" s="875"/>
      <c r="H8" s="1292" t="s">
        <v>75</v>
      </c>
      <c r="I8" s="888"/>
      <c r="J8" s="888"/>
      <c r="K8" s="875"/>
      <c r="L8" s="1295" t="s">
        <v>76</v>
      </c>
      <c r="M8" s="1058" t="s">
        <v>77</v>
      </c>
      <c r="N8" s="1059"/>
      <c r="O8" s="1304" t="s">
        <v>78</v>
      </c>
      <c r="P8" s="1063">
        <v>44835</v>
      </c>
      <c r="Q8" s="889"/>
      <c r="R8" s="39"/>
      <c r="S8" s="1411"/>
      <c r="T8" s="1295" t="s">
        <v>79</v>
      </c>
      <c r="U8" s="1402"/>
      <c r="V8" s="1402"/>
      <c r="W8" s="1414"/>
      <c r="X8" s="1233">
        <f>P65</f>
        <v>148512823.07800397</v>
      </c>
      <c r="Y8" s="41"/>
      <c r="Z8" s="1304" t="s">
        <v>80</v>
      </c>
      <c r="AA8" s="1569">
        <f>Q38</f>
        <v>20359.840847499996</v>
      </c>
      <c r="AB8" s="1569"/>
      <c r="AC8" s="891"/>
      <c r="AD8" s="39"/>
      <c r="AE8" s="39"/>
      <c r="AF8" s="41"/>
      <c r="AG8" s="1310" t="s">
        <v>72</v>
      </c>
      <c r="AH8" s="1570">
        <f>I65</f>
        <v>7760</v>
      </c>
      <c r="AI8" s="1570"/>
      <c r="AJ8" s="1405" t="s">
        <v>73</v>
      </c>
      <c r="AK8" s="1410" t="s">
        <v>74</v>
      </c>
      <c r="AL8" s="1304"/>
      <c r="AM8" s="1304"/>
      <c r="AN8" s="1304"/>
      <c r="AO8" s="39"/>
      <c r="AP8" s="877"/>
      <c r="AQ8" s="1284">
        <f>X8/$X$14</f>
        <v>0.34740080466769219</v>
      </c>
      <c r="AR8" s="1285">
        <f>X8</f>
        <v>148512823.07800397</v>
      </c>
      <c r="AS8" s="1285">
        <f>Q65</f>
        <v>9479541.8985959981</v>
      </c>
      <c r="AT8" s="1285">
        <f>SUM(AR8:AS8)</f>
        <v>157992364.97659996</v>
      </c>
      <c r="AU8" s="1284">
        <f>IF(AR8=0,0,AS8/SUM(AR8:AS8))</f>
        <v>6.0000000000000005E-2</v>
      </c>
      <c r="AV8" s="1229"/>
      <c r="AW8" s="42"/>
    </row>
    <row r="9" spans="5:49" ht="18" thickBot="1">
      <c r="E9" s="894"/>
      <c r="F9" s="895"/>
      <c r="G9" s="896"/>
      <c r="H9" s="897" t="s">
        <v>81</v>
      </c>
      <c r="I9" s="898"/>
      <c r="J9" s="899"/>
      <c r="K9" s="896"/>
      <c r="L9" s="1297" t="s">
        <v>82</v>
      </c>
      <c r="M9" s="1060" t="s">
        <v>77</v>
      </c>
      <c r="N9" s="1061"/>
      <c r="O9" s="1305" t="s">
        <v>83</v>
      </c>
      <c r="P9" s="1167">
        <f>DATE(YEAR(P8),MONTH(P8)+M5,DAY(P8))</f>
        <v>45962</v>
      </c>
      <c r="Q9" s="900"/>
      <c r="R9" s="39"/>
      <c r="S9" s="1415"/>
      <c r="T9" s="1295" t="s">
        <v>84</v>
      </c>
      <c r="U9" s="1402"/>
      <c r="V9" s="1402"/>
      <c r="W9" s="1414"/>
      <c r="X9" s="1233">
        <f>P70</f>
        <v>20007870.6863253</v>
      </c>
      <c r="Y9" s="41"/>
      <c r="Z9" s="1304" t="s">
        <v>80</v>
      </c>
      <c r="AA9" s="1569">
        <f>Q43</f>
        <v>958.07648749999998</v>
      </c>
      <c r="AB9" s="1569"/>
      <c r="AC9" s="891"/>
      <c r="AD9" s="39"/>
      <c r="AE9" s="39"/>
      <c r="AF9" s="41"/>
      <c r="AG9" s="1310" t="s">
        <v>72</v>
      </c>
      <c r="AH9" s="1570">
        <f>I70</f>
        <v>20883.375124395065</v>
      </c>
      <c r="AI9" s="1570"/>
      <c r="AJ9" s="1405" t="s">
        <v>73</v>
      </c>
      <c r="AK9" s="1410" t="s">
        <v>85</v>
      </c>
      <c r="AL9" s="1304"/>
      <c r="AM9" s="1304"/>
      <c r="AN9" s="1304"/>
      <c r="AO9" s="39"/>
      <c r="AP9" s="877"/>
      <c r="AQ9" s="1284">
        <f>X9/$X$14</f>
        <v>4.6802358423055301E-2</v>
      </c>
      <c r="AR9" s="1285">
        <f>X9</f>
        <v>20007870.6863253</v>
      </c>
      <c r="AS9" s="1285">
        <f>Q70</f>
        <v>1277098.1289143809</v>
      </c>
      <c r="AT9" s="1285">
        <f>SUM(AR9:AS9)</f>
        <v>21284968.815239683</v>
      </c>
      <c r="AU9" s="1284">
        <f>IF(AR9=0,0,AS9/SUM(AR9:AS9))</f>
        <v>0.06</v>
      </c>
      <c r="AV9" s="1229"/>
      <c r="AW9" s="42"/>
    </row>
    <row r="10" spans="5:49" ht="18" thickBot="1"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41"/>
      <c r="R10" s="39"/>
      <c r="S10" s="1415"/>
      <c r="T10" s="1311" t="s">
        <v>86</v>
      </c>
      <c r="U10" s="1416"/>
      <c r="V10" s="1416"/>
      <c r="W10" s="1417"/>
      <c r="X10" s="1233">
        <f>G58*Z10</f>
        <v>6104000</v>
      </c>
      <c r="Y10" s="41"/>
      <c r="Z10" s="1563">
        <v>14000</v>
      </c>
      <c r="AA10" s="1563"/>
      <c r="AB10" s="1563"/>
      <c r="AC10" s="891"/>
      <c r="AD10" s="39"/>
      <c r="AE10" s="39"/>
      <c r="AF10" s="41"/>
      <c r="AG10" s="892"/>
      <c r="AH10" s="41"/>
      <c r="AI10" s="41"/>
      <c r="AJ10" s="1405"/>
      <c r="AK10" s="1410" t="s">
        <v>85</v>
      </c>
      <c r="AL10" s="1304"/>
      <c r="AM10" s="1304"/>
      <c r="AN10" s="1304"/>
      <c r="AO10" s="39"/>
      <c r="AP10" s="877"/>
      <c r="AQ10" s="1284">
        <f>X10/$X$14</f>
        <v>1.4278460726437181E-2</v>
      </c>
      <c r="AR10" s="1285">
        <f>X10</f>
        <v>6104000</v>
      </c>
      <c r="AS10" s="1285">
        <f>AR10*0.1</f>
        <v>610400</v>
      </c>
      <c r="AT10" s="1285">
        <f>SUM(AR10:AS10)</f>
        <v>6714400</v>
      </c>
      <c r="AU10" s="1284">
        <f>IF(AR10=0,0,AS10/SUM(AR10:AS10))</f>
        <v>9.0909090909090912E-2</v>
      </c>
      <c r="AV10" s="1229"/>
      <c r="AW10" s="42"/>
    </row>
    <row r="11" spans="5:49" ht="17.5">
      <c r="E11" s="1430" t="s">
        <v>87</v>
      </c>
      <c r="F11" s="1428"/>
      <c r="G11" s="1429"/>
      <c r="H11" s="1431" t="s">
        <v>88</v>
      </c>
      <c r="I11" s="1432" t="s">
        <v>89</v>
      </c>
      <c r="J11" s="1433" t="s">
        <v>90</v>
      </c>
      <c r="K11" s="1434" t="s">
        <v>91</v>
      </c>
      <c r="L11" s="1435"/>
      <c r="M11" s="1433" t="s">
        <v>92</v>
      </c>
      <c r="N11" s="1431" t="s">
        <v>88</v>
      </c>
      <c r="O11" s="1436" t="s">
        <v>89</v>
      </c>
      <c r="P11" s="1433" t="s">
        <v>93</v>
      </c>
      <c r="Q11" s="1069" t="s">
        <v>94</v>
      </c>
      <c r="R11" s="39"/>
      <c r="S11" s="1257"/>
      <c r="T11" s="1258"/>
      <c r="U11" s="1259"/>
      <c r="V11" s="1259"/>
      <c r="W11" s="1260"/>
      <c r="X11" s="890"/>
      <c r="Y11" s="41"/>
      <c r="Z11" s="904"/>
      <c r="AA11" s="1574"/>
      <c r="AB11" s="1574"/>
      <c r="AC11" s="878"/>
      <c r="AD11" s="39"/>
      <c r="AE11" s="39"/>
      <c r="AF11" s="1575"/>
      <c r="AG11" s="1575"/>
      <c r="AH11" s="1598"/>
      <c r="AI11" s="1598"/>
      <c r="AJ11" s="1405"/>
      <c r="AK11" s="1407"/>
      <c r="AL11" s="1304"/>
      <c r="AM11" s="1304"/>
      <c r="AN11" s="1304"/>
      <c r="AO11" s="39"/>
      <c r="AP11" s="877"/>
      <c r="AQ11" s="1285"/>
      <c r="AR11" s="1285"/>
      <c r="AS11" s="1285"/>
      <c r="AT11" s="1285"/>
      <c r="AU11" s="1284"/>
      <c r="AV11" s="1229"/>
      <c r="AW11" s="42"/>
    </row>
    <row r="12" spans="5:49" ht="17.5">
      <c r="E12" s="1571" t="s">
        <v>97</v>
      </c>
      <c r="F12" s="1572"/>
      <c r="G12" s="1573"/>
      <c r="H12" s="1065">
        <v>15763</v>
      </c>
      <c r="I12" s="1161">
        <f>SUM(H12*0.3025)</f>
        <v>4768.3074999999999</v>
      </c>
      <c r="J12" s="901"/>
      <c r="K12" s="1442" t="s">
        <v>98</v>
      </c>
      <c r="L12" s="902"/>
      <c r="M12" s="1437" t="s">
        <v>99</v>
      </c>
      <c r="N12" s="1164">
        <f>H14*(P31/$P$47)</f>
        <v>7879.5291407622426</v>
      </c>
      <c r="O12" s="1165">
        <f>N12*0.3025</f>
        <v>2383.5575650805781</v>
      </c>
      <c r="P12" s="1437" t="s">
        <v>100</v>
      </c>
      <c r="Q12" s="1067">
        <v>40</v>
      </c>
      <c r="R12" s="39"/>
      <c r="S12" s="903"/>
      <c r="T12" s="1258"/>
      <c r="U12" s="1259"/>
      <c r="V12" s="1259"/>
      <c r="W12" s="1260"/>
      <c r="X12" s="890"/>
      <c r="Y12" s="41"/>
      <c r="Z12" s="904"/>
      <c r="AA12" s="1574"/>
      <c r="AB12" s="1574"/>
      <c r="AC12" s="878"/>
      <c r="AD12" s="39"/>
      <c r="AE12" s="39"/>
      <c r="AF12" s="1575"/>
      <c r="AG12" s="1575"/>
      <c r="AH12" s="1576"/>
      <c r="AI12" s="1576"/>
      <c r="AJ12" s="893"/>
      <c r="AK12" s="905"/>
      <c r="AL12" s="906"/>
      <c r="AM12" s="39"/>
      <c r="AN12" s="39"/>
      <c r="AO12" s="39"/>
      <c r="AP12" s="877"/>
      <c r="AQ12" s="1284"/>
      <c r="AR12" s="1285"/>
      <c r="AS12" s="1285"/>
      <c r="AT12" s="1285"/>
      <c r="AU12" s="1284"/>
      <c r="AV12" s="1229"/>
      <c r="AW12" s="42"/>
    </row>
    <row r="13" spans="5:49" ht="17.5">
      <c r="E13" s="1553" t="s">
        <v>101</v>
      </c>
      <c r="F13" s="1554"/>
      <c r="G13" s="1555"/>
      <c r="H13" s="1066">
        <v>0</v>
      </c>
      <c r="I13" s="1147">
        <f>SUM(H13*0.3025)</f>
        <v>0</v>
      </c>
      <c r="J13" s="907"/>
      <c r="K13" s="1443" t="s">
        <v>73</v>
      </c>
      <c r="L13" s="908"/>
      <c r="M13" s="1438" t="s">
        <v>102</v>
      </c>
      <c r="N13" s="1148">
        <f>H14*((P38+P43+P46)/$P$47)</f>
        <v>7883.470859237761</v>
      </c>
      <c r="O13" s="1156">
        <f>N13*0.3025</f>
        <v>2384.7499349194227</v>
      </c>
      <c r="P13" s="1438" t="s">
        <v>103</v>
      </c>
      <c r="Q13" s="1068">
        <v>3</v>
      </c>
      <c r="R13" s="39"/>
      <c r="S13" s="1256"/>
      <c r="T13" s="1261"/>
      <c r="U13" s="1262"/>
      <c r="V13" s="1262"/>
      <c r="W13" s="1263"/>
      <c r="X13" s="964"/>
      <c r="Y13" s="1030"/>
      <c r="Z13" s="966"/>
      <c r="AA13" s="1556"/>
      <c r="AB13" s="1556"/>
      <c r="AC13" s="967"/>
      <c r="AD13" s="963"/>
      <c r="AE13" s="963"/>
      <c r="AF13" s="1557"/>
      <c r="AG13" s="1557"/>
      <c r="AH13" s="1558"/>
      <c r="AI13" s="1558"/>
      <c r="AJ13" s="1264"/>
      <c r="AK13" s="1265"/>
      <c r="AL13" s="963"/>
      <c r="AM13" s="963"/>
      <c r="AN13" s="963"/>
      <c r="AO13" s="963"/>
      <c r="AP13" s="968"/>
      <c r="AQ13" s="1284"/>
      <c r="AR13" s="1285"/>
      <c r="AS13" s="1285"/>
      <c r="AT13" s="1285"/>
      <c r="AU13" s="1284"/>
      <c r="AV13" s="1229"/>
      <c r="AW13" s="42"/>
    </row>
    <row r="14" spans="5:49" ht="18" thickBot="1">
      <c r="E14" s="1559" t="s">
        <v>104</v>
      </c>
      <c r="F14" s="1560"/>
      <c r="G14" s="1561"/>
      <c r="H14" s="1163">
        <f>H12-H13</f>
        <v>15763</v>
      </c>
      <c r="I14" s="1162">
        <f>H14*0.3025</f>
        <v>4768.3074999999999</v>
      </c>
      <c r="J14" s="909"/>
      <c r="K14" s="1444" t="s">
        <v>98</v>
      </c>
      <c r="L14" s="910"/>
      <c r="M14" s="1439" t="s">
        <v>0</v>
      </c>
      <c r="N14" s="1151">
        <f>SUM(N12:N13)</f>
        <v>15763.000000000004</v>
      </c>
      <c r="O14" s="1157">
        <f>N14*0.3025</f>
        <v>4768.3075000000008</v>
      </c>
      <c r="P14" s="1439" t="s">
        <v>105</v>
      </c>
      <c r="Q14" s="1070">
        <v>0</v>
      </c>
      <c r="R14" s="39"/>
      <c r="S14" s="1313" t="s">
        <v>106</v>
      </c>
      <c r="T14" s="1314"/>
      <c r="U14" s="1314"/>
      <c r="V14" s="1314"/>
      <c r="W14" s="1315"/>
      <c r="X14" s="1235">
        <f>X6</f>
        <v>427497061.26922929</v>
      </c>
      <c r="Y14" s="911"/>
      <c r="Z14" s="1562"/>
      <c r="AA14" s="1562"/>
      <c r="AB14" s="911"/>
      <c r="AC14" s="911"/>
      <c r="AD14" s="911"/>
      <c r="AE14" s="911"/>
      <c r="AF14" s="911"/>
      <c r="AG14" s="911"/>
      <c r="AH14" s="911"/>
      <c r="AI14" s="911"/>
      <c r="AJ14" s="911"/>
      <c r="AK14" s="911"/>
      <c r="AL14" s="911"/>
      <c r="AM14" s="911"/>
      <c r="AN14" s="911"/>
      <c r="AO14" s="911"/>
      <c r="AP14" s="912"/>
      <c r="AQ14" s="1284"/>
      <c r="AR14" s="1285">
        <f>SUM(AR7:AR10)</f>
        <v>427497061.26922929</v>
      </c>
      <c r="AS14" s="1285">
        <f>SUM(AS7:AS10)</f>
        <v>11367040.027510379</v>
      </c>
      <c r="AT14" s="1286">
        <f>SUM(AR14:AS14)</f>
        <v>438864101.2967397</v>
      </c>
      <c r="AU14" s="1284"/>
      <c r="AV14" s="1229"/>
      <c r="AW14" s="42"/>
    </row>
    <row r="15" spans="5:49" ht="18" thickBot="1">
      <c r="E15" s="39"/>
      <c r="F15" s="39"/>
      <c r="G15" s="39"/>
      <c r="H15" s="913"/>
      <c r="I15" s="913"/>
      <c r="J15" s="913"/>
      <c r="K15" s="913"/>
      <c r="L15" s="914"/>
      <c r="M15" s="39"/>
      <c r="N15" s="1441" t="s">
        <v>107</v>
      </c>
      <c r="O15" s="1091">
        <v>1185</v>
      </c>
      <c r="P15" s="1440" t="s">
        <v>108</v>
      </c>
      <c r="Q15" s="1168">
        <f>O15/(G38+G31)</f>
        <v>1.6144414168937329</v>
      </c>
      <c r="R15" s="39"/>
      <c r="S15" s="1312" t="s">
        <v>109</v>
      </c>
      <c r="T15" s="1316"/>
      <c r="U15" s="1316"/>
      <c r="V15" s="1316"/>
      <c r="W15" s="1317"/>
      <c r="X15" s="1231">
        <f ca="1">SUM(X16,X22,X25,X46,X52,X60,X31,X40)</f>
        <v>356643169.61515325</v>
      </c>
      <c r="Y15" s="915"/>
      <c r="Z15" s="916"/>
      <c r="AA15" s="917"/>
      <c r="AB15" s="917"/>
      <c r="AC15" s="917"/>
      <c r="AD15" s="918"/>
      <c r="AE15" s="918"/>
      <c r="AF15" s="917"/>
      <c r="AG15" s="917"/>
      <c r="AH15" s="917"/>
      <c r="AI15" s="917"/>
      <c r="AJ15" s="917"/>
      <c r="AK15" s="917"/>
      <c r="AL15" s="917"/>
      <c r="AM15" s="47"/>
      <c r="AN15" s="47"/>
      <c r="AO15" s="917"/>
      <c r="AP15" s="877"/>
      <c r="AQ15" s="1284">
        <f ca="1">X15/$X$14</f>
        <v>0.83425876322117298</v>
      </c>
      <c r="AR15" s="1285">
        <f ca="1">SUM(AR16:AR62)</f>
        <v>354770319.26015323</v>
      </c>
      <c r="AS15" s="1285">
        <f>SUM(AS16:AS62)</f>
        <v>14246980.667470755</v>
      </c>
      <c r="AT15" s="1287">
        <f ca="1">SUM(AT16:AT63)</f>
        <v>368010209.6426636</v>
      </c>
      <c r="AU15" s="1284"/>
      <c r="AV15" s="1288"/>
      <c r="AW15" s="42"/>
    </row>
    <row r="16" spans="5:49" ht="17.5">
      <c r="E16" s="1427" t="s">
        <v>110</v>
      </c>
      <c r="F16" s="1428"/>
      <c r="G16" s="1429"/>
      <c r="H16" s="1495" t="s">
        <v>111</v>
      </c>
      <c r="I16" s="1160">
        <f>P19/H14</f>
        <v>6.349836959969549</v>
      </c>
      <c r="J16" s="1496" t="s">
        <v>112</v>
      </c>
      <c r="K16" s="1099">
        <v>0.3367</v>
      </c>
      <c r="L16" s="920"/>
      <c r="M16" s="921"/>
      <c r="N16" s="922" t="s">
        <v>113</v>
      </c>
      <c r="O16" s="923"/>
      <c r="P16" s="922" t="s">
        <v>114</v>
      </c>
      <c r="Q16" s="924"/>
      <c r="R16" s="39"/>
      <c r="S16" s="1411"/>
      <c r="T16" s="1318" t="s">
        <v>115</v>
      </c>
      <c r="U16" s="1319"/>
      <c r="V16" s="1319"/>
      <c r="W16" s="1308"/>
      <c r="X16" s="1236">
        <f>SUM(X17:X21)</f>
        <v>88420764.109999999</v>
      </c>
      <c r="Y16" s="925"/>
      <c r="Z16" s="1304" t="s">
        <v>116</v>
      </c>
      <c r="AA16" s="1608">
        <f>I12</f>
        <v>4768.3074999999999</v>
      </c>
      <c r="AB16" s="1608"/>
      <c r="AC16" s="926"/>
      <c r="AD16" s="926"/>
      <c r="AE16" s="926"/>
      <c r="AF16" s="1304" t="s">
        <v>117</v>
      </c>
      <c r="AG16" s="1609">
        <f>X16/AA16</f>
        <v>18543.427434157718</v>
      </c>
      <c r="AH16" s="1609"/>
      <c r="AI16" s="1304" t="s">
        <v>73</v>
      </c>
      <c r="AJ16" s="39"/>
      <c r="AK16" s="39"/>
      <c r="AL16" s="39"/>
      <c r="AM16" s="39"/>
      <c r="AN16" s="39"/>
      <c r="AO16" s="39"/>
      <c r="AP16" s="927"/>
      <c r="AQ16" s="1284">
        <f>X16/$X$14</f>
        <v>0.20683361856916796</v>
      </c>
      <c r="AR16" s="1285"/>
      <c r="AS16" s="1285"/>
      <c r="AT16" s="1285"/>
      <c r="AU16" s="1284"/>
      <c r="AV16" s="1229"/>
      <c r="AW16" s="42"/>
    </row>
    <row r="17" spans="5:49" ht="17.5">
      <c r="E17" s="1571" t="s">
        <v>118</v>
      </c>
      <c r="F17" s="1572"/>
      <c r="G17" s="1610"/>
      <c r="H17" s="1158" t="str">
        <f>E25</f>
        <v>공동주택</v>
      </c>
      <c r="I17" s="1159"/>
      <c r="J17" s="1158" t="str">
        <f>E32&amp;", "&amp;E39</f>
        <v>오피스텔, 근생시설</v>
      </c>
      <c r="K17" s="1159"/>
      <c r="L17" s="1471" t="s">
        <v>119</v>
      </c>
      <c r="M17" s="1470"/>
      <c r="N17" s="1471" t="s">
        <v>120</v>
      </c>
      <c r="O17" s="1470"/>
      <c r="P17" s="1471" t="s">
        <v>121</v>
      </c>
      <c r="Q17" s="1494"/>
      <c r="R17" s="39"/>
      <c r="S17" s="1411"/>
      <c r="T17" s="1320"/>
      <c r="U17" s="1321" t="s">
        <v>122</v>
      </c>
      <c r="V17" s="1322"/>
      <c r="W17" s="1322"/>
      <c r="X17" s="1093">
        <v>84000010</v>
      </c>
      <c r="Y17" s="929"/>
      <c r="Z17" s="1322" t="s">
        <v>123</v>
      </c>
      <c r="AA17" s="1611">
        <f>AA16</f>
        <v>4768.3074999999999</v>
      </c>
      <c r="AB17" s="1611"/>
      <c r="AC17" s="1372" t="s">
        <v>124</v>
      </c>
      <c r="AD17" s="1612">
        <f>(X17)/AA17</f>
        <v>17616.315642395126</v>
      </c>
      <c r="AE17" s="1612"/>
      <c r="AF17" s="1322" t="s">
        <v>98</v>
      </c>
      <c r="AG17" s="928"/>
      <c r="AH17" s="930"/>
      <c r="AI17" s="931"/>
      <c r="AJ17" s="931"/>
      <c r="AK17" s="930"/>
      <c r="AL17" s="1552"/>
      <c r="AM17" s="1552"/>
      <c r="AN17" s="928"/>
      <c r="AO17" s="928"/>
      <c r="AP17" s="932"/>
      <c r="AQ17" s="1284"/>
      <c r="AR17" s="1285">
        <f>X17</f>
        <v>84000010</v>
      </c>
      <c r="AS17" s="1285"/>
      <c r="AT17" s="1285">
        <f>SUM(AR17:AS17)</f>
        <v>84000010</v>
      </c>
      <c r="AU17" s="1284">
        <f>IF(AR17=0,0,AS17/SUM(AR17:AS17))</f>
        <v>0</v>
      </c>
      <c r="AV17" s="1229"/>
      <c r="AW17" s="42"/>
    </row>
    <row r="18" spans="5:49" ht="17.5">
      <c r="E18" s="1604"/>
      <c r="F18" s="1605"/>
      <c r="G18" s="1606"/>
      <c r="H18" s="1449" t="s">
        <v>88</v>
      </c>
      <c r="I18" s="1301" t="s">
        <v>89</v>
      </c>
      <c r="J18" s="1449" t="s">
        <v>88</v>
      </c>
      <c r="K18" s="1301" t="s">
        <v>89</v>
      </c>
      <c r="L18" s="1449" t="s">
        <v>88</v>
      </c>
      <c r="M18" s="1451" t="s">
        <v>89</v>
      </c>
      <c r="N18" s="1449" t="s">
        <v>88</v>
      </c>
      <c r="O18" s="1451" t="s">
        <v>89</v>
      </c>
      <c r="P18" s="1449" t="s">
        <v>88</v>
      </c>
      <c r="Q18" s="1452" t="s">
        <v>89</v>
      </c>
      <c r="R18" s="39"/>
      <c r="S18" s="1411"/>
      <c r="T18" s="1320"/>
      <c r="U18" s="1323"/>
      <c r="V18" s="1304"/>
      <c r="W18" s="1304"/>
      <c r="X18" s="1233"/>
      <c r="Y18" s="933"/>
      <c r="Z18" s="934"/>
      <c r="AA18" s="935"/>
      <c r="AB18" s="936"/>
      <c r="AC18" s="936"/>
      <c r="AD18" s="936"/>
      <c r="AE18" s="904"/>
      <c r="AF18" s="904"/>
      <c r="AG18" s="937"/>
      <c r="AH18" s="937"/>
      <c r="AI18" s="904"/>
      <c r="AJ18" s="938"/>
      <c r="AK18" s="938"/>
      <c r="AL18" s="939"/>
      <c r="AM18" s="940"/>
      <c r="AN18" s="939"/>
      <c r="AO18" s="939"/>
      <c r="AP18" s="941"/>
      <c r="AQ18" s="1284"/>
      <c r="AR18" s="1285">
        <f>X18</f>
        <v>0</v>
      </c>
      <c r="AS18" s="1285"/>
      <c r="AT18" s="1285">
        <f>SUM(AR18:AS18)</f>
        <v>0</v>
      </c>
      <c r="AU18" s="1284">
        <f>IF(AR18=0,0,AS18/SUM(AR18:AS18))</f>
        <v>0</v>
      </c>
      <c r="AV18" s="1229"/>
      <c r="AW18" s="42"/>
    </row>
    <row r="19" spans="5:49" ht="17.5">
      <c r="E19" s="1599" t="s">
        <v>125</v>
      </c>
      <c r="F19" s="1600"/>
      <c r="G19" s="1601"/>
      <c r="H19" s="1145">
        <f>L31-H20</f>
        <v>49817.741999999998</v>
      </c>
      <c r="I19" s="1154">
        <f>H19*0.3025</f>
        <v>15069.866955</v>
      </c>
      <c r="J19" s="1155">
        <f>L38+L43+L46</f>
        <v>49514.188000000002</v>
      </c>
      <c r="K19" s="1154">
        <f>J19*0.3025</f>
        <v>14978.041870000001</v>
      </c>
      <c r="L19" s="942"/>
      <c r="M19" s="1144">
        <f t="shared" ref="M19:O21" si="0">L19*0.3025</f>
        <v>0</v>
      </c>
      <c r="N19" s="1104">
        <v>760.55</v>
      </c>
      <c r="O19" s="1144">
        <f>N19*0.3025</f>
        <v>230.06637499999999</v>
      </c>
      <c r="P19" s="1145">
        <f>SUM(H19,J19,L19,N19)</f>
        <v>100092.48</v>
      </c>
      <c r="Q19" s="1146">
        <f>P19*0.3025</f>
        <v>30277.975199999997</v>
      </c>
      <c r="R19" s="39"/>
      <c r="S19" s="1411"/>
      <c r="T19" s="1320"/>
      <c r="U19" s="1323" t="s">
        <v>126</v>
      </c>
      <c r="V19" s="1304"/>
      <c r="W19" s="1304"/>
      <c r="X19" s="1233">
        <f>ROUND(AB19*AG19,-3)</f>
        <v>3864000</v>
      </c>
      <c r="Y19" s="933"/>
      <c r="Z19" s="1367" t="s">
        <v>127</v>
      </c>
      <c r="AA19" s="1397"/>
      <c r="AB19" s="1602">
        <f>SUM(X17:X18)</f>
        <v>84000010</v>
      </c>
      <c r="AC19" s="1602"/>
      <c r="AD19" s="1602"/>
      <c r="AE19" s="1367" t="s">
        <v>128</v>
      </c>
      <c r="AF19" s="1367" t="s">
        <v>117</v>
      </c>
      <c r="AG19" s="1603">
        <v>4.5999999999999999E-2</v>
      </c>
      <c r="AH19" s="1603"/>
      <c r="AI19" s="1367" t="s">
        <v>129</v>
      </c>
      <c r="AJ19" s="1399"/>
      <c r="AK19" s="1399"/>
      <c r="AL19" s="1400"/>
      <c r="AM19" s="1401"/>
      <c r="AN19" s="1400"/>
      <c r="AO19" s="1400"/>
      <c r="AP19" s="941"/>
      <c r="AQ19" s="1284"/>
      <c r="AR19" s="1285">
        <f>X19</f>
        <v>3864000</v>
      </c>
      <c r="AS19" s="1285"/>
      <c r="AT19" s="1285">
        <f>SUM(AR19:AS19)</f>
        <v>3864000</v>
      </c>
      <c r="AU19" s="1284">
        <f>IF(AR19=0,0,AS19/SUM(AR19:AS19))</f>
        <v>0</v>
      </c>
      <c r="AV19" s="1229"/>
      <c r="AW19" s="42"/>
    </row>
    <row r="20" spans="5:49" ht="17.5">
      <c r="E20" s="1604" t="s">
        <v>130</v>
      </c>
      <c r="F20" s="1605"/>
      <c r="G20" s="1606"/>
      <c r="H20" s="1148"/>
      <c r="I20" s="1156">
        <f>H20*0.3025</f>
        <v>0</v>
      </c>
      <c r="J20" s="1153"/>
      <c r="K20" s="1156">
        <f>J20*0.3025</f>
        <v>0</v>
      </c>
      <c r="L20" s="1153"/>
      <c r="M20" s="1147">
        <f t="shared" si="0"/>
        <v>0</v>
      </c>
      <c r="N20" s="1148">
        <f>N47-N19</f>
        <v>43088.331999999995</v>
      </c>
      <c r="O20" s="1147">
        <f>N20*0.3025</f>
        <v>13034.220429999998</v>
      </c>
      <c r="P20" s="1148">
        <f>SUM(H20,J20,L20,N20)</f>
        <v>43088.331999999995</v>
      </c>
      <c r="Q20" s="1149">
        <f>P20*0.3025</f>
        <v>13034.220429999998</v>
      </c>
      <c r="R20" s="919"/>
      <c r="S20" s="1411"/>
      <c r="T20" s="1320"/>
      <c r="U20" s="1323" t="s">
        <v>131</v>
      </c>
      <c r="V20" s="1304"/>
      <c r="W20" s="1304"/>
      <c r="X20" s="1233">
        <f>ROUND(AB20*AG20,-3)</f>
        <v>0</v>
      </c>
      <c r="Y20" s="933"/>
      <c r="Z20" s="1367" t="s">
        <v>127</v>
      </c>
      <c r="AA20" s="1397"/>
      <c r="AB20" s="1602">
        <f>AB19</f>
        <v>84000010</v>
      </c>
      <c r="AC20" s="1602"/>
      <c r="AD20" s="1602"/>
      <c r="AE20" s="1367" t="s">
        <v>128</v>
      </c>
      <c r="AF20" s="1367" t="s">
        <v>117</v>
      </c>
      <c r="AG20" s="1607"/>
      <c r="AH20" s="1607"/>
      <c r="AI20" s="904"/>
      <c r="AJ20" s="938"/>
      <c r="AK20" s="938"/>
      <c r="AL20" s="939"/>
      <c r="AM20" s="940"/>
      <c r="AN20" s="939"/>
      <c r="AO20" s="939"/>
      <c r="AP20" s="941"/>
      <c r="AQ20" s="1284"/>
      <c r="AR20" s="1285">
        <f>X20</f>
        <v>0</v>
      </c>
      <c r="AS20" s="1285">
        <f>AR20*0.1</f>
        <v>0</v>
      </c>
      <c r="AT20" s="1285">
        <f>SUM(AR20:AS20)</f>
        <v>0</v>
      </c>
      <c r="AU20" s="1284">
        <f>IF(AR20=0,0,AS20/SUM(AR20:AS20))</f>
        <v>0</v>
      </c>
      <c r="AV20" s="1229"/>
      <c r="AW20" s="42"/>
    </row>
    <row r="21" spans="5:49" ht="18" thickBot="1">
      <c r="E21" s="1559" t="s">
        <v>132</v>
      </c>
      <c r="F21" s="1560"/>
      <c r="G21" s="1561"/>
      <c r="H21" s="1151">
        <f>SUM(H19:H20)</f>
        <v>49817.741999999998</v>
      </c>
      <c r="I21" s="1157">
        <f>H21*0.3025</f>
        <v>15069.866955</v>
      </c>
      <c r="J21" s="1151">
        <f>SUM(J19:J20)</f>
        <v>49514.188000000002</v>
      </c>
      <c r="K21" s="1157">
        <f>J21*0.3025</f>
        <v>14978.041870000001</v>
      </c>
      <c r="L21" s="1151">
        <f>SUM(L19:L20)</f>
        <v>0</v>
      </c>
      <c r="M21" s="1150">
        <f t="shared" si="0"/>
        <v>0</v>
      </c>
      <c r="N21" s="1151">
        <f>SUM(N19:N20)</f>
        <v>43848.881999999998</v>
      </c>
      <c r="O21" s="1150">
        <f t="shared" si="0"/>
        <v>13264.286805</v>
      </c>
      <c r="P21" s="1151">
        <f>SUM(P19:P20)</f>
        <v>143180.81199999998</v>
      </c>
      <c r="Q21" s="1152">
        <f>P21*0.3025</f>
        <v>43312.195629999995</v>
      </c>
      <c r="R21" s="39"/>
      <c r="S21" s="1411"/>
      <c r="T21" s="1320"/>
      <c r="U21" s="1323" t="s">
        <v>133</v>
      </c>
      <c r="V21" s="1304"/>
      <c r="W21" s="1304"/>
      <c r="X21" s="1233">
        <f>보유세액!B9</f>
        <v>556754.11</v>
      </c>
      <c r="Y21" s="933"/>
      <c r="Z21" s="1304" t="s">
        <v>134</v>
      </c>
      <c r="AA21" s="1304"/>
      <c r="AB21" s="1618">
        <f>보유세액!C15</f>
        <v>39407500</v>
      </c>
      <c r="AC21" s="1618"/>
      <c r="AD21" s="1618"/>
      <c r="AE21" s="1398" t="s">
        <v>128</v>
      </c>
      <c r="AF21" s="1367" t="s">
        <v>117</v>
      </c>
      <c r="AG21" s="1619">
        <f>X21/AB21/AJ21</f>
        <v>3.5320314026517793E-3</v>
      </c>
      <c r="AH21" s="1619"/>
      <c r="AI21" s="1367" t="s">
        <v>117</v>
      </c>
      <c r="AJ21" s="1282">
        <f>SUM(보유세액!C10:I10)</f>
        <v>4</v>
      </c>
      <c r="AK21" s="1402" t="s">
        <v>135</v>
      </c>
      <c r="AL21" s="1304" t="s">
        <v>136</v>
      </c>
      <c r="AM21" s="1304"/>
      <c r="AN21" s="1402"/>
      <c r="AO21" s="878"/>
      <c r="AP21" s="943"/>
      <c r="AQ21" s="1284"/>
      <c r="AR21" s="1285">
        <f>X21</f>
        <v>556754.11</v>
      </c>
      <c r="AS21" s="1285"/>
      <c r="AT21" s="1285">
        <f>SUM(AR21:AS21)</f>
        <v>556754.11</v>
      </c>
      <c r="AU21" s="1284">
        <f>IF(AR21=0,0,AS21/SUM(AR21:AS21))</f>
        <v>0</v>
      </c>
      <c r="AV21" s="1229"/>
      <c r="AW21" s="42"/>
    </row>
    <row r="22" spans="5:49" ht="18" thickBot="1">
      <c r="E22" s="1347"/>
      <c r="F22" s="1347"/>
      <c r="G22" s="1381"/>
      <c r="H22" s="945"/>
      <c r="I22" s="946"/>
      <c r="J22" s="947"/>
      <c r="K22" s="864"/>
      <c r="L22" s="948"/>
      <c r="M22" s="39"/>
      <c r="N22" s="949"/>
      <c r="O22" s="41"/>
      <c r="P22" s="950"/>
      <c r="Q22" s="784"/>
      <c r="R22" s="39"/>
      <c r="S22" s="1411"/>
      <c r="T22" s="1318" t="s">
        <v>137</v>
      </c>
      <c r="U22" s="1324"/>
      <c r="V22" s="1324"/>
      <c r="W22" s="1324"/>
      <c r="X22" s="1246">
        <f>SUM(X23:X24)</f>
        <v>202260000</v>
      </c>
      <c r="Y22" s="952"/>
      <c r="Z22" s="1394" t="s">
        <v>138</v>
      </c>
      <c r="AA22" s="1608">
        <f>AA23</f>
        <v>43312.195629999995</v>
      </c>
      <c r="AB22" s="1608"/>
      <c r="AC22" s="953"/>
      <c r="AD22" s="951"/>
      <c r="AE22" s="951"/>
      <c r="AF22" s="1620" t="s">
        <v>96</v>
      </c>
      <c r="AG22" s="1620"/>
      <c r="AH22" s="1621">
        <f>X22/AA22</f>
        <v>4669.8163659915117</v>
      </c>
      <c r="AI22" s="1621"/>
      <c r="AJ22" s="1403" t="s">
        <v>73</v>
      </c>
      <c r="AK22" s="1404"/>
      <c r="AL22" s="951"/>
      <c r="AM22" s="951"/>
      <c r="AN22" s="951"/>
      <c r="AO22" s="954"/>
      <c r="AP22" s="955"/>
      <c r="AQ22" s="1284"/>
      <c r="AR22" s="1285"/>
      <c r="AS22" s="1285"/>
      <c r="AT22" s="1285"/>
      <c r="AU22" s="1284"/>
      <c r="AV22" s="1229"/>
      <c r="AW22" s="42"/>
    </row>
    <row r="23" spans="5:49" ht="18" thickBot="1">
      <c r="E23" s="1457" t="s">
        <v>139</v>
      </c>
      <c r="F23" s="1456"/>
      <c r="G23" s="1458"/>
      <c r="H23" s="1453" t="s">
        <v>140</v>
      </c>
      <c r="I23" s="1454"/>
      <c r="J23" s="1453" t="s">
        <v>119</v>
      </c>
      <c r="K23" s="1454"/>
      <c r="L23" s="1613" t="s">
        <v>141</v>
      </c>
      <c r="M23" s="1614"/>
      <c r="N23" s="1453" t="s">
        <v>120</v>
      </c>
      <c r="O23" s="1454"/>
      <c r="P23" s="1455" t="s">
        <v>142</v>
      </c>
      <c r="Q23" s="1283">
        <f>H47/P47</f>
        <v>0.51679361896620635</v>
      </c>
      <c r="R23" s="39"/>
      <c r="S23" s="1411"/>
      <c r="T23" s="1325"/>
      <c r="U23" s="1321" t="s">
        <v>143</v>
      </c>
      <c r="V23" s="1322"/>
      <c r="W23" s="1322"/>
      <c r="X23" s="1234">
        <f>ROUND(AA23*AH23,-4)</f>
        <v>196200000</v>
      </c>
      <c r="Y23" s="956"/>
      <c r="Z23" s="1367" t="s">
        <v>95</v>
      </c>
      <c r="AA23" s="1615">
        <f>Q21</f>
        <v>43312.195629999995</v>
      </c>
      <c r="AB23" s="1615"/>
      <c r="AC23" s="878"/>
      <c r="AD23" s="39"/>
      <c r="AE23" s="39"/>
      <c r="AF23" s="1616" t="str">
        <f>AF22</f>
        <v>도급단가</v>
      </c>
      <c r="AG23" s="1616"/>
      <c r="AH23" s="1617">
        <v>4530</v>
      </c>
      <c r="AI23" s="1617"/>
      <c r="AJ23" s="1405" t="s">
        <v>73</v>
      </c>
      <c r="AK23" s="1406"/>
      <c r="AL23" s="39"/>
      <c r="AM23" s="39"/>
      <c r="AN23" s="39"/>
      <c r="AO23" s="874"/>
      <c r="AP23" s="957"/>
      <c r="AQ23" s="1284">
        <f>X23/$X$14</f>
        <v>0.45895052334976655</v>
      </c>
      <c r="AR23" s="1285">
        <f>X23</f>
        <v>196200000</v>
      </c>
      <c r="AS23" s="1285">
        <f>AR23*L49</f>
        <v>9811962</v>
      </c>
      <c r="AT23" s="1285">
        <f>SUM(AR23:AS23)</f>
        <v>206011962</v>
      </c>
      <c r="AU23" s="1284">
        <f>IF(AR23=0,0,AS23/SUM(AR23:AS23))</f>
        <v>4.7628117827449259E-2</v>
      </c>
      <c r="AV23" s="1288"/>
      <c r="AW23" s="42"/>
    </row>
    <row r="24" spans="5:49" ht="17.5">
      <c r="E24" s="1446" t="s">
        <v>144</v>
      </c>
      <c r="F24" s="1447" t="s">
        <v>145</v>
      </c>
      <c r="G24" s="1448" t="s">
        <v>146</v>
      </c>
      <c r="H24" s="1449" t="s">
        <v>88</v>
      </c>
      <c r="I24" s="1301" t="s">
        <v>89</v>
      </c>
      <c r="J24" s="1449" t="s">
        <v>88</v>
      </c>
      <c r="K24" s="1301" t="s">
        <v>89</v>
      </c>
      <c r="L24" s="1450" t="s">
        <v>88</v>
      </c>
      <c r="M24" s="1451" t="s">
        <v>89</v>
      </c>
      <c r="N24" s="1449" t="s">
        <v>88</v>
      </c>
      <c r="O24" s="1451" t="s">
        <v>89</v>
      </c>
      <c r="P24" s="1449" t="s">
        <v>88</v>
      </c>
      <c r="Q24" s="1452" t="s">
        <v>89</v>
      </c>
      <c r="R24" s="39"/>
      <c r="S24" s="1411"/>
      <c r="T24" s="1325"/>
      <c r="U24" s="1323" t="s">
        <v>147</v>
      </c>
      <c r="V24" s="1304"/>
      <c r="W24" s="1304"/>
      <c r="X24" s="1234">
        <f>ROUND(AA24*AH24,-4)</f>
        <v>6060000</v>
      </c>
      <c r="Y24" s="948"/>
      <c r="Z24" s="1367" t="s">
        <v>95</v>
      </c>
      <c r="AA24" s="1615">
        <f>AA23</f>
        <v>43312.195629999995</v>
      </c>
      <c r="AB24" s="1615"/>
      <c r="AC24" s="878"/>
      <c r="AD24" s="39"/>
      <c r="AE24" s="39"/>
      <c r="AF24" s="1616" t="str">
        <f>AF22</f>
        <v>도급단가</v>
      </c>
      <c r="AG24" s="1616"/>
      <c r="AH24" s="1617">
        <v>140</v>
      </c>
      <c r="AI24" s="1617"/>
      <c r="AJ24" s="1405" t="s">
        <v>73</v>
      </c>
      <c r="AK24" s="1407"/>
      <c r="AL24" s="39"/>
      <c r="AM24" s="39"/>
      <c r="AN24" s="39"/>
      <c r="AO24" s="874"/>
      <c r="AP24" s="957"/>
      <c r="AQ24" s="1284">
        <f>X24/$X$14</f>
        <v>1.4175536042301658E-2</v>
      </c>
      <c r="AR24" s="1285">
        <f>X24</f>
        <v>6060000</v>
      </c>
      <c r="AS24" s="1285">
        <f>AR24*0.1</f>
        <v>606000</v>
      </c>
      <c r="AT24" s="1285">
        <f>SUM(AR24:AS24)</f>
        <v>6666000</v>
      </c>
      <c r="AU24" s="1284">
        <f>IF(AR24=0,0,AS24/SUM(AR24:AS24))</f>
        <v>9.0909090909090912E-2</v>
      </c>
      <c r="AV24" s="1288"/>
      <c r="AW24" s="42"/>
    </row>
    <row r="25" spans="5:49" ht="17.5">
      <c r="E25" s="1624" t="s">
        <v>99</v>
      </c>
      <c r="F25" s="1105">
        <f>INT(M25)</f>
        <v>34</v>
      </c>
      <c r="G25" s="1071">
        <v>148</v>
      </c>
      <c r="H25" s="1077">
        <v>84.938000000000002</v>
      </c>
      <c r="I25" s="1106">
        <f>H25*0.3025</f>
        <v>25.693745</v>
      </c>
      <c r="J25" s="1079">
        <f>8.9+9244.34*(H25/$H$31)</f>
        <v>30.125165541238431</v>
      </c>
      <c r="K25" s="1108">
        <f>J25*0.3025</f>
        <v>9.1128625762246251</v>
      </c>
      <c r="L25" s="1077">
        <f>H25+J25</f>
        <v>115.06316554123843</v>
      </c>
      <c r="M25" s="1108">
        <f>L25*0.3025</f>
        <v>34.806607576224629</v>
      </c>
      <c r="N25" s="1079">
        <f>(1235.039+20519.723)*(H25/$H$31)</f>
        <v>49.94931220187091</v>
      </c>
      <c r="O25" s="1108">
        <f>N25*0.3025</f>
        <v>15.109666941065949</v>
      </c>
      <c r="P25" s="1118">
        <f>L25+N25</f>
        <v>165.01247774310934</v>
      </c>
      <c r="Q25" s="1110">
        <f>P25*0.3025</f>
        <v>49.916274517290574</v>
      </c>
      <c r="R25" s="958"/>
      <c r="S25" s="1411"/>
      <c r="T25" s="1318" t="s">
        <v>148</v>
      </c>
      <c r="U25" s="1308"/>
      <c r="V25" s="1308"/>
      <c r="W25" s="1308"/>
      <c r="X25" s="1246">
        <f>SUM(X26:X30)</f>
        <v>10610000</v>
      </c>
      <c r="Y25" s="951"/>
      <c r="Z25" s="1395" t="s">
        <v>95</v>
      </c>
      <c r="AA25" s="1608">
        <f>AA26</f>
        <v>43312.195629999995</v>
      </c>
      <c r="AB25" s="1608"/>
      <c r="AC25" s="1387" t="s">
        <v>124</v>
      </c>
      <c r="AD25" s="1626">
        <f>X25/AA25</f>
        <v>244.96564641140085</v>
      </c>
      <c r="AE25" s="1626"/>
      <c r="AF25" s="1308" t="s">
        <v>73</v>
      </c>
      <c r="AG25" s="1308"/>
      <c r="AH25" s="1308"/>
      <c r="AI25" s="1308"/>
      <c r="AJ25" s="1308"/>
      <c r="AK25" s="1308"/>
      <c r="AL25" s="1308"/>
      <c r="AM25" s="1308"/>
      <c r="AN25" s="1308"/>
      <c r="AO25" s="1308"/>
      <c r="AP25" s="927"/>
      <c r="AQ25" s="1284">
        <f>X25/$X$14</f>
        <v>2.4818884060861485E-2</v>
      </c>
      <c r="AR25" s="1285"/>
      <c r="AS25" s="1285"/>
      <c r="AT25" s="1285"/>
      <c r="AU25" s="1284"/>
      <c r="AV25" s="1229"/>
      <c r="AW25" s="42"/>
    </row>
    <row r="26" spans="5:49" ht="17.5">
      <c r="E26" s="1625"/>
      <c r="F26" s="1105">
        <f>INT(M26)</f>
        <v>34</v>
      </c>
      <c r="G26" s="1072">
        <v>74</v>
      </c>
      <c r="H26" s="1078">
        <v>84.915000000000006</v>
      </c>
      <c r="I26" s="1107">
        <f>H26*0.3025</f>
        <v>25.686787500000001</v>
      </c>
      <c r="J26" s="1080">
        <f>7.21+9244.34*(H26/$H$31)</f>
        <v>28.429418068876846</v>
      </c>
      <c r="K26" s="1109">
        <f>J26*0.3025</f>
        <v>8.599898965835246</v>
      </c>
      <c r="L26" s="1078">
        <f>H26+J26</f>
        <v>113.34441806887685</v>
      </c>
      <c r="M26" s="1109">
        <f>L26*0.3025</f>
        <v>34.286686465835245</v>
      </c>
      <c r="N26" s="1080">
        <f>(1235.039+20519.723)*(H26/$H$31)</f>
        <v>49.935786639924046</v>
      </c>
      <c r="O26" s="1109">
        <f>N26*0.3025</f>
        <v>15.105575458577023</v>
      </c>
      <c r="P26" s="1119">
        <f>L26+N26</f>
        <v>163.28020470880091</v>
      </c>
      <c r="Q26" s="1111">
        <f>P26*0.3025</f>
        <v>49.392261924412274</v>
      </c>
      <c r="R26" s="958"/>
      <c r="S26" s="1487"/>
      <c r="T26" s="1326"/>
      <c r="U26" s="1327" t="s">
        <v>149</v>
      </c>
      <c r="V26" s="1328"/>
      <c r="W26" s="1328"/>
      <c r="X26" s="1233">
        <f>ROUND(AA26*AD26,-4)</f>
        <v>4110000</v>
      </c>
      <c r="Y26" s="960"/>
      <c r="Z26" s="1378" t="s">
        <v>95</v>
      </c>
      <c r="AA26" s="1611">
        <f>AA23</f>
        <v>43312.195629999995</v>
      </c>
      <c r="AB26" s="1611"/>
      <c r="AC26" s="1388" t="s">
        <v>124</v>
      </c>
      <c r="AD26" s="1627">
        <v>95</v>
      </c>
      <c r="AE26" s="1627"/>
      <c r="AF26" s="1322" t="s">
        <v>73</v>
      </c>
      <c r="AG26" s="1322"/>
      <c r="AH26" s="1390"/>
      <c r="AI26" s="1328"/>
      <c r="AJ26" s="1391"/>
      <c r="AK26" s="1391"/>
      <c r="AL26" s="1391"/>
      <c r="AM26" s="1328"/>
      <c r="AN26" s="1391"/>
      <c r="AO26" s="1391"/>
      <c r="AP26" s="961"/>
      <c r="AQ26" s="1284"/>
      <c r="AR26" s="1285">
        <f>X26</f>
        <v>4110000</v>
      </c>
      <c r="AS26" s="1285">
        <f>AR26*L49</f>
        <v>205541.1</v>
      </c>
      <c r="AT26" s="1285">
        <f>SUM(AR26:AS26)</f>
        <v>4315541.0999999996</v>
      </c>
      <c r="AU26" s="1284">
        <f>IF(AR26=0,0,AS26/SUM(AR26:AS26))</f>
        <v>4.7628117827449266E-2</v>
      </c>
      <c r="AV26" s="1229"/>
      <c r="AW26" s="44"/>
    </row>
    <row r="27" spans="5:49" ht="17.5">
      <c r="E27" s="1625"/>
      <c r="F27" s="1105">
        <f>INT(M27)</f>
        <v>34</v>
      </c>
      <c r="G27" s="1072">
        <v>148</v>
      </c>
      <c r="H27" s="1078">
        <v>84.688999999999993</v>
      </c>
      <c r="I27" s="1107">
        <f>H27*0.3025</f>
        <v>25.618422499999998</v>
      </c>
      <c r="J27" s="1080">
        <f>7.58+9244.34*(H27/$H$31)</f>
        <v>28.742942905671683</v>
      </c>
      <c r="K27" s="1109">
        <f>J27*0.3025</f>
        <v>8.6947402289656832</v>
      </c>
      <c r="L27" s="1078">
        <f>H27+J27</f>
        <v>113.43194290567168</v>
      </c>
      <c r="M27" s="1109">
        <f>L27*0.3025</f>
        <v>34.313162728965679</v>
      </c>
      <c r="N27" s="1080">
        <f>(1235.039+20519.723)*(H27/$H$31)</f>
        <v>49.802883292098294</v>
      </c>
      <c r="O27" s="1109">
        <f>N27*0.3025</f>
        <v>15.065372195859734</v>
      </c>
      <c r="P27" s="1119">
        <f>L27+N27</f>
        <v>163.23482619776996</v>
      </c>
      <c r="Q27" s="1111">
        <f>P27*0.3025</f>
        <v>49.378534924825409</v>
      </c>
      <c r="R27" s="958"/>
      <c r="S27" s="1411"/>
      <c r="T27" s="1329"/>
      <c r="U27" s="1323" t="s">
        <v>150</v>
      </c>
      <c r="V27" s="1304"/>
      <c r="W27" s="1304"/>
      <c r="X27" s="1233">
        <f>ROUND(AA27*AD27,-4)</f>
        <v>220000</v>
      </c>
      <c r="Y27" s="962"/>
      <c r="Z27" s="1367" t="s">
        <v>95</v>
      </c>
      <c r="AA27" s="1615">
        <f>AA26</f>
        <v>43312.195629999995</v>
      </c>
      <c r="AB27" s="1615"/>
      <c r="AC27" s="1347" t="s">
        <v>124</v>
      </c>
      <c r="AD27" s="1617">
        <v>5</v>
      </c>
      <c r="AE27" s="1617"/>
      <c r="AF27" s="1304" t="s">
        <v>73</v>
      </c>
      <c r="AG27" s="1304" t="s">
        <v>151</v>
      </c>
      <c r="AH27" s="1304"/>
      <c r="AI27" s="1304"/>
      <c r="AJ27" s="1304"/>
      <c r="AK27" s="1304"/>
      <c r="AL27" s="1304"/>
      <c r="AM27" s="1304"/>
      <c r="AN27" s="1304"/>
      <c r="AO27" s="1304"/>
      <c r="AP27" s="877"/>
      <c r="AQ27" s="1284"/>
      <c r="AR27" s="1285">
        <f>X27</f>
        <v>220000</v>
      </c>
      <c r="AS27" s="1285">
        <f>AR27*0.1</f>
        <v>22000</v>
      </c>
      <c r="AT27" s="1285">
        <f>SUM(AR27:AS27)</f>
        <v>242000</v>
      </c>
      <c r="AU27" s="1284">
        <f>IF(AR27=0,0,AS27/SUM(AR27:AS27))</f>
        <v>9.0909090909090912E-2</v>
      </c>
      <c r="AV27" s="1229"/>
      <c r="AW27" s="49"/>
    </row>
    <row r="28" spans="5:49" ht="17.5">
      <c r="E28" s="1625"/>
      <c r="F28" s="1105">
        <f>INT(M28)</f>
        <v>34</v>
      </c>
      <c r="G28" s="1072">
        <v>66</v>
      </c>
      <c r="H28" s="1078">
        <v>84.926000000000002</v>
      </c>
      <c r="I28" s="1107">
        <f>H28*0.3025</f>
        <v>25.690114999999999</v>
      </c>
      <c r="J28" s="1080">
        <f>9.2+9244.34*(H28/$H$31)</f>
        <v>30.4221668600063</v>
      </c>
      <c r="K28" s="1109">
        <f>J28*0.3025</f>
        <v>9.2027054751519053</v>
      </c>
      <c r="L28" s="1078">
        <f>H28+J28</f>
        <v>115.3481668600063</v>
      </c>
      <c r="M28" s="1109">
        <f>L28*0.3025</f>
        <v>34.892820475151908</v>
      </c>
      <c r="N28" s="1080">
        <f>(1235.039+20519.723)*(H28/$H$31)</f>
        <v>49.942255386942108</v>
      </c>
      <c r="O28" s="1109">
        <f>N28*0.3025</f>
        <v>15.107532254549987</v>
      </c>
      <c r="P28" s="1119">
        <f>L28+N28</f>
        <v>165.29042224694842</v>
      </c>
      <c r="Q28" s="1111">
        <f>P28*0.3025</f>
        <v>50.000352729701895</v>
      </c>
      <c r="R28" s="958"/>
      <c r="S28" s="1411"/>
      <c r="T28" s="1320"/>
      <c r="U28" s="1323" t="s">
        <v>152</v>
      </c>
      <c r="V28" s="1304"/>
      <c r="W28" s="1304"/>
      <c r="X28" s="1233">
        <f>ROUND(AA28*AD28,-4)</f>
        <v>4760000</v>
      </c>
      <c r="Y28" s="891"/>
      <c r="Z28" s="1367" t="s">
        <v>95</v>
      </c>
      <c r="AA28" s="1615">
        <f>AA27</f>
        <v>43312.195629999995</v>
      </c>
      <c r="AB28" s="1615"/>
      <c r="AC28" s="1347" t="s">
        <v>124</v>
      </c>
      <c r="AD28" s="1617">
        <v>110</v>
      </c>
      <c r="AE28" s="1617"/>
      <c r="AF28" s="1304" t="s">
        <v>73</v>
      </c>
      <c r="AG28" s="1392"/>
      <c r="AH28" s="1375"/>
      <c r="AI28" s="1304"/>
      <c r="AJ28" s="1304"/>
      <c r="AK28" s="1304"/>
      <c r="AL28" s="1304"/>
      <c r="AM28" s="1304"/>
      <c r="AN28" s="1304"/>
      <c r="AO28" s="1304"/>
      <c r="AP28" s="877"/>
      <c r="AQ28" s="1284"/>
      <c r="AR28" s="1285">
        <f>X28</f>
        <v>4760000</v>
      </c>
      <c r="AS28" s="1285">
        <f>AR28*0.1</f>
        <v>476000</v>
      </c>
      <c r="AT28" s="1285">
        <f>SUM(AR28:AS28)</f>
        <v>5236000</v>
      </c>
      <c r="AU28" s="1284">
        <f>IF(AR28=0,0,AS28/SUM(AR28:AS28))</f>
        <v>9.0909090909090912E-2</v>
      </c>
      <c r="AV28" s="1229"/>
      <c r="AW28" s="42"/>
    </row>
    <row r="29" spans="5:49" ht="17.25" customHeight="1">
      <c r="E29" s="1625"/>
      <c r="F29" s="1105">
        <f t="shared" ref="F29:F30" si="1">INT(M29)</f>
        <v>0</v>
      </c>
      <c r="G29" s="1072"/>
      <c r="H29" s="1078"/>
      <c r="I29" s="1107"/>
      <c r="J29" s="1080"/>
      <c r="K29" s="1109"/>
      <c r="L29" s="1078"/>
      <c r="M29" s="1109"/>
      <c r="N29" s="1080"/>
      <c r="O29" s="1109"/>
      <c r="P29" s="1119"/>
      <c r="Q29" s="1111"/>
      <c r="R29" s="39"/>
      <c r="S29" s="1411"/>
      <c r="T29" s="1320"/>
      <c r="U29" s="1323" t="s">
        <v>153</v>
      </c>
      <c r="V29" s="1304"/>
      <c r="W29" s="1304"/>
      <c r="X29" s="1233">
        <f>ROUND(AA29*AD29,-4)</f>
        <v>220000</v>
      </c>
      <c r="Y29" s="891"/>
      <c r="Z29" s="1367" t="s">
        <v>95</v>
      </c>
      <c r="AA29" s="1615">
        <f>AA28</f>
        <v>43312.195629999995</v>
      </c>
      <c r="AB29" s="1615"/>
      <c r="AC29" s="1347" t="s">
        <v>124</v>
      </c>
      <c r="AD29" s="1617">
        <v>5</v>
      </c>
      <c r="AE29" s="1617"/>
      <c r="AF29" s="1304" t="s">
        <v>73</v>
      </c>
      <c r="AG29" s="1392" t="s">
        <v>154</v>
      </c>
      <c r="AH29" s="1375"/>
      <c r="AI29" s="1304"/>
      <c r="AJ29" s="1304"/>
      <c r="AK29" s="1304"/>
      <c r="AL29" s="1304"/>
      <c r="AM29" s="1304"/>
      <c r="AN29" s="1304"/>
      <c r="AO29" s="1304"/>
      <c r="AP29" s="877"/>
      <c r="AQ29" s="1284"/>
      <c r="AR29" s="1285">
        <f>X29</f>
        <v>220000</v>
      </c>
      <c r="AS29" s="1285">
        <f>AR29*0.1</f>
        <v>22000</v>
      </c>
      <c r="AT29" s="1285">
        <f>SUM(AR29:AS29)</f>
        <v>242000</v>
      </c>
      <c r="AU29" s="1284">
        <f>IF(AR29=0,0,AS29/SUM(AR29:AS29))</f>
        <v>9.0909090909090912E-2</v>
      </c>
      <c r="AV29" s="1229"/>
      <c r="AW29" s="42"/>
    </row>
    <row r="30" spans="5:49" ht="17.5">
      <c r="E30" s="1625"/>
      <c r="F30" s="1105">
        <f t="shared" si="1"/>
        <v>0</v>
      </c>
      <c r="G30" s="1072"/>
      <c r="H30" s="1078"/>
      <c r="I30" s="1107"/>
      <c r="J30" s="1080"/>
      <c r="K30" s="1109"/>
      <c r="L30" s="1078"/>
      <c r="M30" s="1109"/>
      <c r="N30" s="1080"/>
      <c r="O30" s="1109"/>
      <c r="P30" s="1119"/>
      <c r="Q30" s="1111"/>
      <c r="R30" s="39"/>
      <c r="S30" s="1411"/>
      <c r="T30" s="1330"/>
      <c r="U30" s="1331" t="s">
        <v>155</v>
      </c>
      <c r="V30" s="1332"/>
      <c r="W30" s="1332"/>
      <c r="X30" s="1247">
        <f>ROUND(AA30*AD30,-4)</f>
        <v>1300000</v>
      </c>
      <c r="Y30" s="965"/>
      <c r="Z30" s="1396" t="s">
        <v>95</v>
      </c>
      <c r="AA30" s="1628">
        <f>AA29</f>
        <v>43312.195629999995</v>
      </c>
      <c r="AB30" s="1628"/>
      <c r="AC30" s="1389" t="s">
        <v>124</v>
      </c>
      <c r="AD30" s="1629">
        <v>30</v>
      </c>
      <c r="AE30" s="1629"/>
      <c r="AF30" s="1332" t="s">
        <v>73</v>
      </c>
      <c r="AG30" s="1332" t="s">
        <v>156</v>
      </c>
      <c r="AH30" s="1393"/>
      <c r="AI30" s="1332"/>
      <c r="AJ30" s="1332"/>
      <c r="AK30" s="1332"/>
      <c r="AL30" s="1332"/>
      <c r="AM30" s="1332"/>
      <c r="AN30" s="1332"/>
      <c r="AO30" s="1332"/>
      <c r="AP30" s="968"/>
      <c r="AQ30" s="1284"/>
      <c r="AR30" s="1285">
        <f>X30</f>
        <v>1300000</v>
      </c>
      <c r="AS30" s="1285">
        <f>AR30*0.1</f>
        <v>130000</v>
      </c>
      <c r="AT30" s="1285">
        <f>SUM(AR30:AS30)</f>
        <v>1430000</v>
      </c>
      <c r="AU30" s="1284">
        <f>IF(AR30=0,0,AS30/SUM(AR30:AS30))</f>
        <v>9.0909090909090912E-2</v>
      </c>
      <c r="AV30" s="1229"/>
      <c r="AW30" s="42"/>
    </row>
    <row r="31" spans="5:49" ht="17.5">
      <c r="E31" s="1459"/>
      <c r="F31" s="1460" t="s">
        <v>157</v>
      </c>
      <c r="G31" s="1112">
        <f>SUM(G25:G30)</f>
        <v>436</v>
      </c>
      <c r="H31" s="1113">
        <f>SUMPRODUCT($G$25:$G$30,H25:H30)</f>
        <v>36993.622000000003</v>
      </c>
      <c r="I31" s="1114">
        <f t="shared" ref="I31:I36" si="2">H31*0.3025</f>
        <v>11190.570655000001</v>
      </c>
      <c r="J31" s="1115">
        <f>SUMPRODUCT($G$25:$G$30,J25:J30)</f>
        <v>12824.119999999999</v>
      </c>
      <c r="K31" s="1116">
        <f t="shared" ref="K31:K36" si="3">J31*0.3025</f>
        <v>3879.2962999999995</v>
      </c>
      <c r="L31" s="1115">
        <f>SUMPRODUCT($G$25:$G$30,L25:L30)</f>
        <v>49817.741999999998</v>
      </c>
      <c r="M31" s="1116">
        <f t="shared" ref="M31:M36" si="4">L31*0.3025</f>
        <v>15069.866955</v>
      </c>
      <c r="N31" s="1115">
        <f>SUMPRODUCT($G$25:$G$30,N25:N30)</f>
        <v>21754.762000000002</v>
      </c>
      <c r="O31" s="1116">
        <f t="shared" ref="O31:O36" si="5">N31*0.3025</f>
        <v>6580.8155050000005</v>
      </c>
      <c r="P31" s="1115">
        <f>SUMPRODUCT($G$25:$G$30,P25:P30)</f>
        <v>71572.504000000001</v>
      </c>
      <c r="Q31" s="1117">
        <f t="shared" ref="Q31:Q36" si="6">P31*0.3025</f>
        <v>21650.68246</v>
      </c>
      <c r="R31" s="39"/>
      <c r="S31" s="1488"/>
      <c r="T31" s="1333" t="s">
        <v>158</v>
      </c>
      <c r="U31" s="1308"/>
      <c r="V31" s="1308"/>
      <c r="W31" s="1334"/>
      <c r="X31" s="1236">
        <f>SUM(X32:X39)</f>
        <v>19059000</v>
      </c>
      <c r="Y31" s="925"/>
      <c r="Z31" s="1394" t="s">
        <v>95</v>
      </c>
      <c r="AA31" s="1608">
        <f>AA30</f>
        <v>43312.195629999995</v>
      </c>
      <c r="AB31" s="1608"/>
      <c r="AC31" s="1387" t="s">
        <v>124</v>
      </c>
      <c r="AD31" s="1568">
        <f>X31/AA31</f>
        <v>440.03772431243061</v>
      </c>
      <c r="AE31" s="1568"/>
      <c r="AF31" s="1308" t="s">
        <v>73</v>
      </c>
      <c r="AG31" s="883"/>
      <c r="AH31" s="883"/>
      <c r="AI31" s="883"/>
      <c r="AJ31" s="883"/>
      <c r="AK31" s="883"/>
      <c r="AL31" s="969"/>
      <c r="AM31" s="969"/>
      <c r="AN31" s="969"/>
      <c r="AO31" s="883"/>
      <c r="AP31" s="927"/>
      <c r="AQ31" s="1284">
        <f>X31/$X$14</f>
        <v>4.4582762612248729E-2</v>
      </c>
      <c r="AR31" s="1285"/>
      <c r="AS31" s="1285"/>
      <c r="AT31" s="1285"/>
      <c r="AU31" s="1284"/>
      <c r="AV31" s="1229"/>
      <c r="AW31" s="42"/>
    </row>
    <row r="32" spans="5:49" ht="17.5">
      <c r="E32" s="1624" t="s">
        <v>159</v>
      </c>
      <c r="F32" s="1105">
        <f>INT(Q32)</f>
        <v>67</v>
      </c>
      <c r="G32" s="1072">
        <v>76</v>
      </c>
      <c r="H32" s="1078">
        <v>113.351</v>
      </c>
      <c r="I32" s="1107">
        <f t="shared" si="2"/>
        <v>34.288677499999999</v>
      </c>
      <c r="J32" s="1080">
        <f>10.64+8932.56*(H32/$H$38)</f>
        <v>40.165997741534333</v>
      </c>
      <c r="K32" s="1109">
        <f t="shared" si="3"/>
        <v>12.150214316814136</v>
      </c>
      <c r="L32" s="1078">
        <f>H32+J32</f>
        <v>153.51699774153434</v>
      </c>
      <c r="M32" s="1109">
        <f t="shared" si="4"/>
        <v>46.438891816814134</v>
      </c>
      <c r="N32" s="1080">
        <f>(1458.099+19363.972)*(H32/$H$38)</f>
        <v>68.826005234789079</v>
      </c>
      <c r="O32" s="1109">
        <f t="shared" si="5"/>
        <v>20.819866583523694</v>
      </c>
      <c r="P32" s="1119">
        <f>L32+N32</f>
        <v>222.34300297632342</v>
      </c>
      <c r="Q32" s="1111">
        <f t="shared" si="6"/>
        <v>67.258758400337825</v>
      </c>
      <c r="R32" s="958"/>
      <c r="S32" s="1415"/>
      <c r="T32" s="1335"/>
      <c r="U32" s="1321" t="s">
        <v>160</v>
      </c>
      <c r="V32" s="1322"/>
      <c r="W32" s="1322"/>
      <c r="X32" s="1234">
        <f>Z32*AD32</f>
        <v>720000</v>
      </c>
      <c r="Y32" s="970"/>
      <c r="Z32" s="1633">
        <v>30000</v>
      </c>
      <c r="AA32" s="1634"/>
      <c r="AB32" s="1322" t="s">
        <v>128</v>
      </c>
      <c r="AC32" s="1372" t="s">
        <v>124</v>
      </c>
      <c r="AD32" s="1627">
        <v>24</v>
      </c>
      <c r="AE32" s="1627"/>
      <c r="AF32" s="1322" t="s">
        <v>161</v>
      </c>
      <c r="AG32" s="928"/>
      <c r="AH32" s="971"/>
      <c r="AI32" s="971"/>
      <c r="AJ32" s="928"/>
      <c r="AK32" s="971"/>
      <c r="AL32" s="971"/>
      <c r="AM32" s="971"/>
      <c r="AN32" s="971"/>
      <c r="AO32" s="971"/>
      <c r="AP32" s="972"/>
      <c r="AQ32" s="1284"/>
      <c r="AR32" s="1285">
        <f t="shared" ref="AR32:AR38" si="7">X32</f>
        <v>720000</v>
      </c>
      <c r="AS32" s="1285">
        <f>AR32*0.1</f>
        <v>72000</v>
      </c>
      <c r="AT32" s="1285">
        <f t="shared" ref="AT32:AT38" si="8">SUM(AR32:AS32)</f>
        <v>792000</v>
      </c>
      <c r="AU32" s="1284">
        <f t="shared" ref="AU32:AU38" si="9">IF(AR32=0,0,AS32/SUM(AR32:AS32))</f>
        <v>9.0909090909090912E-2</v>
      </c>
      <c r="AV32" s="1229"/>
      <c r="AW32" s="42"/>
    </row>
    <row r="33" spans="5:49" ht="17.5">
      <c r="E33" s="1625"/>
      <c r="F33" s="1105">
        <f>INT(Q33)</f>
        <v>65</v>
      </c>
      <c r="G33" s="1072">
        <v>38</v>
      </c>
      <c r="H33" s="1078">
        <v>110.768</v>
      </c>
      <c r="I33" s="1107">
        <f t="shared" si="2"/>
        <v>33.50732</v>
      </c>
      <c r="J33" s="1080">
        <f>9.08+8932.56*(H33/$H$38)</f>
        <v>37.933170398446201</v>
      </c>
      <c r="K33" s="1109">
        <f t="shared" si="3"/>
        <v>11.474784045529976</v>
      </c>
      <c r="L33" s="1078">
        <f>H33+J33</f>
        <v>148.70117039844621</v>
      </c>
      <c r="M33" s="1109">
        <f t="shared" si="4"/>
        <v>44.982104045529979</v>
      </c>
      <c r="N33" s="1080">
        <f>(1458.099+19363.972)*(H33/$H$38)</f>
        <v>67.257624086661053</v>
      </c>
      <c r="O33" s="1109">
        <f t="shared" si="5"/>
        <v>20.345431286214968</v>
      </c>
      <c r="P33" s="1119">
        <f>L33+N33</f>
        <v>215.95879448510726</v>
      </c>
      <c r="Q33" s="1111">
        <f t="shared" si="6"/>
        <v>65.32753533174494</v>
      </c>
      <c r="R33" s="958"/>
      <c r="S33" s="1411"/>
      <c r="T33" s="1335"/>
      <c r="U33" s="1323" t="s">
        <v>162</v>
      </c>
      <c r="V33" s="1304"/>
      <c r="W33" s="1304"/>
      <c r="X33" s="1233">
        <f>Z33*AD33</f>
        <v>2000000</v>
      </c>
      <c r="Y33" s="41"/>
      <c r="Z33" s="1630">
        <v>400</v>
      </c>
      <c r="AA33" s="1630"/>
      <c r="AB33" s="1386" t="s">
        <v>89</v>
      </c>
      <c r="AC33" s="1347" t="s">
        <v>124</v>
      </c>
      <c r="AD33" s="1632">
        <v>5000</v>
      </c>
      <c r="AE33" s="1632"/>
      <c r="AF33" s="1304" t="s">
        <v>98</v>
      </c>
      <c r="AG33" s="1304" t="s">
        <v>163</v>
      </c>
      <c r="AH33" s="1384"/>
      <c r="AI33" s="1384"/>
      <c r="AJ33" s="1385"/>
      <c r="AK33" s="1304"/>
      <c r="AL33" s="39"/>
      <c r="AM33" s="39"/>
      <c r="AN33" s="39"/>
      <c r="AO33" s="39"/>
      <c r="AP33" s="877"/>
      <c r="AQ33" s="1284"/>
      <c r="AR33" s="1285">
        <f t="shared" si="7"/>
        <v>2000000</v>
      </c>
      <c r="AS33" s="1285">
        <f t="shared" ref="AS33:AS38" si="10">AR33*0.1</f>
        <v>200000</v>
      </c>
      <c r="AT33" s="1285">
        <f t="shared" si="8"/>
        <v>2200000</v>
      </c>
      <c r="AU33" s="1284">
        <f t="shared" si="9"/>
        <v>9.0909090909090912E-2</v>
      </c>
      <c r="AV33" s="1229"/>
      <c r="AW33" s="42"/>
    </row>
    <row r="34" spans="5:49" ht="17.5">
      <c r="E34" s="1625"/>
      <c r="F34" s="1105">
        <f>INT(Q34)</f>
        <v>70</v>
      </c>
      <c r="G34" s="1072">
        <v>76</v>
      </c>
      <c r="H34" s="1078">
        <v>118.816</v>
      </c>
      <c r="I34" s="1107">
        <f t="shared" si="2"/>
        <v>35.941839999999999</v>
      </c>
      <c r="J34" s="1080">
        <f>11.9+8932.56*(H34/$H$38)</f>
        <v>42.849536816244616</v>
      </c>
      <c r="K34" s="1109">
        <f t="shared" si="3"/>
        <v>12.961984886913996</v>
      </c>
      <c r="L34" s="1078">
        <f>H34+J34</f>
        <v>161.66553681624461</v>
      </c>
      <c r="M34" s="1109">
        <f t="shared" si="4"/>
        <v>48.903824886913995</v>
      </c>
      <c r="N34" s="1080">
        <f>(1458.099+19363.972)*(H34/$H$38)</f>
        <v>72.144318426627919</v>
      </c>
      <c r="O34" s="1109">
        <f t="shared" si="5"/>
        <v>21.823656324054944</v>
      </c>
      <c r="P34" s="1119">
        <f>L34+N34</f>
        <v>233.80985524287252</v>
      </c>
      <c r="Q34" s="1111">
        <f t="shared" si="6"/>
        <v>70.727481210968932</v>
      </c>
      <c r="R34" s="958"/>
      <c r="S34" s="1415"/>
      <c r="T34" s="1304"/>
      <c r="U34" s="1323" t="s">
        <v>164</v>
      </c>
      <c r="V34" s="1304"/>
      <c r="W34" s="1304"/>
      <c r="X34" s="1233">
        <f>Z34*AD34</f>
        <v>480000</v>
      </c>
      <c r="Y34" s="41"/>
      <c r="Z34" s="1630">
        <v>20000</v>
      </c>
      <c r="AA34" s="1630"/>
      <c r="AB34" s="1304" t="s">
        <v>128</v>
      </c>
      <c r="AC34" s="1347" t="s">
        <v>124</v>
      </c>
      <c r="AD34" s="1617">
        <v>24</v>
      </c>
      <c r="AE34" s="1617"/>
      <c r="AF34" s="1304" t="s">
        <v>161</v>
      </c>
      <c r="AG34" s="39"/>
      <c r="AH34" s="39"/>
      <c r="AI34" s="944"/>
      <c r="AJ34" s="39"/>
      <c r="AK34" s="39"/>
      <c r="AL34" s="880"/>
      <c r="AM34" s="39"/>
      <c r="AN34" s="39"/>
      <c r="AO34" s="39"/>
      <c r="AP34" s="877"/>
      <c r="AQ34" s="1284"/>
      <c r="AR34" s="1285">
        <f t="shared" si="7"/>
        <v>480000</v>
      </c>
      <c r="AS34" s="1285">
        <f t="shared" si="10"/>
        <v>48000</v>
      </c>
      <c r="AT34" s="1285">
        <f t="shared" si="8"/>
        <v>528000</v>
      </c>
      <c r="AU34" s="1284">
        <f t="shared" si="9"/>
        <v>9.0909090909090912E-2</v>
      </c>
      <c r="AV34" s="1229"/>
      <c r="AW34" s="42"/>
    </row>
    <row r="35" spans="5:49" ht="17.5">
      <c r="E35" s="1625"/>
      <c r="F35" s="1105">
        <f>INT(Q35)</f>
        <v>68</v>
      </c>
      <c r="G35" s="1072">
        <v>72</v>
      </c>
      <c r="H35" s="1078">
        <v>114.425</v>
      </c>
      <c r="I35" s="1107">
        <f t="shared" si="2"/>
        <v>34.6135625</v>
      </c>
      <c r="J35" s="1080">
        <f>11.48+8932.56*(H35/$H$38)</f>
        <v>41.285756381285267</v>
      </c>
      <c r="K35" s="1109">
        <f t="shared" si="3"/>
        <v>12.488941305338793</v>
      </c>
      <c r="L35" s="1078">
        <f>H35+J35</f>
        <v>155.71075638128525</v>
      </c>
      <c r="M35" s="1109">
        <f t="shared" si="4"/>
        <v>47.102503805338785</v>
      </c>
      <c r="N35" s="1080">
        <f>(1458.099+19363.972)*(H35/$H$38)</f>
        <v>69.478131194173329</v>
      </c>
      <c r="O35" s="1109">
        <f t="shared" si="5"/>
        <v>21.01713468623743</v>
      </c>
      <c r="P35" s="1119">
        <f>L35+N35</f>
        <v>225.18888757545858</v>
      </c>
      <c r="Q35" s="1111">
        <f t="shared" si="6"/>
        <v>68.119638491576225</v>
      </c>
      <c r="R35" s="958"/>
      <c r="S35" s="1415"/>
      <c r="T35" s="1304"/>
      <c r="U35" s="1323" t="s">
        <v>165</v>
      </c>
      <c r="V35" s="1304"/>
      <c r="W35" s="1304"/>
      <c r="X35" s="1233">
        <f>Z35*AD35</f>
        <v>3488000</v>
      </c>
      <c r="Y35" s="41"/>
      <c r="Z35" s="1631">
        <f>G58</f>
        <v>436</v>
      </c>
      <c r="AA35" s="1631"/>
      <c r="AB35" s="1304" t="s">
        <v>166</v>
      </c>
      <c r="AC35" s="1347" t="s">
        <v>124</v>
      </c>
      <c r="AD35" s="1632">
        <v>8000</v>
      </c>
      <c r="AE35" s="1632"/>
      <c r="AF35" s="1304" t="s">
        <v>128</v>
      </c>
      <c r="AG35" s="1304" t="s">
        <v>167</v>
      </c>
      <c r="AH35" s="1304"/>
      <c r="AI35" s="1381"/>
      <c r="AJ35" s="39"/>
      <c r="AK35" s="39"/>
      <c r="AL35" s="880"/>
      <c r="AM35" s="39"/>
      <c r="AN35" s="39"/>
      <c r="AO35" s="39"/>
      <c r="AP35" s="877"/>
      <c r="AQ35" s="1284"/>
      <c r="AR35" s="1285">
        <f t="shared" si="7"/>
        <v>3488000</v>
      </c>
      <c r="AS35" s="1285">
        <f>AR35*0.1</f>
        <v>348800</v>
      </c>
      <c r="AT35" s="1285">
        <f>SUM(AR35:AS35)</f>
        <v>3836800</v>
      </c>
      <c r="AU35" s="1284">
        <f>IF(AR35=0,0,AS35/SUM(AR35:AS35))</f>
        <v>9.0909090909090912E-2</v>
      </c>
      <c r="AV35" s="1229"/>
      <c r="AW35" s="42"/>
    </row>
    <row r="36" spans="5:49" ht="17.5">
      <c r="E36" s="1625"/>
      <c r="F36" s="1105">
        <f>INT(Q36)</f>
        <v>69</v>
      </c>
      <c r="G36" s="1072">
        <v>36</v>
      </c>
      <c r="H36" s="1078">
        <v>116.66200000000001</v>
      </c>
      <c r="I36" s="1107">
        <f t="shared" si="2"/>
        <v>35.290255000000002</v>
      </c>
      <c r="J36" s="1080">
        <f>10.38+8932.56*(H36/$H$38)</f>
        <v>40.768456639313982</v>
      </c>
      <c r="K36" s="1109">
        <f t="shared" si="3"/>
        <v>12.332458133392478</v>
      </c>
      <c r="L36" s="1078">
        <f>H36+J36</f>
        <v>157.430456639314</v>
      </c>
      <c r="M36" s="1109">
        <f t="shared" si="4"/>
        <v>47.622713133392487</v>
      </c>
      <c r="N36" s="1080">
        <f>(1458.099+19363.972)*(H36/$H$38)</f>
        <v>70.836423346075151</v>
      </c>
      <c r="O36" s="1109">
        <f t="shared" si="5"/>
        <v>21.428018062187732</v>
      </c>
      <c r="P36" s="1119">
        <f>L36+N36</f>
        <v>228.26687998538915</v>
      </c>
      <c r="Q36" s="1111">
        <f t="shared" si="6"/>
        <v>69.050731195580212</v>
      </c>
      <c r="R36" s="958"/>
      <c r="S36" s="1415"/>
      <c r="T36" s="1304"/>
      <c r="U36" s="1323" t="s">
        <v>168</v>
      </c>
      <c r="V36" s="1304"/>
      <c r="W36" s="1304"/>
      <c r="X36" s="1233">
        <f>Z36*AD36</f>
        <v>4470000</v>
      </c>
      <c r="Y36" s="41"/>
      <c r="Z36" s="1631">
        <f>G38</f>
        <v>298</v>
      </c>
      <c r="AA36" s="1631"/>
      <c r="AB36" s="1304" t="s">
        <v>169</v>
      </c>
      <c r="AC36" s="1347" t="s">
        <v>124</v>
      </c>
      <c r="AD36" s="1632">
        <v>15000</v>
      </c>
      <c r="AE36" s="1632"/>
      <c r="AF36" s="1304" t="s">
        <v>128</v>
      </c>
      <c r="AG36" s="1304" t="s">
        <v>167</v>
      </c>
      <c r="AH36" s="1304"/>
      <c r="AI36" s="1382"/>
      <c r="AJ36" s="973"/>
      <c r="AK36" s="973"/>
      <c r="AL36" s="974"/>
      <c r="AM36" s="878"/>
      <c r="AN36" s="975"/>
      <c r="AO36" s="976"/>
      <c r="AP36" s="977"/>
      <c r="AQ36" s="1284"/>
      <c r="AR36" s="1285">
        <f t="shared" si="7"/>
        <v>4470000</v>
      </c>
      <c r="AS36" s="1285">
        <f t="shared" si="10"/>
        <v>447000</v>
      </c>
      <c r="AT36" s="1285">
        <f t="shared" si="8"/>
        <v>4917000</v>
      </c>
      <c r="AU36" s="1284">
        <f t="shared" si="9"/>
        <v>9.0909090909090912E-2</v>
      </c>
      <c r="AV36" s="1229"/>
      <c r="AW36" s="42"/>
    </row>
    <row r="37" spans="5:49" ht="17.5">
      <c r="E37" s="1625"/>
      <c r="F37" s="1105"/>
      <c r="G37" s="1072"/>
      <c r="H37" s="1078"/>
      <c r="I37" s="1107"/>
      <c r="J37" s="1080"/>
      <c r="K37" s="1109"/>
      <c r="L37" s="1078"/>
      <c r="M37" s="1109"/>
      <c r="N37" s="1080"/>
      <c r="O37" s="1109"/>
      <c r="P37" s="1119"/>
      <c r="Q37" s="1111"/>
      <c r="R37" s="39"/>
      <c r="S37" s="1415"/>
      <c r="T37" s="1304"/>
      <c r="U37" s="1323" t="s">
        <v>170</v>
      </c>
      <c r="V37" s="1304"/>
      <c r="W37" s="1304"/>
      <c r="X37" s="1233">
        <f>ROUND(AB37*AF37,-3)</f>
        <v>1601000</v>
      </c>
      <c r="Y37" s="41"/>
      <c r="Z37" s="1622" t="s">
        <v>171</v>
      </c>
      <c r="AA37" s="1622"/>
      <c r="AB37" s="1623">
        <f>X9</f>
        <v>20007870.6863253</v>
      </c>
      <c r="AC37" s="1623"/>
      <c r="AD37" s="1623"/>
      <c r="AE37" s="878" t="s">
        <v>117</v>
      </c>
      <c r="AF37" s="1094">
        <v>0.08</v>
      </c>
      <c r="AG37" s="1304" t="s">
        <v>167</v>
      </c>
      <c r="AH37" s="1304"/>
      <c r="AI37" s="1383"/>
      <c r="AJ37" s="978"/>
      <c r="AK37" s="978"/>
      <c r="AL37" s="974"/>
      <c r="AM37" s="878"/>
      <c r="AN37" s="975"/>
      <c r="AO37" s="975"/>
      <c r="AP37" s="979"/>
      <c r="AQ37" s="1284"/>
      <c r="AR37" s="1285">
        <f t="shared" si="7"/>
        <v>1601000</v>
      </c>
      <c r="AS37" s="1285">
        <f t="shared" si="10"/>
        <v>160100</v>
      </c>
      <c r="AT37" s="1285">
        <f t="shared" si="8"/>
        <v>1761100</v>
      </c>
      <c r="AU37" s="1284">
        <f t="shared" si="9"/>
        <v>9.0909090909090912E-2</v>
      </c>
      <c r="AV37" s="1229"/>
      <c r="AW37" s="42"/>
    </row>
    <row r="38" spans="5:49" ht="17.5">
      <c r="E38" s="1461"/>
      <c r="F38" s="1462" t="s">
        <v>157</v>
      </c>
      <c r="G38" s="1120">
        <f>SUM(G32:G37)</f>
        <v>298</v>
      </c>
      <c r="H38" s="1113">
        <f>SUMPRODUCT($G$32:$G$37,H32:H37)</f>
        <v>34292.308000000005</v>
      </c>
      <c r="I38" s="1114">
        <f>H38*0.3025</f>
        <v>10373.423170000002</v>
      </c>
      <c r="J38" s="1115">
        <f>SUMPRODUCT($G$32:$G$37,J32:J37)</f>
        <v>12190.88</v>
      </c>
      <c r="K38" s="1116">
        <f>J38*0.3025</f>
        <v>3687.7411999999995</v>
      </c>
      <c r="L38" s="1115">
        <f>SUMPRODUCT($G$32:$G$37,L32:L37)</f>
        <v>46483.188000000002</v>
      </c>
      <c r="M38" s="1116">
        <f>L38*0.3025</f>
        <v>14061.16437</v>
      </c>
      <c r="N38" s="1115">
        <f>SUMPRODUCT($G$32:$G$37,N32:N37)</f>
        <v>20822.070999999996</v>
      </c>
      <c r="O38" s="1116">
        <f>N38*0.3025</f>
        <v>6298.6764774999983</v>
      </c>
      <c r="P38" s="1115">
        <f>SUMPRODUCT($G$32:$G$37,P32:P37)</f>
        <v>67305.258999999991</v>
      </c>
      <c r="Q38" s="1117">
        <f>P38*0.3025</f>
        <v>20359.840847499996</v>
      </c>
      <c r="R38" s="39"/>
      <c r="S38" s="1411"/>
      <c r="T38" s="1335"/>
      <c r="U38" s="1323" t="s">
        <v>172</v>
      </c>
      <c r="V38" s="1304"/>
      <c r="W38" s="1304"/>
      <c r="X38" s="1233">
        <f>ROUND(AB38*AF38,-5)</f>
        <v>6300000</v>
      </c>
      <c r="Y38" s="41"/>
      <c r="Z38" s="1622" t="s">
        <v>173</v>
      </c>
      <c r="AA38" s="1622"/>
      <c r="AB38" s="1623">
        <f>SUM(X7:X9)</f>
        <v>421393061.26922929</v>
      </c>
      <c r="AC38" s="1623"/>
      <c r="AD38" s="1623"/>
      <c r="AE38" s="878" t="s">
        <v>117</v>
      </c>
      <c r="AF38" s="1094">
        <v>1.4999999999999999E-2</v>
      </c>
      <c r="AG38" s="1304" t="s">
        <v>167</v>
      </c>
      <c r="AH38" s="1304"/>
      <c r="AI38" s="1383"/>
      <c r="AJ38" s="978"/>
      <c r="AK38" s="978"/>
      <c r="AL38" s="974"/>
      <c r="AM38" s="878"/>
      <c r="AN38" s="975"/>
      <c r="AO38" s="975"/>
      <c r="AP38" s="979"/>
      <c r="AQ38" s="1284"/>
      <c r="AR38" s="1285">
        <f t="shared" si="7"/>
        <v>6300000</v>
      </c>
      <c r="AS38" s="1285">
        <f t="shared" si="10"/>
        <v>630000</v>
      </c>
      <c r="AT38" s="1285">
        <f t="shared" si="8"/>
        <v>6930000</v>
      </c>
      <c r="AU38" s="1284">
        <f t="shared" si="9"/>
        <v>9.0909090909090912E-2</v>
      </c>
      <c r="AV38" s="1229"/>
      <c r="AW38" s="42"/>
    </row>
    <row r="39" spans="5:49" ht="17.5">
      <c r="E39" s="1624" t="s">
        <v>174</v>
      </c>
      <c r="F39" s="1100" t="s">
        <v>175</v>
      </c>
      <c r="G39" s="1073"/>
      <c r="H39" s="1078"/>
      <c r="I39" s="1107"/>
      <c r="J39" s="1080"/>
      <c r="K39" s="1109"/>
      <c r="L39" s="1078"/>
      <c r="M39" s="1109"/>
      <c r="N39" s="1080"/>
      <c r="O39" s="1109"/>
      <c r="P39" s="1119"/>
      <c r="Q39" s="1111"/>
      <c r="R39" s="39"/>
      <c r="S39" s="1411"/>
      <c r="T39" s="1295"/>
      <c r="U39" s="1323"/>
      <c r="V39" s="1304"/>
      <c r="W39" s="1304"/>
      <c r="X39" s="1233"/>
      <c r="Y39" s="41"/>
      <c r="Z39" s="1644"/>
      <c r="AA39" s="1644"/>
      <c r="AB39" s="1607"/>
      <c r="AC39" s="1607"/>
      <c r="AD39" s="1607"/>
      <c r="AE39" s="878"/>
      <c r="AF39" s="886"/>
      <c r="AG39" s="39"/>
      <c r="AH39" s="39"/>
      <c r="AI39" s="978"/>
      <c r="AJ39" s="978"/>
      <c r="AK39" s="978"/>
      <c r="AL39" s="974"/>
      <c r="AM39" s="878"/>
      <c r="AN39" s="975"/>
      <c r="AO39" s="975"/>
      <c r="AP39" s="979"/>
      <c r="AQ39" s="1284"/>
      <c r="AR39" s="1285"/>
      <c r="AS39" s="1285"/>
      <c r="AT39" s="1285"/>
      <c r="AU39" s="1284"/>
      <c r="AV39" s="1229"/>
      <c r="AW39" s="42"/>
    </row>
    <row r="40" spans="5:49" ht="17.5">
      <c r="E40" s="1625"/>
      <c r="F40" s="1100" t="s">
        <v>176</v>
      </c>
      <c r="G40" s="1073"/>
      <c r="H40" s="1078">
        <v>874</v>
      </c>
      <c r="I40" s="1107">
        <f>H40*0.3025</f>
        <v>264.38499999999999</v>
      </c>
      <c r="J40" s="1080">
        <v>161</v>
      </c>
      <c r="K40" s="1109">
        <f>J40*0.3025</f>
        <v>48.702500000000001</v>
      </c>
      <c r="L40" s="1078">
        <f>H40+J40</f>
        <v>1035</v>
      </c>
      <c r="M40" s="1109">
        <f>L40*0.3025</f>
        <v>313.08749999999998</v>
      </c>
      <c r="N40" s="1080">
        <f>(18.998+917.197)*(H40/$H$43)</f>
        <v>428.61939759036147</v>
      </c>
      <c r="O40" s="1109">
        <f>N40*0.3025</f>
        <v>129.65736777108435</v>
      </c>
      <c r="P40" s="1119">
        <f>L40+N40</f>
        <v>1463.6193975903616</v>
      </c>
      <c r="Q40" s="1111">
        <f>P40*0.3025</f>
        <v>442.74486777108439</v>
      </c>
      <c r="R40" s="39"/>
      <c r="S40" s="1411"/>
      <c r="T40" s="1318" t="s">
        <v>177</v>
      </c>
      <c r="U40" s="1324"/>
      <c r="V40" s="1324"/>
      <c r="W40" s="1324"/>
      <c r="X40" s="1246">
        <f>SUM(X41:X45)</f>
        <v>10980619.625489999</v>
      </c>
      <c r="Y40" s="980"/>
      <c r="Z40" s="981"/>
      <c r="AA40" s="981"/>
      <c r="AB40" s="981"/>
      <c r="AC40" s="953"/>
      <c r="AD40" s="982"/>
      <c r="AE40" s="982"/>
      <c r="AF40" s="951"/>
      <c r="AG40" s="951"/>
      <c r="AH40" s="983"/>
      <c r="AI40" s="951"/>
      <c r="AJ40" s="951"/>
      <c r="AK40" s="951"/>
      <c r="AL40" s="951"/>
      <c r="AM40" s="951"/>
      <c r="AN40" s="951"/>
      <c r="AO40" s="951"/>
      <c r="AP40" s="955"/>
      <c r="AQ40" s="1284"/>
      <c r="AR40" s="1285"/>
      <c r="AS40" s="1285"/>
      <c r="AT40" s="1285"/>
      <c r="AU40" s="1284"/>
      <c r="AV40" s="1229"/>
      <c r="AW40" s="42"/>
    </row>
    <row r="41" spans="5:49" ht="17.5">
      <c r="E41" s="1625"/>
      <c r="F41" s="1100" t="s">
        <v>178</v>
      </c>
      <c r="G41" s="1073"/>
      <c r="H41" s="1078">
        <v>1035</v>
      </c>
      <c r="I41" s="1107">
        <f>H41*0.3025</f>
        <v>313.08749999999998</v>
      </c>
      <c r="J41" s="1080">
        <v>161</v>
      </c>
      <c r="K41" s="1109">
        <f>J41*0.3025</f>
        <v>48.702500000000001</v>
      </c>
      <c r="L41" s="1078">
        <f>H41+J41</f>
        <v>1196</v>
      </c>
      <c r="M41" s="1109">
        <f>L41*0.3025</f>
        <v>361.78999999999996</v>
      </c>
      <c r="N41" s="1080">
        <f>(18.998+917.197)*(H41/$H$43)</f>
        <v>507.57560240963858</v>
      </c>
      <c r="O41" s="1109">
        <f>N41*0.3025</f>
        <v>153.54161972891566</v>
      </c>
      <c r="P41" s="1119">
        <f>L41+N41</f>
        <v>1703.5756024096386</v>
      </c>
      <c r="Q41" s="1111">
        <f>P41*0.3025</f>
        <v>515.3316197289156</v>
      </c>
      <c r="R41" s="39"/>
      <c r="S41" s="1411"/>
      <c r="T41" s="1325"/>
      <c r="U41" s="1323" t="s">
        <v>179</v>
      </c>
      <c r="V41" s="1304"/>
      <c r="W41" s="1304"/>
      <c r="X41" s="1233">
        <f>AA41*AD41</f>
        <v>9658619.6254899986</v>
      </c>
      <c r="Y41" s="984"/>
      <c r="Z41" s="1378" t="s">
        <v>95</v>
      </c>
      <c r="AA41" s="1611">
        <f>AA23</f>
        <v>43312.195629999995</v>
      </c>
      <c r="AB41" s="1611"/>
      <c r="AC41" s="1372" t="s">
        <v>124</v>
      </c>
      <c r="AD41" s="1645">
        <v>223</v>
      </c>
      <c r="AE41" s="1645"/>
      <c r="AF41" s="1380" t="s">
        <v>73</v>
      </c>
      <c r="AG41" s="970"/>
      <c r="AH41" s="1635"/>
      <c r="AI41" s="1635"/>
      <c r="AJ41" s="2"/>
      <c r="AK41" s="985"/>
      <c r="AL41" s="928"/>
      <c r="AM41" s="928"/>
      <c r="AN41" s="928"/>
      <c r="AO41" s="971"/>
      <c r="AP41" s="972"/>
      <c r="AQ41" s="1284">
        <f>X41/$X$14</f>
        <v>2.2593417594061985E-2</v>
      </c>
      <c r="AR41" s="1285">
        <f>X41</f>
        <v>9658619.6254899986</v>
      </c>
      <c r="AS41" s="1285">
        <f>AR41*L49</f>
        <v>483027.56747075485</v>
      </c>
      <c r="AT41" s="1285">
        <f>SUM(AR41:AS41)</f>
        <v>10141647.192960754</v>
      </c>
      <c r="AU41" s="1284">
        <f>IF(AR41=0,0,AS41/SUM(AR41:AS41))</f>
        <v>4.7628117827449259E-2</v>
      </c>
      <c r="AV41" s="1229"/>
      <c r="AW41" s="42"/>
    </row>
    <row r="42" spans="5:49" ht="17.5">
      <c r="E42" s="1625"/>
      <c r="F42" s="1101" t="s">
        <v>180</v>
      </c>
      <c r="G42" s="1074"/>
      <c r="H42" s="1081"/>
      <c r="I42" s="1121"/>
      <c r="J42" s="1083"/>
      <c r="K42" s="1122"/>
      <c r="L42" s="1081"/>
      <c r="M42" s="1122"/>
      <c r="N42" s="1083"/>
      <c r="O42" s="1122"/>
      <c r="P42" s="1123"/>
      <c r="Q42" s="1124"/>
      <c r="R42" s="39"/>
      <c r="S42" s="1411"/>
      <c r="T42" s="1320"/>
      <c r="U42" s="1323" t="s">
        <v>181</v>
      </c>
      <c r="V42" s="1304"/>
      <c r="W42" s="1304"/>
      <c r="X42" s="1233"/>
      <c r="Y42" s="891"/>
      <c r="Z42" s="1376" t="s">
        <v>182</v>
      </c>
      <c r="AA42" s="1376"/>
      <c r="AB42" s="1376"/>
      <c r="AC42" s="1347"/>
      <c r="AD42" s="1377"/>
      <c r="AE42" s="1377"/>
      <c r="AF42" s="1304"/>
      <c r="AG42" s="1304"/>
      <c r="AH42" s="874"/>
      <c r="AI42" s="39"/>
      <c r="AJ42" s="39"/>
      <c r="AK42" s="39"/>
      <c r="AL42" s="39"/>
      <c r="AM42" s="39"/>
      <c r="AN42" s="39"/>
      <c r="AO42" s="39"/>
      <c r="AP42" s="877"/>
      <c r="AQ42" s="1284"/>
      <c r="AR42" s="1285">
        <f>X42</f>
        <v>0</v>
      </c>
      <c r="AS42" s="1285">
        <f>AR42*0.1</f>
        <v>0</v>
      </c>
      <c r="AT42" s="1285">
        <f>SUM(AR42:AS42)</f>
        <v>0</v>
      </c>
      <c r="AU42" s="1284">
        <f>IF(AR42=0,0,AS42/SUM(AR42:AS42))</f>
        <v>0</v>
      </c>
      <c r="AV42" s="1229"/>
      <c r="AW42" s="42"/>
    </row>
    <row r="43" spans="5:49" ht="17.5">
      <c r="E43" s="1459"/>
      <c r="F43" s="1301" t="s">
        <v>157</v>
      </c>
      <c r="G43" s="1125">
        <f>SUM(G39:G42)</f>
        <v>0</v>
      </c>
      <c r="H43" s="1126">
        <f>SUM(H39:H42)</f>
        <v>1909</v>
      </c>
      <c r="I43" s="1121">
        <f>H43*0.3025</f>
        <v>577.47249999999997</v>
      </c>
      <c r="J43" s="1123">
        <f>SUM(J39:J42)</f>
        <v>322</v>
      </c>
      <c r="K43" s="1122">
        <f>J43*0.3025</f>
        <v>97.405000000000001</v>
      </c>
      <c r="L43" s="1126">
        <f>SUM(L39:L42)</f>
        <v>2231</v>
      </c>
      <c r="M43" s="1122">
        <f>L43*0.3025</f>
        <v>674.87749999999994</v>
      </c>
      <c r="N43" s="1126">
        <f>SUM(N39:N42)</f>
        <v>936.19500000000005</v>
      </c>
      <c r="O43" s="1122">
        <f>N43*0.3025</f>
        <v>283.19898749999999</v>
      </c>
      <c r="P43" s="1126">
        <f>SUM(P39:P42)</f>
        <v>3167.1950000000002</v>
      </c>
      <c r="Q43" s="1124">
        <f>P43*0.3025</f>
        <v>958.07648749999998</v>
      </c>
      <c r="R43" s="39"/>
      <c r="S43" s="1411"/>
      <c r="T43" s="1320"/>
      <c r="U43" s="1323" t="s">
        <v>183</v>
      </c>
      <c r="V43" s="1304"/>
      <c r="W43" s="1304"/>
      <c r="X43" s="1233">
        <f>ROUND(((L31*AD43*AJ43)+20000*AD43*0.5%+(L38+L43-20000)*AD43*0.7%)*(1+10%),-3)</f>
        <v>822000</v>
      </c>
      <c r="Y43" s="948"/>
      <c r="Z43" s="1304" t="s">
        <v>184</v>
      </c>
      <c r="AA43" s="1636">
        <f>P19</f>
        <v>100092.48</v>
      </c>
      <c r="AB43" s="1636"/>
      <c r="AC43" s="1347" t="s">
        <v>117</v>
      </c>
      <c r="AD43" s="1637">
        <v>2130</v>
      </c>
      <c r="AE43" s="1637"/>
      <c r="AF43" s="1304" t="s">
        <v>185</v>
      </c>
      <c r="AG43" s="1304"/>
      <c r="AH43" s="1304"/>
      <c r="AI43" s="1347" t="s">
        <v>117</v>
      </c>
      <c r="AJ43" s="1500">
        <v>1E-3</v>
      </c>
      <c r="AK43" s="1304" t="s">
        <v>186</v>
      </c>
      <c r="AL43" s="1304"/>
      <c r="AM43" s="1374"/>
      <c r="AN43" s="1304"/>
      <c r="AO43" s="1375"/>
      <c r="AP43" s="957"/>
      <c r="AQ43" s="1284"/>
      <c r="AR43" s="1285">
        <f>X43</f>
        <v>822000</v>
      </c>
      <c r="AS43" s="1285"/>
      <c r="AT43" s="1285">
        <f>SUM(AR43:AS43)</f>
        <v>822000</v>
      </c>
      <c r="AU43" s="1284">
        <f>IF(AR43=0,0,AS43/SUM(AR43:AS43))</f>
        <v>0</v>
      </c>
      <c r="AV43" s="1229"/>
      <c r="AW43" s="42"/>
    </row>
    <row r="44" spans="5:49" ht="17.5">
      <c r="E44" s="1638" t="s">
        <v>187</v>
      </c>
      <c r="F44" s="1102" t="s">
        <v>178</v>
      </c>
      <c r="G44" s="1075"/>
      <c r="H44" s="1082">
        <v>800</v>
      </c>
      <c r="I44" s="1127">
        <f>H44*0.3025</f>
        <v>242</v>
      </c>
      <c r="J44" s="1084"/>
      <c r="K44" s="1128">
        <f>J44*0.3025</f>
        <v>0</v>
      </c>
      <c r="L44" s="1086">
        <f>H44+J44</f>
        <v>800</v>
      </c>
      <c r="M44" s="1130">
        <f>L44*0.3025</f>
        <v>242</v>
      </c>
      <c r="N44" s="1084">
        <f>6.815+329.039</f>
        <v>335.85399999999998</v>
      </c>
      <c r="O44" s="1128">
        <f>N44*0.3025</f>
        <v>101.59583499999999</v>
      </c>
      <c r="P44" s="1131">
        <f>L44+N44</f>
        <v>1135.854</v>
      </c>
      <c r="Q44" s="1132">
        <f>P44*0.3025</f>
        <v>343.59583500000002</v>
      </c>
      <c r="R44" s="39"/>
      <c r="S44" s="1411"/>
      <c r="T44" s="1320"/>
      <c r="U44" s="1323" t="s">
        <v>188</v>
      </c>
      <c r="V44" s="1304"/>
      <c r="W44" s="1304"/>
      <c r="X44" s="1233">
        <f>ROUND(AA44*AD44,-3)</f>
        <v>0</v>
      </c>
      <c r="Y44" s="948"/>
      <c r="Z44" s="1304" t="s">
        <v>114</v>
      </c>
      <c r="AA44" s="1574"/>
      <c r="AB44" s="1574"/>
      <c r="AC44" s="1347" t="s">
        <v>117</v>
      </c>
      <c r="AD44" s="1640">
        <v>150</v>
      </c>
      <c r="AE44" s="1640"/>
      <c r="AF44" s="987"/>
      <c r="AG44" s="39"/>
      <c r="AH44" s="39"/>
      <c r="AI44" s="39"/>
      <c r="AJ44" s="878"/>
      <c r="AK44" s="886"/>
      <c r="AL44" s="39"/>
      <c r="AM44" s="986"/>
      <c r="AN44" s="39"/>
      <c r="AO44" s="874"/>
      <c r="AP44" s="957"/>
      <c r="AQ44" s="1284"/>
      <c r="AR44" s="1285">
        <f>X44</f>
        <v>0</v>
      </c>
      <c r="AS44" s="1285">
        <f>AR44*0.1</f>
        <v>0</v>
      </c>
      <c r="AT44" s="1285">
        <f>SUM(AR44:AS44)</f>
        <v>0</v>
      </c>
      <c r="AU44" s="1284">
        <f>IF(AR44=0,0,AS44/SUM(AR44:AS44))</f>
        <v>0</v>
      </c>
      <c r="AV44" s="1229"/>
      <c r="AW44" s="42"/>
    </row>
    <row r="45" spans="5:49" ht="17.5">
      <c r="E45" s="1639"/>
      <c r="F45" s="1103" t="s">
        <v>180</v>
      </c>
      <c r="G45" s="1076"/>
      <c r="H45" s="1082"/>
      <c r="I45" s="1127"/>
      <c r="J45" s="1085"/>
      <c r="K45" s="1129"/>
      <c r="L45" s="1086"/>
      <c r="M45" s="1130"/>
      <c r="N45" s="1085"/>
      <c r="O45" s="1129"/>
      <c r="P45" s="1133"/>
      <c r="Q45" s="1134"/>
      <c r="R45" s="39"/>
      <c r="S45" s="1411"/>
      <c r="T45" s="1320"/>
      <c r="U45" s="1323" t="s">
        <v>189</v>
      </c>
      <c r="V45" s="1304"/>
      <c r="W45" s="1304"/>
      <c r="X45" s="1096">
        <v>500000</v>
      </c>
      <c r="Y45" s="962"/>
      <c r="Z45" s="1304" t="s">
        <v>190</v>
      </c>
      <c r="AA45" s="1349"/>
      <c r="AB45" s="1304"/>
      <c r="AC45" s="1379"/>
      <c r="AD45" s="963"/>
      <c r="AE45" s="39"/>
      <c r="AF45" s="39"/>
      <c r="AG45" s="39"/>
      <c r="AH45" s="1641"/>
      <c r="AI45" s="1641"/>
      <c r="AJ45" s="39"/>
      <c r="AK45" s="39"/>
      <c r="AL45" s="39"/>
      <c r="AM45" s="39"/>
      <c r="AN45" s="39"/>
      <c r="AO45" s="39"/>
      <c r="AP45" s="877"/>
      <c r="AQ45" s="1284"/>
      <c r="AR45" s="1285">
        <f>X45</f>
        <v>500000</v>
      </c>
      <c r="AS45" s="1285">
        <f>AR45*0.1</f>
        <v>50000</v>
      </c>
      <c r="AT45" s="1285">
        <f>SUM(AR45:AS45)</f>
        <v>550000</v>
      </c>
      <c r="AU45" s="1284">
        <f>IF(AR45=0,0,AS45/SUM(AR45:AS45))</f>
        <v>9.0909090909090912E-2</v>
      </c>
      <c r="AV45" s="1229"/>
      <c r="AW45" s="42"/>
    </row>
    <row r="46" spans="5:49" ht="17.5">
      <c r="E46" s="1639"/>
      <c r="F46" s="1463" t="s">
        <v>157</v>
      </c>
      <c r="G46" s="1139"/>
      <c r="H46" s="1140">
        <f>SUM(H44:H45)</f>
        <v>800</v>
      </c>
      <c r="I46" s="1141">
        <f t="shared" ref="I46:Q46" si="11">I44+I45</f>
        <v>242</v>
      </c>
      <c r="J46" s="1135">
        <f>SUM(J44:J45)</f>
        <v>0</v>
      </c>
      <c r="K46" s="1142">
        <f t="shared" si="11"/>
        <v>0</v>
      </c>
      <c r="L46" s="1135">
        <f>SUM(L44:L45)</f>
        <v>800</v>
      </c>
      <c r="M46" s="1141">
        <f t="shared" si="11"/>
        <v>242</v>
      </c>
      <c r="N46" s="1135">
        <f>SUM(N44:N45)</f>
        <v>335.85399999999998</v>
      </c>
      <c r="O46" s="1142">
        <f t="shared" si="11"/>
        <v>101.59583499999999</v>
      </c>
      <c r="P46" s="1135">
        <f>SUM(P44:P45)</f>
        <v>1135.854</v>
      </c>
      <c r="Q46" s="1136">
        <f t="shared" si="11"/>
        <v>343.59583500000002</v>
      </c>
      <c r="R46" s="39"/>
      <c r="S46" s="1411"/>
      <c r="T46" s="1318" t="s">
        <v>191</v>
      </c>
      <c r="U46" s="1308"/>
      <c r="V46" s="1308"/>
      <c r="W46" s="1308"/>
      <c r="X46" s="1246">
        <f ca="1">SUM(X47:X51)</f>
        <v>9437854</v>
      </c>
      <c r="Y46" s="951"/>
      <c r="Z46" s="1642"/>
      <c r="AA46" s="1642"/>
      <c r="AB46" s="1642"/>
      <c r="AC46" s="959"/>
      <c r="AD46" s="1643"/>
      <c r="AE46" s="1643"/>
      <c r="AF46" s="883"/>
      <c r="AG46" s="883"/>
      <c r="AH46" s="883"/>
      <c r="AI46" s="883"/>
      <c r="AJ46" s="883"/>
      <c r="AK46" s="883"/>
      <c r="AL46" s="883"/>
      <c r="AM46" s="988"/>
      <c r="AN46" s="988"/>
      <c r="AO46" s="883"/>
      <c r="AP46" s="927"/>
      <c r="AQ46" s="1284"/>
      <c r="AR46" s="1285"/>
      <c r="AS46" s="1285"/>
      <c r="AT46" s="1285"/>
      <c r="AU46" s="1284"/>
      <c r="AV46" s="1229"/>
      <c r="AW46" s="42"/>
    </row>
    <row r="47" spans="5:49" ht="18" thickBot="1">
      <c r="E47" s="1564" t="s">
        <v>132</v>
      </c>
      <c r="F47" s="1566"/>
      <c r="G47" s="1237">
        <f>SUM(G43,G38,G31)</f>
        <v>734</v>
      </c>
      <c r="H47" s="1238">
        <f>SUM(H31,H43,H38,H46)</f>
        <v>73994.930000000008</v>
      </c>
      <c r="I47" s="1106">
        <f>H47*0.3025</f>
        <v>22383.466325000001</v>
      </c>
      <c r="J47" s="1239">
        <f>SUM(J31,J43,J38,J46)</f>
        <v>25337</v>
      </c>
      <c r="K47" s="1108">
        <f>J47*0.3025</f>
        <v>7664.4425000000001</v>
      </c>
      <c r="L47" s="1239">
        <f>SUM(L31,L43,L38,L46)</f>
        <v>99331.93</v>
      </c>
      <c r="M47" s="1143">
        <f>L47*0.3025</f>
        <v>30047.908824999999</v>
      </c>
      <c r="N47" s="1137">
        <f>SUM(N31,N43,N38,N46)</f>
        <v>43848.881999999998</v>
      </c>
      <c r="O47" s="1143">
        <f>N47*0.3025</f>
        <v>13264.286805</v>
      </c>
      <c r="P47" s="1137">
        <f>SUM(P31,P43,P38,P46)</f>
        <v>143180.81199999998</v>
      </c>
      <c r="Q47" s="1138">
        <f>P47*0.3025</f>
        <v>43312.195629999995</v>
      </c>
      <c r="R47" s="39"/>
      <c r="S47" s="1411"/>
      <c r="T47" s="1320"/>
      <c r="U47" s="1321" t="s">
        <v>192</v>
      </c>
      <c r="V47" s="1322"/>
      <c r="W47" s="1322"/>
      <c r="X47" s="1233">
        <f>ROUNDUP(AE47*AI47*AL47,-3)</f>
        <v>1888000</v>
      </c>
      <c r="Y47" s="933"/>
      <c r="Z47" s="1654" t="s">
        <v>193</v>
      </c>
      <c r="AA47" s="1654"/>
      <c r="AB47" s="1654"/>
      <c r="AC47" s="1655"/>
      <c r="AD47" s="1655"/>
      <c r="AE47" s="1656">
        <f>M71*0.7</f>
        <v>302504790.90771776</v>
      </c>
      <c r="AF47" s="1656"/>
      <c r="AG47" s="1656"/>
      <c r="AH47" s="1372" t="s">
        <v>117</v>
      </c>
      <c r="AI47" s="1657">
        <v>1.92E-3</v>
      </c>
      <c r="AJ47" s="1657"/>
      <c r="AK47" s="1373" t="s">
        <v>117</v>
      </c>
      <c r="AL47" s="1253">
        <f>(M5+2)/12</f>
        <v>3.25</v>
      </c>
      <c r="AM47" s="989"/>
      <c r="AN47" s="990"/>
      <c r="AO47" s="990"/>
      <c r="AP47" s="932"/>
      <c r="AQ47" s="1284">
        <f>X47/$X$14</f>
        <v>4.4164046283606487E-3</v>
      </c>
      <c r="AR47" s="1285">
        <f>X47</f>
        <v>1888000</v>
      </c>
      <c r="AS47" s="1285"/>
      <c r="AT47" s="1285">
        <f>SUM(AR47:AS47)</f>
        <v>1888000</v>
      </c>
      <c r="AU47" s="1284">
        <f>IF(AR47=0,0,AS47/SUM(AR47:AS47))</f>
        <v>0</v>
      </c>
      <c r="AV47" s="1229"/>
      <c r="AW47" s="42"/>
    </row>
    <row r="48" spans="5:49" ht="17.5">
      <c r="E48" s="1446" t="s">
        <v>486</v>
      </c>
      <c r="F48" s="1464" t="s">
        <v>487</v>
      </c>
      <c r="G48" s="1659" t="s">
        <v>494</v>
      </c>
      <c r="H48" s="1464" t="s">
        <v>489</v>
      </c>
      <c r="I48" s="1464" t="s">
        <v>490</v>
      </c>
      <c r="J48" s="1464" t="s">
        <v>491</v>
      </c>
      <c r="K48" s="1464" t="s">
        <v>492</v>
      </c>
      <c r="L48" s="1465" t="s">
        <v>592</v>
      </c>
      <c r="M48" s="991"/>
      <c r="N48" s="1347" t="s">
        <v>194</v>
      </c>
      <c r="O48" s="1227">
        <f>N47/P47</f>
        <v>0.30624831209924974</v>
      </c>
      <c r="P48" s="1225" t="str">
        <f>IF(AND(-5&lt;Q48,Q48&lt;5),"면적 Good!","면적 Bad!")</f>
        <v>면적 Good!</v>
      </c>
      <c r="Q48" s="1226">
        <f>P21-P47</f>
        <v>0</v>
      </c>
      <c r="R48" s="39"/>
      <c r="S48" s="1411"/>
      <c r="T48" s="1320"/>
      <c r="U48" s="1323" t="s">
        <v>195</v>
      </c>
      <c r="V48" s="1304"/>
      <c r="W48" s="1304"/>
      <c r="X48" s="1233">
        <f>60000+3000000-(60000+Z49*100000*1%+X67)</f>
        <v>1650000</v>
      </c>
      <c r="Y48" s="933"/>
      <c r="Z48" s="1658">
        <f>SUM('CASH FLOW'!E25:E27)/100</f>
        <v>30</v>
      </c>
      <c r="AA48" s="1658"/>
      <c r="AB48" s="919"/>
      <c r="AC48" s="1304" t="s">
        <v>196</v>
      </c>
      <c r="AD48" s="1369"/>
      <c r="AE48" s="1648">
        <f>IF(Z48=0,0,X48/(Z48*100000)/(AO67/12))</f>
        <v>0.55000000000000004</v>
      </c>
      <c r="AF48" s="1649"/>
      <c r="AG48" s="1304" t="s">
        <v>197</v>
      </c>
      <c r="AH48" s="1304"/>
      <c r="AI48" s="1304"/>
      <c r="AJ48" s="1304"/>
      <c r="AK48" s="1304"/>
      <c r="AL48" s="1646">
        <f>X48+Z49*100000*1%+X67</f>
        <v>3000000</v>
      </c>
      <c r="AM48" s="1646"/>
      <c r="AN48" s="992"/>
      <c r="AO48" s="992"/>
      <c r="AP48" s="877"/>
      <c r="AQ48" s="1284"/>
      <c r="AR48" s="1285">
        <f>X48</f>
        <v>1650000</v>
      </c>
      <c r="AS48" s="1285">
        <f>AR48*0.1</f>
        <v>165000</v>
      </c>
      <c r="AT48" s="1285">
        <f>SUM(AR48:AS48)</f>
        <v>1815000</v>
      </c>
      <c r="AU48" s="1284">
        <f>IF(AR48=0,0,AS48/SUM(AR48:AS48))</f>
        <v>9.0909090909090912E-2</v>
      </c>
      <c r="AV48" s="1229"/>
      <c r="AW48" s="42"/>
    </row>
    <row r="49" spans="5:49" ht="17.25" customHeight="1" thickBot="1">
      <c r="E49" s="1240">
        <f>면세비율!F28</f>
        <v>0.49990000000000001</v>
      </c>
      <c r="F49" s="1241">
        <f>1-E49</f>
        <v>0.50009999999999999</v>
      </c>
      <c r="G49" s="1660"/>
      <c r="H49" s="1242">
        <f>X23</f>
        <v>196200000</v>
      </c>
      <c r="I49" s="1242">
        <f>H49*E49</f>
        <v>98080380</v>
      </c>
      <c r="J49" s="1242">
        <f>H49-I49</f>
        <v>98119620</v>
      </c>
      <c r="K49" s="1242">
        <f>J49*10%</f>
        <v>9811962</v>
      </c>
      <c r="L49" s="1243">
        <f>K49/H49</f>
        <v>5.0009999999999999E-2</v>
      </c>
      <c r="M49" s="2"/>
      <c r="N49" s="2"/>
      <c r="O49" s="2"/>
      <c r="P49" s="2"/>
      <c r="Q49" s="2"/>
      <c r="R49" s="39"/>
      <c r="S49" s="1411"/>
      <c r="T49" s="1320"/>
      <c r="U49" s="1323" t="s">
        <v>198</v>
      </c>
      <c r="V49" s="1304"/>
      <c r="W49" s="1304"/>
      <c r="X49" s="1248">
        <f>SUMPRODUCT('PF상환 민감도'!D11:D13,'PF상환 민감도'!E11:E13)+'PF상환 민감도'!D14*2%+SUM(비용표!F10:F11,비용표!F13,비용표!F15:F20)/1000</f>
        <v>5095000</v>
      </c>
      <c r="Y49" s="933"/>
      <c r="Z49" s="1647">
        <f>SUM('CASH FLOW'!E28:E30)/100</f>
        <v>1200</v>
      </c>
      <c r="AA49" s="1647"/>
      <c r="AB49" s="919"/>
      <c r="AC49" s="1304" t="s">
        <v>199</v>
      </c>
      <c r="AD49" s="1369"/>
      <c r="AE49" s="1648">
        <f>X49/(Z49*100000)/(AO68/12)</f>
        <v>1.0614583333333334E-2</v>
      </c>
      <c r="AF49" s="1649"/>
      <c r="AG49" s="1304" t="s">
        <v>197</v>
      </c>
      <c r="AH49" s="1304"/>
      <c r="AI49" s="1304"/>
      <c r="AJ49" s="1304"/>
      <c r="AK49" s="1304"/>
      <c r="AL49" s="39"/>
      <c r="AM49" s="39"/>
      <c r="AN49" s="1650"/>
      <c r="AO49" s="1651"/>
      <c r="AP49" s="877"/>
      <c r="AQ49" s="1284"/>
      <c r="AR49" s="1285">
        <f>X49</f>
        <v>5095000</v>
      </c>
      <c r="AS49" s="1285">
        <f>AR49*3%</f>
        <v>152850</v>
      </c>
      <c r="AT49" s="1285">
        <f>SUM(AR49:AS49)</f>
        <v>5247850</v>
      </c>
      <c r="AU49" s="1284">
        <f>IF(AR49=0,0,AS49/SUM(AR49:AS49))</f>
        <v>2.9126213592233011E-2</v>
      </c>
      <c r="AV49" s="1229"/>
      <c r="AW49" s="1245"/>
    </row>
    <row r="50" spans="5:49" ht="18" thickBot="1">
      <c r="E50" s="1466" t="s">
        <v>200</v>
      </c>
      <c r="F50" s="1467"/>
      <c r="G50" s="1468"/>
      <c r="H50" s="1469" t="s">
        <v>201</v>
      </c>
      <c r="I50" s="1470" t="s">
        <v>202</v>
      </c>
      <c r="J50" s="1471" t="s">
        <v>203</v>
      </c>
      <c r="K50" s="1472" t="s">
        <v>204</v>
      </c>
      <c r="L50" s="1473"/>
      <c r="M50" s="1453" t="s">
        <v>205</v>
      </c>
      <c r="N50" s="1474"/>
      <c r="O50" s="1475" t="s">
        <v>206</v>
      </c>
      <c r="P50" s="1476" t="s">
        <v>60</v>
      </c>
      <c r="Q50" s="1090">
        <v>0.06</v>
      </c>
      <c r="R50" s="39"/>
      <c r="S50" s="1411"/>
      <c r="T50" s="1320"/>
      <c r="U50" s="1323" t="s">
        <v>207</v>
      </c>
      <c r="V50" s="1304"/>
      <c r="W50" s="1304"/>
      <c r="X50" s="1096">
        <v>420000</v>
      </c>
      <c r="Y50" s="933"/>
      <c r="Z50" s="1304" t="s">
        <v>208</v>
      </c>
      <c r="AA50" s="1304"/>
      <c r="AB50" s="919"/>
      <c r="AC50" s="914"/>
      <c r="AD50" s="919"/>
      <c r="AE50" s="1304"/>
      <c r="AF50" s="1370"/>
      <c r="AG50" s="1371" t="s">
        <v>209</v>
      </c>
      <c r="AH50" s="1652">
        <v>0.23</v>
      </c>
      <c r="AI50" s="1652"/>
      <c r="AJ50" s="1653">
        <f ca="1">X16/(X15+X65+X66)</f>
        <v>0.2375843714829165</v>
      </c>
      <c r="AK50" s="1653"/>
      <c r="AL50" s="874"/>
      <c r="AM50" s="39"/>
      <c r="AN50" s="39"/>
      <c r="AO50" s="39"/>
      <c r="AP50" s="877"/>
      <c r="AQ50" s="1284"/>
      <c r="AR50" s="1285">
        <f>X50</f>
        <v>420000</v>
      </c>
      <c r="AS50" s="1285"/>
      <c r="AT50" s="1285">
        <f>SUM(AR50:AS50)</f>
        <v>420000</v>
      </c>
      <c r="AU50" s="1284">
        <f>IF(AR50=0,0,AS50/SUM(AR50:AS50))</f>
        <v>0</v>
      </c>
      <c r="AV50" s="1229"/>
      <c r="AW50" s="42"/>
    </row>
    <row r="51" spans="5:49" ht="18" thickBot="1">
      <c r="E51" s="1446" t="s">
        <v>144</v>
      </c>
      <c r="F51" s="1447" t="s">
        <v>145</v>
      </c>
      <c r="G51" s="1448" t="s">
        <v>146</v>
      </c>
      <c r="H51" s="1301" t="s">
        <v>89</v>
      </c>
      <c r="I51" s="1477" t="s">
        <v>210</v>
      </c>
      <c r="J51" s="1478" t="s">
        <v>211</v>
      </c>
      <c r="K51" s="1479" t="s">
        <v>89</v>
      </c>
      <c r="L51" s="1480" t="s">
        <v>212</v>
      </c>
      <c r="M51" s="1479" t="s">
        <v>128</v>
      </c>
      <c r="N51" s="1480" t="s">
        <v>212</v>
      </c>
      <c r="O51" s="1301" t="s">
        <v>89</v>
      </c>
      <c r="P51" s="1481" t="s">
        <v>128</v>
      </c>
      <c r="Q51" s="1482" t="s">
        <v>128</v>
      </c>
      <c r="R51" s="39"/>
      <c r="S51" s="1489"/>
      <c r="T51" s="1329"/>
      <c r="U51" s="1304" t="s">
        <v>213</v>
      </c>
      <c r="V51" s="1304"/>
      <c r="W51" s="1304"/>
      <c r="X51" s="1233">
        <f ca="1">('CASH FLOW'!E84)*1000</f>
        <v>384854</v>
      </c>
      <c r="Y51" s="41"/>
      <c r="Z51" s="1367" t="s">
        <v>214</v>
      </c>
      <c r="AA51" s="1368" t="s">
        <v>215</v>
      </c>
      <c r="AB51" s="1097">
        <v>4.4999999999999998E-2</v>
      </c>
      <c r="AC51" s="1368" t="s">
        <v>216</v>
      </c>
      <c r="AD51" s="1097">
        <v>0.05</v>
      </c>
      <c r="AE51" s="1347" t="s">
        <v>217</v>
      </c>
      <c r="AF51" s="1368" t="s">
        <v>215</v>
      </c>
      <c r="AG51" s="1661" t="s">
        <v>218</v>
      </c>
      <c r="AH51" s="1661"/>
      <c r="AI51" s="1368" t="s">
        <v>216</v>
      </c>
      <c r="AJ51" s="1605" t="s">
        <v>219</v>
      </c>
      <c r="AK51" s="1605"/>
      <c r="AL51" s="2"/>
      <c r="AM51" s="2"/>
      <c r="AN51" s="2"/>
      <c r="AO51" s="2"/>
      <c r="AP51" s="993"/>
      <c r="AQ51" s="1284">
        <f ca="1">X51/$X$14</f>
        <v>9.0024946337029081E-4</v>
      </c>
      <c r="AR51" s="1285">
        <f ca="1">X51</f>
        <v>384854</v>
      </c>
      <c r="AS51" s="1285"/>
      <c r="AT51" s="1285">
        <f ca="1">SUM(AR51:AS51)</f>
        <v>384854</v>
      </c>
      <c r="AU51" s="1284">
        <f ca="1">IF(AR51=0,0,AS51/SUM(AR51:AS51))</f>
        <v>0</v>
      </c>
      <c r="AV51" s="1229"/>
      <c r="AW51" s="42"/>
    </row>
    <row r="52" spans="5:49" ht="17.5">
      <c r="E52" s="1662" t="str">
        <f>E25</f>
        <v>공동주택</v>
      </c>
      <c r="F52" s="1169">
        <f>F25</f>
        <v>34</v>
      </c>
      <c r="G52" s="1170">
        <f>G25</f>
        <v>148</v>
      </c>
      <c r="H52" s="1171">
        <f>M25</f>
        <v>34.806607576224629</v>
      </c>
      <c r="I52" s="1087">
        <v>16780</v>
      </c>
      <c r="J52" s="1174">
        <f>H52*I52</f>
        <v>584054.87512904929</v>
      </c>
      <c r="K52" s="1175">
        <f>G52*H52</f>
        <v>5151.3779212812451</v>
      </c>
      <c r="L52" s="1176">
        <f>K52/K$71</f>
        <v>0.14156888147479027</v>
      </c>
      <c r="M52" s="1177">
        <f>G52*J52</f>
        <v>86440121.519099295</v>
      </c>
      <c r="N52" s="1176">
        <f>M52/M$71</f>
        <v>0.20002355956679088</v>
      </c>
      <c r="O52" s="1106">
        <f>$O$12*(H25/($H$31))</f>
        <v>5.4726896561470557</v>
      </c>
      <c r="P52" s="1178">
        <f>M52-Q52</f>
        <v>86440121.519099295</v>
      </c>
      <c r="Q52" s="1179"/>
      <c r="R52" s="39"/>
      <c r="S52" s="1411"/>
      <c r="T52" s="1318" t="s">
        <v>220</v>
      </c>
      <c r="U52" s="1308"/>
      <c r="V52" s="1308"/>
      <c r="W52" s="1308"/>
      <c r="X52" s="1236">
        <f ca="1">SUM(X53:X59)</f>
        <v>13135081.524663232</v>
      </c>
      <c r="Y52" s="883"/>
      <c r="Z52" s="1664"/>
      <c r="AA52" s="1664"/>
      <c r="AB52" s="1664"/>
      <c r="AC52" s="959"/>
      <c r="AD52" s="1643"/>
      <c r="AE52" s="1643"/>
      <c r="AF52" s="883"/>
      <c r="AG52" s="883"/>
      <c r="AH52" s="883"/>
      <c r="AI52" s="883"/>
      <c r="AJ52" s="883"/>
      <c r="AK52" s="883"/>
      <c r="AL52" s="883"/>
      <c r="AM52" s="988"/>
      <c r="AN52" s="988"/>
      <c r="AO52" s="883"/>
      <c r="AP52" s="927"/>
      <c r="AQ52" s="1284">
        <f ca="1">X52/$X$14</f>
        <v>3.0725548114098063E-2</v>
      </c>
      <c r="AR52" s="1285"/>
      <c r="AS52" s="1285"/>
      <c r="AT52" s="1285"/>
      <c r="AU52" s="1284"/>
      <c r="AV52" s="1229"/>
      <c r="AW52" s="42"/>
    </row>
    <row r="53" spans="5:49" ht="17.5">
      <c r="E53" s="1663"/>
      <c r="F53" s="1105">
        <f t="shared" ref="F53:G55" si="12">F26</f>
        <v>34</v>
      </c>
      <c r="G53" s="1172">
        <f t="shared" si="12"/>
        <v>74</v>
      </c>
      <c r="H53" s="1173">
        <f>M26</f>
        <v>34.286686465835245</v>
      </c>
      <c r="I53" s="1088">
        <f>I52</f>
        <v>16780</v>
      </c>
      <c r="J53" s="1180">
        <f>H53*I53</f>
        <v>575330.59889671544</v>
      </c>
      <c r="K53" s="1181">
        <f>G53*H53</f>
        <v>2537.2147984718081</v>
      </c>
      <c r="L53" s="1182">
        <f>K53/K$71</f>
        <v>6.9727103421602932E-2</v>
      </c>
      <c r="M53" s="1183">
        <f>G53*J53</f>
        <v>42574464.318356946</v>
      </c>
      <c r="N53" s="1182">
        <f>M53/M$71</f>
        <v>9.8517861265679282E-2</v>
      </c>
      <c r="O53" s="1107">
        <f>$O$12*(H26/($H$31))</f>
        <v>5.4712077297761565</v>
      </c>
      <c r="P53" s="1184">
        <f>M53-Q53</f>
        <v>42574464.318356946</v>
      </c>
      <c r="Q53" s="1185"/>
      <c r="R53" s="39"/>
      <c r="S53" s="1411"/>
      <c r="T53" s="1329"/>
      <c r="U53" s="1321" t="s">
        <v>221</v>
      </c>
      <c r="V53" s="1322"/>
      <c r="W53" s="1336"/>
      <c r="X53" s="1234">
        <f ca="1">ROUND(AF53*AK53,-3)</f>
        <v>7723000</v>
      </c>
      <c r="Y53" s="994"/>
      <c r="Z53" s="1322" t="s">
        <v>222</v>
      </c>
      <c r="AA53" s="1322"/>
      <c r="AB53" s="1322"/>
      <c r="AC53" s="1322"/>
      <c r="AD53" s="1322"/>
      <c r="AE53" s="1322"/>
      <c r="AF53" s="1665">
        <f ca="1">SUM(X22,X25,X41,X42,X44,X56:X58,X48:X50,X66*50%)</f>
        <v>241341987.78338158</v>
      </c>
      <c r="AG53" s="1665"/>
      <c r="AH53" s="1665"/>
      <c r="AI53" s="995" t="s">
        <v>128</v>
      </c>
      <c r="AJ53" s="996" t="s">
        <v>117</v>
      </c>
      <c r="AK53" s="1497">
        <v>3.2000000000000001E-2</v>
      </c>
      <c r="AL53" s="997"/>
      <c r="AM53" s="997"/>
      <c r="AN53" s="971"/>
      <c r="AO53" s="928"/>
      <c r="AP53" s="932"/>
      <c r="AQ53" s="1284">
        <f ca="1">X53/$X$14</f>
        <v>1.8065621263151106E-2</v>
      </c>
      <c r="AR53" s="1285">
        <f t="shared" ref="AR53:AR58" ca="1" si="13">X53</f>
        <v>7723000</v>
      </c>
      <c r="AS53" s="1285"/>
      <c r="AT53" s="1285">
        <f t="shared" ref="AT53:AT59" ca="1" si="14">SUM(AR53:AS53)</f>
        <v>7723000</v>
      </c>
      <c r="AU53" s="1284">
        <f t="shared" ref="AU53:AU59" ca="1" si="15">IF(AR53=0,0,AS53/SUM(AR53:AS53))</f>
        <v>0</v>
      </c>
      <c r="AV53" s="1229"/>
      <c r="AW53" s="42"/>
    </row>
    <row r="54" spans="5:49" ht="17.5">
      <c r="E54" s="1663"/>
      <c r="F54" s="1105">
        <f t="shared" si="12"/>
        <v>34</v>
      </c>
      <c r="G54" s="1172">
        <f t="shared" si="12"/>
        <v>148</v>
      </c>
      <c r="H54" s="1173">
        <f>M27</f>
        <v>34.313162728965679</v>
      </c>
      <c r="I54" s="1088">
        <f>I53</f>
        <v>16780</v>
      </c>
      <c r="J54" s="1180">
        <f>H54*I54</f>
        <v>575774.87059204408</v>
      </c>
      <c r="K54" s="1181">
        <f>G54*H54</f>
        <v>5078.3480838869209</v>
      </c>
      <c r="L54" s="1182">
        <f>K54/K$71</f>
        <v>0.13956189372273872</v>
      </c>
      <c r="M54" s="1183">
        <f>G54*J54</f>
        <v>85214680.847622529</v>
      </c>
      <c r="N54" s="1182">
        <f>M54/M$71</f>
        <v>0.19718787399811033</v>
      </c>
      <c r="O54" s="1107">
        <f>$O$12*(H27/($H$31))</f>
        <v>5.4566461923925438</v>
      </c>
      <c r="P54" s="1184">
        <f>M54-Q54</f>
        <v>85214680.847622529</v>
      </c>
      <c r="Q54" s="1185"/>
      <c r="R54" s="39"/>
      <c r="S54" s="1411"/>
      <c r="T54" s="1320"/>
      <c r="U54" s="1323" t="s">
        <v>223</v>
      </c>
      <c r="V54" s="1304"/>
      <c r="W54" s="1304"/>
      <c r="X54" s="1233">
        <f>ROUND(AA54*AD54,-4)</f>
        <v>1300000</v>
      </c>
      <c r="Y54" s="998"/>
      <c r="Z54" s="1348" t="s">
        <v>95</v>
      </c>
      <c r="AA54" s="1615">
        <f>AA31</f>
        <v>43312.195629999995</v>
      </c>
      <c r="AB54" s="1615"/>
      <c r="AC54" s="1366" t="s">
        <v>124</v>
      </c>
      <c r="AD54" s="1666">
        <v>30</v>
      </c>
      <c r="AE54" s="1666"/>
      <c r="AF54" s="1304" t="s">
        <v>224</v>
      </c>
      <c r="AG54" s="1304"/>
      <c r="AH54" s="1304"/>
      <c r="AI54" s="1304"/>
      <c r="AJ54" s="1350"/>
      <c r="AK54" s="1351"/>
      <c r="AL54" s="1292"/>
      <c r="AM54" s="1304"/>
      <c r="AN54" s="1352"/>
      <c r="AO54" s="1304"/>
      <c r="AP54" s="877"/>
      <c r="AQ54" s="1284"/>
      <c r="AR54" s="1285">
        <f t="shared" si="13"/>
        <v>1300000</v>
      </c>
      <c r="AS54" s="1285">
        <f>AR54*0.1</f>
        <v>130000</v>
      </c>
      <c r="AT54" s="1285">
        <f t="shared" si="14"/>
        <v>1430000</v>
      </c>
      <c r="AU54" s="1284">
        <f t="shared" si="15"/>
        <v>9.0909090909090912E-2</v>
      </c>
      <c r="AV54" s="1229"/>
      <c r="AW54" s="42"/>
    </row>
    <row r="55" spans="5:49" ht="17.5">
      <c r="E55" s="1663"/>
      <c r="F55" s="1105">
        <f t="shared" si="12"/>
        <v>34</v>
      </c>
      <c r="G55" s="1172">
        <f t="shared" si="12"/>
        <v>66</v>
      </c>
      <c r="H55" s="1173">
        <f>M28</f>
        <v>34.892820475151908</v>
      </c>
      <c r="I55" s="1088">
        <f>I54</f>
        <v>16780</v>
      </c>
      <c r="J55" s="1180">
        <f>H55*I55</f>
        <v>585501.52757304895</v>
      </c>
      <c r="K55" s="1181">
        <f>G55*H55</f>
        <v>2302.9261513600259</v>
      </c>
      <c r="L55" s="1182">
        <f>K55/K$71</f>
        <v>6.3288441335322271E-2</v>
      </c>
      <c r="M55" s="1183">
        <f>G55*J55</f>
        <v>38643100.819821231</v>
      </c>
      <c r="N55" s="1182">
        <f>M55/M$71</f>
        <v>8.9420635265663601E-2</v>
      </c>
      <c r="O55" s="1107">
        <f>$O$12*(H28/($H$31))</f>
        <v>5.4719164771709341</v>
      </c>
      <c r="P55" s="1184">
        <f>M55-Q55</f>
        <v>38643100.819821231</v>
      </c>
      <c r="Q55" s="1185"/>
      <c r="R55" s="39"/>
      <c r="S55" s="1411"/>
      <c r="T55" s="1320"/>
      <c r="U55" s="1323" t="s">
        <v>225</v>
      </c>
      <c r="V55" s="1304"/>
      <c r="W55" s="1304"/>
      <c r="X55" s="1233"/>
      <c r="Y55" s="998"/>
      <c r="Z55" s="1349" t="s">
        <v>226</v>
      </c>
      <c r="AA55" s="1667">
        <f>P19</f>
        <v>100092.48</v>
      </c>
      <c r="AB55" s="1667"/>
      <c r="AC55" s="1347" t="s">
        <v>117</v>
      </c>
      <c r="AD55" s="1668">
        <v>14.04</v>
      </c>
      <c r="AE55" s="1668"/>
      <c r="AF55" s="1304" t="s">
        <v>227</v>
      </c>
      <c r="AG55" s="1304"/>
      <c r="AH55" s="1304"/>
      <c r="AI55" s="1353"/>
      <c r="AJ55" s="1354"/>
      <c r="AK55" s="1355"/>
      <c r="AL55" s="1356"/>
      <c r="AM55" s="1304"/>
      <c r="AN55" s="1357"/>
      <c r="AO55" s="1358"/>
      <c r="AP55" s="1005"/>
      <c r="AQ55" s="1284"/>
      <c r="AR55" s="1285">
        <f t="shared" si="13"/>
        <v>0</v>
      </c>
      <c r="AS55" s="1285">
        <f>AR55*0.1</f>
        <v>0</v>
      </c>
      <c r="AT55" s="1285">
        <f t="shared" si="14"/>
        <v>0</v>
      </c>
      <c r="AU55" s="1284">
        <f t="shared" si="15"/>
        <v>0</v>
      </c>
      <c r="AV55" s="1229"/>
      <c r="AW55" s="42"/>
    </row>
    <row r="56" spans="5:49" ht="17.5">
      <c r="E56" s="1663"/>
      <c r="F56" s="1105"/>
      <c r="G56" s="1172"/>
      <c r="H56" s="1173"/>
      <c r="I56" s="1088"/>
      <c r="J56" s="1186"/>
      <c r="K56" s="1181"/>
      <c r="L56" s="1182"/>
      <c r="M56" s="1183"/>
      <c r="N56" s="1182"/>
      <c r="O56" s="1107"/>
      <c r="P56" s="1184"/>
      <c r="Q56" s="1185"/>
      <c r="R56" s="39"/>
      <c r="S56" s="1411"/>
      <c r="T56" s="1320"/>
      <c r="U56" s="1323" t="s">
        <v>228</v>
      </c>
      <c r="V56" s="1304"/>
      <c r="W56" s="1304"/>
      <c r="X56" s="1233">
        <f>AB56*AF56</f>
        <v>3211081.5246632318</v>
      </c>
      <c r="Y56" s="998"/>
      <c r="Z56" s="1349" t="s">
        <v>229</v>
      </c>
      <c r="AA56" s="1359"/>
      <c r="AB56" s="1623">
        <f>X7+X8</f>
        <v>401385190.58290398</v>
      </c>
      <c r="AC56" s="1623"/>
      <c r="AD56" s="1623"/>
      <c r="AE56" s="1347" t="s">
        <v>117</v>
      </c>
      <c r="AF56" s="1094">
        <v>8.0000000000000002E-3</v>
      </c>
      <c r="AG56" s="39"/>
      <c r="AH56" s="39"/>
      <c r="AI56" s="999"/>
      <c r="AJ56" s="1000"/>
      <c r="AK56" s="1001"/>
      <c r="AL56" s="1002"/>
      <c r="AM56" s="39"/>
      <c r="AN56" s="1003"/>
      <c r="AO56" s="1004"/>
      <c r="AP56" s="1005"/>
      <c r="AQ56" s="1284"/>
      <c r="AR56" s="1285">
        <f t="shared" si="13"/>
        <v>3211081.5246632318</v>
      </c>
      <c r="AS56" s="1285"/>
      <c r="AT56" s="1285">
        <f>SUM(AR56:AS56)</f>
        <v>3211081.5246632318</v>
      </c>
      <c r="AU56" s="1284">
        <f t="shared" si="15"/>
        <v>0</v>
      </c>
      <c r="AV56" s="1229"/>
      <c r="AW56" s="42"/>
    </row>
    <row r="57" spans="5:49" ht="17.5">
      <c r="E57" s="1663"/>
      <c r="F57" s="1105"/>
      <c r="G57" s="1172"/>
      <c r="H57" s="1173"/>
      <c r="I57" s="1088"/>
      <c r="J57" s="1186"/>
      <c r="K57" s="1181"/>
      <c r="L57" s="1182"/>
      <c r="M57" s="1183"/>
      <c r="N57" s="1182"/>
      <c r="O57" s="1107"/>
      <c r="P57" s="1184"/>
      <c r="Q57" s="1185"/>
      <c r="R57" s="39"/>
      <c r="S57" s="1411"/>
      <c r="T57" s="1320"/>
      <c r="U57" s="1323" t="s">
        <v>230</v>
      </c>
      <c r="V57" s="1304"/>
      <c r="W57" s="1304"/>
      <c r="X57" s="1233"/>
      <c r="Y57" s="998"/>
      <c r="Z57" s="1349" t="s">
        <v>231</v>
      </c>
      <c r="AA57" s="1359"/>
      <c r="AB57" s="1359"/>
      <c r="AC57" s="1347"/>
      <c r="AD57" s="1360"/>
      <c r="AE57" s="1347" t="s">
        <v>117</v>
      </c>
      <c r="AF57" s="1637">
        <v>2130</v>
      </c>
      <c r="AG57" s="1637"/>
      <c r="AH57" s="1304" t="s">
        <v>185</v>
      </c>
      <c r="AI57" s="1353"/>
      <c r="AJ57" s="1354"/>
      <c r="AK57" s="1347" t="s">
        <v>117</v>
      </c>
      <c r="AL57" s="1499">
        <v>0.1</v>
      </c>
      <c r="AM57" s="39"/>
      <c r="AN57" s="1003"/>
      <c r="AO57" s="1004"/>
      <c r="AP57" s="1005"/>
      <c r="AQ57" s="1284"/>
      <c r="AR57" s="1285">
        <f t="shared" si="13"/>
        <v>0</v>
      </c>
      <c r="AS57" s="1285"/>
      <c r="AT57" s="1285">
        <f>SUM(AR57:AS57)</f>
        <v>0</v>
      </c>
      <c r="AU57" s="1284">
        <f t="shared" si="15"/>
        <v>0</v>
      </c>
      <c r="AV57" s="1229"/>
      <c r="AW57" s="42"/>
    </row>
    <row r="58" spans="5:49" ht="17.5">
      <c r="E58" s="1483"/>
      <c r="F58" s="1484" t="s">
        <v>232</v>
      </c>
      <c r="G58" s="1224">
        <f>SUM(G52:G57)</f>
        <v>436</v>
      </c>
      <c r="H58" s="1211">
        <f>M31</f>
        <v>15069.866955</v>
      </c>
      <c r="I58" s="1218">
        <f>M58/H58</f>
        <v>16780</v>
      </c>
      <c r="J58" s="1208">
        <f>ROUND(M58/G58,-3)</f>
        <v>580000</v>
      </c>
      <c r="K58" s="1113">
        <f>SUM(K52:K57)</f>
        <v>15069.866954999998</v>
      </c>
      <c r="L58" s="1187">
        <f t="shared" ref="L58:Q58" si="16">SUM(L52:L57)</f>
        <v>0.41414631995445417</v>
      </c>
      <c r="M58" s="1188">
        <f t="shared" si="16"/>
        <v>252872367.50490001</v>
      </c>
      <c r="N58" s="1187">
        <f t="shared" si="16"/>
        <v>0.58514993009624405</v>
      </c>
      <c r="O58" s="1114">
        <f>SUMPRODUCT($O$52:$O$57,$G$52:$G$57)</f>
        <v>2383.5575650805777</v>
      </c>
      <c r="P58" s="1189">
        <f t="shared" si="16"/>
        <v>252872367.50490001</v>
      </c>
      <c r="Q58" s="1190">
        <f t="shared" si="16"/>
        <v>0</v>
      </c>
      <c r="R58" s="39"/>
      <c r="S58" s="1411"/>
      <c r="T58" s="1320"/>
      <c r="U58" s="1323" t="s">
        <v>233</v>
      </c>
      <c r="V58" s="1317"/>
      <c r="W58" s="1317"/>
      <c r="X58" s="1233">
        <f>ROUNDUP(((SUMPRODUCT(G25:G30,L25:L30)*1.5%)+(SUM(L38,L43,L46)*2%))*AN58*50%,-3)</f>
        <v>901000</v>
      </c>
      <c r="Y58" s="998"/>
      <c r="Z58" s="1304" t="s">
        <v>593</v>
      </c>
      <c r="AA58" s="1304"/>
      <c r="AB58" s="1361"/>
      <c r="AC58" s="1361"/>
      <c r="AD58" s="1362"/>
      <c r="AE58" s="1362"/>
      <c r="AF58" s="1362"/>
      <c r="AG58" s="1304"/>
      <c r="AH58" s="1304"/>
      <c r="AI58" s="1363"/>
      <c r="AJ58" s="1363"/>
      <c r="AK58" s="1006"/>
      <c r="AL58" s="1365" t="s">
        <v>594</v>
      </c>
      <c r="AM58" s="1038"/>
      <c r="AN58" s="1498">
        <v>1036.8</v>
      </c>
      <c r="AP58" s="1364"/>
      <c r="AQ58" s="1284"/>
      <c r="AR58" s="1285">
        <f t="shared" si="13"/>
        <v>901000</v>
      </c>
      <c r="AS58" s="1285"/>
      <c r="AT58" s="1285">
        <f t="shared" si="14"/>
        <v>901000</v>
      </c>
      <c r="AU58" s="1284">
        <f t="shared" si="15"/>
        <v>0</v>
      </c>
      <c r="AV58" s="1229"/>
      <c r="AW58" s="42"/>
    </row>
    <row r="59" spans="5:49" ht="17.5">
      <c r="E59" s="1662" t="str">
        <f>E32</f>
        <v>오피스텔</v>
      </c>
      <c r="F59" s="1105">
        <f>F32</f>
        <v>67</v>
      </c>
      <c r="G59" s="1172">
        <f>G32</f>
        <v>76</v>
      </c>
      <c r="H59" s="1173">
        <f>Q32</f>
        <v>67.258758400337825</v>
      </c>
      <c r="I59" s="1088">
        <v>7760</v>
      </c>
      <c r="J59" s="1180">
        <f>H59*I59</f>
        <v>521927.96518662153</v>
      </c>
      <c r="K59" s="1181">
        <f>G59*H59</f>
        <v>5111.6656384256748</v>
      </c>
      <c r="L59" s="1182">
        <f>K59/K$71</f>
        <v>0.14047751843550557</v>
      </c>
      <c r="M59" s="1183">
        <f>I59*K59</f>
        <v>39666525.354183234</v>
      </c>
      <c r="N59" s="1182">
        <f>M59/M$71</f>
        <v>9.1788852879354038E-2</v>
      </c>
      <c r="O59" s="1107">
        <f>$O$13*(H32/($H$38+$H$43+$H$46))</f>
        <v>7.3055198446782326</v>
      </c>
      <c r="P59" s="1184">
        <f>M59-Q59</f>
        <v>37286533.832932241</v>
      </c>
      <c r="Q59" s="1185">
        <f>M59*$Q$50</f>
        <v>2379991.5212509939</v>
      </c>
      <c r="R59" s="39"/>
      <c r="S59" s="1411"/>
      <c r="T59" s="1320"/>
      <c r="U59" s="1323" t="s">
        <v>234</v>
      </c>
      <c r="V59" s="1317"/>
      <c r="W59" s="1317"/>
      <c r="X59" s="1231"/>
      <c r="Y59" s="998"/>
      <c r="Z59" s="1304" t="s">
        <v>235</v>
      </c>
      <c r="AA59" s="39"/>
      <c r="AB59" s="39"/>
      <c r="AC59" s="904"/>
      <c r="AD59" s="904"/>
      <c r="AE59" s="904"/>
      <c r="AF59" s="904"/>
      <c r="AG59" s="904"/>
      <c r="AH59" s="904"/>
      <c r="AI59" s="1007"/>
      <c r="AJ59" s="1007"/>
      <c r="AK59" s="880"/>
      <c r="AL59" s="880"/>
      <c r="AM59" s="880"/>
      <c r="AN59" s="39"/>
      <c r="AO59" s="39"/>
      <c r="AP59" s="877"/>
      <c r="AQ59" s="1284"/>
      <c r="AR59" s="1285"/>
      <c r="AS59" s="1285"/>
      <c r="AT59" s="1285">
        <f t="shared" si="14"/>
        <v>0</v>
      </c>
      <c r="AU59" s="1284">
        <f t="shared" si="15"/>
        <v>0</v>
      </c>
      <c r="AV59" s="1229"/>
      <c r="AW59" s="42"/>
    </row>
    <row r="60" spans="5:49" ht="17.5">
      <c r="E60" s="1663"/>
      <c r="F60" s="1105">
        <f t="shared" ref="F60:G63" si="17">F33</f>
        <v>65</v>
      </c>
      <c r="G60" s="1172">
        <f t="shared" si="17"/>
        <v>38</v>
      </c>
      <c r="H60" s="1173">
        <f>Q33</f>
        <v>65.32753533174494</v>
      </c>
      <c r="I60" s="1088">
        <f>I59</f>
        <v>7760</v>
      </c>
      <c r="J60" s="1180">
        <f>H60*I60</f>
        <v>506941.67417434073</v>
      </c>
      <c r="K60" s="1181">
        <f>G60*H60</f>
        <v>2482.4463426063076</v>
      </c>
      <c r="L60" s="1182">
        <f>K60/K$71</f>
        <v>6.8221970395942119E-2</v>
      </c>
      <c r="M60" s="1183">
        <f>I60*K60</f>
        <v>19263783.618624948</v>
      </c>
      <c r="N60" s="1182">
        <f>M60/M$71</f>
        <v>4.4576644530403803E-2</v>
      </c>
      <c r="O60" s="1107">
        <f>$O$13*(H33/($H$38+$H$43+$H$46))</f>
        <v>7.1390444032723002</v>
      </c>
      <c r="P60" s="1184">
        <f>M60-Q60</f>
        <v>18107956.601507451</v>
      </c>
      <c r="Q60" s="1185">
        <f>M60*$Q$50</f>
        <v>1155827.0171174968</v>
      </c>
      <c r="R60" s="39"/>
      <c r="S60" s="1411"/>
      <c r="T60" s="1318" t="s">
        <v>236</v>
      </c>
      <c r="U60" s="1308"/>
      <c r="V60" s="1308"/>
      <c r="W60" s="1308"/>
      <c r="X60" s="1246">
        <f>SUM(X61:X63)</f>
        <v>2739850.355</v>
      </c>
      <c r="Y60" s="951"/>
      <c r="Z60" s="1642"/>
      <c r="AA60" s="1642"/>
      <c r="AB60" s="1642"/>
      <c r="AC60" s="953"/>
      <c r="AD60" s="1669"/>
      <c r="AE60" s="1669"/>
      <c r="AF60" s="951"/>
      <c r="AG60" s="951"/>
      <c r="AH60" s="951"/>
      <c r="AI60" s="951"/>
      <c r="AJ60" s="951"/>
      <c r="AK60" s="951"/>
      <c r="AL60" s="951"/>
      <c r="AM60" s="1008"/>
      <c r="AN60" s="1008"/>
      <c r="AO60" s="951"/>
      <c r="AP60" s="927"/>
      <c r="AQ60" s="1284">
        <f>X60/$X$14</f>
        <v>6.4090507356131176E-3</v>
      </c>
      <c r="AR60" s="1285"/>
      <c r="AS60" s="1285"/>
      <c r="AT60" s="1285"/>
      <c r="AU60" s="1284"/>
      <c r="AV60" s="1229"/>
      <c r="AW60" s="42"/>
    </row>
    <row r="61" spans="5:49" ht="17.5">
      <c r="E61" s="1663"/>
      <c r="F61" s="1105">
        <f t="shared" si="17"/>
        <v>70</v>
      </c>
      <c r="G61" s="1172">
        <f t="shared" si="17"/>
        <v>76</v>
      </c>
      <c r="H61" s="1173">
        <f>Q34</f>
        <v>70.727481210968932</v>
      </c>
      <c r="I61" s="1088">
        <f>I60</f>
        <v>7760</v>
      </c>
      <c r="J61" s="1180">
        <f>H61*I61</f>
        <v>548845.25419711892</v>
      </c>
      <c r="K61" s="1181">
        <f>G61*H61</f>
        <v>5375.288572033639</v>
      </c>
      <c r="L61" s="1182">
        <f>K61/K$71</f>
        <v>0.14772233805702928</v>
      </c>
      <c r="M61" s="1183">
        <f>I61*K61</f>
        <v>41712239.318981037</v>
      </c>
      <c r="N61" s="1182">
        <f>M61/M$71</f>
        <v>9.6522661461563602E-2</v>
      </c>
      <c r="O61" s="1107">
        <f>$O$13*(H34/($H$38+$H$43+$H$46))</f>
        <v>7.6577414038278349</v>
      </c>
      <c r="P61" s="1184">
        <f>M61-Q61</f>
        <v>39209504.959842175</v>
      </c>
      <c r="Q61" s="1185">
        <f>M61*$Q$50</f>
        <v>2502734.3591388622</v>
      </c>
      <c r="R61" s="39"/>
      <c r="S61" s="1411"/>
      <c r="T61" s="1320"/>
      <c r="U61" s="1321" t="s">
        <v>237</v>
      </c>
      <c r="V61" s="1322"/>
      <c r="W61" s="1322"/>
      <c r="X61" s="1096">
        <f>ROUNDUP(X14*AB61,-5)</f>
        <v>500000</v>
      </c>
      <c r="Y61" s="1009"/>
      <c r="Z61" s="1418" t="s">
        <v>238</v>
      </c>
      <c r="AA61" s="1419"/>
      <c r="AB61" s="1254">
        <v>1E-3</v>
      </c>
      <c r="AC61" s="1420" t="s">
        <v>239</v>
      </c>
      <c r="AD61" s="1421"/>
      <c r="AE61" s="1422"/>
      <c r="AF61" s="1423"/>
      <c r="AG61" s="1423"/>
      <c r="AH61" s="1010"/>
      <c r="AI61" s="1010"/>
      <c r="AJ61" s="1010"/>
      <c r="AK61" s="1010"/>
      <c r="AL61" s="1010"/>
      <c r="AM61" s="1010"/>
      <c r="AN61" s="928"/>
      <c r="AO61" s="928"/>
      <c r="AP61" s="932"/>
      <c r="AQ61" s="1284"/>
      <c r="AR61" s="1285">
        <f>X61</f>
        <v>500000</v>
      </c>
      <c r="AS61" s="1285">
        <f>AR61*0.1</f>
        <v>50000</v>
      </c>
      <c r="AT61" s="1285">
        <f>SUM(AR61:AS61)</f>
        <v>550000</v>
      </c>
      <c r="AU61" s="1284">
        <f>IF(AR61=0,0,AS61/SUM(AR61:AS61))</f>
        <v>9.0909090909090912E-2</v>
      </c>
      <c r="AV61" s="1229"/>
      <c r="AW61" s="42"/>
    </row>
    <row r="62" spans="5:49" ht="17.5">
      <c r="E62" s="1663"/>
      <c r="F62" s="1105">
        <f t="shared" si="17"/>
        <v>68</v>
      </c>
      <c r="G62" s="1172">
        <f t="shared" si="17"/>
        <v>72</v>
      </c>
      <c r="H62" s="1173">
        <f>Q35</f>
        <v>68.119638491576225</v>
      </c>
      <c r="I62" s="1088">
        <f>I61</f>
        <v>7760</v>
      </c>
      <c r="J62" s="1180">
        <f>H62*I62</f>
        <v>528608.39469463145</v>
      </c>
      <c r="K62" s="1181">
        <f>G62*H62</f>
        <v>4904.6139713934881</v>
      </c>
      <c r="L62" s="1182">
        <f>K62/K$71</f>
        <v>0.13478737623333012</v>
      </c>
      <c r="M62" s="1183">
        <f>I62*K62</f>
        <v>38059804.418013468</v>
      </c>
      <c r="N62" s="1182">
        <f>M62/M$71</f>
        <v>8.8070879845128805E-2</v>
      </c>
      <c r="O62" s="1107">
        <f>$O$13*(H35/($H$38+$H$43+$H$46))</f>
        <v>7.3747395984800024</v>
      </c>
      <c r="P62" s="1184">
        <f>M62-Q62</f>
        <v>35776216.152932659</v>
      </c>
      <c r="Q62" s="1185">
        <f>M62*$Q$50</f>
        <v>2283588.2650808082</v>
      </c>
      <c r="R62" s="39"/>
      <c r="S62" s="1411"/>
      <c r="T62" s="1320"/>
      <c r="U62" s="1323" t="s">
        <v>240</v>
      </c>
      <c r="V62" s="1304"/>
      <c r="W62" s="1304"/>
      <c r="X62" s="1096">
        <f>Z62*AC62</f>
        <v>367000</v>
      </c>
      <c r="Y62" s="998"/>
      <c r="Z62" s="1670">
        <f>G58+G65+G70</f>
        <v>734</v>
      </c>
      <c r="AA62" s="1670"/>
      <c r="AB62" s="1304" t="s">
        <v>117</v>
      </c>
      <c r="AC62" s="1098">
        <v>500</v>
      </c>
      <c r="AD62" s="1304" t="s">
        <v>128</v>
      </c>
      <c r="AE62" s="39"/>
      <c r="AF62" s="1011"/>
      <c r="AG62" s="1011"/>
      <c r="AH62" s="1012"/>
      <c r="AI62" s="39"/>
      <c r="AJ62" s="39"/>
      <c r="AK62" s="39"/>
      <c r="AL62" s="39"/>
      <c r="AM62" s="39"/>
      <c r="AN62" s="39"/>
      <c r="AO62" s="39"/>
      <c r="AP62" s="877"/>
      <c r="AQ62" s="1284"/>
      <c r="AR62" s="1285">
        <f>X62</f>
        <v>367000</v>
      </c>
      <c r="AS62" s="1285">
        <f>AR62*0.1</f>
        <v>36700</v>
      </c>
      <c r="AT62" s="1285">
        <f>SUM(AR62:AS62)</f>
        <v>403700</v>
      </c>
      <c r="AU62" s="1284">
        <f>IF(AR62=0,0,AS62/SUM(AR62:AS62))</f>
        <v>9.0909090909090912E-2</v>
      </c>
      <c r="AV62" s="1229"/>
      <c r="AW62" s="42"/>
    </row>
    <row r="63" spans="5:49" ht="18" thickBot="1">
      <c r="E63" s="1663"/>
      <c r="F63" s="1105">
        <f t="shared" si="17"/>
        <v>69</v>
      </c>
      <c r="G63" s="1172">
        <f t="shared" si="17"/>
        <v>36</v>
      </c>
      <c r="H63" s="1173">
        <f>Q36</f>
        <v>69.050731195580212</v>
      </c>
      <c r="I63" s="1088">
        <f>I62</f>
        <v>7760</v>
      </c>
      <c r="J63" s="1180">
        <f>H63*I63</f>
        <v>535833.67407770245</v>
      </c>
      <c r="K63" s="1181">
        <f>G63*H63</f>
        <v>2485.8263230408875</v>
      </c>
      <c r="L63" s="1182">
        <f>K63/K$71</f>
        <v>6.8314858174094328E-2</v>
      </c>
      <c r="M63" s="1183">
        <f>I63*K63</f>
        <v>19290012.266797286</v>
      </c>
      <c r="N63" s="1182">
        <f>M63/M$71</f>
        <v>4.4637337961623662E-2</v>
      </c>
      <c r="O63" s="1107">
        <f>$O$13*(H36/($H$38+$H$43+$H$46))</f>
        <v>7.5189151936890903</v>
      </c>
      <c r="P63" s="1184">
        <f>M63-Q63</f>
        <v>18132611.53078945</v>
      </c>
      <c r="Q63" s="1185">
        <f>M63*$Q$50</f>
        <v>1157400.7360078371</v>
      </c>
      <c r="R63" s="39"/>
      <c r="S63" s="1411"/>
      <c r="T63" s="1320"/>
      <c r="U63" s="1323" t="s">
        <v>241</v>
      </c>
      <c r="V63" s="1304"/>
      <c r="W63" s="1304"/>
      <c r="X63" s="1233">
        <f>SUM(AS17:AS21,AS27:AS30,AS32:AS38,AS42:AS45,AS47:AS51,AS53:AS59,AS61:AS62,AS24)*면세비율!F28</f>
        <v>1872850.355</v>
      </c>
      <c r="Y63" s="998"/>
      <c r="Z63" s="1013"/>
      <c r="AA63" s="1014"/>
      <c r="AB63" s="39"/>
      <c r="AC63" s="39"/>
      <c r="AD63" s="39"/>
      <c r="AE63" s="39"/>
      <c r="AF63" s="1011"/>
      <c r="AG63" s="1011"/>
      <c r="AH63" s="1012"/>
      <c r="AI63" s="39"/>
      <c r="AJ63" s="39"/>
      <c r="AK63" s="39"/>
      <c r="AL63" s="39"/>
      <c r="AM63" s="39"/>
      <c r="AN63" s="39"/>
      <c r="AO63" s="39"/>
      <c r="AP63" s="877"/>
      <c r="AQ63" s="1284"/>
      <c r="AR63" s="1285">
        <f>X63</f>
        <v>1872850.355</v>
      </c>
      <c r="AS63" s="1285">
        <f>AS14-AS15</f>
        <v>-2879940.6399603765</v>
      </c>
      <c r="AT63" s="1285">
        <f>SUM(AR63:AS63)</f>
        <v>-1007090.2849603766</v>
      </c>
      <c r="AU63" s="1284"/>
      <c r="AV63" s="1289"/>
      <c r="AW63" s="42"/>
    </row>
    <row r="64" spans="5:49" ht="18" thickBot="1">
      <c r="E64" s="1663"/>
      <c r="F64" s="1105"/>
      <c r="G64" s="1172"/>
      <c r="H64" s="1173"/>
      <c r="I64" s="1088"/>
      <c r="J64" s="1186"/>
      <c r="K64" s="1181"/>
      <c r="L64" s="1182"/>
      <c r="M64" s="1183"/>
      <c r="N64" s="1182"/>
      <c r="O64" s="1107"/>
      <c r="P64" s="1184"/>
      <c r="Q64" s="1185"/>
      <c r="R64" s="39"/>
      <c r="S64" s="1490" t="s">
        <v>242</v>
      </c>
      <c r="T64" s="1337"/>
      <c r="U64" s="1338"/>
      <c r="V64" s="1338"/>
      <c r="W64" s="1337"/>
      <c r="X64" s="1249">
        <f ca="1">X14-X15</f>
        <v>70853891.65407604</v>
      </c>
      <c r="Y64" s="1015"/>
      <c r="Z64" s="1337" t="s">
        <v>238</v>
      </c>
      <c r="AA64" s="1671">
        <f ca="1">X64/X14</f>
        <v>0.16574123677882699</v>
      </c>
      <c r="AB64" s="1671"/>
      <c r="AC64" s="1017" t="s">
        <v>217</v>
      </c>
      <c r="AD64" s="1672"/>
      <c r="AE64" s="1672"/>
      <c r="AF64" s="1673"/>
      <c r="AG64" s="1673"/>
      <c r="AH64" s="1673"/>
      <c r="AI64" s="1018"/>
      <c r="AJ64" s="1016"/>
      <c r="AK64" s="1016"/>
      <c r="AL64" s="1019"/>
      <c r="AM64" s="1016"/>
      <c r="AN64" s="1016"/>
      <c r="AO64" s="1016"/>
      <c r="AP64" s="1020"/>
      <c r="AQ64" s="1284">
        <f ca="1">X64/$X$14</f>
        <v>0.16574123677882699</v>
      </c>
      <c r="AR64" s="1285"/>
      <c r="AS64" s="1285"/>
      <c r="AT64" s="1290">
        <f ca="1">AT14-AT15</f>
        <v>70853891.654076099</v>
      </c>
      <c r="AU64" s="1284"/>
      <c r="AV64" s="1229"/>
      <c r="AW64" s="42"/>
    </row>
    <row r="65" spans="5:49" ht="17.5">
      <c r="E65" s="1485"/>
      <c r="F65" s="1486" t="s">
        <v>157</v>
      </c>
      <c r="G65" s="1222">
        <f>SUM(G59:G64)</f>
        <v>298</v>
      </c>
      <c r="H65" s="1194">
        <f>Q38</f>
        <v>20359.840847499996</v>
      </c>
      <c r="I65" s="1223">
        <f>M65/H65</f>
        <v>7760</v>
      </c>
      <c r="J65" s="1209">
        <f>ROUND(M65/G65,-3)</f>
        <v>530000</v>
      </c>
      <c r="K65" s="1191">
        <f>SUM(K59:K64)</f>
        <v>20359.8408475</v>
      </c>
      <c r="L65" s="1192">
        <f>SUM(L59:L64)</f>
        <v>0.55952406129590138</v>
      </c>
      <c r="M65" s="1193">
        <f>SUM(M59:M64)</f>
        <v>157992364.97659996</v>
      </c>
      <c r="N65" s="1192">
        <f>SUM(N59:N64)</f>
        <v>0.36559637667807393</v>
      </c>
      <c r="O65" s="1194">
        <f>SUMPRODUCT($G$59:$G$64,O59:O64)</f>
        <v>2210.153740274176</v>
      </c>
      <c r="P65" s="1195">
        <f>SUM(P59:P64)</f>
        <v>148512823.07800397</v>
      </c>
      <c r="Q65" s="1196">
        <f>SUM(Q59:Q64)</f>
        <v>9479541.8985959981</v>
      </c>
      <c r="R65" s="39"/>
      <c r="S65" s="1491"/>
      <c r="T65" s="1339" t="s">
        <v>243</v>
      </c>
      <c r="U65" s="1340"/>
      <c r="V65" s="1340"/>
      <c r="W65" s="1341"/>
      <c r="X65" s="1250">
        <f>(M5+8)*Z65</f>
        <v>450000</v>
      </c>
      <c r="Y65" s="917"/>
      <c r="Z65" s="1689">
        <v>10000</v>
      </c>
      <c r="AA65" s="1689"/>
      <c r="AB65" s="1689"/>
      <c r="AC65" s="1021" t="s">
        <v>217</v>
      </c>
      <c r="AD65" s="1682" t="s">
        <v>244</v>
      </c>
      <c r="AE65" s="1682"/>
      <c r="AF65" s="1683">
        <v>3.9E-2</v>
      </c>
      <c r="AG65" s="1683"/>
      <c r="AH65" s="1022"/>
      <c r="AI65" s="39"/>
      <c r="AJ65" s="39"/>
      <c r="AK65" s="1023"/>
      <c r="AL65" s="1024"/>
      <c r="AM65" s="1025"/>
      <c r="AN65" s="1025"/>
      <c r="AO65" s="917"/>
      <c r="AP65" s="1026"/>
      <c r="AQ65" s="1284">
        <f>X65/$X$14</f>
        <v>1.0526388150224003E-3</v>
      </c>
      <c r="AR65" s="1285">
        <f>X65</f>
        <v>450000</v>
      </c>
      <c r="AS65" s="1285"/>
      <c r="AT65" s="1285">
        <f>SUM(AR65:AS65)</f>
        <v>450000</v>
      </c>
      <c r="AU65" s="1284">
        <f>IF(AR65=0,0,AS65/SUM(AR65:AS65))</f>
        <v>0</v>
      </c>
      <c r="AV65" s="1229"/>
      <c r="AW65" s="42"/>
    </row>
    <row r="66" spans="5:49" ht="18" thickBot="1">
      <c r="E66" s="1684" t="str">
        <f>E39</f>
        <v>근생시설</v>
      </c>
      <c r="F66" s="1213"/>
      <c r="G66" s="1214"/>
      <c r="H66" s="1173"/>
      <c r="I66" s="1088"/>
      <c r="J66" s="1186"/>
      <c r="K66" s="1181"/>
      <c r="L66" s="1182"/>
      <c r="M66" s="1183"/>
      <c r="N66" s="1182"/>
      <c r="O66" s="1107"/>
      <c r="P66" s="1184"/>
      <c r="Q66" s="1185"/>
      <c r="R66" s="39"/>
      <c r="S66" s="1488"/>
      <c r="T66" s="1342" t="s">
        <v>245</v>
      </c>
      <c r="U66" s="1304"/>
      <c r="V66" s="1304"/>
      <c r="W66" s="1317"/>
      <c r="X66" s="1251">
        <f ca="1">SUM(X67:X70)</f>
        <v>15072573.266456682</v>
      </c>
      <c r="Y66" s="1027"/>
      <c r="Z66" s="1344" t="s">
        <v>246</v>
      </c>
      <c r="AA66" s="1324"/>
      <c r="AB66" s="1324" t="s">
        <v>247</v>
      </c>
      <c r="AC66" s="1674">
        <f ca="1">'CASH FLOW'!AB6</f>
        <v>0.29257496504812208</v>
      </c>
      <c r="AD66" s="1685"/>
      <c r="AE66" s="1308" t="s">
        <v>248</v>
      </c>
      <c r="AF66" s="1674">
        <f ca="1">'CASH FLOW'!AE6</f>
        <v>0.38034745456255881</v>
      </c>
      <c r="AG66" s="1674"/>
      <c r="AH66" s="1324" t="s">
        <v>249</v>
      </c>
      <c r="AI66" s="1674">
        <f ca="1">'CASH FLOW'!AK6</f>
        <v>0.81859552410780245</v>
      </c>
      <c r="AJ66" s="1674"/>
      <c r="AK66" s="1345" t="s">
        <v>250</v>
      </c>
      <c r="AL66" s="1674">
        <f ca="1">'CASH FLOW'!AW6</f>
        <v>0.98522389203229555</v>
      </c>
      <c r="AM66" s="1674"/>
      <c r="AN66" s="1345" t="s">
        <v>251</v>
      </c>
      <c r="AO66" s="1674">
        <f ca="1">'CASH FLOW'!BS6</f>
        <v>1</v>
      </c>
      <c r="AP66" s="1675"/>
      <c r="AQ66" s="1284">
        <f ca="1">X66/$X$14</f>
        <v>3.5257723694536162E-2</v>
      </c>
      <c r="AR66" s="1285"/>
      <c r="AS66" s="1285"/>
      <c r="AT66" s="1285"/>
      <c r="AU66" s="1284"/>
      <c r="AV66" s="1229"/>
      <c r="AW66" s="42"/>
    </row>
    <row r="67" spans="5:49" ht="18" thickTop="1">
      <c r="E67" s="1684"/>
      <c r="F67" s="1213" t="str">
        <f>F40</f>
        <v>2F</v>
      </c>
      <c r="G67" s="1214"/>
      <c r="H67" s="1173">
        <f>Q40</f>
        <v>442.74486777108439</v>
      </c>
      <c r="I67" s="1088">
        <f>I68*45%</f>
        <v>12600</v>
      </c>
      <c r="J67" s="1186"/>
      <c r="K67" s="1181">
        <f>H67</f>
        <v>442.74486777108439</v>
      </c>
      <c r="L67" s="1182">
        <f>K67/K$71</f>
        <v>1.2167403880448926E-2</v>
      </c>
      <c r="M67" s="1183">
        <f>P67/(1-$Q$50)</f>
        <v>5934665.2488464499</v>
      </c>
      <c r="N67" s="1182">
        <f>M67/M$71</f>
        <v>1.3732892169168377E-2</v>
      </c>
      <c r="O67" s="1107">
        <f>$O$13*(H40/($H$38+$H$43+$H$46))</f>
        <v>56.329669294922631</v>
      </c>
      <c r="P67" s="1184">
        <f>I67*K67</f>
        <v>5578585.333915663</v>
      </c>
      <c r="Q67" s="1185">
        <f>M67*$Q$50</f>
        <v>356079.914930787</v>
      </c>
      <c r="R67" s="39"/>
      <c r="S67" s="1488"/>
      <c r="T67" s="1342"/>
      <c r="U67" s="1321" t="s">
        <v>252</v>
      </c>
      <c r="V67" s="1322"/>
      <c r="W67" s="1336"/>
      <c r="X67" s="1234">
        <f>('CASH FLOW'!E71+'CASH FLOW'!E73+'CASH FLOW'!E75)*1000</f>
        <v>150000</v>
      </c>
      <c r="Y67" s="880"/>
      <c r="Z67" s="1317" t="s">
        <v>253</v>
      </c>
      <c r="AA67" s="1676">
        <f>AD67+AE48</f>
        <v>0.60000000000000009</v>
      </c>
      <c r="AB67" s="1676"/>
      <c r="AC67" s="1425" t="s">
        <v>254</v>
      </c>
      <c r="AD67" s="1677">
        <f>IF(Z48=0,0,('CASH FLOW'!E25*AH67+'CASH FLOW'!E26*AJ67+'CASH FLOW'!E27*AL67)/SUM('CASH FLOW'!E25:E27))</f>
        <v>0.05</v>
      </c>
      <c r="AE67" s="1678"/>
      <c r="AF67" s="1304" t="s">
        <v>255</v>
      </c>
      <c r="AG67" s="1347" t="s">
        <v>256</v>
      </c>
      <c r="AH67" s="1028">
        <v>0.05</v>
      </c>
      <c r="AI67" s="1346" t="s">
        <v>257</v>
      </c>
      <c r="AJ67" s="1028"/>
      <c r="AK67" s="1424" t="s">
        <v>258</v>
      </c>
      <c r="AL67" s="1029"/>
      <c r="AM67" s="1679" t="s">
        <v>259</v>
      </c>
      <c r="AN67" s="1679"/>
      <c r="AO67" s="1680">
        <v>12</v>
      </c>
      <c r="AP67" s="1681"/>
      <c r="AQ67" s="1284"/>
      <c r="AR67" s="1285">
        <f>X67</f>
        <v>150000</v>
      </c>
      <c r="AS67" s="1285"/>
      <c r="AT67" s="1285">
        <f>SUM(AR67:AS67)</f>
        <v>150000</v>
      </c>
      <c r="AU67" s="1284">
        <f>IF(AR67=0,0,AS67/SUM(AR67:AS67))</f>
        <v>0</v>
      </c>
      <c r="AV67" s="1229"/>
      <c r="AW67" s="42"/>
    </row>
    <row r="68" spans="5:49">
      <c r="E68" s="1684"/>
      <c r="F68" s="1213" t="str">
        <f>F41</f>
        <v>1F</v>
      </c>
      <c r="G68" s="1214"/>
      <c r="H68" s="1173">
        <f>Q41</f>
        <v>515.3316197289156</v>
      </c>
      <c r="I68" s="1088">
        <v>28000</v>
      </c>
      <c r="J68" s="1186"/>
      <c r="K68" s="1181">
        <f>H68</f>
        <v>515.3316197289156</v>
      </c>
      <c r="L68" s="1182">
        <f>K68/K$71</f>
        <v>1.4162214869195479E-2</v>
      </c>
      <c r="M68" s="1183">
        <f>P68/(1-$Q$50)</f>
        <v>15350303.566393232</v>
      </c>
      <c r="N68" s="1182">
        <f>M68/M$71</f>
        <v>3.5520801056513514E-2</v>
      </c>
      <c r="O68" s="1107">
        <f>$O$13*(H41/($H$38+$H$43+$H$46))</f>
        <v>66.706187322934696</v>
      </c>
      <c r="P68" s="1184">
        <f>I68*K68</f>
        <v>14429285.352409637</v>
      </c>
      <c r="Q68" s="1185">
        <f>M68*$Q$50</f>
        <v>921018.21398359386</v>
      </c>
      <c r="R68" s="39"/>
      <c r="S68" s="1492"/>
      <c r="T68" s="1335"/>
      <c r="U68" s="1323" t="s">
        <v>260</v>
      </c>
      <c r="V68" s="1304"/>
      <c r="W68" s="1304"/>
      <c r="X68" s="1233">
        <f ca="1">('CASH FLOW'!E77+'CASH FLOW'!E79+'CASH FLOW'!E81)*1000</f>
        <v>14708186.294</v>
      </c>
      <c r="Y68" s="41"/>
      <c r="Z68" s="1317" t="s">
        <v>253</v>
      </c>
      <c r="AA68" s="1686">
        <f>AD68+AE49</f>
        <v>5.8614583333333331E-2</v>
      </c>
      <c r="AB68" s="1686"/>
      <c r="AC68" s="1425" t="s">
        <v>254</v>
      </c>
      <c r="AD68" s="1687">
        <f>'PF상환 민감도'!F14</f>
        <v>4.8000000000000001E-2</v>
      </c>
      <c r="AE68" s="1688"/>
      <c r="AF68" s="1304" t="s">
        <v>255</v>
      </c>
      <c r="AG68" s="1347" t="s">
        <v>256</v>
      </c>
      <c r="AH68" s="1255">
        <f>'PF상환 민감도'!F11</f>
        <v>4.8000000000000001E-2</v>
      </c>
      <c r="AI68" s="1346" t="s">
        <v>257</v>
      </c>
      <c r="AJ68" s="1255">
        <f>'PF상환 민감도'!F12</f>
        <v>0</v>
      </c>
      <c r="AK68" s="1347" t="s">
        <v>261</v>
      </c>
      <c r="AL68" s="1028">
        <f>'PF상환 민감도'!F13</f>
        <v>0</v>
      </c>
      <c r="AM68" s="1693" t="s">
        <v>259</v>
      </c>
      <c r="AN68" s="1693"/>
      <c r="AO68" s="1694">
        <v>48</v>
      </c>
      <c r="AP68" s="1695"/>
      <c r="AQ68" s="1284"/>
      <c r="AR68" s="1285">
        <f ca="1">X68</f>
        <v>14708186.294</v>
      </c>
      <c r="AS68" s="1285"/>
      <c r="AT68" s="1285">
        <f ca="1">SUM(AR68:AS68)</f>
        <v>14708186.294</v>
      </c>
      <c r="AU68" s="1284">
        <f ca="1">IF(AR68=0,0,AS68/SUM(AR68:AS68))</f>
        <v>0</v>
      </c>
      <c r="AV68" s="1229"/>
      <c r="AW68" s="42"/>
    </row>
    <row r="69" spans="5:49">
      <c r="E69" s="1684"/>
      <c r="F69" s="1215" t="str">
        <f>F42</f>
        <v>B1</v>
      </c>
      <c r="G69" s="1216"/>
      <c r="H69" s="1173"/>
      <c r="I69" s="1089"/>
      <c r="J69" s="1210"/>
      <c r="K69" s="1126"/>
      <c r="L69" s="1197"/>
      <c r="M69" s="1198"/>
      <c r="N69" s="1197"/>
      <c r="O69" s="1121"/>
      <c r="P69" s="1199"/>
      <c r="Q69" s="1200"/>
      <c r="R69" s="39"/>
      <c r="S69" s="1492"/>
      <c r="T69" s="1304"/>
      <c r="U69" s="1323" t="s">
        <v>262</v>
      </c>
      <c r="V69" s="1304"/>
      <c r="W69" s="1304"/>
      <c r="X69" s="1233"/>
      <c r="Y69" s="41"/>
      <c r="Z69" s="39"/>
      <c r="AA69" s="39"/>
      <c r="AB69" s="39"/>
      <c r="AC69" s="1425" t="s">
        <v>254</v>
      </c>
      <c r="AD69" s="1696">
        <v>0</v>
      </c>
      <c r="AE69" s="1697"/>
      <c r="AF69" s="1304" t="s">
        <v>255</v>
      </c>
      <c r="AG69" s="39"/>
      <c r="AH69" s="859"/>
      <c r="AI69" s="859"/>
      <c r="AJ69" s="859"/>
      <c r="AK69" s="39"/>
      <c r="AL69" s="41"/>
      <c r="AM69" s="39"/>
      <c r="AN69" s="39"/>
      <c r="AO69" s="39"/>
      <c r="AP69" s="877"/>
      <c r="AQ69" s="1284"/>
      <c r="AR69" s="1285">
        <f>X69</f>
        <v>0</v>
      </c>
      <c r="AS69" s="1285"/>
      <c r="AT69" s="1285">
        <f>SUM(AR69:AS69)</f>
        <v>0</v>
      </c>
      <c r="AU69" s="1284">
        <f>IF(AR69=0,0,AS69/SUM(AR69:AS69))</f>
        <v>0</v>
      </c>
      <c r="AV69" s="1229"/>
      <c r="AW69" s="42"/>
    </row>
    <row r="70" spans="5:49" ht="17.5" thickBot="1">
      <c r="E70" s="1459"/>
      <c r="F70" s="1460" t="s">
        <v>232</v>
      </c>
      <c r="G70" s="1217">
        <f>SUM(G66:G69)</f>
        <v>0</v>
      </c>
      <c r="H70" s="1211">
        <f>Q43</f>
        <v>958.07648749999998</v>
      </c>
      <c r="I70" s="1218">
        <f>P70/H70</f>
        <v>20883.375124395065</v>
      </c>
      <c r="J70" s="1211"/>
      <c r="K70" s="1113">
        <f t="shared" ref="K70:Q70" si="18">SUM(K66:K69)</f>
        <v>958.07648749999998</v>
      </c>
      <c r="L70" s="1201">
        <f t="shared" si="18"/>
        <v>2.6329618749644405E-2</v>
      </c>
      <c r="M70" s="1188">
        <f t="shared" si="18"/>
        <v>21284968.815239683</v>
      </c>
      <c r="N70" s="1201">
        <f t="shared" si="18"/>
        <v>4.9253693225681891E-2</v>
      </c>
      <c r="O70" s="1114">
        <f t="shared" si="18"/>
        <v>123.03585661785732</v>
      </c>
      <c r="P70" s="1202">
        <f t="shared" si="18"/>
        <v>20007870.6863253</v>
      </c>
      <c r="Q70" s="1203">
        <f t="shared" si="18"/>
        <v>1277098.1289143809</v>
      </c>
      <c r="R70" s="39"/>
      <c r="S70" s="1493"/>
      <c r="T70" s="1304"/>
      <c r="U70" s="1323" t="s">
        <v>263</v>
      </c>
      <c r="V70" s="1304"/>
      <c r="W70" s="1304"/>
      <c r="X70" s="1247">
        <f>-'CASH FLOW'!E103*1000</f>
        <v>214386.9724566818</v>
      </c>
      <c r="Y70" s="1030"/>
      <c r="Z70" s="39"/>
      <c r="AA70" s="39"/>
      <c r="AB70" s="39"/>
      <c r="AC70" s="1426" t="s">
        <v>254</v>
      </c>
      <c r="AD70" s="1698">
        <v>0.08</v>
      </c>
      <c r="AE70" s="1699"/>
      <c r="AF70" s="1304" t="s">
        <v>255</v>
      </c>
      <c r="AG70" s="39"/>
      <c r="AH70" s="859"/>
      <c r="AI70" s="859"/>
      <c r="AJ70" s="859"/>
      <c r="AK70" s="915"/>
      <c r="AL70" s="1031"/>
      <c r="AM70" s="39"/>
      <c r="AN70" s="39"/>
      <c r="AO70" s="39"/>
      <c r="AP70" s="1032"/>
      <c r="AQ70" s="1284"/>
      <c r="AR70" s="1285">
        <f>X70</f>
        <v>214386.9724566818</v>
      </c>
      <c r="AS70" s="1285"/>
      <c r="AT70" s="1285">
        <f>SUM(AR70:AS70)</f>
        <v>214386.9724566818</v>
      </c>
      <c r="AU70" s="1284"/>
      <c r="AV70" s="1229"/>
      <c r="AW70" s="42"/>
    </row>
    <row r="71" spans="5:49" ht="18.5" thickTop="1" thickBot="1">
      <c r="E71" s="1700" t="s">
        <v>132</v>
      </c>
      <c r="F71" s="1701"/>
      <c r="G71" s="1219">
        <f>SUM(G70,G65,G58)</f>
        <v>734</v>
      </c>
      <c r="H71" s="1220">
        <f>SUM(H58,H70,H65)</f>
        <v>36387.784289999996</v>
      </c>
      <c r="I71" s="1221">
        <f>M71/H71</f>
        <v>11876.230161546331</v>
      </c>
      <c r="J71" s="1212"/>
      <c r="K71" s="1204">
        <f t="shared" ref="K71:Q71" si="19">SUM(K58,K70,K65)</f>
        <v>36387.784289999996</v>
      </c>
      <c r="L71" s="1205">
        <f t="shared" si="19"/>
        <v>1</v>
      </c>
      <c r="M71" s="1206">
        <f t="shared" si="19"/>
        <v>432149701.2967397</v>
      </c>
      <c r="N71" s="1205">
        <f t="shared" si="19"/>
        <v>0.99999999999999978</v>
      </c>
      <c r="O71" s="1204">
        <f t="shared" si="19"/>
        <v>4716.7471619726111</v>
      </c>
      <c r="P71" s="1206">
        <f t="shared" si="19"/>
        <v>421393061.26922929</v>
      </c>
      <c r="Q71" s="1207">
        <f t="shared" si="19"/>
        <v>10756640.027510379</v>
      </c>
      <c r="R71" s="39"/>
      <c r="S71" s="1313" t="s">
        <v>264</v>
      </c>
      <c r="T71" s="1343"/>
      <c r="U71" s="1315"/>
      <c r="V71" s="1315"/>
      <c r="W71" s="1315"/>
      <c r="X71" s="1252">
        <f ca="1">X64-X66-X65</f>
        <v>55331318.387619361</v>
      </c>
      <c r="Y71" s="46"/>
      <c r="Z71" s="1343" t="s">
        <v>265</v>
      </c>
      <c r="AA71" s="1702">
        <f ca="1">X71/X14</f>
        <v>0.12943087426926844</v>
      </c>
      <c r="AB71" s="1702"/>
      <c r="AC71" s="1033"/>
      <c r="AD71" s="1703"/>
      <c r="AE71" s="1703"/>
      <c r="AF71" s="911"/>
      <c r="AG71" s="1704"/>
      <c r="AH71" s="1704"/>
      <c r="AI71" s="1034"/>
      <c r="AJ71" s="911"/>
      <c r="AK71" s="911"/>
      <c r="AL71" s="1035"/>
      <c r="AM71" s="911"/>
      <c r="AN71" s="911"/>
      <c r="AO71" s="911"/>
      <c r="AP71" s="912"/>
      <c r="AQ71" s="1284">
        <f ca="1">X71/$X$14</f>
        <v>0.12943087426926844</v>
      </c>
      <c r="AR71" s="1229"/>
      <c r="AS71" s="1229"/>
      <c r="AT71" s="1291">
        <f ca="1">AT64-SUM(AT65:AT70)</f>
        <v>55331318.387619421</v>
      </c>
      <c r="AU71" s="1229" t="b">
        <f ca="1">ROUND(X71,5)=ROUND(AT71,5)</f>
        <v>1</v>
      </c>
      <c r="AV71" s="1229"/>
      <c r="AW71" s="42"/>
    </row>
    <row r="72" spans="5:49">
      <c r="E72" s="42"/>
      <c r="F72" s="42"/>
      <c r="G72" s="42"/>
      <c r="H72" s="42"/>
      <c r="I72" s="42"/>
      <c r="J72" s="42"/>
      <c r="K72" s="42"/>
      <c r="L72" s="42"/>
      <c r="M72" s="44"/>
      <c r="N72" s="42"/>
      <c r="O72" s="1229" t="b">
        <f>O71+$O$13*(H46/($H$38+$H$43+$H$46))=O14</f>
        <v>1</v>
      </c>
      <c r="P72" s="1229"/>
      <c r="Q72" s="1230">
        <f>Q71/M71</f>
        <v>2.4891004194225345E-2</v>
      </c>
      <c r="R72" s="39"/>
      <c r="S72" s="39"/>
      <c r="T72" s="39"/>
      <c r="U72" s="39"/>
      <c r="V72" s="1690"/>
      <c r="W72" s="1690"/>
      <c r="X72" s="878"/>
      <c r="Y72" s="39"/>
      <c r="Z72" s="886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42"/>
    </row>
    <row r="73" spans="5:49">
      <c r="E73" s="42"/>
      <c r="F73" s="42"/>
      <c r="G73" s="42"/>
      <c r="H73" s="42"/>
      <c r="I73" s="51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51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8"/>
      <c r="AU73" s="42"/>
      <c r="AV73" s="42"/>
      <c r="AW73" s="42"/>
    </row>
    <row r="74" spans="5:49">
      <c r="E74" s="1691"/>
      <c r="F74" s="1691"/>
      <c r="G74" s="1691"/>
      <c r="H74" s="1691"/>
      <c r="I74" s="1691"/>
      <c r="J74" s="1691"/>
      <c r="K74" s="1691"/>
      <c r="L74" s="1691"/>
      <c r="M74" s="1691"/>
      <c r="N74" s="1692"/>
      <c r="O74" s="1266"/>
      <c r="P74" s="1267"/>
      <c r="Q74" s="52"/>
      <c r="R74" s="42"/>
      <c r="S74" s="42"/>
      <c r="T74" s="42"/>
      <c r="U74" s="42"/>
      <c r="V74" s="42"/>
      <c r="W74" s="42"/>
      <c r="X74" s="5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</row>
    <row r="75" spans="5:49">
      <c r="E75" s="1691"/>
      <c r="F75" s="1268"/>
      <c r="G75" s="1269"/>
      <c r="H75" s="1269"/>
      <c r="I75" s="1269"/>
      <c r="J75" s="1268"/>
      <c r="K75" s="1269"/>
      <c r="L75" s="1269"/>
      <c r="M75" s="1269"/>
      <c r="N75" s="1692"/>
      <c r="O75" s="1266"/>
      <c r="P75" s="1267"/>
      <c r="Q75" s="52"/>
      <c r="R75" s="42"/>
      <c r="S75" s="42"/>
      <c r="T75" s="42"/>
      <c r="U75" s="42"/>
      <c r="V75" s="42"/>
      <c r="W75" s="45"/>
      <c r="X75" s="48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</row>
    <row r="76" spans="5:49">
      <c r="E76" s="1691"/>
      <c r="F76" s="1270"/>
      <c r="G76" s="1271"/>
      <c r="H76" s="44"/>
      <c r="I76" s="1272"/>
      <c r="J76" s="1273"/>
      <c r="K76" s="1271"/>
      <c r="L76" s="52"/>
      <c r="M76" s="52"/>
      <c r="N76" s="1692"/>
      <c r="O76" s="1266"/>
      <c r="Q76" s="48"/>
      <c r="R76" s="42"/>
      <c r="S76" s="42"/>
      <c r="T76" s="42"/>
      <c r="U76" s="42"/>
      <c r="V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</row>
    <row r="77" spans="5:49">
      <c r="E77" s="1691"/>
      <c r="F77" s="1270"/>
      <c r="G77" s="1271"/>
      <c r="H77" s="44"/>
      <c r="I77" s="1272"/>
      <c r="J77" s="1273"/>
      <c r="K77" s="1271"/>
      <c r="L77" s="52"/>
      <c r="M77" s="52"/>
      <c r="N77" s="42"/>
      <c r="O77" s="42"/>
      <c r="P77" s="42"/>
      <c r="Q77" s="42"/>
      <c r="R77" s="42"/>
      <c r="S77" s="42"/>
      <c r="T77" s="42"/>
      <c r="U77" s="42"/>
      <c r="V77" s="42"/>
      <c r="W77" s="44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</row>
    <row r="78" spans="5:49">
      <c r="E78" s="1691"/>
      <c r="F78" s="1270"/>
      <c r="G78" s="1271"/>
      <c r="H78" s="44"/>
      <c r="I78" s="1272"/>
      <c r="J78" s="1273"/>
      <c r="K78" s="1271"/>
      <c r="L78" s="52"/>
      <c r="M78" s="52"/>
      <c r="O78" s="1274"/>
      <c r="P78" s="1274"/>
      <c r="Q78" s="42"/>
      <c r="R78" s="42"/>
      <c r="S78" s="42"/>
      <c r="T78" s="42"/>
      <c r="U78" s="42"/>
      <c r="V78" s="42"/>
      <c r="W78" s="1045" t="s">
        <v>568</v>
      </c>
      <c r="X78" s="1050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</row>
    <row r="79" spans="5:49">
      <c r="E79" s="1691"/>
      <c r="F79" s="1270"/>
      <c r="G79" s="1271"/>
      <c r="H79" s="44"/>
      <c r="I79" s="1272"/>
      <c r="J79" s="1273"/>
      <c r="K79" s="1271"/>
      <c r="L79" s="52"/>
      <c r="M79" s="52"/>
      <c r="O79" s="1275"/>
      <c r="P79" s="1275"/>
      <c r="Q79" s="42"/>
      <c r="R79" s="42"/>
      <c r="S79" s="42"/>
      <c r="T79" s="42"/>
      <c r="U79" s="42"/>
      <c r="V79" s="42"/>
      <c r="W79" s="1045" t="s">
        <v>571</v>
      </c>
      <c r="X79" s="1046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</row>
    <row r="80" spans="5:49">
      <c r="E80" s="1691"/>
      <c r="F80" s="1270"/>
      <c r="G80" s="1271"/>
      <c r="H80" s="44"/>
      <c r="I80" s="1272"/>
      <c r="J80" s="1273"/>
      <c r="K80" s="1271"/>
      <c r="L80" s="52"/>
      <c r="M80" s="52"/>
      <c r="Q80" s="42"/>
      <c r="R80" s="42"/>
      <c r="S80" s="42"/>
      <c r="T80" s="42"/>
      <c r="U80" s="42"/>
      <c r="V80" s="42"/>
      <c r="W80" s="1045" t="s">
        <v>573</v>
      </c>
      <c r="X80" s="1047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</row>
    <row r="81" spans="5:48">
      <c r="E81" s="1691"/>
      <c r="F81" s="1270"/>
      <c r="G81" s="1271"/>
      <c r="H81" s="44"/>
      <c r="I81" s="1272"/>
      <c r="J81" s="1273"/>
      <c r="K81" s="1271"/>
      <c r="L81" s="52"/>
      <c r="M81" s="52"/>
      <c r="Q81" s="42"/>
      <c r="R81" s="42"/>
      <c r="S81" s="42"/>
      <c r="T81" s="42"/>
      <c r="U81" s="42"/>
      <c r="V81" s="42"/>
      <c r="W81" s="1045" t="s">
        <v>575</v>
      </c>
      <c r="X81" s="1048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</row>
    <row r="82" spans="5:48">
      <c r="E82" s="1691"/>
      <c r="F82" s="1268"/>
      <c r="G82" s="1276"/>
      <c r="H82" s="50"/>
      <c r="I82" s="1277"/>
      <c r="K82" s="1276"/>
      <c r="L82" s="1278"/>
      <c r="M82" s="1278"/>
      <c r="Q82" s="42"/>
      <c r="R82" s="42"/>
      <c r="S82" s="42"/>
      <c r="T82" s="42"/>
      <c r="U82" s="42"/>
      <c r="V82" s="42"/>
      <c r="W82" s="51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</row>
    <row r="85" spans="5:48">
      <c r="F85" s="1279"/>
      <c r="N85" s="1274"/>
      <c r="O85" s="1274"/>
      <c r="P85" s="1279"/>
      <c r="Q85" s="1274"/>
      <c r="R85" s="1274"/>
      <c r="S85" s="1274"/>
      <c r="T85" s="1274"/>
      <c r="U85" s="1279"/>
    </row>
    <row r="86" spans="5:48">
      <c r="N86" s="1275"/>
      <c r="O86" s="1275"/>
      <c r="P86" s="1274"/>
      <c r="Q86" s="1280"/>
      <c r="R86" s="1280"/>
      <c r="S86" s="1280"/>
      <c r="T86" s="1280"/>
      <c r="U86" s="1281"/>
    </row>
    <row r="87" spans="5:48">
      <c r="N87" s="1279"/>
      <c r="O87" s="1279"/>
      <c r="P87" s="1274"/>
      <c r="Q87" s="1274"/>
      <c r="R87" s="1274"/>
      <c r="S87" s="1274"/>
      <c r="T87" s="1279"/>
    </row>
    <row r="88" spans="5:48">
      <c r="N88" s="1279"/>
      <c r="O88" s="1274"/>
      <c r="P88" s="1280"/>
      <c r="Q88" s="1280"/>
      <c r="R88" s="1280"/>
      <c r="S88" s="1280"/>
      <c r="T88" s="1281"/>
    </row>
  </sheetData>
  <mergeCells count="159">
    <mergeCell ref="V72:W72"/>
    <mergeCell ref="E74:E75"/>
    <mergeCell ref="F74:I74"/>
    <mergeCell ref="J74:M74"/>
    <mergeCell ref="N74:N76"/>
    <mergeCell ref="E76:E82"/>
    <mergeCell ref="AM68:AN68"/>
    <mergeCell ref="AO68:AP68"/>
    <mergeCell ref="AD69:AE69"/>
    <mergeCell ref="AD70:AE70"/>
    <mergeCell ref="E71:F71"/>
    <mergeCell ref="AA71:AB71"/>
    <mergeCell ref="AD71:AE71"/>
    <mergeCell ref="AG71:AH71"/>
    <mergeCell ref="AA67:AB67"/>
    <mergeCell ref="AD67:AE67"/>
    <mergeCell ref="AM67:AN67"/>
    <mergeCell ref="AO67:AP67"/>
    <mergeCell ref="AD65:AE65"/>
    <mergeCell ref="AF65:AG65"/>
    <mergeCell ref="E66:E69"/>
    <mergeCell ref="AC66:AD66"/>
    <mergeCell ref="AF66:AG66"/>
    <mergeCell ref="AI66:AJ66"/>
    <mergeCell ref="AA68:AB68"/>
    <mergeCell ref="AD68:AE68"/>
    <mergeCell ref="Z65:AB65"/>
    <mergeCell ref="E59:E64"/>
    <mergeCell ref="Z60:AB60"/>
    <mergeCell ref="AD60:AE60"/>
    <mergeCell ref="Z62:AA62"/>
    <mergeCell ref="AA64:AB64"/>
    <mergeCell ref="AD64:AE64"/>
    <mergeCell ref="AF64:AH64"/>
    <mergeCell ref="AL66:AM66"/>
    <mergeCell ref="AO66:AP66"/>
    <mergeCell ref="AG51:AH51"/>
    <mergeCell ref="AJ51:AK51"/>
    <mergeCell ref="E52:E57"/>
    <mergeCell ref="Z52:AB52"/>
    <mergeCell ref="AD52:AE52"/>
    <mergeCell ref="AF53:AH53"/>
    <mergeCell ref="AA54:AB54"/>
    <mergeCell ref="AD54:AE54"/>
    <mergeCell ref="AA55:AB55"/>
    <mergeCell ref="AD55:AE55"/>
    <mergeCell ref="AB56:AD56"/>
    <mergeCell ref="AF57:AG57"/>
    <mergeCell ref="AL48:AM48"/>
    <mergeCell ref="Z49:AA49"/>
    <mergeCell ref="AE49:AF49"/>
    <mergeCell ref="AN49:AO49"/>
    <mergeCell ref="AH50:AI50"/>
    <mergeCell ref="AJ50:AK50"/>
    <mergeCell ref="E47:F47"/>
    <mergeCell ref="Z47:AD47"/>
    <mergeCell ref="AE47:AG47"/>
    <mergeCell ref="AI47:AJ47"/>
    <mergeCell ref="Z48:AA48"/>
    <mergeCell ref="AE48:AF48"/>
    <mergeCell ref="G48:G49"/>
    <mergeCell ref="E44:E46"/>
    <mergeCell ref="AA44:AB44"/>
    <mergeCell ref="AD44:AE44"/>
    <mergeCell ref="AH45:AI45"/>
    <mergeCell ref="Z46:AB46"/>
    <mergeCell ref="AD46:AE46"/>
    <mergeCell ref="E39:E42"/>
    <mergeCell ref="Z39:AA39"/>
    <mergeCell ref="AB39:AD39"/>
    <mergeCell ref="AA41:AB41"/>
    <mergeCell ref="AD41:AE41"/>
    <mergeCell ref="Z32:AA32"/>
    <mergeCell ref="AD32:AE32"/>
    <mergeCell ref="Z33:AA33"/>
    <mergeCell ref="AD33:AE33"/>
    <mergeCell ref="Z37:AA37"/>
    <mergeCell ref="AB37:AD37"/>
    <mergeCell ref="AH41:AI41"/>
    <mergeCell ref="AA43:AB43"/>
    <mergeCell ref="AD43:AE43"/>
    <mergeCell ref="Z38:AA38"/>
    <mergeCell ref="AB38:AD38"/>
    <mergeCell ref="E25:E30"/>
    <mergeCell ref="AA25:AB25"/>
    <mergeCell ref="AD25:AE25"/>
    <mergeCell ref="AA26:AB26"/>
    <mergeCell ref="AD26:AE26"/>
    <mergeCell ref="AA27:AB27"/>
    <mergeCell ref="AD27:AE27"/>
    <mergeCell ref="AA28:AB28"/>
    <mergeCell ref="AD28:AE28"/>
    <mergeCell ref="AA29:AB29"/>
    <mergeCell ref="AD29:AE29"/>
    <mergeCell ref="AA30:AB30"/>
    <mergeCell ref="AD30:AE30"/>
    <mergeCell ref="E32:E37"/>
    <mergeCell ref="Z34:AA34"/>
    <mergeCell ref="AD34:AE34"/>
    <mergeCell ref="Z35:AA35"/>
    <mergeCell ref="AD35:AE35"/>
    <mergeCell ref="Z36:AA36"/>
    <mergeCell ref="AD36:AE36"/>
    <mergeCell ref="AA31:AB31"/>
    <mergeCell ref="AD31:AE31"/>
    <mergeCell ref="L23:M23"/>
    <mergeCell ref="AA23:AB23"/>
    <mergeCell ref="AF23:AG23"/>
    <mergeCell ref="AH23:AI23"/>
    <mergeCell ref="AA24:AB24"/>
    <mergeCell ref="AF24:AG24"/>
    <mergeCell ref="AH24:AI24"/>
    <mergeCell ref="E21:G21"/>
    <mergeCell ref="AB21:AD21"/>
    <mergeCell ref="AG21:AH21"/>
    <mergeCell ref="AA22:AB22"/>
    <mergeCell ref="AF22:AG22"/>
    <mergeCell ref="AH22:AI22"/>
    <mergeCell ref="E19:G19"/>
    <mergeCell ref="AB19:AD19"/>
    <mergeCell ref="AG19:AH19"/>
    <mergeCell ref="E20:G20"/>
    <mergeCell ref="AB20:AD20"/>
    <mergeCell ref="AG20:AH20"/>
    <mergeCell ref="AA16:AB16"/>
    <mergeCell ref="AG16:AH16"/>
    <mergeCell ref="E17:G18"/>
    <mergeCell ref="AA17:AB17"/>
    <mergeCell ref="AD17:AE17"/>
    <mergeCell ref="E1:AP1"/>
    <mergeCell ref="E4:G4"/>
    <mergeCell ref="H4:K4"/>
    <mergeCell ref="P4:Q4"/>
    <mergeCell ref="S4:W5"/>
    <mergeCell ref="Y4:AP5"/>
    <mergeCell ref="E5:G5"/>
    <mergeCell ref="H5:K5"/>
    <mergeCell ref="AA11:AB11"/>
    <mergeCell ref="AF11:AG11"/>
    <mergeCell ref="AH11:AI11"/>
    <mergeCell ref="AL17:AM17"/>
    <mergeCell ref="E13:G13"/>
    <mergeCell ref="AA13:AB13"/>
    <mergeCell ref="AF13:AG13"/>
    <mergeCell ref="AH13:AI13"/>
    <mergeCell ref="E14:G14"/>
    <mergeCell ref="Z14:AA14"/>
    <mergeCell ref="Z10:AB10"/>
    <mergeCell ref="E6:G6"/>
    <mergeCell ref="AA7:AB7"/>
    <mergeCell ref="AH7:AI7"/>
    <mergeCell ref="AA8:AB8"/>
    <mergeCell ref="AH8:AI8"/>
    <mergeCell ref="AA9:AB9"/>
    <mergeCell ref="AH9:AI9"/>
    <mergeCell ref="E12:G12"/>
    <mergeCell ref="AA12:AB12"/>
    <mergeCell ref="AF12:AG12"/>
    <mergeCell ref="AH12:AI12"/>
  </mergeCells>
  <phoneticPr fontId="4" type="noConversion"/>
  <printOptions horizontalCentered="1" verticalCentered="1"/>
  <pageMargins left="0.39370078740157483" right="0.39370078740157483" top="0.39370078740157483" bottom="0.39370078740157483" header="0.19685039370078741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4977-298A-45BC-90A3-03D46AFB9650}">
  <dimension ref="B3:H28"/>
  <sheetViews>
    <sheetView topLeftCell="A16" workbookViewId="0">
      <selection activeCell="F21" sqref="E18:F21"/>
    </sheetView>
  </sheetViews>
  <sheetFormatPr defaultColWidth="9" defaultRowHeight="17"/>
  <cols>
    <col min="1" max="3" width="9" style="2"/>
    <col min="4" max="12" width="9.4140625" style="2" bestFit="1" customWidth="1"/>
    <col min="13" max="13" width="9" style="2"/>
    <col min="14" max="22" width="9.4140625" style="2" bestFit="1" customWidth="1"/>
    <col min="23" max="16384" width="9" style="2"/>
  </cols>
  <sheetData>
    <row r="3" spans="2:3">
      <c r="B3" s="1036" t="s">
        <v>559</v>
      </c>
    </row>
    <row r="4" spans="2:3">
      <c r="B4" s="1036" t="s">
        <v>560</v>
      </c>
    </row>
    <row r="5" spans="2:3">
      <c r="B5" s="1037"/>
    </row>
    <row r="6" spans="2:3">
      <c r="B6" s="1038"/>
    </row>
    <row r="7" spans="2:3">
      <c r="B7" s="1039"/>
      <c r="C7" s="1036" t="s">
        <v>561</v>
      </c>
    </row>
    <row r="8" spans="2:3">
      <c r="B8" s="1040"/>
      <c r="C8" s="1036" t="s">
        <v>563</v>
      </c>
    </row>
    <row r="9" spans="2:3">
      <c r="B9" s="1041"/>
    </row>
    <row r="10" spans="2:3">
      <c r="B10" s="1042"/>
    </row>
    <row r="11" spans="2:3">
      <c r="B11" s="1043"/>
      <c r="C11" s="1036" t="s">
        <v>562</v>
      </c>
    </row>
    <row r="17" spans="5:8">
      <c r="E17" s="1044" t="s">
        <v>564</v>
      </c>
      <c r="F17" s="1044" t="s">
        <v>565</v>
      </c>
      <c r="G17" s="1044" t="s">
        <v>566</v>
      </c>
      <c r="H17" s="1044" t="s">
        <v>567</v>
      </c>
    </row>
    <row r="18" spans="5:8" ht="34">
      <c r="E18" s="1045" t="s">
        <v>568</v>
      </c>
      <c r="F18" s="1050"/>
      <c r="G18" s="1045" t="s">
        <v>569</v>
      </c>
      <c r="H18" s="1045" t="s">
        <v>570</v>
      </c>
    </row>
    <row r="19" spans="5:8" ht="51">
      <c r="E19" s="1045" t="s">
        <v>571</v>
      </c>
      <c r="F19" s="1046"/>
      <c r="G19" s="1045" t="s">
        <v>569</v>
      </c>
      <c r="H19" s="1045" t="s">
        <v>572</v>
      </c>
    </row>
    <row r="20" spans="5:8" ht="51">
      <c r="E20" s="1045" t="s">
        <v>573</v>
      </c>
      <c r="F20" s="1047"/>
      <c r="G20" s="1045" t="s">
        <v>569</v>
      </c>
      <c r="H20" s="1045" t="s">
        <v>574</v>
      </c>
    </row>
    <row r="21" spans="5:8" ht="51">
      <c r="E21" s="1045" t="s">
        <v>575</v>
      </c>
      <c r="F21" s="1048"/>
      <c r="G21" s="1045" t="s">
        <v>569</v>
      </c>
      <c r="H21" s="1045" t="s">
        <v>576</v>
      </c>
    </row>
    <row r="22" spans="5:8" ht="51">
      <c r="E22" s="1045" t="s">
        <v>577</v>
      </c>
      <c r="F22" s="1049"/>
      <c r="G22" s="1045" t="s">
        <v>578</v>
      </c>
      <c r="H22" s="1045" t="s">
        <v>579</v>
      </c>
    </row>
    <row r="23" spans="5:8" ht="51">
      <c r="E23" s="1045" t="s">
        <v>580</v>
      </c>
      <c r="F23" s="1051"/>
      <c r="G23" s="1045" t="s">
        <v>578</v>
      </c>
      <c r="H23" s="1045" t="s">
        <v>581</v>
      </c>
    </row>
    <row r="24" spans="5:8" ht="34">
      <c r="E24" s="1045" t="s">
        <v>582</v>
      </c>
      <c r="F24" s="1045"/>
      <c r="G24" s="1045" t="s">
        <v>578</v>
      </c>
      <c r="H24" s="1045" t="s">
        <v>583</v>
      </c>
    </row>
    <row r="25" spans="5:8" ht="51">
      <c r="E25" s="1045" t="s">
        <v>584</v>
      </c>
      <c r="F25" s="1045"/>
      <c r="G25" s="1045" t="s">
        <v>578</v>
      </c>
      <c r="H25" s="1045" t="s">
        <v>585</v>
      </c>
    </row>
    <row r="26" spans="5:8" ht="51">
      <c r="E26" s="1045" t="s">
        <v>586</v>
      </c>
      <c r="F26" s="1228"/>
      <c r="G26" s="1045" t="s">
        <v>578</v>
      </c>
      <c r="H26" s="1045" t="s">
        <v>587</v>
      </c>
    </row>
    <row r="27" spans="5:8" ht="34">
      <c r="E27" s="1045" t="s">
        <v>588</v>
      </c>
      <c r="F27" s="1045"/>
      <c r="G27" s="1045" t="s">
        <v>578</v>
      </c>
      <c r="H27" s="1045" t="s">
        <v>589</v>
      </c>
    </row>
    <row r="28" spans="5:8" ht="34">
      <c r="E28" s="1045" t="s">
        <v>590</v>
      </c>
      <c r="F28" s="1052"/>
      <c r="G28" s="1045" t="s">
        <v>578</v>
      </c>
      <c r="H28" s="1045" t="s">
        <v>591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A393-5E9A-4801-9D1B-FCCE37B6DC58}">
  <sheetPr>
    <tabColor rgb="FFFFFF00"/>
  </sheetPr>
  <dimension ref="A1:CB132"/>
  <sheetViews>
    <sheetView zoomScale="85" zoomScaleNormal="85" workbookViewId="0">
      <selection activeCell="B8" sqref="B8:B11"/>
    </sheetView>
  </sheetViews>
  <sheetFormatPr defaultColWidth="9" defaultRowHeight="17" outlineLevelRow="1"/>
  <cols>
    <col min="1" max="2" width="12.58203125" style="2" customWidth="1"/>
    <col min="3" max="3" width="8.58203125" style="2" customWidth="1"/>
    <col min="4" max="5" width="12.58203125" style="2" customWidth="1"/>
    <col min="6" max="69" width="9.58203125" style="2" customWidth="1"/>
    <col min="70" max="76" width="9.58203125" style="2" hidden="1" customWidth="1"/>
    <col min="77" max="77" width="12.58203125" style="2" customWidth="1"/>
    <col min="78" max="78" width="1.58203125" style="2" customWidth="1"/>
    <col min="79" max="79" width="12.58203125" style="2" customWidth="1"/>
    <col min="80" max="80" width="8.58203125" style="2" customWidth="1"/>
    <col min="81" max="16384" width="9" style="2"/>
  </cols>
  <sheetData>
    <row r="1" spans="1:80" ht="25.5">
      <c r="A1" s="53" t="s">
        <v>266</v>
      </c>
      <c r="B1" s="54"/>
      <c r="C1" s="54"/>
      <c r="D1" s="55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5"/>
      <c r="Q1" s="55"/>
      <c r="R1" s="57"/>
      <c r="S1" s="57"/>
      <c r="T1" s="55"/>
      <c r="U1" s="55"/>
      <c r="V1" s="58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5"/>
      <c r="BW1" s="55"/>
      <c r="BX1" s="55"/>
      <c r="BY1" s="60"/>
      <c r="BZ1" s="60"/>
      <c r="CA1" s="55"/>
      <c r="CB1" s="55"/>
    </row>
    <row r="2" spans="1:80" ht="3" customHeight="1">
      <c r="A2" s="61"/>
      <c r="B2" s="61"/>
      <c r="C2" s="61"/>
      <c r="D2" s="62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5"/>
      <c r="AT2" s="65"/>
      <c r="AU2" s="65"/>
      <c r="AV2" s="65"/>
      <c r="AW2" s="65"/>
      <c r="AX2" s="65"/>
      <c r="AY2" s="65"/>
      <c r="AZ2" s="66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3"/>
      <c r="BZ2" s="67"/>
      <c r="CA2" s="68"/>
      <c r="CB2" s="68"/>
    </row>
    <row r="3" spans="1:80" ht="17.5" thickBot="1">
      <c r="A3" s="69"/>
      <c r="B3" s="70"/>
      <c r="C3" s="70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  <c r="T3" s="74"/>
      <c r="U3" s="73" t="s">
        <v>267</v>
      </c>
      <c r="V3" s="74"/>
      <c r="W3" s="74"/>
      <c r="X3" s="73" t="s">
        <v>267</v>
      </c>
      <c r="Y3" s="75"/>
      <c r="Z3" s="70" t="s">
        <v>268</v>
      </c>
      <c r="AA3" s="75" t="s">
        <v>269</v>
      </c>
      <c r="AB3" s="75"/>
      <c r="AC3" s="75"/>
      <c r="AD3" s="75" t="s">
        <v>269</v>
      </c>
      <c r="AE3" s="75"/>
      <c r="AF3" s="75"/>
      <c r="AG3" s="75" t="s">
        <v>269</v>
      </c>
      <c r="AH3" s="75"/>
      <c r="AI3" s="75"/>
      <c r="AJ3" s="75" t="s">
        <v>269</v>
      </c>
      <c r="AK3" s="75"/>
      <c r="AL3" s="75"/>
      <c r="AM3" s="75" t="s">
        <v>269</v>
      </c>
      <c r="AN3" s="75"/>
      <c r="AO3" s="75"/>
      <c r="AP3" s="75" t="s">
        <v>269</v>
      </c>
      <c r="AQ3" s="75"/>
      <c r="AR3" s="75"/>
      <c r="AS3" s="75" t="s">
        <v>269</v>
      </c>
      <c r="AT3" s="75"/>
      <c r="AU3" s="75"/>
      <c r="AV3" s="75" t="s">
        <v>269</v>
      </c>
      <c r="AW3" s="75"/>
      <c r="AX3" s="75"/>
      <c r="AY3" s="75" t="s">
        <v>269</v>
      </c>
      <c r="AZ3" s="75"/>
      <c r="BA3" s="75"/>
      <c r="BB3" s="75" t="s">
        <v>269</v>
      </c>
      <c r="BC3" s="75"/>
      <c r="BD3" s="74"/>
      <c r="BE3" s="75" t="s">
        <v>269</v>
      </c>
      <c r="BF3" s="75"/>
      <c r="BG3" s="75"/>
      <c r="BH3" s="75" t="s">
        <v>269</v>
      </c>
      <c r="BI3" s="75"/>
      <c r="BJ3" s="74"/>
      <c r="BK3" s="75" t="s">
        <v>269</v>
      </c>
      <c r="BL3" s="75"/>
      <c r="BM3" s="75"/>
      <c r="BN3" s="75" t="s">
        <v>269</v>
      </c>
      <c r="BO3" s="74"/>
      <c r="BP3" s="75"/>
      <c r="BQ3" s="75" t="s">
        <v>269</v>
      </c>
      <c r="BR3" s="74"/>
      <c r="BS3" s="74"/>
      <c r="BT3" s="75"/>
      <c r="BU3" s="75"/>
      <c r="BV3" s="75"/>
      <c r="BW3" s="75"/>
      <c r="BX3" s="75"/>
      <c r="BY3" s="67" t="s">
        <v>270</v>
      </c>
      <c r="BZ3" s="67"/>
      <c r="CA3" s="74"/>
      <c r="CB3" s="74"/>
    </row>
    <row r="4" spans="1:80">
      <c r="A4" s="1727" t="s">
        <v>271</v>
      </c>
      <c r="B4" s="1727"/>
      <c r="C4" s="1727"/>
      <c r="D4" s="1727"/>
      <c r="E4" s="76" t="s">
        <v>272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7"/>
      <c r="S4" s="76"/>
      <c r="T4" s="78"/>
      <c r="U4" s="79" t="s">
        <v>273</v>
      </c>
      <c r="V4" s="80"/>
      <c r="W4" s="81"/>
      <c r="X4" s="82"/>
      <c r="Y4" s="83"/>
      <c r="Z4" s="84">
        <f>수입!G7</f>
        <v>1</v>
      </c>
      <c r="AA4" s="78">
        <f>수입!H7</f>
        <v>2</v>
      </c>
      <c r="AB4" s="80">
        <f>수입!I7</f>
        <v>3</v>
      </c>
      <c r="AC4" s="80">
        <f>수입!J7</f>
        <v>4</v>
      </c>
      <c r="AD4" s="80">
        <f>수입!K7</f>
        <v>5</v>
      </c>
      <c r="AE4" s="80">
        <f>수입!L7</f>
        <v>6</v>
      </c>
      <c r="AF4" s="80">
        <f>수입!M7</f>
        <v>7</v>
      </c>
      <c r="AG4" s="80">
        <f>수입!N7</f>
        <v>8</v>
      </c>
      <c r="AH4" s="80">
        <f>수입!O7</f>
        <v>9</v>
      </c>
      <c r="AI4" s="80">
        <f>수입!P7</f>
        <v>10</v>
      </c>
      <c r="AJ4" s="80">
        <f>수입!Q7</f>
        <v>11</v>
      </c>
      <c r="AK4" s="80">
        <f>수입!R7</f>
        <v>12</v>
      </c>
      <c r="AL4" s="80">
        <f>수입!S7</f>
        <v>13</v>
      </c>
      <c r="AM4" s="80">
        <f>수입!T7</f>
        <v>14</v>
      </c>
      <c r="AN4" s="80">
        <f>수입!U7</f>
        <v>15</v>
      </c>
      <c r="AO4" s="80">
        <f>수입!V7</f>
        <v>16</v>
      </c>
      <c r="AP4" s="80">
        <f>수입!W7</f>
        <v>17</v>
      </c>
      <c r="AQ4" s="80">
        <f>수입!X7</f>
        <v>18</v>
      </c>
      <c r="AR4" s="80">
        <f>수입!Y7</f>
        <v>19</v>
      </c>
      <c r="AS4" s="82">
        <f>수입!Z7</f>
        <v>20</v>
      </c>
      <c r="AT4" s="80">
        <f>수입!AA7</f>
        <v>21</v>
      </c>
      <c r="AU4" s="78">
        <f>수입!AB7</f>
        <v>22</v>
      </c>
      <c r="AV4" s="82">
        <f>수입!AC7</f>
        <v>23</v>
      </c>
      <c r="AW4" s="80">
        <f>수입!AD7</f>
        <v>24</v>
      </c>
      <c r="AX4" s="80">
        <f>수입!AE7</f>
        <v>25</v>
      </c>
      <c r="AY4" s="80">
        <f>수입!AF7</f>
        <v>26</v>
      </c>
      <c r="AZ4" s="80">
        <f>수입!AG7</f>
        <v>27</v>
      </c>
      <c r="BA4" s="78">
        <f>수입!AH7</f>
        <v>28</v>
      </c>
      <c r="BB4" s="80">
        <f>수입!AI7</f>
        <v>29</v>
      </c>
      <c r="BC4" s="80">
        <f>수입!AJ7</f>
        <v>30</v>
      </c>
      <c r="BD4" s="80">
        <f>수입!AK7</f>
        <v>31</v>
      </c>
      <c r="BE4" s="80">
        <f>수입!AL7</f>
        <v>32</v>
      </c>
      <c r="BF4" s="80">
        <f>수입!AM7</f>
        <v>33</v>
      </c>
      <c r="BG4" s="82">
        <f>수입!AN7</f>
        <v>34</v>
      </c>
      <c r="BH4" s="80">
        <f>수입!AO7</f>
        <v>35</v>
      </c>
      <c r="BI4" s="81">
        <f>수입!AP7</f>
        <v>36</v>
      </c>
      <c r="BJ4" s="80">
        <f>수입!AQ7</f>
        <v>37</v>
      </c>
      <c r="BK4" s="84">
        <f>수입!AR7</f>
        <v>38</v>
      </c>
      <c r="BL4" s="82">
        <f>수입!AS7</f>
        <v>39</v>
      </c>
      <c r="BM4" s="82">
        <f>수입!AT7</f>
        <v>40</v>
      </c>
      <c r="BN4" s="80">
        <f>수입!AU7</f>
        <v>41</v>
      </c>
      <c r="BO4" s="81">
        <f>수입!AV7</f>
        <v>42</v>
      </c>
      <c r="BP4" s="80">
        <f>수입!AW7</f>
        <v>43</v>
      </c>
      <c r="BQ4" s="81">
        <f>수입!AX7</f>
        <v>44</v>
      </c>
      <c r="BR4" s="82">
        <f>수입!AY7</f>
        <v>45</v>
      </c>
      <c r="BS4" s="80">
        <f>수입!AZ7</f>
        <v>46</v>
      </c>
      <c r="BT4" s="78">
        <f>수입!BA7</f>
        <v>47</v>
      </c>
      <c r="BU4" s="78">
        <f>수입!BB7</f>
        <v>48</v>
      </c>
      <c r="BV4" s="80">
        <f>수입!BC7</f>
        <v>49</v>
      </c>
      <c r="BW4" s="80">
        <f>수입!BD7</f>
        <v>50</v>
      </c>
      <c r="BX4" s="80">
        <f>수입!BE7</f>
        <v>51</v>
      </c>
      <c r="BY4" s="1705" t="s">
        <v>274</v>
      </c>
      <c r="BZ4" s="85"/>
      <c r="CA4" s="1706" t="s">
        <v>275</v>
      </c>
      <c r="CB4" s="1709" t="s">
        <v>276</v>
      </c>
    </row>
    <row r="5" spans="1:80">
      <c r="A5" s="1727"/>
      <c r="B5" s="1727"/>
      <c r="C5" s="1727"/>
      <c r="D5" s="1727"/>
      <c r="E5" s="86" t="s">
        <v>277</v>
      </c>
      <c r="F5" s="86"/>
      <c r="G5" s="86"/>
      <c r="H5" s="86" t="s">
        <v>278</v>
      </c>
      <c r="I5" s="86" t="s">
        <v>279</v>
      </c>
      <c r="J5" s="86"/>
      <c r="K5" s="86"/>
      <c r="L5" s="86"/>
      <c r="M5" s="86"/>
      <c r="N5" s="86"/>
      <c r="O5" s="86"/>
      <c r="P5" s="86"/>
      <c r="Q5" s="86"/>
      <c r="R5" s="87"/>
      <c r="S5" s="86" t="s">
        <v>280</v>
      </c>
      <c r="T5" s="88"/>
      <c r="U5" s="89"/>
      <c r="V5" s="90"/>
      <c r="W5" s="91" t="s">
        <v>281</v>
      </c>
      <c r="X5" s="92"/>
      <c r="Y5" s="93"/>
      <c r="Z5" s="94" t="str">
        <f>IF(수입!G9&gt;0,수입!G9,"")</f>
        <v>계약금</v>
      </c>
      <c r="AA5" s="95" t="str">
        <f>IF(수입!H9&gt;0,수입!H9,"")</f>
        <v/>
      </c>
      <c r="AB5" s="90" t="str">
        <f>IF(수입!I9&gt;0,수입!I9,"")</f>
        <v/>
      </c>
      <c r="AC5" s="90" t="str">
        <f>IF(수입!J9&gt;0,수입!J9,"")</f>
        <v/>
      </c>
      <c r="AD5" s="90" t="str">
        <f>IF(수입!K9&gt;0,수입!K9,"")</f>
        <v/>
      </c>
      <c r="AE5" s="90" t="str">
        <f>IF(수입!L9&gt;0,수입!L9,"")</f>
        <v>1차중도금</v>
      </c>
      <c r="AF5" s="90" t="str">
        <f>IF(수입!M9&gt;0,수입!M9,"")</f>
        <v/>
      </c>
      <c r="AG5" s="90" t="str">
        <f>IF(수입!N9&gt;0,수입!N9,"")</f>
        <v/>
      </c>
      <c r="AH5" s="90" t="str">
        <f>IF(수입!O9&gt;0,수입!O9,"")</f>
        <v/>
      </c>
      <c r="AI5" s="90" t="str">
        <f>IF(수입!P9&gt;0,수입!P9,"")</f>
        <v/>
      </c>
      <c r="AJ5" s="90" t="str">
        <f>IF(수입!Q9&gt;0,수입!Q9,"")</f>
        <v>2차중도금</v>
      </c>
      <c r="AK5" s="90" t="str">
        <f>IF(수입!R9&gt;0,수입!R9,"")</f>
        <v/>
      </c>
      <c r="AL5" s="90" t="str">
        <f>IF(수입!S9&gt;0,수입!S9,"")</f>
        <v/>
      </c>
      <c r="AM5" s="90" t="str">
        <f>IF(수입!T9&gt;0,수입!T9,"")</f>
        <v/>
      </c>
      <c r="AN5" s="90" t="str">
        <f>IF(수입!U9&gt;0,수입!U9,"")</f>
        <v/>
      </c>
      <c r="AO5" s="90" t="str">
        <f>IF(수입!V9&gt;0,수입!V9,"")</f>
        <v>3차중도금</v>
      </c>
      <c r="AP5" s="90" t="str">
        <f>IF(수입!W9&gt;0,수입!W9,"")</f>
        <v/>
      </c>
      <c r="AQ5" s="90" t="str">
        <f>IF(수입!X9&gt;0,수입!X9,"")</f>
        <v/>
      </c>
      <c r="AR5" s="90" t="str">
        <f>IF(수입!Y9&gt;0,수입!Y9,"")</f>
        <v/>
      </c>
      <c r="AS5" s="92" t="str">
        <f>IF(수입!Z9&gt;0,수입!Z9,"")</f>
        <v/>
      </c>
      <c r="AT5" s="90" t="str">
        <f>IF(수입!AA9&gt;0,수입!AA9,"")</f>
        <v/>
      </c>
      <c r="AU5" s="95" t="str">
        <f>IF(수입!AB9&gt;0,수입!AB9,"")</f>
        <v>4차중도금</v>
      </c>
      <c r="AV5" s="92" t="str">
        <f>IF(수입!AC9&gt;0,수입!AC9,"")</f>
        <v/>
      </c>
      <c r="AW5" s="90" t="str">
        <f>IF(수입!AD9&gt;0,수입!AD9,"")</f>
        <v/>
      </c>
      <c r="AX5" s="90" t="str">
        <f>IF(수입!AE9&gt;0,수입!AE9,"")</f>
        <v/>
      </c>
      <c r="AY5" s="90" t="str">
        <f>IF(수입!AF9&gt;0,수입!AF9,"")</f>
        <v/>
      </c>
      <c r="AZ5" s="90" t="str">
        <f>IF(수입!AG9&gt;0,수입!AG9,"")</f>
        <v>5차중도금</v>
      </c>
      <c r="BA5" s="95" t="str">
        <f>IF(수입!AH9&gt;0,수입!AH9,"")</f>
        <v/>
      </c>
      <c r="BB5" s="90" t="str">
        <f>IF(수입!AI9&gt;0,수입!AI9,"")</f>
        <v/>
      </c>
      <c r="BC5" s="90" t="str">
        <f>IF(수입!AJ9&gt;0,수입!AJ9,"")</f>
        <v/>
      </c>
      <c r="BD5" s="90" t="str">
        <f>IF(수입!AK9&gt;0,수입!AK9,"")</f>
        <v/>
      </c>
      <c r="BE5" s="90" t="str">
        <f>IF(수입!AL9&gt;0,수입!AL9,"")</f>
        <v>6차중도금</v>
      </c>
      <c r="BF5" s="90" t="str">
        <f>IF(수입!AM9&gt;0,수입!AM9,"")</f>
        <v/>
      </c>
      <c r="BG5" s="92" t="str">
        <f>IF(수입!AN9&gt;0,수입!AN9,"")</f>
        <v/>
      </c>
      <c r="BH5" s="90" t="str">
        <f>IF(수입!AO9&gt;0,수입!AO9,"")</f>
        <v/>
      </c>
      <c r="BI5" s="91" t="str">
        <f>IF(수입!AP9&gt;0,수입!AP9,"")</f>
        <v/>
      </c>
      <c r="BJ5" s="90" t="str">
        <f>IF(수입!AQ9&gt;0,수입!AQ9,"")</f>
        <v/>
      </c>
      <c r="BK5" s="94" t="str">
        <f>IF(수입!AR9&gt;0,수입!AR9,"")</f>
        <v>입주/잔금1</v>
      </c>
      <c r="BL5" s="92" t="str">
        <f>IF(수입!AS9&gt;0,수입!AS9,"")</f>
        <v>입주/잔금2</v>
      </c>
      <c r="BM5" s="92" t="str">
        <f>IF(수입!AT9&gt;0,수입!AT9,"")</f>
        <v>입주/잔금3</v>
      </c>
      <c r="BN5" s="90" t="str">
        <f>IF(수입!AU9&gt;0,수입!AU9,"")</f>
        <v>입주/잔금4</v>
      </c>
      <c r="BO5" s="91" t="str">
        <f>IF(수입!AV9&gt;0,수입!AV9,"")</f>
        <v>입주/잔금5</v>
      </c>
      <c r="BP5" s="90" t="str">
        <f>IF(수입!AW9&gt;0,수입!AW9,"")</f>
        <v/>
      </c>
      <c r="BQ5" s="91" t="str">
        <f>IF(수입!AX9&gt;0,수입!AX9,"")</f>
        <v/>
      </c>
      <c r="BR5" s="92" t="str">
        <f>IF(수입!AY9&gt;0,수입!AY9,"")</f>
        <v/>
      </c>
      <c r="BS5" s="90" t="str">
        <f>IF(수입!AZ9&gt;0,수입!AZ9,"")</f>
        <v/>
      </c>
      <c r="BT5" s="95" t="str">
        <f>IF(수입!BA9&gt;0,수입!BA9,"")</f>
        <v/>
      </c>
      <c r="BU5" s="95" t="str">
        <f>IF(수입!BB9&gt;0,수입!BB9,"")</f>
        <v/>
      </c>
      <c r="BV5" s="90" t="str">
        <f>IF(수입!BC9&gt;0,수입!BC9,"")</f>
        <v/>
      </c>
      <c r="BW5" s="90" t="str">
        <f>IF(수입!BD9&gt;0,수입!BD9,"")</f>
        <v/>
      </c>
      <c r="BX5" s="90" t="str">
        <f>IF(수입!BE9&gt;0,수입!BE9,"")</f>
        <v/>
      </c>
      <c r="BY5" s="1705"/>
      <c r="BZ5" s="85"/>
      <c r="CA5" s="1707"/>
      <c r="CB5" s="1709"/>
    </row>
    <row r="6" spans="1:80">
      <c r="A6" s="1727"/>
      <c r="B6" s="1727"/>
      <c r="C6" s="1727"/>
      <c r="D6" s="1727"/>
      <c r="E6" s="96" t="s">
        <v>282</v>
      </c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8"/>
      <c r="U6" s="99"/>
      <c r="V6" s="100"/>
      <c r="W6" s="101"/>
      <c r="X6" s="102"/>
      <c r="Y6" s="103"/>
      <c r="Z6" s="104">
        <f ca="1">($E$8*Z11+$E$12*Z15+$E$16*Z19+$E$20*Z23)/SUM($E$8,$E$12,$E$16,$E$20)</f>
        <v>0.17554497902887325</v>
      </c>
      <c r="AA6" s="105">
        <f ca="1">($E$8*AA11+$E$12*AA15+$E$16*AA19+$E$20*AA23)/SUM($E$8,$E$12,$E$16,$E$20)+Z6</f>
        <v>0.2633174685433099</v>
      </c>
      <c r="AB6" s="106">
        <f t="shared" ref="AB6:BG6" ca="1" si="0">($E$8*AB11+$E$12*AB15+$E$16*AB19+$E$20*AB23)/SUM($E$8,$E$12,$E$16,$E$20)+AA6</f>
        <v>0.29257496504812208</v>
      </c>
      <c r="AC6" s="106">
        <f t="shared" ca="1" si="0"/>
        <v>0.32183246155293432</v>
      </c>
      <c r="AD6" s="106">
        <f t="shared" ca="1" si="0"/>
        <v>0.35108995805774657</v>
      </c>
      <c r="AE6" s="106">
        <f t="shared" ca="1" si="0"/>
        <v>0.38034745456255881</v>
      </c>
      <c r="AF6" s="106">
        <f t="shared" ca="1" si="0"/>
        <v>0.59055087944961948</v>
      </c>
      <c r="AG6" s="106">
        <f t="shared" ca="1" si="0"/>
        <v>0.66540751851550195</v>
      </c>
      <c r="AH6" s="106">
        <f t="shared" ca="1" si="0"/>
        <v>0.70370451991357708</v>
      </c>
      <c r="AI6" s="106">
        <f t="shared" ca="1" si="0"/>
        <v>0.7420015213116522</v>
      </c>
      <c r="AJ6" s="106">
        <f t="shared" ca="1" si="0"/>
        <v>0.78029852270972733</v>
      </c>
      <c r="AK6" s="106">
        <f t="shared" ca="1" si="0"/>
        <v>0.81859552410780245</v>
      </c>
      <c r="AL6" s="106">
        <f t="shared" ca="1" si="0"/>
        <v>0.84958059797231611</v>
      </c>
      <c r="AM6" s="106">
        <f t="shared" ca="1" si="0"/>
        <v>0.88056567183682977</v>
      </c>
      <c r="AN6" s="106">
        <f t="shared" ca="1" si="0"/>
        <v>0.91155074570134342</v>
      </c>
      <c r="AO6" s="106">
        <f t="shared" ca="1" si="0"/>
        <v>0.93887985579907629</v>
      </c>
      <c r="AP6" s="106">
        <f t="shared" ca="1" si="0"/>
        <v>0.96522389203229553</v>
      </c>
      <c r="AQ6" s="106">
        <f t="shared" ca="1" si="0"/>
        <v>0.98522389203229555</v>
      </c>
      <c r="AR6" s="106">
        <f t="shared" ca="1" si="0"/>
        <v>0.98522389203229555</v>
      </c>
      <c r="AS6" s="106">
        <f t="shared" ca="1" si="0"/>
        <v>0.98522389203229555</v>
      </c>
      <c r="AT6" s="106">
        <f t="shared" ca="1" si="0"/>
        <v>0.98522389203229555</v>
      </c>
      <c r="AU6" s="106">
        <f t="shared" ca="1" si="0"/>
        <v>0.98522389203229555</v>
      </c>
      <c r="AV6" s="107">
        <f t="shared" ca="1" si="0"/>
        <v>0.98522389203229555</v>
      </c>
      <c r="AW6" s="106">
        <f t="shared" ca="1" si="0"/>
        <v>0.98522389203229555</v>
      </c>
      <c r="AX6" s="106">
        <f t="shared" ca="1" si="0"/>
        <v>0.98522389203229555</v>
      </c>
      <c r="AY6" s="106">
        <f t="shared" ca="1" si="0"/>
        <v>0.98522389203229555</v>
      </c>
      <c r="AZ6" s="106">
        <f t="shared" ca="1" si="0"/>
        <v>0.98522389203229555</v>
      </c>
      <c r="BA6" s="106">
        <f t="shared" ca="1" si="0"/>
        <v>0.98522389203229555</v>
      </c>
      <c r="BB6" s="106">
        <f t="shared" ca="1" si="0"/>
        <v>0.98522389203229555</v>
      </c>
      <c r="BC6" s="106">
        <f t="shared" ca="1" si="0"/>
        <v>0.98522389203229555</v>
      </c>
      <c r="BD6" s="106">
        <f t="shared" ca="1" si="0"/>
        <v>0.98522389203229555</v>
      </c>
      <c r="BE6" s="106">
        <f t="shared" ca="1" si="0"/>
        <v>0.98522389203229555</v>
      </c>
      <c r="BF6" s="106">
        <f t="shared" ca="1" si="0"/>
        <v>0.98522389203229555</v>
      </c>
      <c r="BG6" s="107">
        <f t="shared" ca="1" si="0"/>
        <v>0.98522389203229555</v>
      </c>
      <c r="BH6" s="106">
        <f ca="1">($E$8*BH11+$E$12*BH15+$E$16*BH19+$E$20*BH23)/SUM($E$8,$E$12,$E$16,$E$20)+BG6</f>
        <v>0.98522389203229555</v>
      </c>
      <c r="BI6" s="108">
        <f ca="1">($E$8*BI11+$E$12*BI15+$E$16*BI19+$E$20*BI23)/SUM($E$8,$E$12,$E$16,$E$20)+BH6</f>
        <v>0.98522389203229555</v>
      </c>
      <c r="BJ6" s="106">
        <f ca="1">($E$8*BJ11+$E$12*BJ15+$E$16*BJ19+$E$20*BJ23)/SUM($E$8,$E$12,$E$16,$E$20)+BI6</f>
        <v>0.98522389203229555</v>
      </c>
      <c r="BK6" s="104">
        <f t="shared" ref="BK6:BT6" ca="1" si="1">($E$8*BK11+$E$12*BK15+$E$16*BK19+$E$20*BK23)/SUM($E$8,$E$12,$E$16,$E$20)+BJ6</f>
        <v>0.98522389203229555</v>
      </c>
      <c r="BL6" s="107">
        <f t="shared" ca="1" si="1"/>
        <v>0.98522389203229555</v>
      </c>
      <c r="BM6" s="107">
        <f t="shared" ca="1" si="1"/>
        <v>0.98522389203229555</v>
      </c>
      <c r="BN6" s="106">
        <f t="shared" ca="1" si="1"/>
        <v>1</v>
      </c>
      <c r="BO6" s="108">
        <f t="shared" ca="1" si="1"/>
        <v>1</v>
      </c>
      <c r="BP6" s="106">
        <f t="shared" ca="1" si="1"/>
        <v>1</v>
      </c>
      <c r="BQ6" s="108">
        <f t="shared" ca="1" si="1"/>
        <v>1</v>
      </c>
      <c r="BR6" s="107">
        <f t="shared" ca="1" si="1"/>
        <v>1</v>
      </c>
      <c r="BS6" s="106">
        <f t="shared" ca="1" si="1"/>
        <v>1</v>
      </c>
      <c r="BT6" s="105">
        <f t="shared" ca="1" si="1"/>
        <v>1</v>
      </c>
      <c r="BU6" s="105">
        <f ca="1">($E$8*BU11+$E$12*BU15+$E$16*BU19+$E$20*BU23)/SUM($E$8,$E$12,$E$16,$E$20)+BT6</f>
        <v>1</v>
      </c>
      <c r="BV6" s="106">
        <f ca="1">($E$8*BV11+$E$12*BV15+$E$16*BV19+$E$20*BV23)/SUM($E$8,$E$12,$E$16,$E$20)+BU6</f>
        <v>1</v>
      </c>
      <c r="BW6" s="106">
        <f ca="1">($E$8*BW11+$E$12*BW15+$E$16*BW19+$E$20*BW23)/SUM($E$8,$E$12,$E$16,$E$20)+BV6</f>
        <v>1</v>
      </c>
      <c r="BX6" s="106">
        <f ca="1">($E$8*BX11+$E$12*BX15+$E$16*BX19+$E$20*BX23)/SUM($E$8,$E$12,$E$16,$E$20)+BW6</f>
        <v>1</v>
      </c>
      <c r="BY6" s="1705"/>
      <c r="BZ6" s="85"/>
      <c r="CA6" s="1707"/>
      <c r="CB6" s="1709"/>
    </row>
    <row r="7" spans="1:80">
      <c r="A7" s="1727"/>
      <c r="B7" s="1727"/>
      <c r="C7" s="1727"/>
      <c r="D7" s="1727"/>
      <c r="E7" s="109" t="s">
        <v>283</v>
      </c>
      <c r="F7" s="110">
        <f t="shared" ref="F7:Y7" si="2">DATE(YEAR(G7),MONTH(G7)-1,DAY(G7))</f>
        <v>44228</v>
      </c>
      <c r="G7" s="110">
        <f t="shared" si="2"/>
        <v>44256</v>
      </c>
      <c r="H7" s="110">
        <f t="shared" si="2"/>
        <v>44287</v>
      </c>
      <c r="I7" s="110">
        <f t="shared" si="2"/>
        <v>44317</v>
      </c>
      <c r="J7" s="110">
        <f t="shared" si="2"/>
        <v>44348</v>
      </c>
      <c r="K7" s="110">
        <f t="shared" si="2"/>
        <v>44378</v>
      </c>
      <c r="L7" s="110">
        <f t="shared" si="2"/>
        <v>44409</v>
      </c>
      <c r="M7" s="110">
        <f t="shared" si="2"/>
        <v>44440</v>
      </c>
      <c r="N7" s="110">
        <f t="shared" si="2"/>
        <v>44470</v>
      </c>
      <c r="O7" s="110">
        <f t="shared" si="2"/>
        <v>44501</v>
      </c>
      <c r="P7" s="110">
        <f t="shared" si="2"/>
        <v>44531</v>
      </c>
      <c r="Q7" s="110">
        <f t="shared" si="2"/>
        <v>44562</v>
      </c>
      <c r="R7" s="111">
        <f t="shared" si="2"/>
        <v>44593</v>
      </c>
      <c r="S7" s="110">
        <f t="shared" si="2"/>
        <v>44621</v>
      </c>
      <c r="T7" s="112">
        <f t="shared" si="2"/>
        <v>44652</v>
      </c>
      <c r="U7" s="113">
        <f t="shared" si="2"/>
        <v>44682</v>
      </c>
      <c r="V7" s="110">
        <f t="shared" si="2"/>
        <v>44713</v>
      </c>
      <c r="W7" s="114">
        <f t="shared" si="2"/>
        <v>44743</v>
      </c>
      <c r="X7" s="111">
        <f t="shared" si="2"/>
        <v>44774</v>
      </c>
      <c r="Y7" s="115">
        <f t="shared" si="2"/>
        <v>44805</v>
      </c>
      <c r="Z7" s="116">
        <f>수입!B10</f>
        <v>44835</v>
      </c>
      <c r="AA7" s="112">
        <f>DATE(YEAR(Z7),MONTH(Z7)+1,DAY(Z7))</f>
        <v>44866</v>
      </c>
      <c r="AB7" s="110">
        <f t="shared" ref="AB7:BX7" si="3">DATE(YEAR(AA7),MONTH(AA7)+1,DAY(AA7))</f>
        <v>44896</v>
      </c>
      <c r="AC7" s="110">
        <f t="shared" si="3"/>
        <v>44927</v>
      </c>
      <c r="AD7" s="110">
        <f t="shared" si="3"/>
        <v>44958</v>
      </c>
      <c r="AE7" s="110">
        <f t="shared" si="3"/>
        <v>44986</v>
      </c>
      <c r="AF7" s="110">
        <f t="shared" si="3"/>
        <v>45017</v>
      </c>
      <c r="AG7" s="110">
        <f t="shared" si="3"/>
        <v>45047</v>
      </c>
      <c r="AH7" s="110">
        <f t="shared" si="3"/>
        <v>45078</v>
      </c>
      <c r="AI7" s="110">
        <f t="shared" si="3"/>
        <v>45108</v>
      </c>
      <c r="AJ7" s="110">
        <f t="shared" si="3"/>
        <v>45139</v>
      </c>
      <c r="AK7" s="110">
        <f t="shared" si="3"/>
        <v>45170</v>
      </c>
      <c r="AL7" s="110">
        <f t="shared" si="3"/>
        <v>45200</v>
      </c>
      <c r="AM7" s="110">
        <f t="shared" si="3"/>
        <v>45231</v>
      </c>
      <c r="AN7" s="110">
        <f t="shared" si="3"/>
        <v>45261</v>
      </c>
      <c r="AO7" s="110">
        <f t="shared" si="3"/>
        <v>45292</v>
      </c>
      <c r="AP7" s="110">
        <f t="shared" si="3"/>
        <v>45323</v>
      </c>
      <c r="AQ7" s="110">
        <f t="shared" si="3"/>
        <v>45352</v>
      </c>
      <c r="AR7" s="110">
        <f t="shared" si="3"/>
        <v>45383</v>
      </c>
      <c r="AS7" s="111">
        <f t="shared" si="3"/>
        <v>45413</v>
      </c>
      <c r="AT7" s="110">
        <f t="shared" si="3"/>
        <v>45444</v>
      </c>
      <c r="AU7" s="112">
        <f t="shared" si="3"/>
        <v>45474</v>
      </c>
      <c r="AV7" s="111">
        <f t="shared" si="3"/>
        <v>45505</v>
      </c>
      <c r="AW7" s="110">
        <f t="shared" si="3"/>
        <v>45536</v>
      </c>
      <c r="AX7" s="110">
        <f t="shared" si="3"/>
        <v>45566</v>
      </c>
      <c r="AY7" s="110">
        <f t="shared" si="3"/>
        <v>45597</v>
      </c>
      <c r="AZ7" s="110">
        <f t="shared" si="3"/>
        <v>45627</v>
      </c>
      <c r="BA7" s="112">
        <f t="shared" si="3"/>
        <v>45658</v>
      </c>
      <c r="BB7" s="110">
        <f t="shared" si="3"/>
        <v>45689</v>
      </c>
      <c r="BC7" s="110">
        <f t="shared" si="3"/>
        <v>45717</v>
      </c>
      <c r="BD7" s="110">
        <f t="shared" si="3"/>
        <v>45748</v>
      </c>
      <c r="BE7" s="110">
        <f t="shared" si="3"/>
        <v>45778</v>
      </c>
      <c r="BF7" s="110">
        <f t="shared" si="3"/>
        <v>45809</v>
      </c>
      <c r="BG7" s="111">
        <f t="shared" si="3"/>
        <v>45839</v>
      </c>
      <c r="BH7" s="110">
        <f t="shared" si="3"/>
        <v>45870</v>
      </c>
      <c r="BI7" s="114">
        <f t="shared" si="3"/>
        <v>45901</v>
      </c>
      <c r="BJ7" s="110">
        <f t="shared" si="3"/>
        <v>45931</v>
      </c>
      <c r="BK7" s="116">
        <f t="shared" si="3"/>
        <v>45962</v>
      </c>
      <c r="BL7" s="111">
        <f t="shared" si="3"/>
        <v>45992</v>
      </c>
      <c r="BM7" s="111">
        <f t="shared" si="3"/>
        <v>46023</v>
      </c>
      <c r="BN7" s="110">
        <f t="shared" si="3"/>
        <v>46054</v>
      </c>
      <c r="BO7" s="114">
        <f t="shared" si="3"/>
        <v>46082</v>
      </c>
      <c r="BP7" s="110">
        <f t="shared" si="3"/>
        <v>46113</v>
      </c>
      <c r="BQ7" s="114">
        <f t="shared" si="3"/>
        <v>46143</v>
      </c>
      <c r="BR7" s="111">
        <f t="shared" si="3"/>
        <v>46174</v>
      </c>
      <c r="BS7" s="110">
        <f t="shared" si="3"/>
        <v>46204</v>
      </c>
      <c r="BT7" s="112">
        <f t="shared" si="3"/>
        <v>46235</v>
      </c>
      <c r="BU7" s="112">
        <f t="shared" si="3"/>
        <v>46266</v>
      </c>
      <c r="BV7" s="110">
        <f t="shared" si="3"/>
        <v>46296</v>
      </c>
      <c r="BW7" s="110">
        <f t="shared" si="3"/>
        <v>46327</v>
      </c>
      <c r="BX7" s="110">
        <f t="shared" si="3"/>
        <v>46357</v>
      </c>
      <c r="BY7" s="1705"/>
      <c r="BZ7" s="85"/>
      <c r="CA7" s="1708"/>
      <c r="CB7" s="1709"/>
    </row>
    <row r="8" spans="1:80">
      <c r="A8" s="1710" t="s">
        <v>284</v>
      </c>
      <c r="B8" s="1712" t="s">
        <v>285</v>
      </c>
      <c r="C8" s="1715" t="s">
        <v>286</v>
      </c>
      <c r="D8" s="1716"/>
      <c r="E8" s="117">
        <f>SUM(손익!AT7)/1000</f>
        <v>252872.3675049</v>
      </c>
      <c r="F8" s="118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20"/>
      <c r="S8" s="119"/>
      <c r="T8" s="121"/>
      <c r="U8" s="122"/>
      <c r="V8" s="123"/>
      <c r="W8" s="124"/>
      <c r="X8" s="125"/>
      <c r="Y8" s="126"/>
      <c r="Z8" s="127">
        <f ca="1">수입!G61/1000</f>
        <v>7586.1710251470004</v>
      </c>
      <c r="AA8" s="121">
        <f ca="1">수입!H61/1000</f>
        <v>3793.0855125735002</v>
      </c>
      <c r="AB8" s="123">
        <f ca="1">수입!I61/1000</f>
        <v>1264.3618375245003</v>
      </c>
      <c r="AC8" s="123">
        <f ca="1">수입!J61/1000</f>
        <v>1264.3618375245003</v>
      </c>
      <c r="AD8" s="123">
        <f ca="1">수입!K61/1000</f>
        <v>1264.3618375245003</v>
      </c>
      <c r="AE8" s="123">
        <f ca="1">수입!L61/1000</f>
        <v>16436.703887818498</v>
      </c>
      <c r="AF8" s="123">
        <f ca="1">수입!M61/1000</f>
        <v>758.61710251470004</v>
      </c>
      <c r="AG8" s="123">
        <f ca="1">수입!N61/1000</f>
        <v>758.61710251470004</v>
      </c>
      <c r="AH8" s="123">
        <f ca="1">수입!O61/1000</f>
        <v>758.61710251470004</v>
      </c>
      <c r="AI8" s="123">
        <f ca="1">수입!P61/1000</f>
        <v>758.61710251470004</v>
      </c>
      <c r="AJ8" s="123">
        <f ca="1">수입!Q61/1000</f>
        <v>6827.553922632299</v>
      </c>
      <c r="AK8" s="123">
        <f ca="1">수입!R61/1000</f>
        <v>758.61710251470004</v>
      </c>
      <c r="AL8" s="123">
        <f ca="1">수입!S61/1000</f>
        <v>758.61710251470004</v>
      </c>
      <c r="AM8" s="123">
        <f ca="1">수입!T61/1000</f>
        <v>758.61710251470004</v>
      </c>
      <c r="AN8" s="123">
        <f ca="1">수입!U61/1000</f>
        <v>758.61710251470004</v>
      </c>
      <c r="AO8" s="123">
        <f ca="1">수입!V61/1000</f>
        <v>5310.3197176029025</v>
      </c>
      <c r="AP8" s="123">
        <f ca="1">수입!W61/1000</f>
        <v>758.61710251470004</v>
      </c>
      <c r="AQ8" s="123">
        <f ca="1">수입!X61/1000</f>
        <v>505.74473500980002</v>
      </c>
      <c r="AR8" s="123">
        <f ca="1">수입!Y61/1000</f>
        <v>0</v>
      </c>
      <c r="AS8" s="125">
        <f ca="1">수입!Z61/1000</f>
        <v>0</v>
      </c>
      <c r="AT8" s="123">
        <f ca="1">수입!AA61/1000</f>
        <v>0</v>
      </c>
      <c r="AU8" s="121">
        <f ca="1">수입!AB61/1000</f>
        <v>4551.7026150881984</v>
      </c>
      <c r="AV8" s="125">
        <f ca="1">수입!AC61/1000</f>
        <v>0</v>
      </c>
      <c r="AW8" s="123">
        <f ca="1">수입!AD61/1000</f>
        <v>0</v>
      </c>
      <c r="AX8" s="123">
        <f ca="1">수입!AE61/1000</f>
        <v>0</v>
      </c>
      <c r="AY8" s="123">
        <f ca="1">수입!AF61/1000</f>
        <v>0</v>
      </c>
      <c r="AZ8" s="123">
        <f ca="1">수입!AG61/1000</f>
        <v>4551.7026150881984</v>
      </c>
      <c r="BA8" s="121">
        <f ca="1">수입!AH61/1000</f>
        <v>0</v>
      </c>
      <c r="BB8" s="123">
        <f ca="1">수입!AI61/1000</f>
        <v>0</v>
      </c>
      <c r="BC8" s="123">
        <f ca="1">수입!AJ61/1000</f>
        <v>0</v>
      </c>
      <c r="BD8" s="123">
        <f ca="1">수입!AK61/1000</f>
        <v>0</v>
      </c>
      <c r="BE8" s="123">
        <f ca="1">수입!AL61/1000</f>
        <v>4551.7026150881984</v>
      </c>
      <c r="BF8" s="123">
        <f ca="1">수입!AM61/1000</f>
        <v>0</v>
      </c>
      <c r="BG8" s="125">
        <f ca="1">수입!AN61/1000</f>
        <v>0</v>
      </c>
      <c r="BH8" s="123">
        <f ca="1">수입!AO61/1000</f>
        <v>0</v>
      </c>
      <c r="BI8" s="124">
        <f ca="1">수입!AP61/1000</f>
        <v>0</v>
      </c>
      <c r="BJ8" s="123">
        <f ca="1">수입!AQ61/1000</f>
        <v>0</v>
      </c>
      <c r="BK8" s="128" t="e" vm="1">
        <f>수입!AR61/1000</f>
        <v>#VALUE!</v>
      </c>
      <c r="BL8" s="125" t="e" vm="1">
        <f>수입!AS61/1000</f>
        <v>#VALUE!</v>
      </c>
      <c r="BM8" s="125" t="e" vm="1">
        <f>수입!AT61/1000</f>
        <v>#VALUE!</v>
      </c>
      <c r="BN8" s="123" t="e" vm="1">
        <f>수입!AU61/1000</f>
        <v>#VALUE!</v>
      </c>
      <c r="BO8" s="124" t="e" vm="1">
        <f>수입!AV61/1000</f>
        <v>#VALUE!</v>
      </c>
      <c r="BP8" s="123">
        <f ca="1">수입!AW61/1000</f>
        <v>0</v>
      </c>
      <c r="BQ8" s="124">
        <f ca="1">수입!AX61/1000</f>
        <v>0</v>
      </c>
      <c r="BR8" s="125">
        <f ca="1">수입!AY61/1000</f>
        <v>0</v>
      </c>
      <c r="BS8" s="123">
        <f ca="1">수입!AZ61/1000</f>
        <v>0</v>
      </c>
      <c r="BT8" s="121">
        <f ca="1">수입!BA61/1000</f>
        <v>0</v>
      </c>
      <c r="BU8" s="124">
        <f ca="1">수입!BB61/1000</f>
        <v>0</v>
      </c>
      <c r="BV8" s="125">
        <f ca="1">수입!BC61/1000</f>
        <v>0</v>
      </c>
      <c r="BW8" s="125">
        <f ca="1">수입!BD61/1000</f>
        <v>0</v>
      </c>
      <c r="BX8" s="125">
        <f ca="1">수입!BE61/1000</f>
        <v>0</v>
      </c>
      <c r="BY8" s="129">
        <f t="shared" ref="BY8:BY32" ca="1" si="4">SUM(F8:BX8)</f>
        <v>40832.899334378817</v>
      </c>
      <c r="BZ8" s="130"/>
      <c r="CA8" s="131">
        <f t="shared" ref="CA8:CA71" ca="1" si="5">E8-BY8</f>
        <v>212039.4681705212</v>
      </c>
      <c r="CB8" s="132">
        <f>손익!AU7</f>
        <v>0</v>
      </c>
    </row>
    <row r="9" spans="1:80">
      <c r="A9" s="1711"/>
      <c r="B9" s="1713"/>
      <c r="C9" s="1717" t="s">
        <v>287</v>
      </c>
      <c r="D9" s="1718"/>
      <c r="E9" s="133">
        <f>SUM(손익!AS7)/1000</f>
        <v>0</v>
      </c>
      <c r="F9" s="134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6"/>
      <c r="S9" s="135"/>
      <c r="T9" s="137"/>
      <c r="U9" s="138"/>
      <c r="V9" s="139"/>
      <c r="W9" s="140"/>
      <c r="X9" s="141"/>
      <c r="Y9" s="142"/>
      <c r="Z9" s="143">
        <f t="shared" ref="Z9:BX9" ca="1" si="6">Z8*$CB$8</f>
        <v>0</v>
      </c>
      <c r="AA9" s="137">
        <f t="shared" ca="1" si="6"/>
        <v>0</v>
      </c>
      <c r="AB9" s="139">
        <f t="shared" ca="1" si="6"/>
        <v>0</v>
      </c>
      <c r="AC9" s="139">
        <f t="shared" ca="1" si="6"/>
        <v>0</v>
      </c>
      <c r="AD9" s="139">
        <f t="shared" ca="1" si="6"/>
        <v>0</v>
      </c>
      <c r="AE9" s="139">
        <f t="shared" ca="1" si="6"/>
        <v>0</v>
      </c>
      <c r="AF9" s="139">
        <f t="shared" ca="1" si="6"/>
        <v>0</v>
      </c>
      <c r="AG9" s="139">
        <f t="shared" ca="1" si="6"/>
        <v>0</v>
      </c>
      <c r="AH9" s="139">
        <f t="shared" ca="1" si="6"/>
        <v>0</v>
      </c>
      <c r="AI9" s="139">
        <f t="shared" ca="1" si="6"/>
        <v>0</v>
      </c>
      <c r="AJ9" s="139">
        <f t="shared" ca="1" si="6"/>
        <v>0</v>
      </c>
      <c r="AK9" s="139">
        <f t="shared" ca="1" si="6"/>
        <v>0</v>
      </c>
      <c r="AL9" s="139">
        <f t="shared" ca="1" si="6"/>
        <v>0</v>
      </c>
      <c r="AM9" s="139">
        <f t="shared" ca="1" si="6"/>
        <v>0</v>
      </c>
      <c r="AN9" s="139">
        <f t="shared" ca="1" si="6"/>
        <v>0</v>
      </c>
      <c r="AO9" s="139">
        <f t="shared" ca="1" si="6"/>
        <v>0</v>
      </c>
      <c r="AP9" s="139">
        <f t="shared" ca="1" si="6"/>
        <v>0</v>
      </c>
      <c r="AQ9" s="139">
        <f t="shared" ca="1" si="6"/>
        <v>0</v>
      </c>
      <c r="AR9" s="139">
        <f t="shared" ca="1" si="6"/>
        <v>0</v>
      </c>
      <c r="AS9" s="141">
        <f t="shared" ca="1" si="6"/>
        <v>0</v>
      </c>
      <c r="AT9" s="139">
        <f t="shared" ca="1" si="6"/>
        <v>0</v>
      </c>
      <c r="AU9" s="137">
        <f t="shared" ca="1" si="6"/>
        <v>0</v>
      </c>
      <c r="AV9" s="141">
        <f t="shared" ca="1" si="6"/>
        <v>0</v>
      </c>
      <c r="AW9" s="139">
        <f t="shared" ca="1" si="6"/>
        <v>0</v>
      </c>
      <c r="AX9" s="139">
        <f t="shared" ca="1" si="6"/>
        <v>0</v>
      </c>
      <c r="AY9" s="139">
        <f t="shared" ca="1" si="6"/>
        <v>0</v>
      </c>
      <c r="AZ9" s="139">
        <f t="shared" ca="1" si="6"/>
        <v>0</v>
      </c>
      <c r="BA9" s="137">
        <f t="shared" ca="1" si="6"/>
        <v>0</v>
      </c>
      <c r="BB9" s="139">
        <f t="shared" ca="1" si="6"/>
        <v>0</v>
      </c>
      <c r="BC9" s="139">
        <f t="shared" ca="1" si="6"/>
        <v>0</v>
      </c>
      <c r="BD9" s="139">
        <f t="shared" ca="1" si="6"/>
        <v>0</v>
      </c>
      <c r="BE9" s="139">
        <f t="shared" ca="1" si="6"/>
        <v>0</v>
      </c>
      <c r="BF9" s="139">
        <f t="shared" ca="1" si="6"/>
        <v>0</v>
      </c>
      <c r="BG9" s="141">
        <f t="shared" ca="1" si="6"/>
        <v>0</v>
      </c>
      <c r="BH9" s="139">
        <f t="shared" ca="1" si="6"/>
        <v>0</v>
      </c>
      <c r="BI9" s="140">
        <f t="shared" ca="1" si="6"/>
        <v>0</v>
      </c>
      <c r="BJ9" s="139">
        <f t="shared" ca="1" si="6"/>
        <v>0</v>
      </c>
      <c r="BK9" s="143" t="e" vm="1">
        <f t="shared" si="6"/>
        <v>#VALUE!</v>
      </c>
      <c r="BL9" s="141" t="e" vm="1">
        <f t="shared" si="6"/>
        <v>#VALUE!</v>
      </c>
      <c r="BM9" s="141" t="e" vm="1">
        <f t="shared" si="6"/>
        <v>#VALUE!</v>
      </c>
      <c r="BN9" s="139" t="e" vm="1">
        <f t="shared" si="6"/>
        <v>#VALUE!</v>
      </c>
      <c r="BO9" s="140" t="e" vm="1">
        <f t="shared" si="6"/>
        <v>#VALUE!</v>
      </c>
      <c r="BP9" s="139">
        <f t="shared" ca="1" si="6"/>
        <v>0</v>
      </c>
      <c r="BQ9" s="140">
        <f t="shared" ca="1" si="6"/>
        <v>0</v>
      </c>
      <c r="BR9" s="141">
        <f t="shared" ca="1" si="6"/>
        <v>0</v>
      </c>
      <c r="BS9" s="139">
        <f t="shared" ca="1" si="6"/>
        <v>0</v>
      </c>
      <c r="BT9" s="137">
        <f t="shared" ca="1" si="6"/>
        <v>0</v>
      </c>
      <c r="BU9" s="137">
        <f t="shared" ca="1" si="6"/>
        <v>0</v>
      </c>
      <c r="BV9" s="139">
        <f t="shared" ca="1" si="6"/>
        <v>0</v>
      </c>
      <c r="BW9" s="139">
        <f t="shared" ca="1" si="6"/>
        <v>0</v>
      </c>
      <c r="BX9" s="139">
        <f t="shared" ca="1" si="6"/>
        <v>0</v>
      </c>
      <c r="BY9" s="144">
        <f t="shared" ca="1" si="4"/>
        <v>0</v>
      </c>
      <c r="BZ9" s="130"/>
      <c r="CA9" s="145">
        <f t="shared" ca="1" si="5"/>
        <v>0</v>
      </c>
      <c r="CB9" s="132"/>
    </row>
    <row r="10" spans="1:80">
      <c r="A10" s="146"/>
      <c r="B10" s="1713"/>
      <c r="C10" s="1719" t="s">
        <v>288</v>
      </c>
      <c r="D10" s="1720"/>
      <c r="E10" s="147">
        <f>E8-E9</f>
        <v>252872.3675049</v>
      </c>
      <c r="F10" s="148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S10" s="149"/>
      <c r="T10" s="151"/>
      <c r="U10" s="152"/>
      <c r="V10" s="148"/>
      <c r="W10" s="153"/>
      <c r="X10" s="154"/>
      <c r="Y10" s="155"/>
      <c r="Z10" s="156">
        <f ca="1">Z8-Z9</f>
        <v>7586.1710251470004</v>
      </c>
      <c r="AA10" s="151">
        <f t="shared" ref="AA10:BT10" ca="1" si="7">AA8-AA9</f>
        <v>3793.0855125735002</v>
      </c>
      <c r="AB10" s="148">
        <f t="shared" ca="1" si="7"/>
        <v>1264.3618375245003</v>
      </c>
      <c r="AC10" s="148">
        <f t="shared" ca="1" si="7"/>
        <v>1264.3618375245003</v>
      </c>
      <c r="AD10" s="148">
        <f t="shared" ca="1" si="7"/>
        <v>1264.3618375245003</v>
      </c>
      <c r="AE10" s="148">
        <f t="shared" ca="1" si="7"/>
        <v>16436.703887818498</v>
      </c>
      <c r="AF10" s="148">
        <f t="shared" ca="1" si="7"/>
        <v>758.61710251470004</v>
      </c>
      <c r="AG10" s="148">
        <f t="shared" ca="1" si="7"/>
        <v>758.61710251470004</v>
      </c>
      <c r="AH10" s="148">
        <f t="shared" ca="1" si="7"/>
        <v>758.61710251470004</v>
      </c>
      <c r="AI10" s="148">
        <f t="shared" ca="1" si="7"/>
        <v>758.61710251470004</v>
      </c>
      <c r="AJ10" s="148">
        <f t="shared" ca="1" si="7"/>
        <v>6827.553922632299</v>
      </c>
      <c r="AK10" s="148">
        <f t="shared" ca="1" si="7"/>
        <v>758.61710251470004</v>
      </c>
      <c r="AL10" s="148">
        <f t="shared" ca="1" si="7"/>
        <v>758.61710251470004</v>
      </c>
      <c r="AM10" s="148">
        <f t="shared" ca="1" si="7"/>
        <v>758.61710251470004</v>
      </c>
      <c r="AN10" s="148">
        <f t="shared" ca="1" si="7"/>
        <v>758.61710251470004</v>
      </c>
      <c r="AO10" s="148">
        <f t="shared" ca="1" si="7"/>
        <v>5310.3197176029025</v>
      </c>
      <c r="AP10" s="148">
        <f t="shared" ca="1" si="7"/>
        <v>758.61710251470004</v>
      </c>
      <c r="AQ10" s="148">
        <f t="shared" ca="1" si="7"/>
        <v>505.74473500980002</v>
      </c>
      <c r="AR10" s="148">
        <f t="shared" ca="1" si="7"/>
        <v>0</v>
      </c>
      <c r="AS10" s="154">
        <f t="shared" ca="1" si="7"/>
        <v>0</v>
      </c>
      <c r="AT10" s="148">
        <f t="shared" ca="1" si="7"/>
        <v>0</v>
      </c>
      <c r="AU10" s="151">
        <f t="shared" ca="1" si="7"/>
        <v>4551.7026150881984</v>
      </c>
      <c r="AV10" s="154">
        <f t="shared" ca="1" si="7"/>
        <v>0</v>
      </c>
      <c r="AW10" s="148">
        <f t="shared" ca="1" si="7"/>
        <v>0</v>
      </c>
      <c r="AX10" s="148">
        <f t="shared" ca="1" si="7"/>
        <v>0</v>
      </c>
      <c r="AY10" s="148">
        <f t="shared" ca="1" si="7"/>
        <v>0</v>
      </c>
      <c r="AZ10" s="148">
        <f t="shared" ca="1" si="7"/>
        <v>4551.7026150881984</v>
      </c>
      <c r="BA10" s="151">
        <f t="shared" ca="1" si="7"/>
        <v>0</v>
      </c>
      <c r="BB10" s="148">
        <f t="shared" ca="1" si="7"/>
        <v>0</v>
      </c>
      <c r="BC10" s="148">
        <f t="shared" ca="1" si="7"/>
        <v>0</v>
      </c>
      <c r="BD10" s="148">
        <f t="shared" ca="1" si="7"/>
        <v>0</v>
      </c>
      <c r="BE10" s="148">
        <f t="shared" ca="1" si="7"/>
        <v>4551.7026150881984</v>
      </c>
      <c r="BF10" s="148">
        <f t="shared" ca="1" si="7"/>
        <v>0</v>
      </c>
      <c r="BG10" s="154">
        <f t="shared" ca="1" si="7"/>
        <v>0</v>
      </c>
      <c r="BH10" s="148">
        <f t="shared" ca="1" si="7"/>
        <v>0</v>
      </c>
      <c r="BI10" s="153">
        <f t="shared" ca="1" si="7"/>
        <v>0</v>
      </c>
      <c r="BJ10" s="148">
        <f t="shared" ca="1" si="7"/>
        <v>0</v>
      </c>
      <c r="BK10" s="156" t="e" vm="1">
        <f t="shared" si="7"/>
        <v>#VALUE!</v>
      </c>
      <c r="BL10" s="154" t="e" vm="1">
        <f t="shared" si="7"/>
        <v>#VALUE!</v>
      </c>
      <c r="BM10" s="154" t="e" vm="1">
        <f t="shared" si="7"/>
        <v>#VALUE!</v>
      </c>
      <c r="BN10" s="148" t="e" vm="1">
        <f t="shared" si="7"/>
        <v>#VALUE!</v>
      </c>
      <c r="BO10" s="153" t="e" vm="1">
        <f t="shared" si="7"/>
        <v>#VALUE!</v>
      </c>
      <c r="BP10" s="148">
        <f t="shared" ca="1" si="7"/>
        <v>0</v>
      </c>
      <c r="BQ10" s="153">
        <f ca="1">BQ8-BQ9</f>
        <v>0</v>
      </c>
      <c r="BR10" s="154">
        <f ca="1">BR8-BR9</f>
        <v>0</v>
      </c>
      <c r="BS10" s="148">
        <f t="shared" ca="1" si="7"/>
        <v>0</v>
      </c>
      <c r="BT10" s="151">
        <f t="shared" ca="1" si="7"/>
        <v>0</v>
      </c>
      <c r="BU10" s="151">
        <f ca="1">BU8-BU9</f>
        <v>0</v>
      </c>
      <c r="BV10" s="148">
        <f ca="1">BV8-BV9</f>
        <v>0</v>
      </c>
      <c r="BW10" s="148">
        <f ca="1">BW8-BW9</f>
        <v>0</v>
      </c>
      <c r="BX10" s="148">
        <f ca="1">BX8-BX9</f>
        <v>0</v>
      </c>
      <c r="BY10" s="149">
        <f t="shared" ca="1" si="4"/>
        <v>40832.899334378817</v>
      </c>
      <c r="BZ10" s="130"/>
      <c r="CA10" s="157">
        <f t="shared" ca="1" si="5"/>
        <v>212039.4681705212</v>
      </c>
      <c r="CB10" s="132"/>
    </row>
    <row r="11" spans="1:80">
      <c r="A11" s="158"/>
      <c r="B11" s="1714"/>
      <c r="C11" s="159" t="s">
        <v>289</v>
      </c>
      <c r="D11" s="160"/>
      <c r="E11" s="161">
        <f ca="1">BY11</f>
        <v>1.0000000000000002</v>
      </c>
      <c r="F11" s="162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3"/>
      <c r="S11" s="161"/>
      <c r="T11" s="164"/>
      <c r="U11" s="165"/>
      <c r="V11" s="162"/>
      <c r="W11" s="166"/>
      <c r="X11" s="167"/>
      <c r="Y11" s="168"/>
      <c r="Z11" s="169">
        <f ca="1">OFFSET(수입!$D$10,COLUMN(Z4)-26,0,,)</f>
        <v>0.3</v>
      </c>
      <c r="AA11" s="164">
        <f ca="1">OFFSET(수입!$D$10,COLUMN(AA4)-26,0,,)</f>
        <v>0.15</v>
      </c>
      <c r="AB11" s="162">
        <f ca="1">OFFSET(수입!$D$10,COLUMN(AB4)-26,0,,)</f>
        <v>0.05</v>
      </c>
      <c r="AC11" s="162">
        <f ca="1">OFFSET(수입!$D$10,COLUMN(AC4)-26,0,,)</f>
        <v>0.05</v>
      </c>
      <c r="AD11" s="162">
        <f ca="1">OFFSET(수입!$D$10,COLUMN(AD4)-26,0,,)</f>
        <v>0.05</v>
      </c>
      <c r="AE11" s="162">
        <f ca="1">OFFSET(수입!$D$10,COLUMN(AE4)-26,0,,)</f>
        <v>0.05</v>
      </c>
      <c r="AF11" s="162">
        <f ca="1">OFFSET(수입!$D$10,COLUMN(AF4)-26,0,,)</f>
        <v>0.03</v>
      </c>
      <c r="AG11" s="162">
        <f ca="1">OFFSET(수입!$D$10,COLUMN(AG4)-26,0,,)</f>
        <v>0.03</v>
      </c>
      <c r="AH11" s="162">
        <f ca="1">OFFSET(수입!$D$10,COLUMN(AH4)-26,0,,)</f>
        <v>0.03</v>
      </c>
      <c r="AI11" s="162">
        <f ca="1">OFFSET(수입!$D$10,COLUMN(AI4)-26,0,,)</f>
        <v>0.03</v>
      </c>
      <c r="AJ11" s="162">
        <f ca="1">OFFSET(수입!$D$10,COLUMN(AJ4)-26,0,,)</f>
        <v>0.03</v>
      </c>
      <c r="AK11" s="162">
        <f ca="1">OFFSET(수입!$D$10,COLUMN(AK4)-26,0,,)</f>
        <v>0.03</v>
      </c>
      <c r="AL11" s="162">
        <f ca="1">OFFSET(수입!$D$10,COLUMN(AL4)-26,0,,)</f>
        <v>0.03</v>
      </c>
      <c r="AM11" s="162">
        <f ca="1">OFFSET(수입!$D$10,COLUMN(AM4)-26,0,,)</f>
        <v>0.03</v>
      </c>
      <c r="AN11" s="162">
        <f ca="1">OFFSET(수입!$D$10,COLUMN(AN4)-26,0,,)</f>
        <v>0.03</v>
      </c>
      <c r="AO11" s="162">
        <f ca="1">OFFSET(수입!$D$10,COLUMN(AO4)-26,0,,)</f>
        <v>0.03</v>
      </c>
      <c r="AP11" s="162">
        <f ca="1">OFFSET(수입!$D$10,COLUMN(AP4)-26,0,,)</f>
        <v>0.03</v>
      </c>
      <c r="AQ11" s="162">
        <f ca="1">OFFSET(수입!$D$10,COLUMN(AQ4)-26,0,,)</f>
        <v>0.02</v>
      </c>
      <c r="AR11" s="162">
        <f ca="1">OFFSET(수입!$D$10,COLUMN(AR4)-26,0,,)</f>
        <v>0</v>
      </c>
      <c r="AS11" s="167">
        <f ca="1">OFFSET(수입!$D$10,COLUMN(AS4)-26,0,,)</f>
        <v>0</v>
      </c>
      <c r="AT11" s="162">
        <f ca="1">OFFSET(수입!$D$10,COLUMN(AT4)-26,0,,)</f>
        <v>0</v>
      </c>
      <c r="AU11" s="164">
        <f ca="1">OFFSET(수입!$D$10,COLUMN(AU4)-26,0,,)</f>
        <v>0</v>
      </c>
      <c r="AV11" s="167">
        <f ca="1">OFFSET(수입!$D$10,COLUMN(AV4)-26,0,,)</f>
        <v>0</v>
      </c>
      <c r="AW11" s="162">
        <f ca="1">OFFSET(수입!$D$10,COLUMN(AW4)-26,0,,)</f>
        <v>0</v>
      </c>
      <c r="AX11" s="162">
        <f ca="1">OFFSET(수입!$D$10,COLUMN(AX4)-26,0,,)</f>
        <v>0</v>
      </c>
      <c r="AY11" s="170">
        <f ca="1">OFFSET(수입!$D$10,COLUMN(AY4)-26,0,,)</f>
        <v>0</v>
      </c>
      <c r="AZ11" s="162">
        <f ca="1">OFFSET(수입!$D$10,COLUMN(AZ4)-26,0,,)</f>
        <v>0</v>
      </c>
      <c r="BA11" s="164">
        <f ca="1">OFFSET(수입!$D$10,COLUMN(BA4)-26,0,,)</f>
        <v>0</v>
      </c>
      <c r="BB11" s="162">
        <f ca="1">OFFSET(수입!$D$10,COLUMN(BB4)-26,0,,)</f>
        <v>0</v>
      </c>
      <c r="BC11" s="162">
        <f ca="1">OFFSET(수입!$D$10,COLUMN(BC4)-26,0,,)</f>
        <v>0</v>
      </c>
      <c r="BD11" s="162">
        <f ca="1">OFFSET(수입!$D$10,COLUMN(BD4)-26,0,,)</f>
        <v>0</v>
      </c>
      <c r="BE11" s="162">
        <f ca="1">OFFSET(수입!$D$10,COLUMN(BE4)-26,0,,)</f>
        <v>0</v>
      </c>
      <c r="BF11" s="162">
        <f ca="1">OFFSET(수입!$D$10,COLUMN(BF4)-26,0,,)</f>
        <v>0</v>
      </c>
      <c r="BG11" s="167">
        <f ca="1">OFFSET(수입!$D$10,COLUMN(BG4)-26,0,,)</f>
        <v>0</v>
      </c>
      <c r="BH11" s="162">
        <f ca="1">OFFSET(수입!$D$10,COLUMN(BH4)-26,0,,)</f>
        <v>0</v>
      </c>
      <c r="BI11" s="166">
        <f ca="1">OFFSET(수입!$D$10,COLUMN(BI4)-26,0,,)</f>
        <v>0</v>
      </c>
      <c r="BJ11" s="162">
        <f ca="1">OFFSET(수입!$D$10,COLUMN(BJ4)-26,0,,)</f>
        <v>0</v>
      </c>
      <c r="BK11" s="169">
        <f ca="1">OFFSET(수입!$D$10,COLUMN(BK4)-26,0,,)</f>
        <v>0</v>
      </c>
      <c r="BL11" s="167">
        <f ca="1">OFFSET(수입!$D$10,COLUMN(BL4)-26,0,,)</f>
        <v>0</v>
      </c>
      <c r="BM11" s="167">
        <f ca="1">OFFSET(수입!$D$10,COLUMN(BM4)-26,0,,)</f>
        <v>0</v>
      </c>
      <c r="BN11" s="162">
        <f ca="1">OFFSET(수입!$D$10,COLUMN(BN4)-26,0,,)</f>
        <v>0</v>
      </c>
      <c r="BO11" s="166">
        <f ca="1">OFFSET(수입!$D$10,COLUMN(BO4)-26,0,,)</f>
        <v>0</v>
      </c>
      <c r="BP11" s="162">
        <f ca="1">OFFSET(수입!$D$10,COLUMN(BP4)-26,0,,)</f>
        <v>0</v>
      </c>
      <c r="BQ11" s="166">
        <f ca="1">OFFSET(수입!$D$10,COLUMN(BQ4)-26,0,,)</f>
        <v>0</v>
      </c>
      <c r="BR11" s="167">
        <f ca="1">OFFSET(수입!$D$10,COLUMN(BR4)-26,0,,)</f>
        <v>0</v>
      </c>
      <c r="BS11" s="162">
        <f ca="1">OFFSET(수입!$D$10,COLUMN(BS4)-26,0,,)</f>
        <v>0</v>
      </c>
      <c r="BT11" s="164">
        <f ca="1">OFFSET(수입!$D$10,COLUMN(BT4)-26,0,,)</f>
        <v>0</v>
      </c>
      <c r="BU11" s="164">
        <f ca="1">OFFSET(수입!$D$10,COLUMN(BU4)-26,0,,)</f>
        <v>0</v>
      </c>
      <c r="BV11" s="162">
        <f ca="1">OFFSET(수입!$D$10,COLUMN(BV4)-26,0,,)</f>
        <v>0</v>
      </c>
      <c r="BW11" s="162">
        <f ca="1">OFFSET(수입!$D$10,COLUMN(BW4)-26,0,,)</f>
        <v>0</v>
      </c>
      <c r="BX11" s="162">
        <f ca="1">OFFSET(수입!$D$10,COLUMN(BX4)-26,0,,)</f>
        <v>0</v>
      </c>
      <c r="BY11" s="161">
        <f t="shared" ca="1" si="4"/>
        <v>1.0000000000000002</v>
      </c>
      <c r="BZ11" s="130"/>
      <c r="CA11" s="171">
        <f t="shared" ca="1" si="5"/>
        <v>0</v>
      </c>
      <c r="CB11" s="132"/>
    </row>
    <row r="12" spans="1:80">
      <c r="A12" s="158"/>
      <c r="B12" s="1721" t="str">
        <f>손익!T8</f>
        <v xml:space="preserve"> 오피스텔</v>
      </c>
      <c r="C12" s="1715" t="s">
        <v>286</v>
      </c>
      <c r="D12" s="1716"/>
      <c r="E12" s="117">
        <f>SUM(손익!AT8)/1000</f>
        <v>157992.36497659996</v>
      </c>
      <c r="F12" s="118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20"/>
      <c r="S12" s="119"/>
      <c r="T12" s="172"/>
      <c r="U12" s="122"/>
      <c r="V12" s="118"/>
      <c r="W12" s="173"/>
      <c r="X12" s="174"/>
      <c r="Y12" s="175"/>
      <c r="Z12" s="176">
        <f>수입!G117/1000</f>
        <v>0</v>
      </c>
      <c r="AA12" s="172">
        <f>수입!H117/1000</f>
        <v>0</v>
      </c>
      <c r="AB12" s="118">
        <f>수입!I117/1000</f>
        <v>0</v>
      </c>
      <c r="AC12" s="118">
        <f>수입!J117/1000</f>
        <v>0</v>
      </c>
      <c r="AD12" s="118">
        <f>수입!K117/1000</f>
        <v>0</v>
      </c>
      <c r="AE12" s="118">
        <f>수입!L117/1000</f>
        <v>0</v>
      </c>
      <c r="AF12" s="118">
        <f>수입!M117/1000</f>
        <v>7899.6182488299983</v>
      </c>
      <c r="AG12" s="118">
        <f>수입!N117/1000</f>
        <v>2369.8854746489997</v>
      </c>
      <c r="AH12" s="118">
        <f>수입!O117/1000</f>
        <v>789.96182488299985</v>
      </c>
      <c r="AI12" s="118">
        <f>수입!P117/1000</f>
        <v>789.96182488299985</v>
      </c>
      <c r="AJ12" s="118">
        <f>수입!Q117/1000</f>
        <v>12639.389198127994</v>
      </c>
      <c r="AK12" s="118">
        <f>수입!R117/1000</f>
        <v>789.96182488299985</v>
      </c>
      <c r="AL12" s="118">
        <f>수입!S117/1000</f>
        <v>473.97709492979988</v>
      </c>
      <c r="AM12" s="118">
        <f>수입!T117/1000</f>
        <v>473.97709492979988</v>
      </c>
      <c r="AN12" s="118">
        <f>수입!U117/1000</f>
        <v>17379.160147425995</v>
      </c>
      <c r="AO12" s="118">
        <f>수입!V117/1000</f>
        <v>315.98472995319997</v>
      </c>
      <c r="AP12" s="118">
        <f>수입!W117/1000</f>
        <v>315.98472995319997</v>
      </c>
      <c r="AQ12" s="118">
        <f>수입!X117/1000</f>
        <v>315.98472995319997</v>
      </c>
      <c r="AR12" s="118">
        <f>수입!Y117/1000</f>
        <v>18643.099067238792</v>
      </c>
      <c r="AS12" s="174">
        <f>수입!Z117/1000</f>
        <v>0</v>
      </c>
      <c r="AT12" s="118">
        <f>수입!AA117/1000</f>
        <v>0</v>
      </c>
      <c r="AU12" s="172">
        <f>수입!AB117/1000</f>
        <v>0</v>
      </c>
      <c r="AV12" s="174">
        <f>수입!AC117/1000</f>
        <v>15799.236497659991</v>
      </c>
      <c r="AW12" s="118">
        <f>수입!AD117/1000</f>
        <v>0</v>
      </c>
      <c r="AX12" s="118">
        <f>수입!AE117/1000</f>
        <v>0</v>
      </c>
      <c r="AY12" s="118">
        <f>수입!AF117/1000</f>
        <v>0</v>
      </c>
      <c r="AZ12" s="123">
        <f>수입!AG117/1000</f>
        <v>0</v>
      </c>
      <c r="BA12" s="121">
        <f>수입!AH117/1000</f>
        <v>15799.236497659993</v>
      </c>
      <c r="BB12" s="123">
        <f>수입!AI117/1000</f>
        <v>0</v>
      </c>
      <c r="BC12" s="123">
        <f>수입!AJ117/1000</f>
        <v>0</v>
      </c>
      <c r="BD12" s="123">
        <f>수입!AK117/1000</f>
        <v>0</v>
      </c>
      <c r="BE12" s="123">
        <f>수입!AL117/1000</f>
        <v>0</v>
      </c>
      <c r="BF12" s="123">
        <f>수입!AM117/1000</f>
        <v>15799.236497659991</v>
      </c>
      <c r="BG12" s="125">
        <f>수입!AN117/1000</f>
        <v>0</v>
      </c>
      <c r="BH12" s="118">
        <f>수입!AO117/1000</f>
        <v>0</v>
      </c>
      <c r="BI12" s="173">
        <f>수입!AP117/1000</f>
        <v>0</v>
      </c>
      <c r="BJ12" s="118">
        <f>수입!AQ117/1000</f>
        <v>0</v>
      </c>
      <c r="BK12" s="176">
        <f>수입!AR117/1000</f>
        <v>14219.312847893993</v>
      </c>
      <c r="BL12" s="174">
        <f>수입!AS117/1000</f>
        <v>23698.854746489989</v>
      </c>
      <c r="BM12" s="174">
        <f>수입!AT117/1000</f>
        <v>9479.5418985960005</v>
      </c>
      <c r="BN12" s="118">
        <f>수입!AU117/1000</f>
        <v>0</v>
      </c>
      <c r="BO12" s="173">
        <f>수입!AV117/1000</f>
        <v>0</v>
      </c>
      <c r="BP12" s="118">
        <f>수입!AW117/1000</f>
        <v>0</v>
      </c>
      <c r="BQ12" s="124">
        <f>수입!AX117/1000</f>
        <v>0</v>
      </c>
      <c r="BR12" s="174">
        <f>수입!AY117/1000</f>
        <v>0</v>
      </c>
      <c r="BS12" s="118">
        <f>수입!AZ117/1000</f>
        <v>0</v>
      </c>
      <c r="BT12" s="172">
        <f>수입!BA117/1000</f>
        <v>0</v>
      </c>
      <c r="BU12" s="121">
        <f>수입!BB117/1000</f>
        <v>0</v>
      </c>
      <c r="BV12" s="123">
        <f>수입!BC117/1000</f>
        <v>0</v>
      </c>
      <c r="BW12" s="123">
        <f>수입!BD117/1000</f>
        <v>0</v>
      </c>
      <c r="BX12" s="123">
        <f>수입!BE117/1000</f>
        <v>0</v>
      </c>
      <c r="BY12" s="129">
        <f t="shared" si="4"/>
        <v>157992.36497659996</v>
      </c>
      <c r="BZ12" s="130"/>
      <c r="CA12" s="131">
        <f t="shared" si="5"/>
        <v>0</v>
      </c>
      <c r="CB12" s="132">
        <f>손익!AU8</f>
        <v>6.0000000000000005E-2</v>
      </c>
    </row>
    <row r="13" spans="1:80">
      <c r="A13" s="158"/>
      <c r="B13" s="1722"/>
      <c r="C13" s="1717" t="s">
        <v>287</v>
      </c>
      <c r="D13" s="1718"/>
      <c r="E13" s="133">
        <f>SUM(손익!AS8)/1000</f>
        <v>9479.5418985959986</v>
      </c>
      <c r="F13" s="134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6"/>
      <c r="S13" s="135"/>
      <c r="T13" s="177"/>
      <c r="U13" s="138"/>
      <c r="V13" s="134"/>
      <c r="W13" s="178"/>
      <c r="X13" s="179"/>
      <c r="Y13" s="180"/>
      <c r="Z13" s="143">
        <f t="shared" ref="Z13:BX13" si="8">Z12*$CB$12</f>
        <v>0</v>
      </c>
      <c r="AA13" s="137">
        <f t="shared" si="8"/>
        <v>0</v>
      </c>
      <c r="AB13" s="139">
        <f t="shared" si="8"/>
        <v>0</v>
      </c>
      <c r="AC13" s="139">
        <f t="shared" si="8"/>
        <v>0</v>
      </c>
      <c r="AD13" s="139">
        <f t="shared" si="8"/>
        <v>0</v>
      </c>
      <c r="AE13" s="139">
        <f t="shared" si="8"/>
        <v>0</v>
      </c>
      <c r="AF13" s="139">
        <f t="shared" si="8"/>
        <v>473.97709492979993</v>
      </c>
      <c r="AG13" s="139">
        <f t="shared" si="8"/>
        <v>142.19312847894</v>
      </c>
      <c r="AH13" s="139">
        <f t="shared" si="8"/>
        <v>47.397709492979992</v>
      </c>
      <c r="AI13" s="139">
        <f t="shared" si="8"/>
        <v>47.397709492979992</v>
      </c>
      <c r="AJ13" s="139">
        <f t="shared" si="8"/>
        <v>758.36335188767964</v>
      </c>
      <c r="AK13" s="139">
        <f t="shared" si="8"/>
        <v>47.397709492979992</v>
      </c>
      <c r="AL13" s="139">
        <f t="shared" si="8"/>
        <v>28.438625695787994</v>
      </c>
      <c r="AM13" s="139">
        <f t="shared" si="8"/>
        <v>28.438625695787994</v>
      </c>
      <c r="AN13" s="139">
        <f t="shared" si="8"/>
        <v>1042.7496088455598</v>
      </c>
      <c r="AO13" s="139">
        <f t="shared" si="8"/>
        <v>18.959083797192001</v>
      </c>
      <c r="AP13" s="139">
        <f t="shared" si="8"/>
        <v>18.959083797192001</v>
      </c>
      <c r="AQ13" s="139">
        <f t="shared" si="8"/>
        <v>18.959083797192001</v>
      </c>
      <c r="AR13" s="139">
        <f t="shared" si="8"/>
        <v>1118.5859440343277</v>
      </c>
      <c r="AS13" s="141">
        <f t="shared" si="8"/>
        <v>0</v>
      </c>
      <c r="AT13" s="139">
        <f t="shared" si="8"/>
        <v>0</v>
      </c>
      <c r="AU13" s="137">
        <f t="shared" si="8"/>
        <v>0</v>
      </c>
      <c r="AV13" s="141">
        <f t="shared" si="8"/>
        <v>947.95418985959952</v>
      </c>
      <c r="AW13" s="139">
        <f t="shared" si="8"/>
        <v>0</v>
      </c>
      <c r="AX13" s="139">
        <f t="shared" si="8"/>
        <v>0</v>
      </c>
      <c r="AY13" s="139">
        <f t="shared" si="8"/>
        <v>0</v>
      </c>
      <c r="AZ13" s="139">
        <f t="shared" si="8"/>
        <v>0</v>
      </c>
      <c r="BA13" s="137">
        <f t="shared" si="8"/>
        <v>947.95418985959964</v>
      </c>
      <c r="BB13" s="139">
        <f t="shared" si="8"/>
        <v>0</v>
      </c>
      <c r="BC13" s="139">
        <f t="shared" si="8"/>
        <v>0</v>
      </c>
      <c r="BD13" s="139">
        <f t="shared" si="8"/>
        <v>0</v>
      </c>
      <c r="BE13" s="139">
        <f t="shared" si="8"/>
        <v>0</v>
      </c>
      <c r="BF13" s="139">
        <f t="shared" si="8"/>
        <v>947.95418985959952</v>
      </c>
      <c r="BG13" s="141">
        <f t="shared" si="8"/>
        <v>0</v>
      </c>
      <c r="BH13" s="139">
        <f t="shared" si="8"/>
        <v>0</v>
      </c>
      <c r="BI13" s="140">
        <f t="shared" si="8"/>
        <v>0</v>
      </c>
      <c r="BJ13" s="139">
        <f t="shared" si="8"/>
        <v>0</v>
      </c>
      <c r="BK13" s="143">
        <f t="shared" si="8"/>
        <v>853.15877087363958</v>
      </c>
      <c r="BL13" s="141">
        <f t="shared" si="8"/>
        <v>1421.9312847893996</v>
      </c>
      <c r="BM13" s="141">
        <f t="shared" si="8"/>
        <v>568.7725139157601</v>
      </c>
      <c r="BN13" s="139">
        <f t="shared" si="8"/>
        <v>0</v>
      </c>
      <c r="BO13" s="140">
        <f t="shared" si="8"/>
        <v>0</v>
      </c>
      <c r="BP13" s="139">
        <f t="shared" si="8"/>
        <v>0</v>
      </c>
      <c r="BQ13" s="140">
        <f t="shared" si="8"/>
        <v>0</v>
      </c>
      <c r="BR13" s="141">
        <f t="shared" si="8"/>
        <v>0</v>
      </c>
      <c r="BS13" s="139">
        <f t="shared" si="8"/>
        <v>0</v>
      </c>
      <c r="BT13" s="137">
        <f t="shared" si="8"/>
        <v>0</v>
      </c>
      <c r="BU13" s="137">
        <f t="shared" si="8"/>
        <v>0</v>
      </c>
      <c r="BV13" s="139">
        <f t="shared" si="8"/>
        <v>0</v>
      </c>
      <c r="BW13" s="139">
        <f t="shared" si="8"/>
        <v>0</v>
      </c>
      <c r="BX13" s="139">
        <f t="shared" si="8"/>
        <v>0</v>
      </c>
      <c r="BY13" s="144">
        <f t="shared" si="4"/>
        <v>9479.5418985959986</v>
      </c>
      <c r="BZ13" s="130"/>
      <c r="CA13" s="145">
        <f t="shared" si="5"/>
        <v>0</v>
      </c>
      <c r="CB13" s="132"/>
    </row>
    <row r="14" spans="1:80">
      <c r="A14" s="158"/>
      <c r="B14" s="1722"/>
      <c r="C14" s="1719" t="s">
        <v>288</v>
      </c>
      <c r="D14" s="1720"/>
      <c r="E14" s="181">
        <f>E12-E13</f>
        <v>148512.82307800394</v>
      </c>
      <c r="F14" s="182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4"/>
      <c r="S14" s="183"/>
      <c r="T14" s="185"/>
      <c r="U14" s="186"/>
      <c r="V14" s="182"/>
      <c r="W14" s="187"/>
      <c r="X14" s="188"/>
      <c r="Y14" s="189"/>
      <c r="Z14" s="156">
        <f t="shared" ref="Z14:BT14" si="9">Z12-Z13</f>
        <v>0</v>
      </c>
      <c r="AA14" s="151">
        <f t="shared" si="9"/>
        <v>0</v>
      </c>
      <c r="AB14" s="148">
        <f t="shared" si="9"/>
        <v>0</v>
      </c>
      <c r="AC14" s="148">
        <f t="shared" si="9"/>
        <v>0</v>
      </c>
      <c r="AD14" s="148">
        <f t="shared" si="9"/>
        <v>0</v>
      </c>
      <c r="AE14" s="148">
        <f t="shared" si="9"/>
        <v>0</v>
      </c>
      <c r="AF14" s="148">
        <f t="shared" si="9"/>
        <v>7425.6411539001983</v>
      </c>
      <c r="AG14" s="148">
        <f t="shared" si="9"/>
        <v>2227.6923461700599</v>
      </c>
      <c r="AH14" s="148">
        <f t="shared" si="9"/>
        <v>742.56411539001988</v>
      </c>
      <c r="AI14" s="148">
        <f t="shared" si="9"/>
        <v>742.56411539001988</v>
      </c>
      <c r="AJ14" s="148">
        <f t="shared" si="9"/>
        <v>11881.025846240314</v>
      </c>
      <c r="AK14" s="148">
        <f t="shared" si="9"/>
        <v>742.56411539001988</v>
      </c>
      <c r="AL14" s="148">
        <f t="shared" si="9"/>
        <v>445.53846923401187</v>
      </c>
      <c r="AM14" s="148">
        <f t="shared" si="9"/>
        <v>445.53846923401187</v>
      </c>
      <c r="AN14" s="148">
        <f t="shared" si="9"/>
        <v>16336.410538580436</v>
      </c>
      <c r="AO14" s="148">
        <f t="shared" si="9"/>
        <v>297.02564615600795</v>
      </c>
      <c r="AP14" s="148">
        <f t="shared" si="9"/>
        <v>297.02564615600795</v>
      </c>
      <c r="AQ14" s="148">
        <f t="shared" si="9"/>
        <v>297.02564615600795</v>
      </c>
      <c r="AR14" s="148">
        <f t="shared" si="9"/>
        <v>17524.513123204466</v>
      </c>
      <c r="AS14" s="154">
        <f t="shared" si="9"/>
        <v>0</v>
      </c>
      <c r="AT14" s="148">
        <f t="shared" si="9"/>
        <v>0</v>
      </c>
      <c r="AU14" s="151">
        <f t="shared" si="9"/>
        <v>0</v>
      </c>
      <c r="AV14" s="154">
        <f t="shared" si="9"/>
        <v>14851.282307800391</v>
      </c>
      <c r="AW14" s="148">
        <f t="shared" si="9"/>
        <v>0</v>
      </c>
      <c r="AX14" s="148">
        <f t="shared" si="9"/>
        <v>0</v>
      </c>
      <c r="AY14" s="148">
        <f t="shared" si="9"/>
        <v>0</v>
      </c>
      <c r="AZ14" s="148">
        <f t="shared" si="9"/>
        <v>0</v>
      </c>
      <c r="BA14" s="151">
        <f t="shared" si="9"/>
        <v>14851.282307800393</v>
      </c>
      <c r="BB14" s="148">
        <f t="shared" si="9"/>
        <v>0</v>
      </c>
      <c r="BC14" s="148">
        <f t="shared" si="9"/>
        <v>0</v>
      </c>
      <c r="BD14" s="148">
        <f t="shared" si="9"/>
        <v>0</v>
      </c>
      <c r="BE14" s="148">
        <f t="shared" si="9"/>
        <v>0</v>
      </c>
      <c r="BF14" s="148">
        <f t="shared" si="9"/>
        <v>14851.282307800391</v>
      </c>
      <c r="BG14" s="154">
        <f t="shared" si="9"/>
        <v>0</v>
      </c>
      <c r="BH14" s="148">
        <f t="shared" si="9"/>
        <v>0</v>
      </c>
      <c r="BI14" s="153">
        <f t="shared" si="9"/>
        <v>0</v>
      </c>
      <c r="BJ14" s="148">
        <f t="shared" si="9"/>
        <v>0</v>
      </c>
      <c r="BK14" s="156">
        <f t="shared" si="9"/>
        <v>13366.154077020354</v>
      </c>
      <c r="BL14" s="154">
        <f t="shared" si="9"/>
        <v>22276.92346170059</v>
      </c>
      <c r="BM14" s="154">
        <f t="shared" si="9"/>
        <v>8910.7693846802395</v>
      </c>
      <c r="BN14" s="148">
        <f t="shared" si="9"/>
        <v>0</v>
      </c>
      <c r="BO14" s="153">
        <f t="shared" si="9"/>
        <v>0</v>
      </c>
      <c r="BP14" s="148">
        <f t="shared" si="9"/>
        <v>0</v>
      </c>
      <c r="BQ14" s="153">
        <f>BQ12-BQ13</f>
        <v>0</v>
      </c>
      <c r="BR14" s="154">
        <f>BR12-BR13</f>
        <v>0</v>
      </c>
      <c r="BS14" s="148">
        <f t="shared" si="9"/>
        <v>0</v>
      </c>
      <c r="BT14" s="151">
        <f t="shared" si="9"/>
        <v>0</v>
      </c>
      <c r="BU14" s="151">
        <f>BU12-BU13</f>
        <v>0</v>
      </c>
      <c r="BV14" s="148">
        <f>BV12-BV13</f>
        <v>0</v>
      </c>
      <c r="BW14" s="148">
        <f>BW12-BW13</f>
        <v>0</v>
      </c>
      <c r="BX14" s="148">
        <f>BX12-BX13</f>
        <v>0</v>
      </c>
      <c r="BY14" s="149">
        <f t="shared" si="4"/>
        <v>148512.82307800392</v>
      </c>
      <c r="BZ14" s="130"/>
      <c r="CA14" s="157">
        <f t="shared" si="5"/>
        <v>0</v>
      </c>
      <c r="CB14" s="132"/>
    </row>
    <row r="15" spans="1:80">
      <c r="A15" s="158"/>
      <c r="B15" s="1723"/>
      <c r="C15" s="159" t="s">
        <v>289</v>
      </c>
      <c r="D15" s="160"/>
      <c r="E15" s="161">
        <f ca="1">BY15</f>
        <v>1.0000000000000002</v>
      </c>
      <c r="F15" s="162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3"/>
      <c r="S15" s="161"/>
      <c r="T15" s="164"/>
      <c r="U15" s="165"/>
      <c r="V15" s="162"/>
      <c r="W15" s="166"/>
      <c r="X15" s="167"/>
      <c r="Y15" s="168"/>
      <c r="Z15" s="169">
        <f ca="1">OFFSET(수입!$D$66,COLUMN(Z4)-26,0,,)</f>
        <v>0</v>
      </c>
      <c r="AA15" s="164">
        <f ca="1">OFFSET(수입!$D$66,COLUMN(AA4)-26,0,,)</f>
        <v>0</v>
      </c>
      <c r="AB15" s="162">
        <f ca="1">OFFSET(수입!$D$66,COLUMN(AB4)-26,0,,)</f>
        <v>0</v>
      </c>
      <c r="AC15" s="162">
        <f ca="1">OFFSET(수입!$D$66,COLUMN(AC4)-26,0,,)</f>
        <v>0</v>
      </c>
      <c r="AD15" s="162">
        <f ca="1">OFFSET(수입!$D$66,COLUMN(AD4)-26,0,,)</f>
        <v>0</v>
      </c>
      <c r="AE15" s="162">
        <f ca="1">OFFSET(수입!$D$66,COLUMN(AE4)-26,0,,)</f>
        <v>0</v>
      </c>
      <c r="AF15" s="162">
        <f ca="1">OFFSET(수입!$D$66,COLUMN(AF4)-26,0,,)</f>
        <v>0.5</v>
      </c>
      <c r="AG15" s="162">
        <f ca="1">OFFSET(수입!$D$66,COLUMN(AG4)-26,0,,)</f>
        <v>0.15</v>
      </c>
      <c r="AH15" s="162">
        <f ca="1">OFFSET(수입!$D$66,COLUMN(AH4)-26,0,,)</f>
        <v>0.05</v>
      </c>
      <c r="AI15" s="162">
        <f ca="1">OFFSET(수입!$D$66,COLUMN(AI4)-26,0,,)</f>
        <v>0.05</v>
      </c>
      <c r="AJ15" s="162">
        <f ca="1">OFFSET(수입!$D$66,COLUMN(AJ4)-26,0,,)</f>
        <v>0.05</v>
      </c>
      <c r="AK15" s="162">
        <f ca="1">OFFSET(수입!$D$66,COLUMN(AK4)-26,0,,)</f>
        <v>0.05</v>
      </c>
      <c r="AL15" s="162">
        <f ca="1">OFFSET(수입!$D$66,COLUMN(AL4)-26,0,,)</f>
        <v>0.03</v>
      </c>
      <c r="AM15" s="162">
        <f ca="1">OFFSET(수입!$D$66,COLUMN(AM4)-26,0,,)</f>
        <v>0.03</v>
      </c>
      <c r="AN15" s="162">
        <f ca="1">OFFSET(수입!$D$66,COLUMN(AN4)-26,0,,)</f>
        <v>0.03</v>
      </c>
      <c r="AO15" s="162">
        <f ca="1">OFFSET(수입!$D$66,COLUMN(AO4)-26,0,,)</f>
        <v>0.02</v>
      </c>
      <c r="AP15" s="162">
        <f ca="1">OFFSET(수입!$D$66,COLUMN(AP4)-26,0,,)</f>
        <v>0.02</v>
      </c>
      <c r="AQ15" s="162">
        <f ca="1">OFFSET(수입!$D$66,COLUMN(AQ4)-26,0,,)</f>
        <v>0.02</v>
      </c>
      <c r="AR15" s="162">
        <f ca="1">OFFSET(수입!$D$66,COLUMN(AR4)-26,0,,)</f>
        <v>0</v>
      </c>
      <c r="AS15" s="167">
        <f ca="1">OFFSET(수입!$D$66,COLUMN(AS4)-26,0,,)</f>
        <v>0</v>
      </c>
      <c r="AT15" s="162">
        <f ca="1">OFFSET(수입!$D$66,COLUMN(AT4)-26,0,,)</f>
        <v>0</v>
      </c>
      <c r="AU15" s="164">
        <f ca="1">OFFSET(수입!$D$66,COLUMN(AU4)-26,0,,)</f>
        <v>0</v>
      </c>
      <c r="AV15" s="167">
        <f ca="1">OFFSET(수입!$D$66,COLUMN(AV4)-26,0,,)</f>
        <v>0</v>
      </c>
      <c r="AW15" s="162">
        <f ca="1">OFFSET(수입!$D$66,COLUMN(AW4)-26,0,,)</f>
        <v>0</v>
      </c>
      <c r="AX15" s="162">
        <f ca="1">OFFSET(수입!$D$66,COLUMN(AX4)-26,0,,)</f>
        <v>0</v>
      </c>
      <c r="AY15" s="162">
        <f ca="1">OFFSET(수입!$D$66,COLUMN(AY4)-26,0,,)</f>
        <v>0</v>
      </c>
      <c r="AZ15" s="162">
        <f ca="1">OFFSET(수입!$D$66,COLUMN(AZ4)-26,0,,)</f>
        <v>0</v>
      </c>
      <c r="BA15" s="164">
        <f ca="1">OFFSET(수입!$D$66,COLUMN(BA4)-26,0,,)</f>
        <v>0</v>
      </c>
      <c r="BB15" s="162">
        <f ca="1">OFFSET(수입!$D$66,COLUMN(BB4)-26,0,,)</f>
        <v>0</v>
      </c>
      <c r="BC15" s="162">
        <f ca="1">OFFSET(수입!$D$66,COLUMN(BC4)-26,0,,)</f>
        <v>0</v>
      </c>
      <c r="BD15" s="162">
        <f ca="1">OFFSET(수입!$D$66,COLUMN(BD4)-26,0,,)</f>
        <v>0</v>
      </c>
      <c r="BE15" s="162">
        <f ca="1">OFFSET(수입!$D$66,COLUMN(BE4)-26,0,,)</f>
        <v>0</v>
      </c>
      <c r="BF15" s="162">
        <f ca="1">OFFSET(수입!$D$66,COLUMN(BF4)-26,0,,)</f>
        <v>0</v>
      </c>
      <c r="BG15" s="167">
        <f ca="1">OFFSET(수입!$D$66,COLUMN(BG4)-26,0,,)</f>
        <v>0</v>
      </c>
      <c r="BH15" s="162">
        <f ca="1">OFFSET(수입!$D$66,COLUMN(BH4)-26,0,,)</f>
        <v>0</v>
      </c>
      <c r="BI15" s="166">
        <f ca="1">OFFSET(수입!$D$66,COLUMN(BI4)-26,0,,)</f>
        <v>0</v>
      </c>
      <c r="BJ15" s="162">
        <f ca="1">OFFSET(수입!$D$66,COLUMN(BJ4)-26,0,,)</f>
        <v>0</v>
      </c>
      <c r="BK15" s="169">
        <f ca="1">OFFSET(수입!$D$66,COLUMN(BK4)-26,0,,)</f>
        <v>0</v>
      </c>
      <c r="BL15" s="167">
        <f ca="1">OFFSET(수입!$D$66,COLUMN(BL4)-26,0,,)</f>
        <v>0</v>
      </c>
      <c r="BM15" s="167">
        <f ca="1">OFFSET(수입!$D$66,COLUMN(BM4)-26,0,,)</f>
        <v>0</v>
      </c>
      <c r="BN15" s="162">
        <f ca="1">OFFSET(수입!$D$66,COLUMN(BN4)-26,0,,)</f>
        <v>0</v>
      </c>
      <c r="BO15" s="166">
        <f ca="1">OFFSET(수입!$D$66,COLUMN(BO4)-26,0,,)</f>
        <v>0</v>
      </c>
      <c r="BP15" s="162">
        <f ca="1">OFFSET(수입!$D$66,COLUMN(BP4)-26,0,,)</f>
        <v>0</v>
      </c>
      <c r="BQ15" s="166">
        <f ca="1">OFFSET(수입!$D$66,COLUMN(BQ4)-26,0,,)</f>
        <v>0</v>
      </c>
      <c r="BR15" s="167">
        <f ca="1">OFFSET(수입!$D$66,COLUMN(BR4)-26,0,,)</f>
        <v>0</v>
      </c>
      <c r="BS15" s="162">
        <f ca="1">OFFSET(수입!$D$66,COLUMN(BS4)-26,0,,)</f>
        <v>0</v>
      </c>
      <c r="BT15" s="164">
        <f ca="1">OFFSET(수입!$D$66,COLUMN(BT4)-26,0,,)</f>
        <v>0</v>
      </c>
      <c r="BU15" s="164">
        <f ca="1">OFFSET(수입!$D$66,COLUMN(BU4)-26,0,,)</f>
        <v>0</v>
      </c>
      <c r="BV15" s="162">
        <f ca="1">OFFSET(수입!$D$66,COLUMN(BV4)-26,0,,)</f>
        <v>0</v>
      </c>
      <c r="BW15" s="162">
        <f ca="1">OFFSET(수입!$D$66,COLUMN(BW4)-26,0,,)</f>
        <v>0</v>
      </c>
      <c r="BX15" s="162">
        <f ca="1">OFFSET(수입!$D$66,COLUMN(BX4)-26,0,,)</f>
        <v>0</v>
      </c>
      <c r="BY15" s="161">
        <f t="shared" ca="1" si="4"/>
        <v>1.0000000000000002</v>
      </c>
      <c r="BZ15" s="130"/>
      <c r="CA15" s="171">
        <f t="shared" ca="1" si="5"/>
        <v>0</v>
      </c>
      <c r="CB15" s="132"/>
    </row>
    <row r="16" spans="1:80">
      <c r="A16" s="158"/>
      <c r="B16" s="1724" t="str">
        <f>손익!T9</f>
        <v xml:space="preserve"> 근린생활시설</v>
      </c>
      <c r="C16" s="1715" t="s">
        <v>286</v>
      </c>
      <c r="D16" s="1716"/>
      <c r="E16" s="117">
        <f>SUM(손익!AT9)/1000</f>
        <v>21284.968815239681</v>
      </c>
      <c r="F16" s="118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20"/>
      <c r="S16" s="119"/>
      <c r="T16" s="172"/>
      <c r="U16" s="122"/>
      <c r="V16" s="118"/>
      <c r="W16" s="173"/>
      <c r="X16" s="174"/>
      <c r="Y16" s="175"/>
      <c r="Z16" s="190">
        <f>수입!G173/1000</f>
        <v>0</v>
      </c>
      <c r="AA16" s="172">
        <f>수입!H173/1000</f>
        <v>0</v>
      </c>
      <c r="AB16" s="118">
        <f>수입!I173/1000</f>
        <v>0</v>
      </c>
      <c r="AC16" s="118">
        <f>수입!J173/1000</f>
        <v>0</v>
      </c>
      <c r="AD16" s="118">
        <f>수입!K173/1000</f>
        <v>0</v>
      </c>
      <c r="AE16" s="118">
        <f>수입!L173/1000</f>
        <v>0</v>
      </c>
      <c r="AF16" s="118">
        <f>수입!M173/1000</f>
        <v>425.69937630479365</v>
      </c>
      <c r="AG16" s="118">
        <f>수입!N173/1000</f>
        <v>106.42484407619841</v>
      </c>
      <c r="AH16" s="118">
        <f>수입!O173/1000</f>
        <v>106.42484407619841</v>
      </c>
      <c r="AI16" s="118">
        <f>수입!P173/1000</f>
        <v>106.42484407619841</v>
      </c>
      <c r="AJ16" s="118">
        <f>수입!Q173/1000</f>
        <v>106.42484407619841</v>
      </c>
      <c r="AK16" s="118">
        <f>수입!R173/1000</f>
        <v>106.42484407619841</v>
      </c>
      <c r="AL16" s="118">
        <f>수입!S173/1000</f>
        <v>1064.2484407619841</v>
      </c>
      <c r="AM16" s="118">
        <f>수입!T173/1000</f>
        <v>106.42484407619841</v>
      </c>
      <c r="AN16" s="118">
        <f>수입!U173/1000</f>
        <v>106.42484407619841</v>
      </c>
      <c r="AO16" s="118">
        <f>수입!V173/1000</f>
        <v>106.42484407619841</v>
      </c>
      <c r="AP16" s="118">
        <f>수입!W173/1000</f>
        <v>63.854906445719045</v>
      </c>
      <c r="AQ16" s="118">
        <f>수입!X173/1000</f>
        <v>42.569937630479373</v>
      </c>
      <c r="AR16" s="118">
        <f>수입!Y173/1000</f>
        <v>2022.0720374477696</v>
      </c>
      <c r="AS16" s="174">
        <f>수입!Z173/1000</f>
        <v>0</v>
      </c>
      <c r="AT16" s="118">
        <f>수입!AA173/1000</f>
        <v>0</v>
      </c>
      <c r="AU16" s="172">
        <f>수입!AB173/1000</f>
        <v>0</v>
      </c>
      <c r="AV16" s="174">
        <f>수입!AC173/1000</f>
        <v>0</v>
      </c>
      <c r="AW16" s="118">
        <f>수입!AD173/1000</f>
        <v>0</v>
      </c>
      <c r="AX16" s="118">
        <f>수입!AE173/1000</f>
        <v>1489.947817066778</v>
      </c>
      <c r="AY16" s="118">
        <f>수입!AF173/1000</f>
        <v>0</v>
      </c>
      <c r="AZ16" s="123">
        <f>수입!AG173/1000</f>
        <v>0</v>
      </c>
      <c r="BA16" s="121">
        <f>수입!AH173/1000</f>
        <v>0</v>
      </c>
      <c r="BB16" s="123">
        <f>수입!AI173/1000</f>
        <v>0</v>
      </c>
      <c r="BC16" s="123">
        <f>수입!AJ173/1000</f>
        <v>0</v>
      </c>
      <c r="BD16" s="123">
        <f>수입!AK173/1000</f>
        <v>1489.947817066778</v>
      </c>
      <c r="BE16" s="123">
        <f>수입!AL173/1000</f>
        <v>0</v>
      </c>
      <c r="BF16" s="123">
        <f>수입!AM173/1000</f>
        <v>0</v>
      </c>
      <c r="BG16" s="125">
        <f>수입!AN173/1000</f>
        <v>0</v>
      </c>
      <c r="BH16" s="118">
        <f>수입!AO173/1000</f>
        <v>0</v>
      </c>
      <c r="BI16" s="173">
        <f>수입!AP173/1000</f>
        <v>0</v>
      </c>
      <c r="BJ16" s="118">
        <f>수입!AQ173/1000</f>
        <v>0</v>
      </c>
      <c r="BK16" s="176">
        <f>수입!AR173/1000</f>
        <v>2234.9217256001657</v>
      </c>
      <c r="BL16" s="174">
        <f>수입!AS173/1000</f>
        <v>3724.8695426669437</v>
      </c>
      <c r="BM16" s="174">
        <f>수입!AT173/1000</f>
        <v>1489.947817066778</v>
      </c>
      <c r="BN16" s="118">
        <f>수입!AU173/1000</f>
        <v>6385.4906445719034</v>
      </c>
      <c r="BO16" s="173">
        <f>수입!AV173/1000</f>
        <v>0</v>
      </c>
      <c r="BP16" s="118">
        <f>수입!AW173/1000</f>
        <v>0</v>
      </c>
      <c r="BQ16" s="124">
        <f>수입!AX173/1000</f>
        <v>0</v>
      </c>
      <c r="BR16" s="174">
        <f>수입!AY173/1000</f>
        <v>0</v>
      </c>
      <c r="BS16" s="118">
        <f>수입!AZ173/1000</f>
        <v>0</v>
      </c>
      <c r="BT16" s="172">
        <f>수입!BA173/1000</f>
        <v>0</v>
      </c>
      <c r="BU16" s="121">
        <f>수입!BB173/1000</f>
        <v>0</v>
      </c>
      <c r="BV16" s="123">
        <f>수입!BC173/1000</f>
        <v>0</v>
      </c>
      <c r="BW16" s="123">
        <f>수입!BD173/1000</f>
        <v>0</v>
      </c>
      <c r="BX16" s="123">
        <f>수입!BE173/1000</f>
        <v>0</v>
      </c>
      <c r="BY16" s="129">
        <f t="shared" si="4"/>
        <v>21284.968815239681</v>
      </c>
      <c r="BZ16" s="130"/>
      <c r="CA16" s="131">
        <f t="shared" si="5"/>
        <v>0</v>
      </c>
      <c r="CB16" s="132">
        <f>손익!AU9</f>
        <v>0.06</v>
      </c>
    </row>
    <row r="17" spans="1:80">
      <c r="A17" s="158"/>
      <c r="B17" s="1725"/>
      <c r="C17" s="1717" t="s">
        <v>287</v>
      </c>
      <c r="D17" s="1718"/>
      <c r="E17" s="133">
        <f>SUM(손익!AS9)/1000</f>
        <v>1277.0981289143808</v>
      </c>
      <c r="F17" s="134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6"/>
      <c r="S17" s="135"/>
      <c r="T17" s="177"/>
      <c r="U17" s="138"/>
      <c r="V17" s="134"/>
      <c r="W17" s="178"/>
      <c r="X17" s="179"/>
      <c r="Y17" s="180"/>
      <c r="Z17" s="143">
        <f t="shared" ref="Z17:BX17" si="10">Z16*$CB$16</f>
        <v>0</v>
      </c>
      <c r="AA17" s="137">
        <f t="shared" si="10"/>
        <v>0</v>
      </c>
      <c r="AB17" s="139">
        <f t="shared" si="10"/>
        <v>0</v>
      </c>
      <c r="AC17" s="139">
        <f t="shared" si="10"/>
        <v>0</v>
      </c>
      <c r="AD17" s="139">
        <f t="shared" si="10"/>
        <v>0</v>
      </c>
      <c r="AE17" s="139">
        <f t="shared" si="10"/>
        <v>0</v>
      </c>
      <c r="AF17" s="139">
        <f t="shared" si="10"/>
        <v>25.541962578287617</v>
      </c>
      <c r="AG17" s="139">
        <f t="shared" si="10"/>
        <v>6.3854906445719042</v>
      </c>
      <c r="AH17" s="139">
        <f t="shared" si="10"/>
        <v>6.3854906445719042</v>
      </c>
      <c r="AI17" s="139">
        <f t="shared" si="10"/>
        <v>6.3854906445719042</v>
      </c>
      <c r="AJ17" s="139">
        <f t="shared" si="10"/>
        <v>6.3854906445719042</v>
      </c>
      <c r="AK17" s="139">
        <f t="shared" si="10"/>
        <v>6.3854906445719042</v>
      </c>
      <c r="AL17" s="139">
        <f t="shared" si="10"/>
        <v>63.854906445719038</v>
      </c>
      <c r="AM17" s="139">
        <f t="shared" si="10"/>
        <v>6.3854906445719042</v>
      </c>
      <c r="AN17" s="139">
        <f t="shared" si="10"/>
        <v>6.3854906445719042</v>
      </c>
      <c r="AO17" s="139">
        <f t="shared" si="10"/>
        <v>6.3854906445719042</v>
      </c>
      <c r="AP17" s="139">
        <f t="shared" si="10"/>
        <v>3.8312943867431426</v>
      </c>
      <c r="AQ17" s="139">
        <f t="shared" si="10"/>
        <v>2.5541962578287625</v>
      </c>
      <c r="AR17" s="139">
        <f t="shared" si="10"/>
        <v>121.32432224686617</v>
      </c>
      <c r="AS17" s="141">
        <f t="shared" si="10"/>
        <v>0</v>
      </c>
      <c r="AT17" s="139">
        <f t="shared" si="10"/>
        <v>0</v>
      </c>
      <c r="AU17" s="137">
        <f t="shared" si="10"/>
        <v>0</v>
      </c>
      <c r="AV17" s="141">
        <f t="shared" si="10"/>
        <v>0</v>
      </c>
      <c r="AW17" s="139">
        <f t="shared" si="10"/>
        <v>0</v>
      </c>
      <c r="AX17" s="139">
        <f t="shared" si="10"/>
        <v>89.396869024006676</v>
      </c>
      <c r="AY17" s="139">
        <f t="shared" si="10"/>
        <v>0</v>
      </c>
      <c r="AZ17" s="139">
        <f t="shared" si="10"/>
        <v>0</v>
      </c>
      <c r="BA17" s="137">
        <f t="shared" si="10"/>
        <v>0</v>
      </c>
      <c r="BB17" s="139">
        <f t="shared" si="10"/>
        <v>0</v>
      </c>
      <c r="BC17" s="139">
        <f t="shared" si="10"/>
        <v>0</v>
      </c>
      <c r="BD17" s="139">
        <f t="shared" si="10"/>
        <v>89.396869024006676</v>
      </c>
      <c r="BE17" s="139">
        <f t="shared" si="10"/>
        <v>0</v>
      </c>
      <c r="BF17" s="139">
        <f t="shared" si="10"/>
        <v>0</v>
      </c>
      <c r="BG17" s="141">
        <f t="shared" si="10"/>
        <v>0</v>
      </c>
      <c r="BH17" s="139">
        <f t="shared" si="10"/>
        <v>0</v>
      </c>
      <c r="BI17" s="140">
        <f t="shared" si="10"/>
        <v>0</v>
      </c>
      <c r="BJ17" s="139">
        <f t="shared" si="10"/>
        <v>0</v>
      </c>
      <c r="BK17" s="143">
        <f t="shared" si="10"/>
        <v>134.09530353600994</v>
      </c>
      <c r="BL17" s="141">
        <f t="shared" si="10"/>
        <v>223.49217256001663</v>
      </c>
      <c r="BM17" s="141">
        <f t="shared" si="10"/>
        <v>89.396869024006676</v>
      </c>
      <c r="BN17" s="139">
        <f t="shared" si="10"/>
        <v>383.1294386743142</v>
      </c>
      <c r="BO17" s="140">
        <f t="shared" si="10"/>
        <v>0</v>
      </c>
      <c r="BP17" s="139">
        <f t="shared" si="10"/>
        <v>0</v>
      </c>
      <c r="BQ17" s="140">
        <f t="shared" si="10"/>
        <v>0</v>
      </c>
      <c r="BR17" s="141">
        <f t="shared" si="10"/>
        <v>0</v>
      </c>
      <c r="BS17" s="139">
        <f t="shared" si="10"/>
        <v>0</v>
      </c>
      <c r="BT17" s="137">
        <f t="shared" si="10"/>
        <v>0</v>
      </c>
      <c r="BU17" s="137">
        <f t="shared" si="10"/>
        <v>0</v>
      </c>
      <c r="BV17" s="139">
        <f t="shared" si="10"/>
        <v>0</v>
      </c>
      <c r="BW17" s="139">
        <f t="shared" si="10"/>
        <v>0</v>
      </c>
      <c r="BX17" s="139">
        <f t="shared" si="10"/>
        <v>0</v>
      </c>
      <c r="BY17" s="144">
        <f t="shared" si="4"/>
        <v>1277.0981289143806</v>
      </c>
      <c r="BZ17" s="130"/>
      <c r="CA17" s="145">
        <f t="shared" si="5"/>
        <v>0</v>
      </c>
      <c r="CB17" s="132"/>
    </row>
    <row r="18" spans="1:80">
      <c r="A18" s="158"/>
      <c r="B18" s="1725"/>
      <c r="C18" s="1719" t="s">
        <v>288</v>
      </c>
      <c r="D18" s="1720"/>
      <c r="E18" s="181">
        <f>E16-E17</f>
        <v>20007.870686325299</v>
      </c>
      <c r="F18" s="182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4"/>
      <c r="S18" s="183"/>
      <c r="T18" s="185"/>
      <c r="U18" s="186"/>
      <c r="V18" s="182"/>
      <c r="W18" s="187"/>
      <c r="X18" s="188"/>
      <c r="Y18" s="189"/>
      <c r="Z18" s="156">
        <f>Z16-Z17</f>
        <v>0</v>
      </c>
      <c r="AA18" s="151">
        <f t="shared" ref="AA18:BT18" si="11">AA16-AA17</f>
        <v>0</v>
      </c>
      <c r="AB18" s="148">
        <f t="shared" si="11"/>
        <v>0</v>
      </c>
      <c r="AC18" s="148">
        <f t="shared" si="11"/>
        <v>0</v>
      </c>
      <c r="AD18" s="148">
        <f t="shared" si="11"/>
        <v>0</v>
      </c>
      <c r="AE18" s="148">
        <f t="shared" si="11"/>
        <v>0</v>
      </c>
      <c r="AF18" s="148">
        <f t="shared" si="11"/>
        <v>400.15741372650604</v>
      </c>
      <c r="AG18" s="148">
        <f t="shared" si="11"/>
        <v>100.03935343162651</v>
      </c>
      <c r="AH18" s="148">
        <f t="shared" si="11"/>
        <v>100.03935343162651</v>
      </c>
      <c r="AI18" s="148">
        <f t="shared" si="11"/>
        <v>100.03935343162651</v>
      </c>
      <c r="AJ18" s="148">
        <f t="shared" si="11"/>
        <v>100.03935343162651</v>
      </c>
      <c r="AK18" s="148">
        <f t="shared" si="11"/>
        <v>100.03935343162651</v>
      </c>
      <c r="AL18" s="148">
        <f t="shared" si="11"/>
        <v>1000.393534316265</v>
      </c>
      <c r="AM18" s="148">
        <f t="shared" si="11"/>
        <v>100.03935343162651</v>
      </c>
      <c r="AN18" s="148">
        <f t="shared" si="11"/>
        <v>100.03935343162651</v>
      </c>
      <c r="AO18" s="148">
        <f t="shared" si="11"/>
        <v>100.03935343162651</v>
      </c>
      <c r="AP18" s="148">
        <f t="shared" si="11"/>
        <v>60.0236120589759</v>
      </c>
      <c r="AQ18" s="148">
        <f t="shared" si="11"/>
        <v>40.015741372650609</v>
      </c>
      <c r="AR18" s="148">
        <f t="shared" si="11"/>
        <v>1900.7477152009035</v>
      </c>
      <c r="AS18" s="154">
        <f t="shared" si="11"/>
        <v>0</v>
      </c>
      <c r="AT18" s="148">
        <f t="shared" si="11"/>
        <v>0</v>
      </c>
      <c r="AU18" s="151">
        <f t="shared" si="11"/>
        <v>0</v>
      </c>
      <c r="AV18" s="154">
        <f t="shared" si="11"/>
        <v>0</v>
      </c>
      <c r="AW18" s="148">
        <f t="shared" si="11"/>
        <v>0</v>
      </c>
      <c r="AX18" s="148">
        <f t="shared" si="11"/>
        <v>1400.5509480427713</v>
      </c>
      <c r="AY18" s="148">
        <f t="shared" si="11"/>
        <v>0</v>
      </c>
      <c r="AZ18" s="148">
        <f t="shared" si="11"/>
        <v>0</v>
      </c>
      <c r="BA18" s="151">
        <f t="shared" si="11"/>
        <v>0</v>
      </c>
      <c r="BB18" s="148">
        <f t="shared" si="11"/>
        <v>0</v>
      </c>
      <c r="BC18" s="148">
        <f t="shared" si="11"/>
        <v>0</v>
      </c>
      <c r="BD18" s="148">
        <f t="shared" si="11"/>
        <v>1400.5509480427713</v>
      </c>
      <c r="BE18" s="148">
        <f t="shared" si="11"/>
        <v>0</v>
      </c>
      <c r="BF18" s="148">
        <f t="shared" si="11"/>
        <v>0</v>
      </c>
      <c r="BG18" s="154">
        <f t="shared" si="11"/>
        <v>0</v>
      </c>
      <c r="BH18" s="148">
        <f t="shared" si="11"/>
        <v>0</v>
      </c>
      <c r="BI18" s="153">
        <f t="shared" si="11"/>
        <v>0</v>
      </c>
      <c r="BJ18" s="148">
        <f t="shared" si="11"/>
        <v>0</v>
      </c>
      <c r="BK18" s="156">
        <f t="shared" si="11"/>
        <v>2100.8264220641558</v>
      </c>
      <c r="BL18" s="154">
        <f t="shared" si="11"/>
        <v>3501.3773701069272</v>
      </c>
      <c r="BM18" s="154">
        <f t="shared" si="11"/>
        <v>1400.5509480427713</v>
      </c>
      <c r="BN18" s="148">
        <f t="shared" si="11"/>
        <v>6002.3612058975896</v>
      </c>
      <c r="BO18" s="153">
        <f t="shared" si="11"/>
        <v>0</v>
      </c>
      <c r="BP18" s="148">
        <f t="shared" si="11"/>
        <v>0</v>
      </c>
      <c r="BQ18" s="153">
        <f>BQ16-BQ17</f>
        <v>0</v>
      </c>
      <c r="BR18" s="154">
        <f>BR16-BR17</f>
        <v>0</v>
      </c>
      <c r="BS18" s="148">
        <f t="shared" si="11"/>
        <v>0</v>
      </c>
      <c r="BT18" s="151">
        <f t="shared" si="11"/>
        <v>0</v>
      </c>
      <c r="BU18" s="151">
        <f>BU16-BU17</f>
        <v>0</v>
      </c>
      <c r="BV18" s="148">
        <f>BV16-BV17</f>
        <v>0</v>
      </c>
      <c r="BW18" s="148">
        <f>BW16-BW17</f>
        <v>0</v>
      </c>
      <c r="BX18" s="148">
        <f>BX16-BX17</f>
        <v>0</v>
      </c>
      <c r="BY18" s="149">
        <f t="shared" si="4"/>
        <v>20007.870686325299</v>
      </c>
      <c r="BZ18" s="130"/>
      <c r="CA18" s="157">
        <f t="shared" si="5"/>
        <v>0</v>
      </c>
      <c r="CB18" s="132"/>
    </row>
    <row r="19" spans="1:80">
      <c r="A19" s="158"/>
      <c r="B19" s="1726"/>
      <c r="C19" s="159" t="s">
        <v>289</v>
      </c>
      <c r="D19" s="160"/>
      <c r="E19" s="161">
        <f ca="1">BY19</f>
        <v>1</v>
      </c>
      <c r="F19" s="162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3"/>
      <c r="S19" s="161"/>
      <c r="T19" s="164"/>
      <c r="U19" s="165"/>
      <c r="V19" s="162"/>
      <c r="W19" s="166"/>
      <c r="X19" s="167"/>
      <c r="Y19" s="168"/>
      <c r="Z19" s="169">
        <f ca="1">OFFSET(수입!$D$122,COLUMN(Z9)-26,0,,)</f>
        <v>0</v>
      </c>
      <c r="AA19" s="164">
        <f ca="1">OFFSET(수입!$D$122,COLUMN(AA9)-26,0,,)</f>
        <v>0</v>
      </c>
      <c r="AB19" s="162">
        <f ca="1">OFFSET(수입!$D$122,COLUMN(AB9)-26,0,,)</f>
        <v>0</v>
      </c>
      <c r="AC19" s="162">
        <f ca="1">OFFSET(수입!$D$122,COLUMN(AC9)-26,0,,)</f>
        <v>0</v>
      </c>
      <c r="AD19" s="162">
        <f ca="1">OFFSET(수입!$D$122,COLUMN(AD9)-26,0,,)</f>
        <v>0</v>
      </c>
      <c r="AE19" s="162">
        <f ca="1">OFFSET(수입!$D$122,COLUMN(AE9)-26,0,,)</f>
        <v>0</v>
      </c>
      <c r="AF19" s="162">
        <f ca="1">OFFSET(수입!$D$122,COLUMN(AF9)-26,0,,)</f>
        <v>0.2</v>
      </c>
      <c r="AG19" s="162">
        <f ca="1">OFFSET(수입!$D$122,COLUMN(AG9)-26,0,,)</f>
        <v>0.05</v>
      </c>
      <c r="AH19" s="162">
        <f ca="1">OFFSET(수입!$D$122,COLUMN(AH9)-26,0,,)</f>
        <v>0.05</v>
      </c>
      <c r="AI19" s="162">
        <f ca="1">OFFSET(수입!$D$122,COLUMN(AI9)-26,0,,)</f>
        <v>0.05</v>
      </c>
      <c r="AJ19" s="162">
        <f ca="1">OFFSET(수입!$D$122,COLUMN(AJ9)-26,0,,)</f>
        <v>0.05</v>
      </c>
      <c r="AK19" s="162">
        <f ca="1">OFFSET(수입!$D$122,COLUMN(AK9)-26,0,,)</f>
        <v>0.05</v>
      </c>
      <c r="AL19" s="162">
        <f ca="1">OFFSET(수입!$D$122,COLUMN(AL9)-26,0,,)</f>
        <v>0.05</v>
      </c>
      <c r="AM19" s="162">
        <f ca="1">OFFSET(수입!$D$122,COLUMN(AM9)-26,0,,)</f>
        <v>0.05</v>
      </c>
      <c r="AN19" s="162">
        <f ca="1">OFFSET(수입!$D$122,COLUMN(AN9)-26,0,,)</f>
        <v>0.05</v>
      </c>
      <c r="AO19" s="162">
        <f ca="1">OFFSET(수입!$D$122,COLUMN(AO9)-26,0,,)</f>
        <v>0.05</v>
      </c>
      <c r="AP19" s="162">
        <f ca="1">OFFSET(수입!$D$122,COLUMN(AP9)-26,0,,)</f>
        <v>0.03</v>
      </c>
      <c r="AQ19" s="162">
        <f ca="1">OFFSET(수입!$D$122,COLUMN(AQ9)-26,0,,)</f>
        <v>0.02</v>
      </c>
      <c r="AR19" s="162">
        <f ca="1">OFFSET(수입!$D$122,COLUMN(AR9)-26,0,,)</f>
        <v>0</v>
      </c>
      <c r="AS19" s="167">
        <f ca="1">OFFSET(수입!$D$122,COLUMN(AS9)-26,0,,)</f>
        <v>0</v>
      </c>
      <c r="AT19" s="162">
        <f ca="1">OFFSET(수입!$D$122,COLUMN(AT9)-26,0,,)</f>
        <v>0</v>
      </c>
      <c r="AU19" s="164">
        <f ca="1">OFFSET(수입!$D$122,COLUMN(AU9)-26,0,,)</f>
        <v>0</v>
      </c>
      <c r="AV19" s="167">
        <f ca="1">OFFSET(수입!$D$122,COLUMN(AV9)-26,0,,)</f>
        <v>0</v>
      </c>
      <c r="AW19" s="162">
        <f ca="1">OFFSET(수입!$D$122,COLUMN(AW9)-26,0,,)</f>
        <v>0</v>
      </c>
      <c r="AX19" s="162">
        <f ca="1">OFFSET(수입!$D$122,COLUMN(AX9)-26,0,,)</f>
        <v>0</v>
      </c>
      <c r="AY19" s="162">
        <f ca="1">OFFSET(수입!$D$122,COLUMN(AY9)-26,0,,)</f>
        <v>0</v>
      </c>
      <c r="AZ19" s="162">
        <f ca="1">OFFSET(수입!$D$122,COLUMN(AZ9)-26,0,,)</f>
        <v>0</v>
      </c>
      <c r="BA19" s="164">
        <f ca="1">OFFSET(수입!$D$122,COLUMN(BA9)-26,0,,)</f>
        <v>0</v>
      </c>
      <c r="BB19" s="162">
        <f ca="1">OFFSET(수입!$D$122,COLUMN(BB9)-26,0,,)</f>
        <v>0</v>
      </c>
      <c r="BC19" s="162">
        <f ca="1">OFFSET(수입!$D$122,COLUMN(BC9)-26,0,,)</f>
        <v>0</v>
      </c>
      <c r="BD19" s="162">
        <f ca="1">OFFSET(수입!$D$122,COLUMN(BD9)-26,0,,)</f>
        <v>0</v>
      </c>
      <c r="BE19" s="162">
        <f ca="1">OFFSET(수입!$D$122,COLUMN(BE9)-26,0,,)</f>
        <v>0</v>
      </c>
      <c r="BF19" s="162">
        <f ca="1">OFFSET(수입!$D$122,COLUMN(BF9)-26,0,,)</f>
        <v>0</v>
      </c>
      <c r="BG19" s="167">
        <f ca="1">OFFSET(수입!$D$122,COLUMN(BG9)-26,0,,)</f>
        <v>0</v>
      </c>
      <c r="BH19" s="162">
        <f ca="1">OFFSET(수입!$D$122,COLUMN(BH9)-26,0,,)</f>
        <v>0</v>
      </c>
      <c r="BI19" s="166">
        <f ca="1">OFFSET(수입!$D$122,COLUMN(BI9)-26,0,,)</f>
        <v>0</v>
      </c>
      <c r="BJ19" s="162">
        <f ca="1">OFFSET(수입!$D$122,COLUMN(BJ9)-26,0,,)</f>
        <v>0</v>
      </c>
      <c r="BK19" s="169">
        <f ca="1">OFFSET(수입!$D$122,COLUMN(BK9)-26,0,,)</f>
        <v>0</v>
      </c>
      <c r="BL19" s="167">
        <f ca="1">OFFSET(수입!$D$122,COLUMN(BL9)-26,0,,)</f>
        <v>0</v>
      </c>
      <c r="BM19" s="167">
        <f ca="1">OFFSET(수입!$D$122,COLUMN(BM9)-26,0,,)</f>
        <v>0</v>
      </c>
      <c r="BN19" s="162">
        <f ca="1">OFFSET(수입!$D$122,COLUMN(BN9)-26,0,,)</f>
        <v>0.29999999999999993</v>
      </c>
      <c r="BO19" s="166">
        <f ca="1">OFFSET(수입!$D$122,COLUMN(BO9)-26,0,,)</f>
        <v>0</v>
      </c>
      <c r="BP19" s="162">
        <f ca="1">OFFSET(수입!$D$122,COLUMN(BP9)-26,0,,)</f>
        <v>0</v>
      </c>
      <c r="BQ19" s="166">
        <f ca="1">OFFSET(수입!$D$122,COLUMN(BQ9)-26,0,,)</f>
        <v>0</v>
      </c>
      <c r="BR19" s="167">
        <f ca="1">OFFSET(수입!$D$122,COLUMN(BR9)-26,0,,)</f>
        <v>0</v>
      </c>
      <c r="BS19" s="162">
        <f ca="1">OFFSET(수입!$D$122,COLUMN(BS9)-26,0,,)</f>
        <v>0</v>
      </c>
      <c r="BT19" s="164">
        <f ca="1">OFFSET(수입!$D$122,COLUMN(BT9)-26,0,,)</f>
        <v>0</v>
      </c>
      <c r="BU19" s="164">
        <f ca="1">OFFSET(수입!$D$122,COLUMN(BU9)-26,0,,)</f>
        <v>0</v>
      </c>
      <c r="BV19" s="162">
        <f ca="1">OFFSET(수입!$D$122,COLUMN(BV9)-26,0,,)</f>
        <v>0</v>
      </c>
      <c r="BW19" s="162">
        <f ca="1">OFFSET(수입!$D$122,COLUMN(BW9)-26,0,,)</f>
        <v>0</v>
      </c>
      <c r="BX19" s="162">
        <f ca="1">OFFSET(수입!$D$122,COLUMN(BX9)-26,0,,)</f>
        <v>0</v>
      </c>
      <c r="BY19" s="161">
        <f t="shared" ca="1" si="4"/>
        <v>1</v>
      </c>
      <c r="BZ19" s="130"/>
      <c r="CA19" s="171">
        <f t="shared" ca="1" si="5"/>
        <v>0</v>
      </c>
      <c r="CB19" s="132"/>
    </row>
    <row r="20" spans="1:80" hidden="1">
      <c r="A20" s="158"/>
      <c r="B20" s="1728"/>
      <c r="C20" s="1715" t="s">
        <v>286</v>
      </c>
      <c r="D20" s="1716"/>
      <c r="E20" s="117"/>
      <c r="F20" s="118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20"/>
      <c r="S20" s="119"/>
      <c r="T20" s="172"/>
      <c r="U20" s="122"/>
      <c r="V20" s="118"/>
      <c r="W20" s="173"/>
      <c r="X20" s="174"/>
      <c r="Y20" s="175"/>
      <c r="Z20" s="176">
        <f>수입!G228/1000</f>
        <v>0</v>
      </c>
      <c r="AA20" s="172">
        <f>수입!H228/1000</f>
        <v>0</v>
      </c>
      <c r="AB20" s="118">
        <f>수입!I228/1000</f>
        <v>0</v>
      </c>
      <c r="AC20" s="118">
        <f>수입!J228/1000</f>
        <v>0</v>
      </c>
      <c r="AD20" s="118">
        <f>수입!K228/1000</f>
        <v>0</v>
      </c>
      <c r="AE20" s="118">
        <f>수입!L228/1000</f>
        <v>0</v>
      </c>
      <c r="AF20" s="118">
        <f>수입!M228/1000</f>
        <v>0</v>
      </c>
      <c r="AG20" s="118">
        <f>수입!N228/1000</f>
        <v>0</v>
      </c>
      <c r="AH20" s="118">
        <f>수입!O228/1000</f>
        <v>0</v>
      </c>
      <c r="AI20" s="118">
        <f>수입!P228/1000</f>
        <v>0</v>
      </c>
      <c r="AJ20" s="118">
        <f>수입!Q228/1000</f>
        <v>0</v>
      </c>
      <c r="AK20" s="118">
        <f>수입!R228/1000</f>
        <v>0</v>
      </c>
      <c r="AL20" s="118">
        <f>수입!S228/1000</f>
        <v>0</v>
      </c>
      <c r="AM20" s="118">
        <f>수입!T228/1000</f>
        <v>0</v>
      </c>
      <c r="AN20" s="118">
        <f>수입!U228/1000</f>
        <v>0</v>
      </c>
      <c r="AO20" s="118">
        <f>수입!V228/1000</f>
        <v>0</v>
      </c>
      <c r="AP20" s="118">
        <f>수입!W228/1000</f>
        <v>0</v>
      </c>
      <c r="AQ20" s="118">
        <f>수입!X228/1000</f>
        <v>0</v>
      </c>
      <c r="AR20" s="118">
        <f>수입!Y228/1000</f>
        <v>0</v>
      </c>
      <c r="AS20" s="174">
        <f>수입!Z228/1000</f>
        <v>0</v>
      </c>
      <c r="AT20" s="118">
        <f>수입!AA228/1000</f>
        <v>0</v>
      </c>
      <c r="AU20" s="172">
        <f>수입!AB228/1000</f>
        <v>0</v>
      </c>
      <c r="AV20" s="174">
        <f>수입!AC228/1000</f>
        <v>0</v>
      </c>
      <c r="AW20" s="118">
        <f>수입!AD228/1000</f>
        <v>0</v>
      </c>
      <c r="AX20" s="118">
        <f>수입!AE228/1000</f>
        <v>0</v>
      </c>
      <c r="AY20" s="118">
        <f>수입!AF228/1000</f>
        <v>0</v>
      </c>
      <c r="AZ20" s="123">
        <f>수입!AG228/1000</f>
        <v>0</v>
      </c>
      <c r="BA20" s="121">
        <f>수입!AH228/1000</f>
        <v>0</v>
      </c>
      <c r="BB20" s="123">
        <f>수입!AI228/1000</f>
        <v>0</v>
      </c>
      <c r="BC20" s="123">
        <f>수입!AJ228/1000</f>
        <v>0</v>
      </c>
      <c r="BD20" s="123">
        <f>수입!AK228/1000</f>
        <v>0</v>
      </c>
      <c r="BE20" s="123">
        <f>수입!AL228/1000</f>
        <v>0</v>
      </c>
      <c r="BF20" s="123">
        <f>수입!AM228/1000</f>
        <v>0</v>
      </c>
      <c r="BG20" s="125">
        <f>수입!AN228/1000</f>
        <v>0</v>
      </c>
      <c r="BH20" s="118">
        <f>수입!AO228/1000</f>
        <v>0</v>
      </c>
      <c r="BI20" s="173">
        <f>수입!AP228/1000</f>
        <v>0</v>
      </c>
      <c r="BJ20" s="118">
        <f>수입!AQ228/1000</f>
        <v>0</v>
      </c>
      <c r="BK20" s="176">
        <f>수입!AR228/1000</f>
        <v>0</v>
      </c>
      <c r="BL20" s="174">
        <f>수입!AS228/1000</f>
        <v>0</v>
      </c>
      <c r="BM20" s="174">
        <f>수입!AT228/1000</f>
        <v>0</v>
      </c>
      <c r="BN20" s="118">
        <f>수입!AU228/1000</f>
        <v>0</v>
      </c>
      <c r="BO20" s="173">
        <f>수입!AV228/1000</f>
        <v>0</v>
      </c>
      <c r="BP20" s="118">
        <f>수입!AW228/1000</f>
        <v>0</v>
      </c>
      <c r="BQ20" s="124">
        <f>수입!AX228/1000</f>
        <v>0</v>
      </c>
      <c r="BR20" s="174">
        <f>수입!AY228/1000</f>
        <v>0</v>
      </c>
      <c r="BS20" s="118">
        <f>수입!AZ228/1000</f>
        <v>0</v>
      </c>
      <c r="BT20" s="172">
        <f>수입!BA228/1000</f>
        <v>0</v>
      </c>
      <c r="BU20" s="121">
        <f>수입!BB228/1000</f>
        <v>0</v>
      </c>
      <c r="BV20" s="123">
        <f>수입!BC228/1000</f>
        <v>0</v>
      </c>
      <c r="BW20" s="123">
        <f>수입!BD228/1000</f>
        <v>0</v>
      </c>
      <c r="BX20" s="123">
        <f>수입!BE228/1000</f>
        <v>0</v>
      </c>
      <c r="BY20" s="129">
        <f t="shared" si="4"/>
        <v>0</v>
      </c>
      <c r="BZ20" s="130"/>
      <c r="CA20" s="131">
        <f t="shared" si="5"/>
        <v>0</v>
      </c>
      <c r="CB20" s="132"/>
    </row>
    <row r="21" spans="1:80" hidden="1">
      <c r="A21" s="158"/>
      <c r="B21" s="1729"/>
      <c r="C21" s="1717" t="s">
        <v>287</v>
      </c>
      <c r="D21" s="1718"/>
      <c r="E21" s="133"/>
      <c r="F21" s="134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6"/>
      <c r="S21" s="135"/>
      <c r="T21" s="177"/>
      <c r="U21" s="138"/>
      <c r="V21" s="134"/>
      <c r="W21" s="178"/>
      <c r="X21" s="179"/>
      <c r="Y21" s="180"/>
      <c r="Z21" s="143">
        <f t="shared" ref="Z21:BX21" si="12">Z20*$CB$20</f>
        <v>0</v>
      </c>
      <c r="AA21" s="137">
        <f t="shared" si="12"/>
        <v>0</v>
      </c>
      <c r="AB21" s="139">
        <f t="shared" si="12"/>
        <v>0</v>
      </c>
      <c r="AC21" s="139">
        <f t="shared" si="12"/>
        <v>0</v>
      </c>
      <c r="AD21" s="139">
        <f t="shared" si="12"/>
        <v>0</v>
      </c>
      <c r="AE21" s="139">
        <f t="shared" si="12"/>
        <v>0</v>
      </c>
      <c r="AF21" s="139">
        <f t="shared" si="12"/>
        <v>0</v>
      </c>
      <c r="AG21" s="139">
        <f t="shared" si="12"/>
        <v>0</v>
      </c>
      <c r="AH21" s="139">
        <f t="shared" si="12"/>
        <v>0</v>
      </c>
      <c r="AI21" s="139">
        <f t="shared" si="12"/>
        <v>0</v>
      </c>
      <c r="AJ21" s="139">
        <f t="shared" si="12"/>
        <v>0</v>
      </c>
      <c r="AK21" s="139">
        <f t="shared" si="12"/>
        <v>0</v>
      </c>
      <c r="AL21" s="139">
        <f t="shared" si="12"/>
        <v>0</v>
      </c>
      <c r="AM21" s="139">
        <f t="shared" si="12"/>
        <v>0</v>
      </c>
      <c r="AN21" s="139">
        <f t="shared" si="12"/>
        <v>0</v>
      </c>
      <c r="AO21" s="139">
        <f t="shared" si="12"/>
        <v>0</v>
      </c>
      <c r="AP21" s="139">
        <f t="shared" si="12"/>
        <v>0</v>
      </c>
      <c r="AQ21" s="139">
        <f t="shared" si="12"/>
        <v>0</v>
      </c>
      <c r="AR21" s="139">
        <f t="shared" si="12"/>
        <v>0</v>
      </c>
      <c r="AS21" s="141">
        <f t="shared" si="12"/>
        <v>0</v>
      </c>
      <c r="AT21" s="139">
        <f t="shared" si="12"/>
        <v>0</v>
      </c>
      <c r="AU21" s="137">
        <f t="shared" si="12"/>
        <v>0</v>
      </c>
      <c r="AV21" s="141">
        <f t="shared" si="12"/>
        <v>0</v>
      </c>
      <c r="AW21" s="139">
        <f t="shared" si="12"/>
        <v>0</v>
      </c>
      <c r="AX21" s="139">
        <f t="shared" si="12"/>
        <v>0</v>
      </c>
      <c r="AY21" s="139">
        <f t="shared" si="12"/>
        <v>0</v>
      </c>
      <c r="AZ21" s="139">
        <f t="shared" si="12"/>
        <v>0</v>
      </c>
      <c r="BA21" s="137">
        <f t="shared" si="12"/>
        <v>0</v>
      </c>
      <c r="BB21" s="139">
        <f t="shared" si="12"/>
        <v>0</v>
      </c>
      <c r="BC21" s="139">
        <f t="shared" si="12"/>
        <v>0</v>
      </c>
      <c r="BD21" s="139">
        <f t="shared" si="12"/>
        <v>0</v>
      </c>
      <c r="BE21" s="139">
        <f t="shared" si="12"/>
        <v>0</v>
      </c>
      <c r="BF21" s="139">
        <f t="shared" si="12"/>
        <v>0</v>
      </c>
      <c r="BG21" s="141">
        <f t="shared" si="12"/>
        <v>0</v>
      </c>
      <c r="BH21" s="139">
        <f t="shared" si="12"/>
        <v>0</v>
      </c>
      <c r="BI21" s="140">
        <f t="shared" si="12"/>
        <v>0</v>
      </c>
      <c r="BJ21" s="139">
        <f t="shared" si="12"/>
        <v>0</v>
      </c>
      <c r="BK21" s="143">
        <f t="shared" si="12"/>
        <v>0</v>
      </c>
      <c r="BL21" s="141">
        <f t="shared" si="12"/>
        <v>0</v>
      </c>
      <c r="BM21" s="141">
        <f t="shared" si="12"/>
        <v>0</v>
      </c>
      <c r="BN21" s="139">
        <f t="shared" si="12"/>
        <v>0</v>
      </c>
      <c r="BO21" s="140">
        <f t="shared" si="12"/>
        <v>0</v>
      </c>
      <c r="BP21" s="139">
        <f t="shared" si="12"/>
        <v>0</v>
      </c>
      <c r="BQ21" s="140">
        <f t="shared" si="12"/>
        <v>0</v>
      </c>
      <c r="BR21" s="141">
        <f t="shared" si="12"/>
        <v>0</v>
      </c>
      <c r="BS21" s="139">
        <f t="shared" si="12"/>
        <v>0</v>
      </c>
      <c r="BT21" s="137">
        <f t="shared" si="12"/>
        <v>0</v>
      </c>
      <c r="BU21" s="137">
        <f t="shared" si="12"/>
        <v>0</v>
      </c>
      <c r="BV21" s="139">
        <f t="shared" si="12"/>
        <v>0</v>
      </c>
      <c r="BW21" s="139">
        <f t="shared" si="12"/>
        <v>0</v>
      </c>
      <c r="BX21" s="139">
        <f t="shared" si="12"/>
        <v>0</v>
      </c>
      <c r="BY21" s="144">
        <f t="shared" si="4"/>
        <v>0</v>
      </c>
      <c r="BZ21" s="130"/>
      <c r="CA21" s="145">
        <f t="shared" si="5"/>
        <v>0</v>
      </c>
      <c r="CB21" s="132"/>
    </row>
    <row r="22" spans="1:80" hidden="1">
      <c r="A22" s="158"/>
      <c r="B22" s="1729"/>
      <c r="C22" s="1719" t="s">
        <v>288</v>
      </c>
      <c r="D22" s="1720"/>
      <c r="E22" s="181">
        <f>E20-E21</f>
        <v>0</v>
      </c>
      <c r="F22" s="182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4"/>
      <c r="S22" s="183"/>
      <c r="T22" s="185"/>
      <c r="U22" s="186"/>
      <c r="V22" s="182"/>
      <c r="W22" s="187"/>
      <c r="X22" s="188"/>
      <c r="Y22" s="189"/>
      <c r="Z22" s="156">
        <f>Z20-Z21</f>
        <v>0</v>
      </c>
      <c r="AA22" s="151">
        <f t="shared" ref="AA22:BT22" si="13">AA20-AA21</f>
        <v>0</v>
      </c>
      <c r="AB22" s="148">
        <f t="shared" si="13"/>
        <v>0</v>
      </c>
      <c r="AC22" s="148">
        <f t="shared" si="13"/>
        <v>0</v>
      </c>
      <c r="AD22" s="148">
        <f t="shared" si="13"/>
        <v>0</v>
      </c>
      <c r="AE22" s="148">
        <f t="shared" si="13"/>
        <v>0</v>
      </c>
      <c r="AF22" s="148">
        <f t="shared" si="13"/>
        <v>0</v>
      </c>
      <c r="AG22" s="148">
        <f t="shared" si="13"/>
        <v>0</v>
      </c>
      <c r="AH22" s="148">
        <f t="shared" si="13"/>
        <v>0</v>
      </c>
      <c r="AI22" s="148">
        <f t="shared" si="13"/>
        <v>0</v>
      </c>
      <c r="AJ22" s="148">
        <f t="shared" si="13"/>
        <v>0</v>
      </c>
      <c r="AK22" s="148">
        <f t="shared" si="13"/>
        <v>0</v>
      </c>
      <c r="AL22" s="148">
        <f t="shared" si="13"/>
        <v>0</v>
      </c>
      <c r="AM22" s="148">
        <f t="shared" si="13"/>
        <v>0</v>
      </c>
      <c r="AN22" s="148">
        <f t="shared" si="13"/>
        <v>0</v>
      </c>
      <c r="AO22" s="148">
        <f t="shared" si="13"/>
        <v>0</v>
      </c>
      <c r="AP22" s="148">
        <f t="shared" si="13"/>
        <v>0</v>
      </c>
      <c r="AQ22" s="148">
        <f t="shared" si="13"/>
        <v>0</v>
      </c>
      <c r="AR22" s="148">
        <f t="shared" si="13"/>
        <v>0</v>
      </c>
      <c r="AS22" s="154">
        <f t="shared" si="13"/>
        <v>0</v>
      </c>
      <c r="AT22" s="148">
        <f t="shared" si="13"/>
        <v>0</v>
      </c>
      <c r="AU22" s="151">
        <f t="shared" si="13"/>
        <v>0</v>
      </c>
      <c r="AV22" s="154">
        <f t="shared" si="13"/>
        <v>0</v>
      </c>
      <c r="AW22" s="148">
        <f t="shared" si="13"/>
        <v>0</v>
      </c>
      <c r="AX22" s="148">
        <f t="shared" si="13"/>
        <v>0</v>
      </c>
      <c r="AY22" s="148">
        <f t="shared" si="13"/>
        <v>0</v>
      </c>
      <c r="AZ22" s="148">
        <f t="shared" si="13"/>
        <v>0</v>
      </c>
      <c r="BA22" s="151">
        <f t="shared" si="13"/>
        <v>0</v>
      </c>
      <c r="BB22" s="148">
        <f t="shared" si="13"/>
        <v>0</v>
      </c>
      <c r="BC22" s="148">
        <f t="shared" si="13"/>
        <v>0</v>
      </c>
      <c r="BD22" s="148">
        <f t="shared" si="13"/>
        <v>0</v>
      </c>
      <c r="BE22" s="148">
        <f t="shared" si="13"/>
        <v>0</v>
      </c>
      <c r="BF22" s="148">
        <f t="shared" si="13"/>
        <v>0</v>
      </c>
      <c r="BG22" s="154">
        <f t="shared" si="13"/>
        <v>0</v>
      </c>
      <c r="BH22" s="148">
        <f t="shared" si="13"/>
        <v>0</v>
      </c>
      <c r="BI22" s="153">
        <f t="shared" si="13"/>
        <v>0</v>
      </c>
      <c r="BJ22" s="148">
        <f t="shared" si="13"/>
        <v>0</v>
      </c>
      <c r="BK22" s="156">
        <f t="shared" si="13"/>
        <v>0</v>
      </c>
      <c r="BL22" s="154">
        <f t="shared" si="13"/>
        <v>0</v>
      </c>
      <c r="BM22" s="154">
        <f t="shared" si="13"/>
        <v>0</v>
      </c>
      <c r="BN22" s="148">
        <f t="shared" si="13"/>
        <v>0</v>
      </c>
      <c r="BO22" s="153">
        <f t="shared" si="13"/>
        <v>0</v>
      </c>
      <c r="BP22" s="148">
        <f t="shared" si="13"/>
        <v>0</v>
      </c>
      <c r="BQ22" s="153">
        <f>BQ20-BQ21</f>
        <v>0</v>
      </c>
      <c r="BR22" s="154">
        <f>BR20-BR21</f>
        <v>0</v>
      </c>
      <c r="BS22" s="148">
        <f t="shared" si="13"/>
        <v>0</v>
      </c>
      <c r="BT22" s="151">
        <f t="shared" si="13"/>
        <v>0</v>
      </c>
      <c r="BU22" s="151">
        <f>BU20-BU21</f>
        <v>0</v>
      </c>
      <c r="BV22" s="148">
        <f>BV20-BV21</f>
        <v>0</v>
      </c>
      <c r="BW22" s="148">
        <f>BW20-BW21</f>
        <v>0</v>
      </c>
      <c r="BX22" s="148">
        <f>BX20-BX21</f>
        <v>0</v>
      </c>
      <c r="BY22" s="149">
        <f t="shared" si="4"/>
        <v>0</v>
      </c>
      <c r="BZ22" s="130"/>
      <c r="CA22" s="157">
        <f t="shared" si="5"/>
        <v>0</v>
      </c>
      <c r="CB22" s="132"/>
    </row>
    <row r="23" spans="1:80" hidden="1">
      <c r="A23" s="158"/>
      <c r="B23" s="1730"/>
      <c r="C23" s="159" t="s">
        <v>289</v>
      </c>
      <c r="D23" s="160"/>
      <c r="E23" s="161">
        <f ca="1">BY23</f>
        <v>0</v>
      </c>
      <c r="F23" s="162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3"/>
      <c r="S23" s="161"/>
      <c r="T23" s="164"/>
      <c r="U23" s="165"/>
      <c r="V23" s="162"/>
      <c r="W23" s="166"/>
      <c r="X23" s="167"/>
      <c r="Y23" s="168"/>
      <c r="Z23" s="169">
        <f ca="1">OFFSET(수입!$D$177,COLUMN(Z13)-26,0,,)</f>
        <v>0</v>
      </c>
      <c r="AA23" s="164">
        <f ca="1">OFFSET(수입!$D$177,COLUMN(AA13)-26,0,,)</f>
        <v>0</v>
      </c>
      <c r="AB23" s="162">
        <f ca="1">OFFSET(수입!$D$177,COLUMN(AB13)-26,0,,)</f>
        <v>0</v>
      </c>
      <c r="AC23" s="162">
        <f ca="1">OFFSET(수입!$D$177,COLUMN(AC13)-26,0,,)</f>
        <v>0</v>
      </c>
      <c r="AD23" s="162">
        <f ca="1">OFFSET(수입!$D$177,COLUMN(AD13)-26,0,,)</f>
        <v>0</v>
      </c>
      <c r="AE23" s="162">
        <f ca="1">OFFSET(수입!$D$177,COLUMN(AE13)-26,0,,)</f>
        <v>0</v>
      </c>
      <c r="AF23" s="162">
        <f ca="1">OFFSET(수입!$D$177,COLUMN(AF13)-26,0,,)</f>
        <v>0</v>
      </c>
      <c r="AG23" s="162">
        <f ca="1">OFFSET(수입!$D$177,COLUMN(AG13)-26,0,,)</f>
        <v>0</v>
      </c>
      <c r="AH23" s="162">
        <f ca="1">OFFSET(수입!$D$177,COLUMN(AH13)-26,0,,)</f>
        <v>0</v>
      </c>
      <c r="AI23" s="162">
        <f ca="1">OFFSET(수입!$D$177,COLUMN(AI13)-26,0,,)</f>
        <v>0</v>
      </c>
      <c r="AJ23" s="162">
        <f ca="1">OFFSET(수입!$D$177,COLUMN(AJ13)-26,0,,)</f>
        <v>0</v>
      </c>
      <c r="AK23" s="162">
        <f ca="1">OFFSET(수입!$D$177,COLUMN(AK13)-26,0,,)</f>
        <v>0</v>
      </c>
      <c r="AL23" s="162">
        <f ca="1">OFFSET(수입!$D$177,COLUMN(AL13)-26,0,,)</f>
        <v>0</v>
      </c>
      <c r="AM23" s="162">
        <f ca="1">OFFSET(수입!$D$177,COLUMN(AM13)-26,0,,)</f>
        <v>0</v>
      </c>
      <c r="AN23" s="162">
        <f ca="1">OFFSET(수입!$D$177,COLUMN(AN13)-26,0,,)</f>
        <v>0</v>
      </c>
      <c r="AO23" s="162">
        <f ca="1">OFFSET(수입!$D$177,COLUMN(AO13)-26,0,,)</f>
        <v>0</v>
      </c>
      <c r="AP23" s="162">
        <f ca="1">OFFSET(수입!$D$177,COLUMN(AP13)-26,0,,)</f>
        <v>0</v>
      </c>
      <c r="AQ23" s="162">
        <f ca="1">OFFSET(수입!$D$177,COLUMN(AQ13)-26,0,,)</f>
        <v>0</v>
      </c>
      <c r="AR23" s="162">
        <f ca="1">OFFSET(수입!$D$177,COLUMN(AR13)-26,0,,)</f>
        <v>0</v>
      </c>
      <c r="AS23" s="167">
        <f ca="1">OFFSET(수입!$D$177,COLUMN(AS13)-26,0,,)</f>
        <v>0</v>
      </c>
      <c r="AT23" s="162">
        <f ca="1">OFFSET(수입!$D$177,COLUMN(AT13)-26,0,,)</f>
        <v>0</v>
      </c>
      <c r="AU23" s="164">
        <f ca="1">OFFSET(수입!$D$177,COLUMN(AU13)-26,0,,)</f>
        <v>0</v>
      </c>
      <c r="AV23" s="167">
        <f ca="1">OFFSET(수입!$D$177,COLUMN(AV13)-26,0,,)</f>
        <v>0</v>
      </c>
      <c r="AW23" s="162">
        <f ca="1">OFFSET(수입!$D$177,COLUMN(AW13)-26,0,,)</f>
        <v>0</v>
      </c>
      <c r="AX23" s="162">
        <f ca="1">OFFSET(수입!$D$177,COLUMN(AX13)-26,0,,)</f>
        <v>0</v>
      </c>
      <c r="AY23" s="162">
        <f ca="1">OFFSET(수입!$D$177,COLUMN(AY13)-26,0,,)</f>
        <v>0</v>
      </c>
      <c r="AZ23" s="162">
        <f ca="1">OFFSET(수입!$D$177,COLUMN(AZ13)-26,0,,)</f>
        <v>0</v>
      </c>
      <c r="BA23" s="164">
        <f ca="1">OFFSET(수입!$D$177,COLUMN(BA13)-26,0,,)</f>
        <v>0</v>
      </c>
      <c r="BB23" s="162">
        <f ca="1">OFFSET(수입!$D$177,COLUMN(BB13)-26,0,,)</f>
        <v>0</v>
      </c>
      <c r="BC23" s="162">
        <f ca="1">OFFSET(수입!$D$177,COLUMN(BC13)-26,0,,)</f>
        <v>0</v>
      </c>
      <c r="BD23" s="162">
        <f ca="1">OFFSET(수입!$D$177,COLUMN(BD13)-26,0,,)</f>
        <v>0</v>
      </c>
      <c r="BE23" s="162">
        <f ca="1">OFFSET(수입!$D$177,COLUMN(BE13)-26,0,,)</f>
        <v>0</v>
      </c>
      <c r="BF23" s="162">
        <f ca="1">OFFSET(수입!$D$177,COLUMN(BF13)-26,0,,)</f>
        <v>0</v>
      </c>
      <c r="BG23" s="167">
        <f ca="1">OFFSET(수입!$D$177,COLUMN(BG13)-26,0,,)</f>
        <v>0</v>
      </c>
      <c r="BH23" s="162">
        <f ca="1">OFFSET(수입!$D$177,COLUMN(BH13)-26,0,,)</f>
        <v>0</v>
      </c>
      <c r="BI23" s="166">
        <f ca="1">OFFSET(수입!$D$177,COLUMN(BI13)-26,0,,)</f>
        <v>0</v>
      </c>
      <c r="BJ23" s="162">
        <f ca="1">OFFSET(수입!$D$177,COLUMN(BJ13)-26,0,,)</f>
        <v>0</v>
      </c>
      <c r="BK23" s="169">
        <f ca="1">OFFSET(수입!$D$177,COLUMN(BK13)-26,0,,)</f>
        <v>0</v>
      </c>
      <c r="BL23" s="167">
        <f ca="1">OFFSET(수입!$D$177,COLUMN(BL13)-26,0,,)</f>
        <v>0</v>
      </c>
      <c r="BM23" s="167">
        <f ca="1">OFFSET(수입!$D$177,COLUMN(BM13)-26,0,,)</f>
        <v>0</v>
      </c>
      <c r="BN23" s="162">
        <f ca="1">OFFSET(수입!$D$177,COLUMN(BN13)-26,0,,)</f>
        <v>0</v>
      </c>
      <c r="BO23" s="166">
        <f ca="1">OFFSET(수입!$D$177,COLUMN(BO13)-26,0,,)</f>
        <v>0</v>
      </c>
      <c r="BP23" s="162">
        <f ca="1">OFFSET(수입!$D$177,COLUMN(BP13)-26,0,,)</f>
        <v>0</v>
      </c>
      <c r="BQ23" s="166">
        <f ca="1">OFFSET(수입!$D$177,COLUMN(BQ13)-26,0,,)</f>
        <v>0</v>
      </c>
      <c r="BR23" s="167">
        <f ca="1">OFFSET(수입!$D$177,COLUMN(BR13)-26,0,,)</f>
        <v>0</v>
      </c>
      <c r="BS23" s="162">
        <f ca="1">OFFSET(수입!$D$177,COLUMN(BS13)-26,0,,)</f>
        <v>0</v>
      </c>
      <c r="BT23" s="164">
        <f ca="1">OFFSET(수입!$D$177,COLUMN(BT13)-26,0,,)</f>
        <v>0</v>
      </c>
      <c r="BU23" s="164">
        <f ca="1">OFFSET(수입!$D$177,COLUMN(BU13)-26,0,,)</f>
        <v>0</v>
      </c>
      <c r="BV23" s="162">
        <f ca="1">OFFSET(수입!$D$177,COLUMN(BV13)-26,0,,)</f>
        <v>0</v>
      </c>
      <c r="BW23" s="162">
        <f ca="1">OFFSET(수입!$D$177,COLUMN(BW13)-26,0,,)</f>
        <v>0</v>
      </c>
      <c r="BX23" s="162">
        <f ca="1">OFFSET(수입!$D$177,COLUMN(BX13)-26,0,,)</f>
        <v>0</v>
      </c>
      <c r="BY23" s="161">
        <f t="shared" ca="1" si="4"/>
        <v>0</v>
      </c>
      <c r="BZ23" s="130"/>
      <c r="CA23" s="191">
        <f t="shared" ca="1" si="5"/>
        <v>0</v>
      </c>
      <c r="CB23" s="132"/>
    </row>
    <row r="24" spans="1:80">
      <c r="A24" s="158"/>
      <c r="B24" s="192" t="s">
        <v>290</v>
      </c>
      <c r="C24" s="193"/>
      <c r="D24" s="194"/>
      <c r="E24" s="195">
        <f>손익!AT10/1000</f>
        <v>6714.4</v>
      </c>
      <c r="F24" s="196"/>
      <c r="G24" s="197"/>
      <c r="H24" s="197"/>
      <c r="I24" s="197"/>
      <c r="J24" s="197"/>
      <c r="K24" s="197"/>
      <c r="L24" s="197"/>
      <c r="M24" s="197"/>
      <c r="N24" s="198"/>
      <c r="O24" s="198"/>
      <c r="P24" s="198"/>
      <c r="Q24" s="198"/>
      <c r="R24" s="199"/>
      <c r="S24" s="198"/>
      <c r="T24" s="200"/>
      <c r="U24" s="201"/>
      <c r="V24" s="202"/>
      <c r="W24" s="203"/>
      <c r="X24" s="204"/>
      <c r="Y24" s="205"/>
      <c r="Z24" s="206">
        <f ca="1">$E$24*10%*Z11</f>
        <v>201.43200000000002</v>
      </c>
      <c r="AA24" s="200">
        <f t="shared" ref="AA24:AK24" ca="1" si="14">$E$24*10%*AA11</f>
        <v>100.71600000000001</v>
      </c>
      <c r="AB24" s="202">
        <f t="shared" ca="1" si="14"/>
        <v>33.572000000000003</v>
      </c>
      <c r="AC24" s="202">
        <f t="shared" ca="1" si="14"/>
        <v>33.572000000000003</v>
      </c>
      <c r="AD24" s="202">
        <f t="shared" ca="1" si="14"/>
        <v>33.572000000000003</v>
      </c>
      <c r="AE24" s="202">
        <f t="shared" ca="1" si="14"/>
        <v>33.572000000000003</v>
      </c>
      <c r="AF24" s="202">
        <f t="shared" ca="1" si="14"/>
        <v>20.1432</v>
      </c>
      <c r="AG24" s="202">
        <f t="shared" ca="1" si="14"/>
        <v>20.1432</v>
      </c>
      <c r="AH24" s="202">
        <f t="shared" ca="1" si="14"/>
        <v>20.1432</v>
      </c>
      <c r="AI24" s="202">
        <f t="shared" ca="1" si="14"/>
        <v>20.1432</v>
      </c>
      <c r="AJ24" s="202">
        <f t="shared" ca="1" si="14"/>
        <v>20.1432</v>
      </c>
      <c r="AK24" s="202">
        <f t="shared" ca="1" si="14"/>
        <v>20.1432</v>
      </c>
      <c r="AL24" s="202"/>
      <c r="AM24" s="202"/>
      <c r="AN24" s="202"/>
      <c r="AO24" s="202">
        <f>$E$24*10%</f>
        <v>671.44</v>
      </c>
      <c r="AP24" s="202"/>
      <c r="AQ24" s="202"/>
      <c r="AR24" s="202"/>
      <c r="AS24" s="204"/>
      <c r="AT24" s="202"/>
      <c r="AU24" s="200"/>
      <c r="AV24" s="204"/>
      <c r="AW24" s="202"/>
      <c r="AX24" s="202"/>
      <c r="AY24" s="202"/>
      <c r="AZ24" s="202"/>
      <c r="BA24" s="200"/>
      <c r="BB24" s="202"/>
      <c r="BC24" s="202"/>
      <c r="BD24" s="202"/>
      <c r="BE24" s="202"/>
      <c r="BF24" s="202"/>
      <c r="BG24" s="204"/>
      <c r="BH24" s="202"/>
      <c r="BI24" s="203"/>
      <c r="BJ24" s="202"/>
      <c r="BK24" s="206">
        <f>$E$24*80%*30%</f>
        <v>1611.4560000000001</v>
      </c>
      <c r="BL24" s="204">
        <f>$E$24*80%*50%</f>
        <v>2685.76</v>
      </c>
      <c r="BM24" s="204">
        <f>$E$24*80%*20%</f>
        <v>1074.3040000000001</v>
      </c>
      <c r="BN24" s="202"/>
      <c r="BO24" s="203"/>
      <c r="BP24" s="202"/>
      <c r="BQ24" s="203"/>
      <c r="BR24" s="204"/>
      <c r="BS24" s="202"/>
      <c r="BT24" s="200"/>
      <c r="BU24" s="203"/>
      <c r="BV24" s="204"/>
      <c r="BW24" s="204"/>
      <c r="BX24" s="204"/>
      <c r="BY24" s="198">
        <f t="shared" ca="1" si="4"/>
        <v>6600.2552000000005</v>
      </c>
      <c r="BZ24" s="130"/>
      <c r="CA24" s="207">
        <f t="shared" ca="1" si="5"/>
        <v>114.14479999999912</v>
      </c>
      <c r="CB24" s="132">
        <f>손익!AU10</f>
        <v>9.0909090909090912E-2</v>
      </c>
    </row>
    <row r="25" spans="1:80" outlineLevel="1">
      <c r="A25" s="158"/>
      <c r="B25" s="1731" t="s">
        <v>291</v>
      </c>
      <c r="C25" s="208" t="s">
        <v>292</v>
      </c>
      <c r="D25" s="209"/>
      <c r="E25" s="210">
        <v>3000</v>
      </c>
      <c r="F25" s="211"/>
      <c r="G25" s="212"/>
      <c r="H25" s="212"/>
      <c r="I25" s="212">
        <v>3000</v>
      </c>
      <c r="J25" s="212"/>
      <c r="K25" s="212"/>
      <c r="L25" s="212"/>
      <c r="M25" s="212"/>
      <c r="N25" s="212"/>
      <c r="O25" s="212"/>
      <c r="P25" s="212"/>
      <c r="Q25" s="212"/>
      <c r="R25" s="213"/>
      <c r="S25" s="212"/>
      <c r="T25" s="214"/>
      <c r="U25" s="215"/>
      <c r="V25" s="212"/>
      <c r="W25" s="216"/>
      <c r="X25" s="213"/>
      <c r="Y25" s="217"/>
      <c r="Z25" s="218"/>
      <c r="AA25" s="214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3"/>
      <c r="AT25" s="212"/>
      <c r="AU25" s="214"/>
      <c r="AV25" s="213"/>
      <c r="AW25" s="212"/>
      <c r="AX25" s="212"/>
      <c r="AY25" s="212"/>
      <c r="AZ25" s="212"/>
      <c r="BA25" s="214"/>
      <c r="BB25" s="212"/>
      <c r="BC25" s="212"/>
      <c r="BD25" s="212"/>
      <c r="BE25" s="212"/>
      <c r="BF25" s="212"/>
      <c r="BG25" s="213"/>
      <c r="BH25" s="212"/>
      <c r="BI25" s="216"/>
      <c r="BJ25" s="212"/>
      <c r="BK25" s="218"/>
      <c r="BL25" s="213"/>
      <c r="BM25" s="213"/>
      <c r="BN25" s="212"/>
      <c r="BO25" s="216"/>
      <c r="BP25" s="212"/>
      <c r="BQ25" s="216"/>
      <c r="BR25" s="213"/>
      <c r="BS25" s="212"/>
      <c r="BT25" s="214"/>
      <c r="BU25" s="216"/>
      <c r="BV25" s="213"/>
      <c r="BW25" s="213"/>
      <c r="BX25" s="213"/>
      <c r="BY25" s="212">
        <f t="shared" si="4"/>
        <v>3000</v>
      </c>
      <c r="BZ25" s="130"/>
      <c r="CA25" s="219">
        <f t="shared" si="5"/>
        <v>0</v>
      </c>
      <c r="CB25" s="132"/>
    </row>
    <row r="26" spans="1:80" hidden="1" outlineLevel="1">
      <c r="A26" s="158"/>
      <c r="B26" s="1732"/>
      <c r="C26" s="208" t="s">
        <v>293</v>
      </c>
      <c r="D26" s="209"/>
      <c r="E26" s="210"/>
      <c r="F26" s="211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3"/>
      <c r="S26" s="212"/>
      <c r="T26" s="214"/>
      <c r="U26" s="215"/>
      <c r="V26" s="212"/>
      <c r="W26" s="216"/>
      <c r="X26" s="213"/>
      <c r="Y26" s="217"/>
      <c r="Z26" s="218"/>
      <c r="AA26" s="214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3"/>
      <c r="AT26" s="212"/>
      <c r="AU26" s="214"/>
      <c r="AV26" s="213"/>
      <c r="AW26" s="212"/>
      <c r="AX26" s="212"/>
      <c r="AY26" s="212"/>
      <c r="AZ26" s="212"/>
      <c r="BA26" s="214"/>
      <c r="BB26" s="212"/>
      <c r="BC26" s="212"/>
      <c r="BD26" s="212"/>
      <c r="BE26" s="212"/>
      <c r="BF26" s="212"/>
      <c r="BG26" s="213"/>
      <c r="BH26" s="212"/>
      <c r="BI26" s="216"/>
      <c r="BJ26" s="212"/>
      <c r="BK26" s="218"/>
      <c r="BL26" s="213"/>
      <c r="BM26" s="213"/>
      <c r="BN26" s="212"/>
      <c r="BO26" s="216"/>
      <c r="BP26" s="212"/>
      <c r="BQ26" s="216"/>
      <c r="BR26" s="213"/>
      <c r="BS26" s="212"/>
      <c r="BT26" s="214"/>
      <c r="BU26" s="216"/>
      <c r="BV26" s="213"/>
      <c r="BW26" s="213"/>
      <c r="BX26" s="213"/>
      <c r="BY26" s="212">
        <f t="shared" si="4"/>
        <v>0</v>
      </c>
      <c r="BZ26" s="130"/>
      <c r="CA26" s="219">
        <f t="shared" si="5"/>
        <v>0</v>
      </c>
      <c r="CB26" s="132"/>
    </row>
    <row r="27" spans="1:80" hidden="1" outlineLevel="1">
      <c r="A27" s="158"/>
      <c r="B27" s="1733"/>
      <c r="C27" s="208" t="s">
        <v>294</v>
      </c>
      <c r="D27" s="209"/>
      <c r="E27" s="210"/>
      <c r="F27" s="211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3"/>
      <c r="S27" s="212"/>
      <c r="T27" s="214"/>
      <c r="U27" s="215"/>
      <c r="V27" s="212"/>
      <c r="W27" s="216"/>
      <c r="X27" s="213"/>
      <c r="Y27" s="217"/>
      <c r="Z27" s="218"/>
      <c r="AA27" s="214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3"/>
      <c r="AT27" s="212"/>
      <c r="AU27" s="214"/>
      <c r="AV27" s="213"/>
      <c r="AW27" s="212"/>
      <c r="AX27" s="212"/>
      <c r="AY27" s="212"/>
      <c r="AZ27" s="212"/>
      <c r="BA27" s="214"/>
      <c r="BB27" s="212"/>
      <c r="BC27" s="212"/>
      <c r="BD27" s="212"/>
      <c r="BE27" s="212"/>
      <c r="BF27" s="212"/>
      <c r="BG27" s="213"/>
      <c r="BH27" s="212"/>
      <c r="BI27" s="216"/>
      <c r="BJ27" s="212"/>
      <c r="BK27" s="218"/>
      <c r="BL27" s="213"/>
      <c r="BM27" s="213"/>
      <c r="BN27" s="212"/>
      <c r="BO27" s="216"/>
      <c r="BP27" s="212"/>
      <c r="BQ27" s="216"/>
      <c r="BR27" s="213"/>
      <c r="BS27" s="212"/>
      <c r="BT27" s="214"/>
      <c r="BU27" s="216"/>
      <c r="BV27" s="213"/>
      <c r="BW27" s="213"/>
      <c r="BX27" s="213"/>
      <c r="BY27" s="212">
        <f t="shared" si="4"/>
        <v>0</v>
      </c>
      <c r="BZ27" s="130"/>
      <c r="CA27" s="219">
        <f t="shared" si="5"/>
        <v>0</v>
      </c>
      <c r="CB27" s="132"/>
    </row>
    <row r="28" spans="1:80">
      <c r="A28" s="220"/>
      <c r="B28" s="1734" t="s">
        <v>295</v>
      </c>
      <c r="C28" s="1737" t="s">
        <v>296</v>
      </c>
      <c r="D28" s="1738"/>
      <c r="E28" s="221">
        <v>120000</v>
      </c>
      <c r="F28" s="222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4"/>
      <c r="S28" s="223"/>
      <c r="T28" s="225"/>
      <c r="U28" s="226">
        <v>95000</v>
      </c>
      <c r="V28" s="223"/>
      <c r="W28" s="227"/>
      <c r="X28" s="224">
        <v>12000</v>
      </c>
      <c r="Y28" s="228"/>
      <c r="Z28" s="229"/>
      <c r="AA28" s="225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4"/>
      <c r="AT28" s="223"/>
      <c r="AU28" s="225"/>
      <c r="AV28" s="224"/>
      <c r="AW28" s="223"/>
      <c r="AX28" s="223"/>
      <c r="AY28" s="223"/>
      <c r="AZ28" s="223"/>
      <c r="BA28" s="225"/>
      <c r="BB28" s="223"/>
      <c r="BC28" s="223"/>
      <c r="BD28" s="223"/>
      <c r="BE28" s="223"/>
      <c r="BF28" s="223"/>
      <c r="BG28" s="224"/>
      <c r="BH28" s="223"/>
      <c r="BI28" s="227"/>
      <c r="BJ28" s="223"/>
      <c r="BK28" s="229"/>
      <c r="BL28" s="224">
        <f>$E28-SUM($G28:BK28)</f>
        <v>13000</v>
      </c>
      <c r="BM28" s="224"/>
      <c r="BN28" s="223"/>
      <c r="BO28" s="227"/>
      <c r="BP28" s="223"/>
      <c r="BQ28" s="227"/>
      <c r="BR28" s="224"/>
      <c r="BS28" s="223"/>
      <c r="BT28" s="225"/>
      <c r="BU28" s="227"/>
      <c r="BV28" s="224"/>
      <c r="BW28" s="224"/>
      <c r="BX28" s="224"/>
      <c r="BY28" s="230">
        <f t="shared" si="4"/>
        <v>120000</v>
      </c>
      <c r="BZ28" s="130"/>
      <c r="CA28" s="231">
        <f t="shared" si="5"/>
        <v>0</v>
      </c>
      <c r="CB28" s="132"/>
    </row>
    <row r="29" spans="1:80">
      <c r="A29" s="220"/>
      <c r="B29" s="1735"/>
      <c r="C29" s="1737" t="s">
        <v>297</v>
      </c>
      <c r="D29" s="1738"/>
      <c r="E29" s="221"/>
      <c r="F29" s="222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4"/>
      <c r="S29" s="223"/>
      <c r="T29" s="225"/>
      <c r="U29" s="226"/>
      <c r="V29" s="223"/>
      <c r="W29" s="227"/>
      <c r="X29" s="224"/>
      <c r="Y29" s="228"/>
      <c r="Z29" s="229"/>
      <c r="AA29" s="225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4"/>
      <c r="AT29" s="223"/>
      <c r="AU29" s="225"/>
      <c r="AV29" s="224"/>
      <c r="AW29" s="223"/>
      <c r="AX29" s="223"/>
      <c r="AY29" s="223"/>
      <c r="AZ29" s="223"/>
      <c r="BA29" s="225"/>
      <c r="BB29" s="223"/>
      <c r="BC29" s="223"/>
      <c r="BD29" s="223"/>
      <c r="BE29" s="223"/>
      <c r="BF29" s="223"/>
      <c r="BG29" s="224"/>
      <c r="BH29" s="223"/>
      <c r="BI29" s="227"/>
      <c r="BJ29" s="223"/>
      <c r="BK29" s="229"/>
      <c r="BL29" s="224">
        <f>$E29-SUM($G29:BK29)</f>
        <v>0</v>
      </c>
      <c r="BM29" s="224"/>
      <c r="BN29" s="223"/>
      <c r="BO29" s="227"/>
      <c r="BP29" s="223"/>
      <c r="BQ29" s="227"/>
      <c r="BR29" s="224"/>
      <c r="BS29" s="223"/>
      <c r="BT29" s="225"/>
      <c r="BU29" s="227"/>
      <c r="BV29" s="224"/>
      <c r="BW29" s="224"/>
      <c r="BX29" s="224"/>
      <c r="BY29" s="230">
        <f t="shared" si="4"/>
        <v>0</v>
      </c>
      <c r="BZ29" s="130"/>
      <c r="CA29" s="231">
        <f t="shared" si="5"/>
        <v>0</v>
      </c>
      <c r="CB29" s="132"/>
    </row>
    <row r="30" spans="1:80">
      <c r="A30" s="220"/>
      <c r="B30" s="1736"/>
      <c r="C30" s="1737" t="s">
        <v>298</v>
      </c>
      <c r="D30" s="1738"/>
      <c r="E30" s="221"/>
      <c r="F30" s="222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4"/>
      <c r="S30" s="223"/>
      <c r="T30" s="225"/>
      <c r="U30" s="226"/>
      <c r="V30" s="223"/>
      <c r="W30" s="227"/>
      <c r="X30" s="224"/>
      <c r="Y30" s="228"/>
      <c r="Z30" s="229"/>
      <c r="AA30" s="225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4"/>
      <c r="AT30" s="223"/>
      <c r="AU30" s="225"/>
      <c r="AV30" s="224"/>
      <c r="AW30" s="223"/>
      <c r="AX30" s="223"/>
      <c r="AY30" s="223"/>
      <c r="AZ30" s="223"/>
      <c r="BA30" s="225"/>
      <c r="BB30" s="223"/>
      <c r="BC30" s="223"/>
      <c r="BD30" s="223"/>
      <c r="BE30" s="223"/>
      <c r="BF30" s="223"/>
      <c r="BG30" s="224"/>
      <c r="BH30" s="223"/>
      <c r="BI30" s="227"/>
      <c r="BJ30" s="223"/>
      <c r="BK30" s="229"/>
      <c r="BL30" s="224">
        <f>$E30-SUM($G30:BK30)</f>
        <v>0</v>
      </c>
      <c r="BM30" s="224"/>
      <c r="BN30" s="223"/>
      <c r="BO30" s="227"/>
      <c r="BP30" s="223"/>
      <c r="BQ30" s="227"/>
      <c r="BR30" s="224"/>
      <c r="BS30" s="223"/>
      <c r="BT30" s="225"/>
      <c r="BU30" s="227"/>
      <c r="BV30" s="224"/>
      <c r="BW30" s="224"/>
      <c r="BX30" s="224"/>
      <c r="BY30" s="230">
        <f t="shared" si="4"/>
        <v>0</v>
      </c>
      <c r="BZ30" s="130"/>
      <c r="CA30" s="231">
        <f t="shared" si="5"/>
        <v>0</v>
      </c>
      <c r="CB30" s="132"/>
    </row>
    <row r="31" spans="1:80">
      <c r="A31" s="220"/>
      <c r="B31" s="232" t="s">
        <v>299</v>
      </c>
      <c r="C31" s="233"/>
      <c r="D31" s="234"/>
      <c r="E31" s="235">
        <f>BY31</f>
        <v>6443.5010400000001</v>
      </c>
      <c r="F31" s="236"/>
      <c r="G31" s="236"/>
      <c r="H31" s="236">
        <f>H34</f>
        <v>4200.0005000000001</v>
      </c>
      <c r="I31" s="236">
        <f>I34+I43+I57+I71-I25</f>
        <v>1427.0005000000001</v>
      </c>
      <c r="J31" s="236"/>
      <c r="K31" s="236">
        <f>K36+K39+K40</f>
        <v>816.50004000000001</v>
      </c>
      <c r="L31" s="236"/>
      <c r="M31" s="236"/>
      <c r="N31" s="236"/>
      <c r="O31" s="236"/>
      <c r="P31" s="236"/>
      <c r="Q31" s="236"/>
      <c r="R31" s="237"/>
      <c r="S31" s="236"/>
      <c r="T31" s="238"/>
      <c r="U31" s="239"/>
      <c r="V31" s="236"/>
      <c r="W31" s="240"/>
      <c r="X31" s="237"/>
      <c r="Y31" s="241"/>
      <c r="Z31" s="242"/>
      <c r="AA31" s="238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6"/>
      <c r="AN31" s="236"/>
      <c r="AO31" s="236"/>
      <c r="AP31" s="236"/>
      <c r="AQ31" s="236"/>
      <c r="AR31" s="236"/>
      <c r="AS31" s="237"/>
      <c r="AT31" s="236"/>
      <c r="AU31" s="238"/>
      <c r="AV31" s="237"/>
      <c r="AW31" s="236"/>
      <c r="AX31" s="236"/>
      <c r="AY31" s="236"/>
      <c r="AZ31" s="236"/>
      <c r="BA31" s="238"/>
      <c r="BB31" s="236"/>
      <c r="BC31" s="236"/>
      <c r="BD31" s="236"/>
      <c r="BE31" s="236"/>
      <c r="BF31" s="236"/>
      <c r="BG31" s="237"/>
      <c r="BH31" s="236"/>
      <c r="BI31" s="240"/>
      <c r="BJ31" s="236"/>
      <c r="BK31" s="242"/>
      <c r="BL31" s="237"/>
      <c r="BM31" s="237"/>
      <c r="BN31" s="236"/>
      <c r="BO31" s="240"/>
      <c r="BP31" s="236"/>
      <c r="BQ31" s="240"/>
      <c r="BR31" s="237"/>
      <c r="BS31" s="236"/>
      <c r="BT31" s="238"/>
      <c r="BU31" s="240"/>
      <c r="BV31" s="237"/>
      <c r="BW31" s="237"/>
      <c r="BX31" s="237"/>
      <c r="BY31" s="149">
        <f>SUM(F31:BX31)</f>
        <v>6443.5010400000001</v>
      </c>
      <c r="BZ31" s="130"/>
      <c r="CA31" s="157">
        <f t="shared" si="5"/>
        <v>0</v>
      </c>
      <c r="CB31" s="132"/>
    </row>
    <row r="32" spans="1:80">
      <c r="A32" s="220"/>
      <c r="B32" s="1745" t="s">
        <v>300</v>
      </c>
      <c r="C32" s="1745"/>
      <c r="D32" s="1745"/>
      <c r="E32" s="235">
        <f ca="1">E82+E83</f>
        <v>9156.9890000000014</v>
      </c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7"/>
      <c r="S32" s="236"/>
      <c r="T32" s="238"/>
      <c r="U32" s="239"/>
      <c r="V32" s="236"/>
      <c r="W32" s="240"/>
      <c r="X32" s="237"/>
      <c r="Y32" s="241"/>
      <c r="Z32" s="242"/>
      <c r="AA32" s="238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7"/>
      <c r="AT32" s="236"/>
      <c r="AU32" s="238"/>
      <c r="AV32" s="237"/>
      <c r="AW32" s="236"/>
      <c r="AX32" s="236"/>
      <c r="AY32" s="236"/>
      <c r="AZ32" s="236"/>
      <c r="BA32" s="240"/>
      <c r="BB32" s="237"/>
      <c r="BC32" s="236"/>
      <c r="BD32" s="236"/>
      <c r="BE32" s="236"/>
      <c r="BF32" s="236"/>
      <c r="BG32" s="237"/>
      <c r="BH32" s="236"/>
      <c r="BI32" s="240"/>
      <c r="BJ32" s="236"/>
      <c r="BK32" s="242">
        <f ca="1">$E$32*30%</f>
        <v>2747.0967000000005</v>
      </c>
      <c r="BL32" s="237">
        <f ca="1">$E$32*50%</f>
        <v>4578.4945000000007</v>
      </c>
      <c r="BM32" s="237">
        <f ca="1">$E$32*20%</f>
        <v>1831.3978000000004</v>
      </c>
      <c r="BN32" s="236"/>
      <c r="BO32" s="240"/>
      <c r="BP32" s="236"/>
      <c r="BQ32" s="240"/>
      <c r="BR32" s="237"/>
      <c r="BS32" s="236"/>
      <c r="BT32" s="238"/>
      <c r="BU32" s="240"/>
      <c r="BV32" s="237"/>
      <c r="BW32" s="237"/>
      <c r="BX32" s="237"/>
      <c r="BY32" s="149">
        <f t="shared" ca="1" si="4"/>
        <v>9156.9890000000014</v>
      </c>
      <c r="BZ32" s="130"/>
      <c r="CA32" s="157">
        <f t="shared" ca="1" si="5"/>
        <v>0</v>
      </c>
      <c r="CB32" s="132"/>
    </row>
    <row r="33" spans="1:80">
      <c r="A33" s="243"/>
      <c r="B33" s="1746" t="s">
        <v>301</v>
      </c>
      <c r="C33" s="1747"/>
      <c r="D33" s="1747"/>
      <c r="E33" s="244">
        <f ca="1">SUM(E8,E12,E16,E20,E24,E25:E31,E32)</f>
        <v>577464.59133673972</v>
      </c>
      <c r="F33" s="245">
        <f t="shared" ref="F33:M33" si="15">SUM(F8,F12,F16,F20,F25:F32)</f>
        <v>0</v>
      </c>
      <c r="G33" s="245">
        <f t="shared" si="15"/>
        <v>0</v>
      </c>
      <c r="H33" s="245">
        <f t="shared" si="15"/>
        <v>4200.0005000000001</v>
      </c>
      <c r="I33" s="245">
        <f t="shared" si="15"/>
        <v>4427.0005000000001</v>
      </c>
      <c r="J33" s="245">
        <f t="shared" si="15"/>
        <v>0</v>
      </c>
      <c r="K33" s="245">
        <f t="shared" si="15"/>
        <v>816.50004000000001</v>
      </c>
      <c r="L33" s="245">
        <f t="shared" si="15"/>
        <v>0</v>
      </c>
      <c r="M33" s="245">
        <f t="shared" si="15"/>
        <v>0</v>
      </c>
      <c r="N33" s="245">
        <f t="shared" ref="N33:BY33" si="16">SUM(N8,N12,N16,N20,N24,N25:N31,N32)</f>
        <v>0</v>
      </c>
      <c r="O33" s="245">
        <f t="shared" si="16"/>
        <v>0</v>
      </c>
      <c r="P33" s="245">
        <f t="shared" si="16"/>
        <v>0</v>
      </c>
      <c r="Q33" s="245">
        <f t="shared" si="16"/>
        <v>0</v>
      </c>
      <c r="R33" s="246">
        <f t="shared" si="16"/>
        <v>0</v>
      </c>
      <c r="S33" s="245">
        <f t="shared" si="16"/>
        <v>0</v>
      </c>
      <c r="T33" s="247">
        <f t="shared" si="16"/>
        <v>0</v>
      </c>
      <c r="U33" s="248">
        <f t="shared" si="16"/>
        <v>95000</v>
      </c>
      <c r="V33" s="245">
        <f t="shared" si="16"/>
        <v>0</v>
      </c>
      <c r="W33" s="249">
        <f t="shared" si="16"/>
        <v>0</v>
      </c>
      <c r="X33" s="246">
        <f t="shared" si="16"/>
        <v>12000</v>
      </c>
      <c r="Y33" s="250">
        <f t="shared" si="16"/>
        <v>0</v>
      </c>
      <c r="Z33" s="251">
        <f t="shared" ca="1" si="16"/>
        <v>7787.6030251470002</v>
      </c>
      <c r="AA33" s="247">
        <f t="shared" ca="1" si="16"/>
        <v>3893.8015125735001</v>
      </c>
      <c r="AB33" s="245">
        <f t="shared" ca="1" si="16"/>
        <v>1297.9338375245002</v>
      </c>
      <c r="AC33" s="245">
        <f t="shared" ca="1" si="16"/>
        <v>1297.9338375245002</v>
      </c>
      <c r="AD33" s="245">
        <f t="shared" ca="1" si="16"/>
        <v>1297.9338375245002</v>
      </c>
      <c r="AE33" s="245">
        <f t="shared" ca="1" si="16"/>
        <v>16470.275887818498</v>
      </c>
      <c r="AF33" s="245">
        <f t="shared" ca="1" si="16"/>
        <v>9104.0779276494923</v>
      </c>
      <c r="AG33" s="245">
        <f t="shared" ca="1" si="16"/>
        <v>3255.0706212398982</v>
      </c>
      <c r="AH33" s="245">
        <f t="shared" ca="1" si="16"/>
        <v>1675.1469714738982</v>
      </c>
      <c r="AI33" s="245">
        <f t="shared" ca="1" si="16"/>
        <v>1675.1469714738982</v>
      </c>
      <c r="AJ33" s="245">
        <f t="shared" ca="1" si="16"/>
        <v>19593.511164836491</v>
      </c>
      <c r="AK33" s="245">
        <f t="shared" ca="1" si="16"/>
        <v>1675.1469714738982</v>
      </c>
      <c r="AL33" s="245">
        <f t="shared" ca="1" si="16"/>
        <v>2296.842638206484</v>
      </c>
      <c r="AM33" s="245">
        <f t="shared" ca="1" si="16"/>
        <v>1339.0190415206985</v>
      </c>
      <c r="AN33" s="245">
        <f t="shared" ca="1" si="16"/>
        <v>18244.202094016895</v>
      </c>
      <c r="AO33" s="245">
        <f t="shared" ca="1" si="16"/>
        <v>6404.1692916323009</v>
      </c>
      <c r="AP33" s="245">
        <f t="shared" ca="1" si="16"/>
        <v>1138.4567389136191</v>
      </c>
      <c r="AQ33" s="245">
        <f t="shared" ca="1" si="16"/>
        <v>864.29940259347939</v>
      </c>
      <c r="AR33" s="245">
        <f t="shared" ca="1" si="16"/>
        <v>20665.17110468656</v>
      </c>
      <c r="AS33" s="246">
        <f t="shared" ca="1" si="16"/>
        <v>0</v>
      </c>
      <c r="AT33" s="252">
        <f t="shared" ca="1" si="16"/>
        <v>0</v>
      </c>
      <c r="AU33" s="247">
        <f t="shared" ca="1" si="16"/>
        <v>4551.7026150881984</v>
      </c>
      <c r="AV33" s="246">
        <f t="shared" ca="1" si="16"/>
        <v>15799.236497659991</v>
      </c>
      <c r="AW33" s="252">
        <f t="shared" ca="1" si="16"/>
        <v>0</v>
      </c>
      <c r="AX33" s="245">
        <f t="shared" ca="1" si="16"/>
        <v>1489.947817066778</v>
      </c>
      <c r="AY33" s="252">
        <f t="shared" ca="1" si="16"/>
        <v>0</v>
      </c>
      <c r="AZ33" s="245">
        <f t="shared" ca="1" si="16"/>
        <v>4551.7026150881984</v>
      </c>
      <c r="BA33" s="247">
        <f t="shared" ca="1" si="16"/>
        <v>15799.236497659993</v>
      </c>
      <c r="BB33" s="245">
        <f t="shared" ca="1" si="16"/>
        <v>0</v>
      </c>
      <c r="BC33" s="245">
        <f t="shared" ca="1" si="16"/>
        <v>0</v>
      </c>
      <c r="BD33" s="245">
        <f t="shared" ca="1" si="16"/>
        <v>1489.947817066778</v>
      </c>
      <c r="BE33" s="245">
        <f t="shared" ca="1" si="16"/>
        <v>4551.7026150881984</v>
      </c>
      <c r="BF33" s="245">
        <f t="shared" ca="1" si="16"/>
        <v>15799.236497659991</v>
      </c>
      <c r="BG33" s="246">
        <f t="shared" ca="1" si="16"/>
        <v>0</v>
      </c>
      <c r="BH33" s="252">
        <f t="shared" ca="1" si="16"/>
        <v>0</v>
      </c>
      <c r="BI33" s="249">
        <f t="shared" ca="1" si="16"/>
        <v>0</v>
      </c>
      <c r="BJ33" s="252">
        <f t="shared" ca="1" si="16"/>
        <v>0</v>
      </c>
      <c r="BK33" s="253" t="e" vm="1">
        <f t="shared" si="16"/>
        <v>#VALUE!</v>
      </c>
      <c r="BL33" s="254" t="e" vm="1">
        <f t="shared" si="16"/>
        <v>#VALUE!</v>
      </c>
      <c r="BM33" s="254" t="e" vm="1">
        <f t="shared" si="16"/>
        <v>#VALUE!</v>
      </c>
      <c r="BN33" s="252" t="e" vm="1">
        <f t="shared" si="16"/>
        <v>#VALUE!</v>
      </c>
      <c r="BO33" s="255" t="e" vm="1">
        <f t="shared" si="16"/>
        <v>#VALUE!</v>
      </c>
      <c r="BP33" s="252">
        <f t="shared" ca="1" si="16"/>
        <v>0</v>
      </c>
      <c r="BQ33" s="256">
        <f t="shared" ca="1" si="16"/>
        <v>0</v>
      </c>
      <c r="BR33" s="254">
        <f t="shared" ca="1" si="16"/>
        <v>0</v>
      </c>
      <c r="BS33" s="252">
        <f t="shared" ca="1" si="16"/>
        <v>0</v>
      </c>
      <c r="BT33" s="256">
        <f t="shared" ca="1" si="16"/>
        <v>0</v>
      </c>
      <c r="BU33" s="247">
        <f t="shared" ca="1" si="16"/>
        <v>0</v>
      </c>
      <c r="BV33" s="245">
        <f t="shared" ca="1" si="16"/>
        <v>0</v>
      </c>
      <c r="BW33" s="245">
        <f t="shared" ca="1" si="16"/>
        <v>0</v>
      </c>
      <c r="BX33" s="245">
        <f t="shared" ca="1" si="16"/>
        <v>0</v>
      </c>
      <c r="BY33" s="245">
        <f t="shared" ca="1" si="16"/>
        <v>365310.97836621845</v>
      </c>
      <c r="BZ33" s="257"/>
      <c r="CA33" s="191">
        <f t="shared" ca="1" si="5"/>
        <v>212153.61297052127</v>
      </c>
      <c r="CB33" s="132"/>
    </row>
    <row r="34" spans="1:80">
      <c r="A34" s="1710" t="s">
        <v>302</v>
      </c>
      <c r="B34" s="1739" t="str">
        <f>손익!U17</f>
        <v xml:space="preserve"> 토지대</v>
      </c>
      <c r="C34" s="1740"/>
      <c r="D34" s="1741"/>
      <c r="E34" s="258">
        <f>SUM(손익!AR17:AS17)/1000</f>
        <v>84000.01</v>
      </c>
      <c r="F34" s="259"/>
      <c r="G34" s="259"/>
      <c r="H34" s="260">
        <f>손익!$X$17*5%/1000</f>
        <v>4200.0005000000001</v>
      </c>
      <c r="I34" s="260">
        <f>$E$34*10%-H34</f>
        <v>4200.0005000000001</v>
      </c>
      <c r="J34" s="260"/>
      <c r="K34" s="259"/>
      <c r="L34" s="260"/>
      <c r="M34" s="260"/>
      <c r="N34" s="260"/>
      <c r="O34" s="260"/>
      <c r="P34" s="260"/>
      <c r="Q34" s="260"/>
      <c r="R34" s="261"/>
      <c r="S34" s="260"/>
      <c r="T34" s="262"/>
      <c r="U34" s="263">
        <f>$E34-SUM($F34:T34)</f>
        <v>75600.008999999991</v>
      </c>
      <c r="V34" s="259"/>
      <c r="W34" s="264"/>
      <c r="X34" s="261"/>
      <c r="Y34" s="265"/>
      <c r="Z34" s="266"/>
      <c r="AA34" s="267"/>
      <c r="AB34" s="260"/>
      <c r="AC34" s="268"/>
      <c r="AD34" s="260"/>
      <c r="AE34" s="260"/>
      <c r="AF34" s="260"/>
      <c r="AG34" s="260"/>
      <c r="AH34" s="260"/>
      <c r="AI34" s="260"/>
      <c r="AJ34" s="260"/>
      <c r="AK34" s="260"/>
      <c r="AL34" s="260"/>
      <c r="AM34" s="260"/>
      <c r="AN34" s="260"/>
      <c r="AO34" s="260"/>
      <c r="AP34" s="260"/>
      <c r="AQ34" s="260"/>
      <c r="AR34" s="260"/>
      <c r="AS34" s="261"/>
      <c r="AT34" s="269"/>
      <c r="AU34" s="262"/>
      <c r="AV34" s="261"/>
      <c r="AW34" s="269"/>
      <c r="AX34" s="260"/>
      <c r="AY34" s="260"/>
      <c r="AZ34" s="260"/>
      <c r="BA34" s="262"/>
      <c r="BB34" s="260"/>
      <c r="BC34" s="260"/>
      <c r="BD34" s="260"/>
      <c r="BE34" s="260"/>
      <c r="BF34" s="260"/>
      <c r="BG34" s="261"/>
      <c r="BH34" s="269"/>
      <c r="BI34" s="264"/>
      <c r="BJ34" s="269"/>
      <c r="BK34" s="270"/>
      <c r="BL34" s="271"/>
      <c r="BM34" s="271"/>
      <c r="BN34" s="269">
        <f>$E34-SUM($F34:BM34)</f>
        <v>0</v>
      </c>
      <c r="BO34" s="272"/>
      <c r="BP34" s="269"/>
      <c r="BQ34" s="273"/>
      <c r="BR34" s="269"/>
      <c r="BS34" s="269"/>
      <c r="BT34" s="273"/>
      <c r="BU34" s="264"/>
      <c r="BV34" s="261"/>
      <c r="BW34" s="261"/>
      <c r="BX34" s="261"/>
      <c r="BY34" s="149">
        <f t="shared" ref="BY34:BY66" si="17">SUM(F34:BX34)</f>
        <v>84000.01</v>
      </c>
      <c r="BZ34" s="130"/>
      <c r="CA34" s="157">
        <f t="shared" si="5"/>
        <v>0</v>
      </c>
      <c r="CB34" s="132">
        <f>손익!AU17</f>
        <v>0</v>
      </c>
    </row>
    <row r="35" spans="1:80">
      <c r="A35" s="1711"/>
      <c r="B35" s="1739">
        <f>손익!U18</f>
        <v>0</v>
      </c>
      <c r="C35" s="1740"/>
      <c r="D35" s="1741"/>
      <c r="E35" s="258">
        <f>SUM(손익!AR18:AS18)/1000</f>
        <v>0</v>
      </c>
      <c r="F35" s="202"/>
      <c r="G35" s="202"/>
      <c r="H35" s="202"/>
      <c r="I35" s="202"/>
      <c r="J35" s="202"/>
      <c r="K35" s="202"/>
      <c r="L35" s="274"/>
      <c r="M35" s="274"/>
      <c r="N35" s="274"/>
      <c r="O35" s="274"/>
      <c r="P35" s="274"/>
      <c r="Q35" s="274"/>
      <c r="R35" s="275"/>
      <c r="S35" s="274"/>
      <c r="T35" s="276"/>
      <c r="U35" s="277">
        <f>$E$35</f>
        <v>0</v>
      </c>
      <c r="V35" s="274"/>
      <c r="W35" s="278"/>
      <c r="X35" s="275"/>
      <c r="Y35" s="279"/>
      <c r="Z35" s="280"/>
      <c r="AA35" s="276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  <c r="AQ35" s="274"/>
      <c r="AR35" s="275"/>
      <c r="AS35" s="275"/>
      <c r="AT35" s="260"/>
      <c r="AU35" s="276"/>
      <c r="AV35" s="275"/>
      <c r="AW35" s="260"/>
      <c r="AX35" s="274"/>
      <c r="AY35" s="274"/>
      <c r="AZ35" s="274"/>
      <c r="BA35" s="276"/>
      <c r="BB35" s="274"/>
      <c r="BC35" s="274"/>
      <c r="BD35" s="274"/>
      <c r="BE35" s="275"/>
      <c r="BF35" s="274"/>
      <c r="BG35" s="275"/>
      <c r="BH35" s="260"/>
      <c r="BI35" s="278"/>
      <c r="BJ35" s="260"/>
      <c r="BK35" s="266"/>
      <c r="BL35" s="261"/>
      <c r="BM35" s="261"/>
      <c r="BN35" s="260">
        <f>$E35-SUM($F35:BM35)</f>
        <v>0</v>
      </c>
      <c r="BO35" s="264"/>
      <c r="BP35" s="260"/>
      <c r="BQ35" s="262"/>
      <c r="BR35" s="260"/>
      <c r="BS35" s="260"/>
      <c r="BT35" s="262"/>
      <c r="BU35" s="278"/>
      <c r="BV35" s="275"/>
      <c r="BW35" s="275"/>
      <c r="BX35" s="275"/>
      <c r="BY35" s="149">
        <f t="shared" si="17"/>
        <v>0</v>
      </c>
      <c r="BZ35" s="130"/>
      <c r="CA35" s="157">
        <f t="shared" si="5"/>
        <v>0</v>
      </c>
      <c r="CB35" s="132">
        <f>손익!AU18</f>
        <v>0</v>
      </c>
    </row>
    <row r="36" spans="1:80">
      <c r="A36" s="158"/>
      <c r="B36" s="1739" t="str">
        <f>손익!U19</f>
        <v xml:space="preserve"> 취득제세금 등</v>
      </c>
      <c r="C36" s="1740"/>
      <c r="D36" s="1741"/>
      <c r="E36" s="258">
        <f>SUM(손익!AR19:AS19)/1000</f>
        <v>3864</v>
      </c>
      <c r="F36" s="274"/>
      <c r="G36" s="202"/>
      <c r="H36" s="202"/>
      <c r="I36" s="202"/>
      <c r="J36" s="202"/>
      <c r="K36" s="274">
        <f>ROUNDDOWN(SUM(H34:I34)*4.6%,5)</f>
        <v>386.40003999999999</v>
      </c>
      <c r="L36" s="274"/>
      <c r="M36" s="274"/>
      <c r="N36" s="274"/>
      <c r="O36" s="274"/>
      <c r="P36" s="274"/>
      <c r="Q36" s="260"/>
      <c r="R36" s="261"/>
      <c r="S36" s="260"/>
      <c r="T36" s="262"/>
      <c r="U36" s="263">
        <f>$E36-SUM($F36:T36)</f>
        <v>3477.59996</v>
      </c>
      <c r="V36" s="274"/>
      <c r="W36" s="278"/>
      <c r="X36" s="275"/>
      <c r="Y36" s="279"/>
      <c r="Z36" s="280"/>
      <c r="AA36" s="281"/>
      <c r="AB36" s="274"/>
      <c r="AC36" s="274"/>
      <c r="AD36" s="274"/>
      <c r="AE36" s="274"/>
      <c r="AF36" s="274"/>
      <c r="AG36" s="274"/>
      <c r="AH36" s="274"/>
      <c r="AI36" s="274"/>
      <c r="AJ36" s="274"/>
      <c r="AK36" s="260"/>
      <c r="AL36" s="274"/>
      <c r="AM36" s="274"/>
      <c r="AN36" s="260"/>
      <c r="AO36" s="274"/>
      <c r="AP36" s="274"/>
      <c r="AQ36" s="274"/>
      <c r="AR36" s="260"/>
      <c r="AS36" s="275"/>
      <c r="AT36" s="260"/>
      <c r="AU36" s="276"/>
      <c r="AV36" s="275"/>
      <c r="AW36" s="260"/>
      <c r="AX36" s="274"/>
      <c r="AY36" s="274"/>
      <c r="AZ36" s="260"/>
      <c r="BA36" s="276"/>
      <c r="BB36" s="274"/>
      <c r="BC36" s="260"/>
      <c r="BD36" s="260"/>
      <c r="BE36" s="275"/>
      <c r="BF36" s="274"/>
      <c r="BG36" s="275"/>
      <c r="BH36" s="260"/>
      <c r="BI36" s="278"/>
      <c r="BJ36" s="260"/>
      <c r="BK36" s="266"/>
      <c r="BL36" s="261"/>
      <c r="BM36" s="261"/>
      <c r="BN36" s="260">
        <f>$E36-SUM($F36:BM36)</f>
        <v>0</v>
      </c>
      <c r="BO36" s="264"/>
      <c r="BP36" s="260"/>
      <c r="BQ36" s="262"/>
      <c r="BR36" s="260"/>
      <c r="BS36" s="260"/>
      <c r="BT36" s="262"/>
      <c r="BU36" s="278"/>
      <c r="BV36" s="275"/>
      <c r="BW36" s="275"/>
      <c r="BX36" s="275"/>
      <c r="BY36" s="149">
        <f t="shared" si="17"/>
        <v>3864</v>
      </c>
      <c r="BZ36" s="130"/>
      <c r="CA36" s="157">
        <f t="shared" si="5"/>
        <v>0</v>
      </c>
      <c r="CB36" s="132">
        <f>손익!AU19</f>
        <v>0</v>
      </c>
    </row>
    <row r="37" spans="1:80" hidden="1">
      <c r="A37" s="158"/>
      <c r="B37" s="1739" t="str">
        <f>손익!U20</f>
        <v xml:space="preserve"> 토지매입용역비</v>
      </c>
      <c r="C37" s="1740"/>
      <c r="D37" s="1741"/>
      <c r="E37" s="258">
        <f>SUM(손익!AR20:AS20)/1000</f>
        <v>0</v>
      </c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5"/>
      <c r="S37" s="274"/>
      <c r="T37" s="276"/>
      <c r="U37" s="277"/>
      <c r="V37" s="274"/>
      <c r="W37" s="278"/>
      <c r="X37" s="275"/>
      <c r="Y37" s="279">
        <f>$E37-SUM($F37:X37)</f>
        <v>0</v>
      </c>
      <c r="Z37" s="280"/>
      <c r="AA37" s="281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  <c r="AM37" s="274"/>
      <c r="AN37" s="274"/>
      <c r="AO37" s="274"/>
      <c r="AP37" s="274"/>
      <c r="AQ37" s="274"/>
      <c r="AR37" s="275"/>
      <c r="AS37" s="275"/>
      <c r="AT37" s="260"/>
      <c r="AU37" s="276"/>
      <c r="AV37" s="275"/>
      <c r="AW37" s="260"/>
      <c r="AX37" s="274"/>
      <c r="AY37" s="274"/>
      <c r="AZ37" s="274"/>
      <c r="BA37" s="276"/>
      <c r="BB37" s="274"/>
      <c r="BC37" s="274"/>
      <c r="BD37" s="274"/>
      <c r="BE37" s="275"/>
      <c r="BF37" s="274"/>
      <c r="BG37" s="275"/>
      <c r="BH37" s="260"/>
      <c r="BI37" s="278"/>
      <c r="BJ37" s="260"/>
      <c r="BK37" s="266"/>
      <c r="BL37" s="261"/>
      <c r="BM37" s="261"/>
      <c r="BN37" s="260">
        <f>$E37-SUM($F37:BM37)</f>
        <v>0</v>
      </c>
      <c r="BO37" s="264"/>
      <c r="BP37" s="260"/>
      <c r="BQ37" s="262"/>
      <c r="BR37" s="260"/>
      <c r="BS37" s="260"/>
      <c r="BT37" s="262"/>
      <c r="BU37" s="278"/>
      <c r="BV37" s="275"/>
      <c r="BW37" s="275"/>
      <c r="BX37" s="275"/>
      <c r="BY37" s="149">
        <f t="shared" si="17"/>
        <v>0</v>
      </c>
      <c r="BZ37" s="130"/>
      <c r="CA37" s="157">
        <f t="shared" si="5"/>
        <v>0</v>
      </c>
      <c r="CB37" s="132">
        <f>손익!AU20</f>
        <v>0</v>
      </c>
    </row>
    <row r="38" spans="1:80">
      <c r="A38" s="158"/>
      <c r="B38" s="1739" t="str">
        <f>손익!U21</f>
        <v xml:space="preserve"> 재산세</v>
      </c>
      <c r="C38" s="1740"/>
      <c r="D38" s="1741"/>
      <c r="E38" s="258">
        <f>SUM(손익!AR21:AS21)/1000</f>
        <v>556.75410999999997</v>
      </c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5"/>
      <c r="S38" s="202"/>
      <c r="T38" s="276"/>
      <c r="U38" s="282"/>
      <c r="V38" s="202"/>
      <c r="W38" s="278"/>
      <c r="X38" s="275"/>
      <c r="Y38" s="205">
        <f>보유세액!D7/1000</f>
        <v>110.06514</v>
      </c>
      <c r="Z38" s="280"/>
      <c r="AA38" s="276"/>
      <c r="AB38" s="202">
        <f>보유세액!D8/1000</f>
        <v>18.279510000000002</v>
      </c>
      <c r="AC38" s="274"/>
      <c r="AD38" s="274"/>
      <c r="AE38" s="274"/>
      <c r="AF38" s="202"/>
      <c r="AG38" s="274"/>
      <c r="AH38" s="274"/>
      <c r="AI38" s="202"/>
      <c r="AJ38" s="274"/>
      <c r="AK38" s="202">
        <f>보유세액!E7/1000</f>
        <v>115.56838999999999</v>
      </c>
      <c r="AL38" s="274"/>
      <c r="AM38" s="274"/>
      <c r="AN38" s="202">
        <f>보유세액!E8/1000</f>
        <v>19.769479999999998</v>
      </c>
      <c r="AO38" s="274"/>
      <c r="AP38" s="274"/>
      <c r="AQ38" s="274"/>
      <c r="AR38" s="204"/>
      <c r="AS38" s="275"/>
      <c r="AT38" s="260"/>
      <c r="AU38" s="200"/>
      <c r="AV38" s="275"/>
      <c r="AW38" s="259">
        <f>보유세액!F7/1000</f>
        <v>121.34682000000001</v>
      </c>
      <c r="AX38" s="274"/>
      <c r="AY38" s="274"/>
      <c r="AZ38" s="202">
        <f>보유세액!F8/1000</f>
        <v>21.333959999999998</v>
      </c>
      <c r="BA38" s="200"/>
      <c r="BB38" s="274"/>
      <c r="BC38" s="274"/>
      <c r="BD38" s="202"/>
      <c r="BE38" s="202"/>
      <c r="BF38" s="202"/>
      <c r="BG38" s="204"/>
      <c r="BH38" s="260"/>
      <c r="BI38" s="203">
        <f>보유세액!G7/1000</f>
        <v>127.41414999999999</v>
      </c>
      <c r="BJ38" s="260"/>
      <c r="BK38" s="266"/>
      <c r="BL38" s="261">
        <f>보유세액!G8/1000</f>
        <v>22.976659999999999</v>
      </c>
      <c r="BM38" s="261"/>
      <c r="BN38" s="260">
        <f>$E38-SUM($F38:BM38)</f>
        <v>0</v>
      </c>
      <c r="BO38" s="264"/>
      <c r="BP38" s="260"/>
      <c r="BQ38" s="262"/>
      <c r="BR38" s="260"/>
      <c r="BS38" s="260"/>
      <c r="BT38" s="262"/>
      <c r="BU38" s="203"/>
      <c r="BV38" s="275"/>
      <c r="BW38" s="275"/>
      <c r="BX38" s="275"/>
      <c r="BY38" s="149">
        <f t="shared" si="17"/>
        <v>556.75411000000008</v>
      </c>
      <c r="BZ38" s="130"/>
      <c r="CA38" s="157">
        <f t="shared" si="5"/>
        <v>0</v>
      </c>
      <c r="CB38" s="132">
        <f>손익!AU21</f>
        <v>0</v>
      </c>
    </row>
    <row r="39" spans="1:80">
      <c r="A39" s="158"/>
      <c r="B39" s="1739" t="str">
        <f>손익!U26</f>
        <v xml:space="preserve"> 설계용역비</v>
      </c>
      <c r="C39" s="1740"/>
      <c r="D39" s="1741"/>
      <c r="E39" s="258">
        <f>SUM(손익!AR26:AS26)/1000</f>
        <v>4315.5410999999995</v>
      </c>
      <c r="F39" s="274"/>
      <c r="G39" s="274"/>
      <c r="H39" s="274"/>
      <c r="I39" s="274"/>
      <c r="J39" s="274"/>
      <c r="K39" s="274">
        <f>375*1.1</f>
        <v>412.50000000000006</v>
      </c>
      <c r="L39" s="274"/>
      <c r="M39" s="274"/>
      <c r="N39" s="274"/>
      <c r="O39" s="274"/>
      <c r="P39" s="274"/>
      <c r="Q39" s="274"/>
      <c r="R39" s="275"/>
      <c r="S39" s="274"/>
      <c r="T39" s="276"/>
      <c r="U39" s="277">
        <f>375*1.1</f>
        <v>412.50000000000006</v>
      </c>
      <c r="V39" s="274"/>
      <c r="W39" s="278"/>
      <c r="X39" s="275">
        <f>3750*30%*(1+면세비율!$H$31)-(3750*20%*(1.1-(1+면세비율!$H$31)))</f>
        <v>1143.7687499999997</v>
      </c>
      <c r="Y39" s="279"/>
      <c r="Z39" s="280">
        <f>(375+200)*(1+면세비율!$H$31)</f>
        <v>603.75574999999992</v>
      </c>
      <c r="AA39" s="276"/>
      <c r="AB39" s="274"/>
      <c r="AC39" s="274"/>
      <c r="AD39" s="274"/>
      <c r="AE39" s="274">
        <f>3750*30%*(1+면세비율!$H$31)</f>
        <v>1181.2612499999998</v>
      </c>
      <c r="AF39" s="274"/>
      <c r="AG39" s="274"/>
      <c r="AH39" s="274"/>
      <c r="AI39" s="274"/>
      <c r="AJ39" s="274"/>
      <c r="AK39" s="274"/>
      <c r="AL39" s="274"/>
      <c r="AM39" s="274"/>
      <c r="AN39" s="274"/>
      <c r="AO39" s="274"/>
      <c r="AP39" s="260"/>
      <c r="AQ39" s="260"/>
      <c r="AR39" s="275"/>
      <c r="AS39" s="275"/>
      <c r="AT39" s="260"/>
      <c r="AU39" s="276"/>
      <c r="AV39" s="261"/>
      <c r="AW39" s="260"/>
      <c r="AX39" s="260"/>
      <c r="AY39" s="260"/>
      <c r="AZ39" s="260"/>
      <c r="BA39" s="276"/>
      <c r="BB39" s="274"/>
      <c r="BC39" s="274"/>
      <c r="BD39" s="274"/>
      <c r="BE39" s="274"/>
      <c r="BF39" s="274"/>
      <c r="BG39" s="275"/>
      <c r="BH39" s="260"/>
      <c r="BI39" s="264"/>
      <c r="BJ39" s="260"/>
      <c r="BK39" s="266">
        <f>$E39-SUM($G39:BJ39)</f>
        <v>561.75535000000036</v>
      </c>
      <c r="BL39" s="261"/>
      <c r="BM39" s="261"/>
      <c r="BN39" s="260">
        <f>$E39-SUM($G39:BM39)</f>
        <v>0</v>
      </c>
      <c r="BO39" s="264"/>
      <c r="BP39" s="260"/>
      <c r="BQ39" s="262"/>
      <c r="BR39" s="260"/>
      <c r="BS39" s="260"/>
      <c r="BT39" s="262"/>
      <c r="BU39" s="278"/>
      <c r="BV39" s="275"/>
      <c r="BW39" s="275"/>
      <c r="BX39" s="275"/>
      <c r="BY39" s="149">
        <f t="shared" si="17"/>
        <v>4315.5410999999995</v>
      </c>
      <c r="BZ39" s="130"/>
      <c r="CA39" s="157">
        <f t="shared" si="5"/>
        <v>0</v>
      </c>
      <c r="CB39" s="132">
        <f>손익!AU26</f>
        <v>4.7628117827449266E-2</v>
      </c>
    </row>
    <row r="40" spans="1:80">
      <c r="A40" s="158"/>
      <c r="B40" s="1739" t="str">
        <f>손익!U27</f>
        <v xml:space="preserve"> 인테리어ㆍ특화설계용역비</v>
      </c>
      <c r="C40" s="1740"/>
      <c r="D40" s="1741"/>
      <c r="E40" s="258">
        <f>SUM(손익!AR27:AS27)/1000</f>
        <v>242</v>
      </c>
      <c r="F40" s="260"/>
      <c r="G40" s="274"/>
      <c r="H40" s="274"/>
      <c r="I40" s="274"/>
      <c r="J40" s="274"/>
      <c r="K40" s="274">
        <f>160*10%*1.1</f>
        <v>17.600000000000001</v>
      </c>
      <c r="L40" s="274"/>
      <c r="M40" s="274"/>
      <c r="N40" s="274"/>
      <c r="O40" s="274"/>
      <c r="P40" s="274"/>
      <c r="Q40" s="274"/>
      <c r="R40" s="275"/>
      <c r="S40" s="274"/>
      <c r="T40" s="283"/>
      <c r="U40" s="277"/>
      <c r="V40" s="259">
        <f>160*20%*1.1</f>
        <v>35.200000000000003</v>
      </c>
      <c r="W40" s="264"/>
      <c r="X40" s="261">
        <f>160*30%*1.1</f>
        <v>52.800000000000004</v>
      </c>
      <c r="Y40" s="265"/>
      <c r="Z40" s="266"/>
      <c r="AA40" s="262"/>
      <c r="AB40" s="260"/>
      <c r="AC40" s="260"/>
      <c r="AD40" s="260"/>
      <c r="AE40" s="260">
        <f>160*30%*1.1</f>
        <v>52.800000000000004</v>
      </c>
      <c r="AF40" s="260"/>
      <c r="AG40" s="260"/>
      <c r="AH40" s="260"/>
      <c r="AI40" s="260"/>
      <c r="AJ40" s="260"/>
      <c r="AK40" s="260"/>
      <c r="AL40" s="260"/>
      <c r="AM40" s="260"/>
      <c r="AN40" s="260"/>
      <c r="AO40" s="260"/>
      <c r="AP40" s="260"/>
      <c r="AQ40" s="260"/>
      <c r="AR40" s="260"/>
      <c r="AS40" s="261"/>
      <c r="AT40" s="260"/>
      <c r="AU40" s="262"/>
      <c r="AV40" s="261"/>
      <c r="AW40" s="260"/>
      <c r="AX40" s="260"/>
      <c r="AY40" s="260"/>
      <c r="AZ40" s="260"/>
      <c r="BA40" s="262"/>
      <c r="BB40" s="260"/>
      <c r="BC40" s="260"/>
      <c r="BD40" s="260"/>
      <c r="BE40" s="260"/>
      <c r="BF40" s="260"/>
      <c r="BG40" s="261"/>
      <c r="BH40" s="260"/>
      <c r="BI40" s="264"/>
      <c r="BJ40" s="260"/>
      <c r="BK40" s="266">
        <f>$E40-SUM($F40:BJ40)</f>
        <v>83.6</v>
      </c>
      <c r="BL40" s="261"/>
      <c r="BM40" s="261"/>
      <c r="BN40" s="260">
        <f>$E40-SUM($F40:BM40)</f>
        <v>0</v>
      </c>
      <c r="BO40" s="264"/>
      <c r="BP40" s="260"/>
      <c r="BQ40" s="262"/>
      <c r="BR40" s="260"/>
      <c r="BS40" s="260"/>
      <c r="BT40" s="262"/>
      <c r="BU40" s="264"/>
      <c r="BV40" s="261"/>
      <c r="BW40" s="261"/>
      <c r="BX40" s="261"/>
      <c r="BY40" s="149">
        <f t="shared" si="17"/>
        <v>242</v>
      </c>
      <c r="BZ40" s="130"/>
      <c r="CA40" s="157">
        <f t="shared" si="5"/>
        <v>0</v>
      </c>
      <c r="CB40" s="132">
        <f>손익!AU27</f>
        <v>9.0909090909090912E-2</v>
      </c>
    </row>
    <row r="41" spans="1:80">
      <c r="A41" s="158"/>
      <c r="B41" s="1739" t="str">
        <f>손익!U28</f>
        <v xml:space="preserve"> 감리용역비 (전체 공종)</v>
      </c>
      <c r="C41" s="1740"/>
      <c r="D41" s="1741"/>
      <c r="E41" s="258">
        <f>SUM(손익!AR28:AS28)/1000</f>
        <v>5236</v>
      </c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1"/>
      <c r="S41" s="260"/>
      <c r="T41" s="262"/>
      <c r="U41" s="263"/>
      <c r="V41" s="260"/>
      <c r="W41" s="264"/>
      <c r="X41" s="261"/>
      <c r="Y41" s="284"/>
      <c r="Z41" s="266">
        <f>E41*10%</f>
        <v>523.6</v>
      </c>
      <c r="AA41" s="262"/>
      <c r="AB41" s="260"/>
      <c r="AC41" s="260">
        <f>$E$41*90%/12</f>
        <v>392.70000000000005</v>
      </c>
      <c r="AD41" s="260"/>
      <c r="AE41" s="260"/>
      <c r="AF41" s="260">
        <f>AC41</f>
        <v>392.70000000000005</v>
      </c>
      <c r="AG41" s="260"/>
      <c r="AH41" s="260"/>
      <c r="AI41" s="260">
        <f>AF41</f>
        <v>392.70000000000005</v>
      </c>
      <c r="AJ41" s="260"/>
      <c r="AK41" s="260"/>
      <c r="AL41" s="260">
        <f>AI41</f>
        <v>392.70000000000005</v>
      </c>
      <c r="AM41" s="260"/>
      <c r="AN41" s="260"/>
      <c r="AO41" s="260">
        <f>AL41</f>
        <v>392.70000000000005</v>
      </c>
      <c r="AP41" s="260"/>
      <c r="AQ41" s="260"/>
      <c r="AR41" s="260">
        <f>AO41</f>
        <v>392.70000000000005</v>
      </c>
      <c r="AS41" s="260"/>
      <c r="AT41" s="261"/>
      <c r="AU41" s="260">
        <f>AR41</f>
        <v>392.70000000000005</v>
      </c>
      <c r="AV41" s="260"/>
      <c r="AW41" s="261"/>
      <c r="AX41" s="260">
        <f>AU41</f>
        <v>392.70000000000005</v>
      </c>
      <c r="AY41" s="260"/>
      <c r="AZ41" s="260"/>
      <c r="BA41" s="260">
        <f>AX41</f>
        <v>392.70000000000005</v>
      </c>
      <c r="BB41" s="260"/>
      <c r="BC41" s="260"/>
      <c r="BD41" s="260">
        <f>BA41</f>
        <v>392.70000000000005</v>
      </c>
      <c r="BE41" s="260"/>
      <c r="BF41" s="260"/>
      <c r="BG41" s="260">
        <f>BD41</f>
        <v>392.70000000000005</v>
      </c>
      <c r="BH41" s="260"/>
      <c r="BI41" s="261"/>
      <c r="BJ41" s="260"/>
      <c r="BK41" s="266">
        <f>$E41-SUM($F41:BJ41)</f>
        <v>392.70000000000073</v>
      </c>
      <c r="BL41" s="285"/>
      <c r="BM41" s="285"/>
      <c r="BN41" s="260">
        <f>$E41-SUM($F41:BM41)</f>
        <v>0</v>
      </c>
      <c r="BO41" s="264"/>
      <c r="BP41" s="260"/>
      <c r="BQ41" s="262"/>
      <c r="BR41" s="260"/>
      <c r="BS41" s="260"/>
      <c r="BT41" s="262"/>
      <c r="BU41" s="264"/>
      <c r="BV41" s="261"/>
      <c r="BW41" s="261"/>
      <c r="BX41" s="261"/>
      <c r="BY41" s="149">
        <f t="shared" si="17"/>
        <v>5236</v>
      </c>
      <c r="BZ41" s="130"/>
      <c r="CA41" s="157">
        <f t="shared" si="5"/>
        <v>0</v>
      </c>
      <c r="CB41" s="132">
        <f>손익!AU28</f>
        <v>9.0909090909090912E-2</v>
      </c>
    </row>
    <row r="42" spans="1:80">
      <c r="A42" s="158"/>
      <c r="B42" s="1742" t="str">
        <f>손익!U29</f>
        <v xml:space="preserve"> 제도인증용역비</v>
      </c>
      <c r="C42" s="1743"/>
      <c r="D42" s="1744"/>
      <c r="E42" s="258">
        <f>SUM(손익!AR29:AS29)/1000</f>
        <v>242</v>
      </c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1"/>
      <c r="S42" s="260"/>
      <c r="T42" s="262"/>
      <c r="U42" s="263"/>
      <c r="V42" s="259"/>
      <c r="W42" s="264"/>
      <c r="X42" s="261"/>
      <c r="Y42" s="265">
        <f>$E$42*50%</f>
        <v>121</v>
      </c>
      <c r="Z42" s="266"/>
      <c r="AA42" s="262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1"/>
      <c r="AT42" s="260"/>
      <c r="AU42" s="262"/>
      <c r="AV42" s="261"/>
      <c r="AW42" s="260"/>
      <c r="AX42" s="260"/>
      <c r="AY42" s="260"/>
      <c r="AZ42" s="260"/>
      <c r="BA42" s="262"/>
      <c r="BB42" s="260"/>
      <c r="BC42" s="260"/>
      <c r="BD42" s="260"/>
      <c r="BE42" s="260"/>
      <c r="BF42" s="260"/>
      <c r="BG42" s="261"/>
      <c r="BH42" s="260"/>
      <c r="BI42" s="264"/>
      <c r="BJ42" s="260"/>
      <c r="BK42" s="266">
        <f>$E42-SUM($F42:BJ42)</f>
        <v>121</v>
      </c>
      <c r="BL42" s="261"/>
      <c r="BM42" s="261"/>
      <c r="BN42" s="260">
        <f>$E42-SUM($F42:BM42)</f>
        <v>0</v>
      </c>
      <c r="BO42" s="264"/>
      <c r="BP42" s="260"/>
      <c r="BQ42" s="262"/>
      <c r="BR42" s="260"/>
      <c r="BS42" s="260"/>
      <c r="BT42" s="262"/>
      <c r="BU42" s="264"/>
      <c r="BV42" s="261"/>
      <c r="BW42" s="261"/>
      <c r="BX42" s="261"/>
      <c r="BY42" s="149">
        <f t="shared" si="17"/>
        <v>242</v>
      </c>
      <c r="BZ42" s="130"/>
      <c r="CA42" s="157">
        <f t="shared" si="5"/>
        <v>0</v>
      </c>
      <c r="CB42" s="132">
        <f>손익!AU29</f>
        <v>9.0909090909090912E-2</v>
      </c>
    </row>
    <row r="43" spans="1:80">
      <c r="A43" s="158"/>
      <c r="B43" s="1739" t="str">
        <f>손익!U30</f>
        <v xml:space="preserve"> 기타용역비</v>
      </c>
      <c r="C43" s="1740"/>
      <c r="D43" s="1741"/>
      <c r="E43" s="258">
        <f>SUM(손익!AR30:AS30)/1000</f>
        <v>1430</v>
      </c>
      <c r="F43" s="260"/>
      <c r="G43" s="260"/>
      <c r="H43" s="260"/>
      <c r="I43" s="260">
        <v>11</v>
      </c>
      <c r="J43" s="260"/>
      <c r="K43" s="260"/>
      <c r="L43" s="260"/>
      <c r="M43" s="260"/>
      <c r="N43" s="260"/>
      <c r="O43" s="260"/>
      <c r="P43" s="260"/>
      <c r="Q43" s="260"/>
      <c r="R43" s="261"/>
      <c r="S43" s="260"/>
      <c r="T43" s="262"/>
      <c r="U43" s="263"/>
      <c r="V43" s="260"/>
      <c r="W43" s="264">
        <f>$E$43*10%</f>
        <v>143</v>
      </c>
      <c r="X43" s="261"/>
      <c r="Y43" s="284">
        <f>$E$43*70%</f>
        <v>1000.9999999999999</v>
      </c>
      <c r="Z43" s="266"/>
      <c r="AA43" s="262"/>
      <c r="AB43" s="269"/>
      <c r="AC43" s="269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1"/>
      <c r="AT43" s="260"/>
      <c r="AU43" s="262"/>
      <c r="AV43" s="261"/>
      <c r="AW43" s="260"/>
      <c r="AX43" s="260"/>
      <c r="AY43" s="260"/>
      <c r="AZ43" s="260"/>
      <c r="BA43" s="262"/>
      <c r="BB43" s="260"/>
      <c r="BC43" s="260"/>
      <c r="BD43" s="260"/>
      <c r="BE43" s="260"/>
      <c r="BF43" s="260"/>
      <c r="BG43" s="261"/>
      <c r="BH43" s="260"/>
      <c r="BI43" s="264"/>
      <c r="BJ43" s="260"/>
      <c r="BK43" s="266">
        <f>$E43-SUM($F43:BJ43)</f>
        <v>275</v>
      </c>
      <c r="BL43" s="261"/>
      <c r="BM43" s="261"/>
      <c r="BN43" s="260">
        <f>$E43-SUM($F43:BM43)</f>
        <v>0</v>
      </c>
      <c r="BO43" s="264"/>
      <c r="BP43" s="260"/>
      <c r="BQ43" s="262"/>
      <c r="BR43" s="260"/>
      <c r="BS43" s="260"/>
      <c r="BT43" s="262"/>
      <c r="BU43" s="264"/>
      <c r="BV43" s="261"/>
      <c r="BW43" s="261"/>
      <c r="BX43" s="261"/>
      <c r="BY43" s="149">
        <f t="shared" si="17"/>
        <v>1430</v>
      </c>
      <c r="BZ43" s="130"/>
      <c r="CA43" s="157">
        <f t="shared" si="5"/>
        <v>0</v>
      </c>
      <c r="CB43" s="132">
        <f>손익!AU30</f>
        <v>9.0909090909090912E-2</v>
      </c>
    </row>
    <row r="44" spans="1:80">
      <c r="A44" s="146"/>
      <c r="B44" s="1748" t="s">
        <v>303</v>
      </c>
      <c r="C44" s="1750" t="str">
        <f>손익!U32</f>
        <v xml:space="preserve"> MH 임차료</v>
      </c>
      <c r="D44" s="1751"/>
      <c r="E44" s="258">
        <f>SUM(손익!AR32:AS32)/1000</f>
        <v>792</v>
      </c>
      <c r="F44" s="286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6"/>
      <c r="S44" s="260"/>
      <c r="T44" s="262"/>
      <c r="U44" s="263"/>
      <c r="V44" s="260"/>
      <c r="W44" s="264"/>
      <c r="X44" s="261">
        <f>$E$44/2</f>
        <v>396</v>
      </c>
      <c r="Y44" s="284"/>
      <c r="Z44" s="266"/>
      <c r="AA44" s="262"/>
      <c r="AB44" s="260"/>
      <c r="AC44" s="260"/>
      <c r="AD44" s="260"/>
      <c r="AE44" s="260"/>
      <c r="AF44" s="260"/>
      <c r="AG44" s="260"/>
      <c r="AH44" s="260"/>
      <c r="AI44" s="260"/>
      <c r="AJ44" s="260">
        <f>$E$44/2</f>
        <v>396</v>
      </c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2"/>
      <c r="AV44" s="261"/>
      <c r="AW44" s="260"/>
      <c r="AX44" s="260"/>
      <c r="AY44" s="260"/>
      <c r="AZ44" s="260"/>
      <c r="BA44" s="262"/>
      <c r="BB44" s="260"/>
      <c r="BC44" s="260"/>
      <c r="BD44" s="260"/>
      <c r="BE44" s="260"/>
      <c r="BF44" s="260"/>
      <c r="BG44" s="261"/>
      <c r="BH44" s="260"/>
      <c r="BI44" s="264"/>
      <c r="BJ44" s="260"/>
      <c r="BK44" s="266"/>
      <c r="BL44" s="261"/>
      <c r="BM44" s="261"/>
      <c r="BN44" s="260">
        <f>$E44-SUM($F44:BM44)</f>
        <v>0</v>
      </c>
      <c r="BO44" s="264"/>
      <c r="BP44" s="260"/>
      <c r="BQ44" s="262"/>
      <c r="BR44" s="260"/>
      <c r="BS44" s="260"/>
      <c r="BT44" s="262"/>
      <c r="BU44" s="264"/>
      <c r="BV44" s="261"/>
      <c r="BW44" s="261"/>
      <c r="BX44" s="261"/>
      <c r="BY44" s="149">
        <f t="shared" si="17"/>
        <v>792</v>
      </c>
      <c r="BZ44" s="130"/>
      <c r="CA44" s="157">
        <f t="shared" si="5"/>
        <v>0</v>
      </c>
      <c r="CB44" s="132">
        <f>손익!AU32</f>
        <v>9.0909090909090912E-2</v>
      </c>
    </row>
    <row r="45" spans="1:80">
      <c r="A45" s="146"/>
      <c r="B45" s="1749"/>
      <c r="C45" s="1750" t="str">
        <f>손익!U33</f>
        <v xml:space="preserve"> MH 건립비</v>
      </c>
      <c r="D45" s="1751"/>
      <c r="E45" s="258">
        <f>SUM(손익!AR33:AS33)/1000</f>
        <v>2200</v>
      </c>
      <c r="F45" s="288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6"/>
      <c r="S45" s="287"/>
      <c r="T45" s="289"/>
      <c r="U45" s="290"/>
      <c r="V45" s="287"/>
      <c r="W45" s="291"/>
      <c r="X45" s="288">
        <f>$E$45*10%</f>
        <v>220</v>
      </c>
      <c r="Y45" s="292">
        <f>$E$45*60%</f>
        <v>1320</v>
      </c>
      <c r="Z45" s="266">
        <f>$E$45*30%</f>
        <v>660</v>
      </c>
      <c r="AA45" s="262"/>
      <c r="AB45" s="260"/>
      <c r="AC45" s="260"/>
      <c r="AD45" s="293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1"/>
      <c r="AT45" s="260"/>
      <c r="AU45" s="262"/>
      <c r="AV45" s="261"/>
      <c r="AW45" s="260"/>
      <c r="AX45" s="260"/>
      <c r="AY45" s="260"/>
      <c r="AZ45" s="260"/>
      <c r="BA45" s="262"/>
      <c r="BB45" s="260"/>
      <c r="BC45" s="260"/>
      <c r="BD45" s="260"/>
      <c r="BE45" s="260"/>
      <c r="BF45" s="260"/>
      <c r="BG45" s="261"/>
      <c r="BH45" s="260"/>
      <c r="BI45" s="264"/>
      <c r="BJ45" s="260"/>
      <c r="BK45" s="266"/>
      <c r="BL45" s="261"/>
      <c r="BM45" s="261"/>
      <c r="BN45" s="260">
        <f>$E45-SUM($F45:BM45)</f>
        <v>0</v>
      </c>
      <c r="BO45" s="264"/>
      <c r="BP45" s="260"/>
      <c r="BQ45" s="262"/>
      <c r="BR45" s="260"/>
      <c r="BS45" s="260"/>
      <c r="BT45" s="262"/>
      <c r="BU45" s="264"/>
      <c r="BV45" s="261"/>
      <c r="BW45" s="261"/>
      <c r="BX45" s="261"/>
      <c r="BY45" s="149">
        <f t="shared" si="17"/>
        <v>2200</v>
      </c>
      <c r="BZ45" s="130"/>
      <c r="CA45" s="157">
        <f t="shared" si="5"/>
        <v>0</v>
      </c>
      <c r="CB45" s="132">
        <f>손익!AU33</f>
        <v>9.0909090909090912E-2</v>
      </c>
    </row>
    <row r="46" spans="1:80">
      <c r="A46" s="146"/>
      <c r="B46" s="1749"/>
      <c r="C46" s="1750" t="str">
        <f>손익!U34</f>
        <v xml:space="preserve"> MH 운영비</v>
      </c>
      <c r="D46" s="1751"/>
      <c r="E46" s="258">
        <f>SUM(손익!AR34:AS34)/1000</f>
        <v>528</v>
      </c>
      <c r="F46" s="288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6"/>
      <c r="S46" s="260"/>
      <c r="T46" s="262"/>
      <c r="U46" s="263"/>
      <c r="V46" s="260"/>
      <c r="W46" s="264"/>
      <c r="X46" s="261"/>
      <c r="Y46" s="284"/>
      <c r="Z46" s="266">
        <f>손익!Z34/1000*1.1</f>
        <v>22</v>
      </c>
      <c r="AA46" s="262">
        <f>Z46</f>
        <v>22</v>
      </c>
      <c r="AB46" s="260">
        <f t="shared" ref="AB46:AW46" si="18">AA46</f>
        <v>22</v>
      </c>
      <c r="AC46" s="260">
        <f t="shared" si="18"/>
        <v>22</v>
      </c>
      <c r="AD46" s="260">
        <f t="shared" si="18"/>
        <v>22</v>
      </c>
      <c r="AE46" s="260">
        <f t="shared" si="18"/>
        <v>22</v>
      </c>
      <c r="AF46" s="260">
        <f t="shared" si="18"/>
        <v>22</v>
      </c>
      <c r="AG46" s="260">
        <f t="shared" si="18"/>
        <v>22</v>
      </c>
      <c r="AH46" s="260">
        <f t="shared" si="18"/>
        <v>22</v>
      </c>
      <c r="AI46" s="260">
        <f t="shared" si="18"/>
        <v>22</v>
      </c>
      <c r="AJ46" s="260">
        <f t="shared" si="18"/>
        <v>22</v>
      </c>
      <c r="AK46" s="260">
        <f t="shared" si="18"/>
        <v>22</v>
      </c>
      <c r="AL46" s="260">
        <f t="shared" si="18"/>
        <v>22</v>
      </c>
      <c r="AM46" s="260">
        <f t="shared" si="18"/>
        <v>22</v>
      </c>
      <c r="AN46" s="260">
        <f t="shared" si="18"/>
        <v>22</v>
      </c>
      <c r="AO46" s="260">
        <f t="shared" si="18"/>
        <v>22</v>
      </c>
      <c r="AP46" s="260">
        <f t="shared" si="18"/>
        <v>22</v>
      </c>
      <c r="AQ46" s="260">
        <f t="shared" si="18"/>
        <v>22</v>
      </c>
      <c r="AR46" s="260">
        <f t="shared" si="18"/>
        <v>22</v>
      </c>
      <c r="AS46" s="261">
        <f t="shared" si="18"/>
        <v>22</v>
      </c>
      <c r="AT46" s="260">
        <f t="shared" si="18"/>
        <v>22</v>
      </c>
      <c r="AU46" s="262">
        <f t="shared" si="18"/>
        <v>22</v>
      </c>
      <c r="AV46" s="261">
        <f t="shared" si="18"/>
        <v>22</v>
      </c>
      <c r="AW46" s="260">
        <f t="shared" si="18"/>
        <v>22</v>
      </c>
      <c r="AX46" s="260"/>
      <c r="AY46" s="260"/>
      <c r="AZ46" s="260"/>
      <c r="BA46" s="262"/>
      <c r="BB46" s="260"/>
      <c r="BC46" s="260"/>
      <c r="BD46" s="260"/>
      <c r="BE46" s="260"/>
      <c r="BF46" s="260"/>
      <c r="BG46" s="261"/>
      <c r="BH46" s="260"/>
      <c r="BI46" s="264"/>
      <c r="BJ46" s="260"/>
      <c r="BK46" s="266"/>
      <c r="BL46" s="261"/>
      <c r="BM46" s="261"/>
      <c r="BN46" s="260">
        <f>$E46-SUM($F46:BM46)</f>
        <v>0</v>
      </c>
      <c r="BO46" s="264"/>
      <c r="BP46" s="260"/>
      <c r="BQ46" s="262"/>
      <c r="BR46" s="260"/>
      <c r="BS46" s="260"/>
      <c r="BT46" s="262"/>
      <c r="BU46" s="264"/>
      <c r="BV46" s="261"/>
      <c r="BW46" s="261"/>
      <c r="BX46" s="261"/>
      <c r="BY46" s="149">
        <f t="shared" si="17"/>
        <v>528</v>
      </c>
      <c r="BZ46" s="130"/>
      <c r="CA46" s="157">
        <f t="shared" si="5"/>
        <v>0</v>
      </c>
      <c r="CB46" s="132">
        <f>손익!AU34</f>
        <v>9.0909090909090912E-2</v>
      </c>
    </row>
    <row r="47" spans="1:80">
      <c r="A47" s="146"/>
      <c r="B47" s="1749"/>
      <c r="C47" s="1752" t="str">
        <f>손익!U35</f>
        <v xml:space="preserve"> 분양대행수수료 (APT)</v>
      </c>
      <c r="D47" s="1753"/>
      <c r="E47" s="258">
        <f>SUM(손익!AR35:AS35)/1000</f>
        <v>3836.8</v>
      </c>
      <c r="F47" s="288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6"/>
      <c r="S47" s="260"/>
      <c r="T47" s="262"/>
      <c r="U47" s="263"/>
      <c r="V47" s="260"/>
      <c r="W47" s="264"/>
      <c r="X47" s="261"/>
      <c r="Y47" s="284"/>
      <c r="Z47" s="266"/>
      <c r="AA47" s="262">
        <f ca="1">$E$47*Z11</f>
        <v>1151.04</v>
      </c>
      <c r="AB47" s="260">
        <f t="shared" ref="AB47:BJ47" ca="1" si="19">$E$47*AA11</f>
        <v>575.52</v>
      </c>
      <c r="AC47" s="260">
        <f t="shared" ca="1" si="19"/>
        <v>191.84000000000003</v>
      </c>
      <c r="AD47" s="260">
        <f t="shared" ca="1" si="19"/>
        <v>191.84000000000003</v>
      </c>
      <c r="AE47" s="260">
        <f t="shared" ca="1" si="19"/>
        <v>191.84000000000003</v>
      </c>
      <c r="AF47" s="260">
        <f t="shared" ca="1" si="19"/>
        <v>191.84000000000003</v>
      </c>
      <c r="AG47" s="260">
        <f t="shared" ca="1" si="19"/>
        <v>115.104</v>
      </c>
      <c r="AH47" s="260">
        <f t="shared" ca="1" si="19"/>
        <v>115.104</v>
      </c>
      <c r="AI47" s="260">
        <f t="shared" ca="1" si="19"/>
        <v>115.104</v>
      </c>
      <c r="AJ47" s="260">
        <f t="shared" ca="1" si="19"/>
        <v>115.104</v>
      </c>
      <c r="AK47" s="260">
        <f t="shared" ca="1" si="19"/>
        <v>115.104</v>
      </c>
      <c r="AL47" s="260">
        <f t="shared" ca="1" si="19"/>
        <v>115.104</v>
      </c>
      <c r="AM47" s="260">
        <f t="shared" ca="1" si="19"/>
        <v>115.104</v>
      </c>
      <c r="AN47" s="260">
        <f t="shared" ca="1" si="19"/>
        <v>115.104</v>
      </c>
      <c r="AO47" s="260">
        <f t="shared" ca="1" si="19"/>
        <v>115.104</v>
      </c>
      <c r="AP47" s="260">
        <f t="shared" ca="1" si="19"/>
        <v>115.104</v>
      </c>
      <c r="AQ47" s="260">
        <f t="shared" ca="1" si="19"/>
        <v>115.104</v>
      </c>
      <c r="AR47" s="260">
        <f t="shared" ca="1" si="19"/>
        <v>76.736000000000004</v>
      </c>
      <c r="AS47" s="261">
        <f t="shared" ca="1" si="19"/>
        <v>0</v>
      </c>
      <c r="AT47" s="260">
        <f t="shared" ca="1" si="19"/>
        <v>0</v>
      </c>
      <c r="AU47" s="262">
        <f t="shared" ca="1" si="19"/>
        <v>0</v>
      </c>
      <c r="AV47" s="261">
        <f t="shared" ca="1" si="19"/>
        <v>0</v>
      </c>
      <c r="AW47" s="260">
        <f t="shared" ca="1" si="19"/>
        <v>0</v>
      </c>
      <c r="AX47" s="260">
        <f t="shared" ca="1" si="19"/>
        <v>0</v>
      </c>
      <c r="AY47" s="260">
        <f t="shared" ca="1" si="19"/>
        <v>0</v>
      </c>
      <c r="AZ47" s="260">
        <f t="shared" ca="1" si="19"/>
        <v>0</v>
      </c>
      <c r="BA47" s="262">
        <f t="shared" ca="1" si="19"/>
        <v>0</v>
      </c>
      <c r="BB47" s="260">
        <f t="shared" ca="1" si="19"/>
        <v>0</v>
      </c>
      <c r="BC47" s="260">
        <f t="shared" ca="1" si="19"/>
        <v>0</v>
      </c>
      <c r="BD47" s="260">
        <f t="shared" ca="1" si="19"/>
        <v>0</v>
      </c>
      <c r="BE47" s="260">
        <f t="shared" ca="1" si="19"/>
        <v>0</v>
      </c>
      <c r="BF47" s="260">
        <f t="shared" ca="1" si="19"/>
        <v>0</v>
      </c>
      <c r="BG47" s="261">
        <f t="shared" ca="1" si="19"/>
        <v>0</v>
      </c>
      <c r="BH47" s="260">
        <f t="shared" ca="1" si="19"/>
        <v>0</v>
      </c>
      <c r="BI47" s="264">
        <f t="shared" ca="1" si="19"/>
        <v>0</v>
      </c>
      <c r="BJ47" s="260">
        <f t="shared" ca="1" si="19"/>
        <v>0</v>
      </c>
      <c r="BK47" s="266"/>
      <c r="BL47" s="261"/>
      <c r="BM47" s="261"/>
      <c r="BN47" s="260">
        <f ca="1">$E47-SUM($F47:BM47)</f>
        <v>0</v>
      </c>
      <c r="BO47" s="264"/>
      <c r="BP47" s="260"/>
      <c r="BQ47" s="262"/>
      <c r="BR47" s="260"/>
      <c r="BS47" s="260"/>
      <c r="BT47" s="262"/>
      <c r="BU47" s="264"/>
      <c r="BV47" s="261"/>
      <c r="BW47" s="261"/>
      <c r="BX47" s="261"/>
      <c r="BY47" s="149">
        <f t="shared" ca="1" si="17"/>
        <v>3836.7999999999984</v>
      </c>
      <c r="BZ47" s="130"/>
      <c r="CA47" s="157">
        <f ca="1">E47-BY47</f>
        <v>0</v>
      </c>
      <c r="CB47" s="132">
        <f>손익!AU35</f>
        <v>9.0909090909090912E-2</v>
      </c>
    </row>
    <row r="48" spans="1:80">
      <c r="A48" s="294"/>
      <c r="B48" s="1749"/>
      <c r="C48" s="1752" t="str">
        <f>손익!U36</f>
        <v xml:space="preserve"> 분양대행수수료 (OT)</v>
      </c>
      <c r="D48" s="1753"/>
      <c r="E48" s="258">
        <f>SUM(손익!AR36:AS36)/1000</f>
        <v>4917</v>
      </c>
      <c r="F48" s="288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6"/>
      <c r="S48" s="287"/>
      <c r="T48" s="262"/>
      <c r="U48" s="290"/>
      <c r="V48" s="260"/>
      <c r="W48" s="264"/>
      <c r="X48" s="261"/>
      <c r="Y48" s="284"/>
      <c r="Z48" s="266"/>
      <c r="AA48" s="262">
        <f t="shared" ref="AA48:BJ48" ca="1" si="20">$E$48*Z11</f>
        <v>1475.1</v>
      </c>
      <c r="AB48" s="260">
        <f t="shared" ca="1" si="20"/>
        <v>737.55</v>
      </c>
      <c r="AC48" s="260">
        <f t="shared" ca="1" si="20"/>
        <v>245.85000000000002</v>
      </c>
      <c r="AD48" s="260">
        <f t="shared" ca="1" si="20"/>
        <v>245.85000000000002</v>
      </c>
      <c r="AE48" s="260">
        <f t="shared" ca="1" si="20"/>
        <v>245.85000000000002</v>
      </c>
      <c r="AF48" s="260">
        <f t="shared" ca="1" si="20"/>
        <v>245.85000000000002</v>
      </c>
      <c r="AG48" s="260">
        <f t="shared" ca="1" si="20"/>
        <v>147.51</v>
      </c>
      <c r="AH48" s="260">
        <f t="shared" ca="1" si="20"/>
        <v>147.51</v>
      </c>
      <c r="AI48" s="260">
        <f t="shared" ca="1" si="20"/>
        <v>147.51</v>
      </c>
      <c r="AJ48" s="260">
        <f t="shared" ca="1" si="20"/>
        <v>147.51</v>
      </c>
      <c r="AK48" s="260">
        <f t="shared" ca="1" si="20"/>
        <v>147.51</v>
      </c>
      <c r="AL48" s="260">
        <f t="shared" ca="1" si="20"/>
        <v>147.51</v>
      </c>
      <c r="AM48" s="260">
        <f t="shared" ca="1" si="20"/>
        <v>147.51</v>
      </c>
      <c r="AN48" s="260">
        <f t="shared" ca="1" si="20"/>
        <v>147.51</v>
      </c>
      <c r="AO48" s="260">
        <f t="shared" ca="1" si="20"/>
        <v>147.51</v>
      </c>
      <c r="AP48" s="260">
        <f t="shared" ca="1" si="20"/>
        <v>147.51</v>
      </c>
      <c r="AQ48" s="260">
        <f t="shared" ca="1" si="20"/>
        <v>147.51</v>
      </c>
      <c r="AR48" s="260">
        <f t="shared" ca="1" si="20"/>
        <v>98.34</v>
      </c>
      <c r="AS48" s="261">
        <f t="shared" ca="1" si="20"/>
        <v>0</v>
      </c>
      <c r="AT48" s="260">
        <f t="shared" ca="1" si="20"/>
        <v>0</v>
      </c>
      <c r="AU48" s="262">
        <f t="shared" ca="1" si="20"/>
        <v>0</v>
      </c>
      <c r="AV48" s="261">
        <f t="shared" ca="1" si="20"/>
        <v>0</v>
      </c>
      <c r="AW48" s="260">
        <f t="shared" ca="1" si="20"/>
        <v>0</v>
      </c>
      <c r="AX48" s="260">
        <f t="shared" ca="1" si="20"/>
        <v>0</v>
      </c>
      <c r="AY48" s="260">
        <f t="shared" ca="1" si="20"/>
        <v>0</v>
      </c>
      <c r="AZ48" s="260">
        <f t="shared" ca="1" si="20"/>
        <v>0</v>
      </c>
      <c r="BA48" s="262">
        <f t="shared" ca="1" si="20"/>
        <v>0</v>
      </c>
      <c r="BB48" s="260">
        <f t="shared" ca="1" si="20"/>
        <v>0</v>
      </c>
      <c r="BC48" s="260">
        <f t="shared" ca="1" si="20"/>
        <v>0</v>
      </c>
      <c r="BD48" s="260">
        <f t="shared" ca="1" si="20"/>
        <v>0</v>
      </c>
      <c r="BE48" s="260">
        <f t="shared" ca="1" si="20"/>
        <v>0</v>
      </c>
      <c r="BF48" s="260">
        <f t="shared" ca="1" si="20"/>
        <v>0</v>
      </c>
      <c r="BG48" s="261">
        <f t="shared" ca="1" si="20"/>
        <v>0</v>
      </c>
      <c r="BH48" s="260">
        <f t="shared" ca="1" si="20"/>
        <v>0</v>
      </c>
      <c r="BI48" s="264">
        <f t="shared" ca="1" si="20"/>
        <v>0</v>
      </c>
      <c r="BJ48" s="260">
        <f t="shared" ca="1" si="20"/>
        <v>0</v>
      </c>
      <c r="BK48" s="266"/>
      <c r="BL48" s="261"/>
      <c r="BM48" s="261"/>
      <c r="BN48" s="260">
        <f ca="1">$E48-SUM($F48:BM48)</f>
        <v>0</v>
      </c>
      <c r="BO48" s="264"/>
      <c r="BP48" s="260"/>
      <c r="BQ48" s="262"/>
      <c r="BR48" s="260"/>
      <c r="BS48" s="260"/>
      <c r="BT48" s="262"/>
      <c r="BU48" s="264"/>
      <c r="BV48" s="261"/>
      <c r="BW48" s="261"/>
      <c r="BX48" s="261"/>
      <c r="BY48" s="149">
        <f t="shared" ca="1" si="17"/>
        <v>4917.0000000000018</v>
      </c>
      <c r="BZ48" s="130"/>
      <c r="CA48" s="157">
        <f t="shared" ca="1" si="5"/>
        <v>0</v>
      </c>
      <c r="CB48" s="132">
        <f>손익!AU36</f>
        <v>9.0909090909090912E-2</v>
      </c>
    </row>
    <row r="49" spans="1:80">
      <c r="A49" s="294"/>
      <c r="B49" s="1749"/>
      <c r="C49" s="1752" t="str">
        <f>손익!U37</f>
        <v xml:space="preserve"> 분양대행수수료 (근생)</v>
      </c>
      <c r="D49" s="1753"/>
      <c r="E49" s="258">
        <f>SUM(손익!AR37:AS37)/1000</f>
        <v>1761.1</v>
      </c>
      <c r="F49" s="288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6"/>
      <c r="S49" s="287"/>
      <c r="T49" s="262"/>
      <c r="U49" s="290"/>
      <c r="V49" s="260"/>
      <c r="W49" s="264"/>
      <c r="X49" s="261"/>
      <c r="Y49" s="284"/>
      <c r="Z49" s="266"/>
      <c r="AA49" s="262">
        <f t="shared" ref="AA49:BJ49" ca="1" si="21">$E$49*Z19</f>
        <v>0</v>
      </c>
      <c r="AB49" s="260">
        <f t="shared" ca="1" si="21"/>
        <v>0</v>
      </c>
      <c r="AC49" s="260">
        <f t="shared" ca="1" si="21"/>
        <v>0</v>
      </c>
      <c r="AD49" s="260">
        <f t="shared" ca="1" si="21"/>
        <v>0</v>
      </c>
      <c r="AE49" s="260">
        <f t="shared" ca="1" si="21"/>
        <v>0</v>
      </c>
      <c r="AF49" s="260">
        <f t="shared" ca="1" si="21"/>
        <v>0</v>
      </c>
      <c r="AG49" s="260">
        <f t="shared" ca="1" si="21"/>
        <v>352.22</v>
      </c>
      <c r="AH49" s="260">
        <f t="shared" ca="1" si="21"/>
        <v>88.055000000000007</v>
      </c>
      <c r="AI49" s="260">
        <f t="shared" ca="1" si="21"/>
        <v>88.055000000000007</v>
      </c>
      <c r="AJ49" s="260">
        <f t="shared" ca="1" si="21"/>
        <v>88.055000000000007</v>
      </c>
      <c r="AK49" s="260">
        <f t="shared" ca="1" si="21"/>
        <v>88.055000000000007</v>
      </c>
      <c r="AL49" s="260">
        <f t="shared" ca="1" si="21"/>
        <v>88.055000000000007</v>
      </c>
      <c r="AM49" s="260">
        <f t="shared" ca="1" si="21"/>
        <v>88.055000000000007</v>
      </c>
      <c r="AN49" s="260">
        <f t="shared" ca="1" si="21"/>
        <v>88.055000000000007</v>
      </c>
      <c r="AO49" s="260">
        <f t="shared" ca="1" si="21"/>
        <v>88.055000000000007</v>
      </c>
      <c r="AP49" s="260">
        <f t="shared" ca="1" si="21"/>
        <v>88.055000000000007</v>
      </c>
      <c r="AQ49" s="260">
        <f t="shared" ca="1" si="21"/>
        <v>52.832999999999998</v>
      </c>
      <c r="AR49" s="260">
        <f t="shared" ca="1" si="21"/>
        <v>35.222000000000001</v>
      </c>
      <c r="AS49" s="261">
        <f t="shared" ca="1" si="21"/>
        <v>0</v>
      </c>
      <c r="AT49" s="260">
        <f t="shared" ca="1" si="21"/>
        <v>0</v>
      </c>
      <c r="AU49" s="262">
        <f t="shared" ca="1" si="21"/>
        <v>0</v>
      </c>
      <c r="AV49" s="261">
        <f t="shared" ca="1" si="21"/>
        <v>0</v>
      </c>
      <c r="AW49" s="260">
        <f t="shared" ca="1" si="21"/>
        <v>0</v>
      </c>
      <c r="AX49" s="260">
        <f t="shared" ca="1" si="21"/>
        <v>0</v>
      </c>
      <c r="AY49" s="260">
        <f t="shared" ca="1" si="21"/>
        <v>0</v>
      </c>
      <c r="AZ49" s="260">
        <f t="shared" ca="1" si="21"/>
        <v>0</v>
      </c>
      <c r="BA49" s="262">
        <f t="shared" ca="1" si="21"/>
        <v>0</v>
      </c>
      <c r="BB49" s="260">
        <f t="shared" ca="1" si="21"/>
        <v>0</v>
      </c>
      <c r="BC49" s="260">
        <f t="shared" ca="1" si="21"/>
        <v>0</v>
      </c>
      <c r="BD49" s="260">
        <f t="shared" ca="1" si="21"/>
        <v>0</v>
      </c>
      <c r="BE49" s="260">
        <f t="shared" ca="1" si="21"/>
        <v>0</v>
      </c>
      <c r="BF49" s="260">
        <f t="shared" ca="1" si="21"/>
        <v>0</v>
      </c>
      <c r="BG49" s="261">
        <f t="shared" ca="1" si="21"/>
        <v>0</v>
      </c>
      <c r="BH49" s="260">
        <f t="shared" ca="1" si="21"/>
        <v>0</v>
      </c>
      <c r="BI49" s="264">
        <f t="shared" ca="1" si="21"/>
        <v>0</v>
      </c>
      <c r="BJ49" s="260">
        <f t="shared" ca="1" si="21"/>
        <v>0</v>
      </c>
      <c r="BK49" s="266"/>
      <c r="BL49" s="261"/>
      <c r="BM49" s="261"/>
      <c r="BN49" s="260">
        <f ca="1">$E49-SUM($F49:BM49)</f>
        <v>528.32999999999947</v>
      </c>
      <c r="BO49" s="264"/>
      <c r="BP49" s="260"/>
      <c r="BQ49" s="262"/>
      <c r="BR49" s="260"/>
      <c r="BS49" s="260"/>
      <c r="BT49" s="262"/>
      <c r="BU49" s="264"/>
      <c r="BV49" s="261"/>
      <c r="BW49" s="261"/>
      <c r="BX49" s="261"/>
      <c r="BY49" s="149">
        <f t="shared" ca="1" si="17"/>
        <v>1761.1</v>
      </c>
      <c r="BZ49" s="130"/>
      <c r="CA49" s="157">
        <f t="shared" ca="1" si="5"/>
        <v>0</v>
      </c>
      <c r="CB49" s="132">
        <f>손익!AU37</f>
        <v>9.0909090909090912E-2</v>
      </c>
    </row>
    <row r="50" spans="1:80">
      <c r="A50" s="294"/>
      <c r="B50" s="1749"/>
      <c r="C50" s="1752" t="str">
        <f>손익!U38</f>
        <v xml:space="preserve"> 광고홍보 판촉비</v>
      </c>
      <c r="D50" s="1753"/>
      <c r="E50" s="258">
        <f>SUM(손익!AR38:AS38)/1000</f>
        <v>6930</v>
      </c>
      <c r="F50" s="288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6"/>
      <c r="S50" s="287"/>
      <c r="T50" s="262"/>
      <c r="U50" s="290"/>
      <c r="V50" s="260"/>
      <c r="W50" s="264"/>
      <c r="X50" s="261"/>
      <c r="Y50" s="284"/>
      <c r="Z50" s="266"/>
      <c r="AA50" s="262">
        <f ca="1">($E$50*50%/(손익!$M$5))+($E$50*50%*(Z6-Y6))</f>
        <v>701.9120009836945</v>
      </c>
      <c r="AB50" s="260">
        <f ca="1">($E$50*50%/(손익!$M$5))+($E$50*50%*(AA6-Z6))</f>
        <v>397.78032481617163</v>
      </c>
      <c r="AC50" s="260">
        <f ca="1">($E$50*50%/(손익!$M$5))+($E$50*50%*(AB6-AA6))</f>
        <v>195.02587403782286</v>
      </c>
      <c r="AD50" s="260">
        <f ca="1">($E$50*50%/(손익!$M$5))+($E$50*50%*(AC6-AB6))</f>
        <v>195.02587403782306</v>
      </c>
      <c r="AE50" s="260">
        <f ca="1">($E$50*50%/(손익!$M$5))+($E$50*50%*(AD6-AC6))</f>
        <v>195.02587403782306</v>
      </c>
      <c r="AF50" s="260">
        <f ca="1">($E$50*50%/(손익!$M$5))+($E$50*50%*(AE6-AD6))</f>
        <v>195.02587403782306</v>
      </c>
      <c r="AG50" s="260">
        <f ca="1">($E$50*50%/(손익!$M$5))+($E$50*50%*(AF6-AE6))</f>
        <v>822.00351588231388</v>
      </c>
      <c r="AH50" s="260">
        <f ca="1">($E$50*50%/(손익!$M$5))+($E$50*50%*(AG6-AF6))</f>
        <v>353.02690301193138</v>
      </c>
      <c r="AI50" s="260">
        <f ca="1">($E$50*50%/(손익!$M$5))+($E$50*50%*(AH6-AG6))</f>
        <v>226.34775849297895</v>
      </c>
      <c r="AJ50" s="260">
        <f ca="1">($E$50*50%/(손익!$M$5))+($E$50*50%*(AI6-AH6))</f>
        <v>226.34775849297895</v>
      </c>
      <c r="AK50" s="260">
        <f ca="1">($E$50*50%/(손익!$M$5))+($E$50*50%*(AJ6-AI6))</f>
        <v>226.34775849297895</v>
      </c>
      <c r="AL50" s="260">
        <f ca="1">($E$50*50%/(손익!$M$5))+($E$50*50%*(AK6-AJ6))</f>
        <v>226.34775849297895</v>
      </c>
      <c r="AM50" s="260">
        <f ca="1">($E$50*50%/(손익!$M$5))+($E$50*50%*(AL6-AK6))</f>
        <v>201.01192958918847</v>
      </c>
      <c r="AN50" s="260">
        <f ca="1">($E$50*50%/(손익!$M$5))+($E$50*50%*(AM6-AL6))</f>
        <v>201.01192958918847</v>
      </c>
      <c r="AO50" s="260">
        <f ca="1">($E$50*50%/(손익!$M$5))+($E$50*50%*(AN6-AM6))</f>
        <v>201.01192958918847</v>
      </c>
      <c r="AP50" s="260">
        <f ca="1">($E$50*50%/(손익!$M$5))+($E$50*50%*(AO6-AN6))</f>
        <v>188.34401513729301</v>
      </c>
      <c r="AQ50" s="260">
        <f ca="1">($E$50*50%/(손익!$M$5))+($E$50*50%*(AP6-AO6))</f>
        <v>184.93073419675329</v>
      </c>
      <c r="AR50" s="260">
        <f ca="1">($E$50*50%/(손익!$M$5))+($E$50*50%*(AQ6-AP6))</f>
        <v>162.94864864864871</v>
      </c>
      <c r="AS50" s="261">
        <f ca="1">($E$50*50%/(손익!$M$5))+($E$50*50%*(AR6-AQ6))</f>
        <v>93.648648648648646</v>
      </c>
      <c r="AT50" s="260">
        <f ca="1">($E$50*50%/(손익!$M$5))+($E$50*50%*(AS6-AR6))</f>
        <v>93.648648648648646</v>
      </c>
      <c r="AU50" s="262">
        <f ca="1">($E$50*50%/(손익!$M$5))+($E$50*50%*(AT6-AS6))</f>
        <v>93.648648648648646</v>
      </c>
      <c r="AV50" s="261">
        <f ca="1">($E$50*50%/(손익!$M$5))+($E$50*50%*(AU6-AT6))</f>
        <v>93.648648648648646</v>
      </c>
      <c r="AW50" s="260">
        <f ca="1">($E$50*50%/(손익!$M$5))+($E$50*50%*(AV6-AU6))</f>
        <v>93.648648648648646</v>
      </c>
      <c r="AX50" s="260"/>
      <c r="AY50" s="260"/>
      <c r="AZ50" s="260"/>
      <c r="BA50" s="262"/>
      <c r="BB50" s="260"/>
      <c r="BC50" s="260"/>
      <c r="BD50" s="260"/>
      <c r="BE50" s="260"/>
      <c r="BF50" s="260"/>
      <c r="BG50" s="261"/>
      <c r="BH50" s="260"/>
      <c r="BI50" s="264"/>
      <c r="BJ50" s="260"/>
      <c r="BK50" s="266"/>
      <c r="BL50" s="261"/>
      <c r="BM50" s="261"/>
      <c r="BN50" s="260">
        <f ca="1">$E50-SUM($F50:BM50)</f>
        <v>1362.2802951891799</v>
      </c>
      <c r="BO50" s="264"/>
      <c r="BP50" s="260"/>
      <c r="BQ50" s="262"/>
      <c r="BR50" s="260"/>
      <c r="BS50" s="260"/>
      <c r="BT50" s="262"/>
      <c r="BU50" s="261"/>
      <c r="BV50" s="260"/>
      <c r="BW50" s="261"/>
      <c r="BX50" s="261"/>
      <c r="BY50" s="149">
        <f t="shared" ca="1" si="17"/>
        <v>6930</v>
      </c>
      <c r="BZ50" s="130"/>
      <c r="CA50" s="157">
        <f t="shared" ca="1" si="5"/>
        <v>0</v>
      </c>
      <c r="CB50" s="132">
        <f>손익!AU38</f>
        <v>9.0909090909090912E-2</v>
      </c>
    </row>
    <row r="51" spans="1:80">
      <c r="A51" s="294"/>
      <c r="B51" s="1750" t="str">
        <f>손익!U41</f>
        <v xml:space="preserve"> 소방시설 공사비</v>
      </c>
      <c r="C51" s="1754"/>
      <c r="D51" s="1751"/>
      <c r="E51" s="258">
        <f>SUM(손익!AR41:AS41)/1000</f>
        <v>10141.647192960754</v>
      </c>
      <c r="F51" s="286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6"/>
      <c r="S51" s="287"/>
      <c r="T51" s="262"/>
      <c r="U51" s="290"/>
      <c r="V51" s="260"/>
      <c r="W51" s="264"/>
      <c r="X51" s="261"/>
      <c r="Y51" s="284"/>
      <c r="Z51" s="266"/>
      <c r="AA51" s="262">
        <f>$E$51*SUM(Y91:Z91)</f>
        <v>81.133177543686031</v>
      </c>
      <c r="AB51" s="260"/>
      <c r="AC51" s="260">
        <f>$E$51*SUM(AA91:AB91)</f>
        <v>166.3230139645564</v>
      </c>
      <c r="AD51" s="260"/>
      <c r="AE51" s="260">
        <f>$E$51*SUM(AC91:AD91)</f>
        <v>231.22955599950521</v>
      </c>
      <c r="AF51" s="260"/>
      <c r="AG51" s="260">
        <f>$E$51*SUM(AE91:AF91)</f>
        <v>308.30607466600691</v>
      </c>
      <c r="AH51" s="260"/>
      <c r="AI51" s="260">
        <f>$E$51*SUM(AG91:AH91)</f>
        <v>365.09929894658711</v>
      </c>
      <c r="AJ51" s="260"/>
      <c r="AK51" s="260">
        <f>$E$51*SUM(AI91:AJ91)</f>
        <v>381.32593445532433</v>
      </c>
      <c r="AL51" s="260"/>
      <c r="AM51" s="260">
        <f>$E$51*SUM(AK91:AL91)</f>
        <v>411.75087603420661</v>
      </c>
      <c r="AN51" s="260"/>
      <c r="AO51" s="260">
        <f>$E$51*SUM(AM91:AN91)</f>
        <v>419.86419378857522</v>
      </c>
      <c r="AP51" s="260"/>
      <c r="AQ51" s="260">
        <f>$E$51*SUM(AO91:AP91)</f>
        <v>446.23247649027314</v>
      </c>
      <c r="AR51" s="260"/>
      <c r="AS51" s="260">
        <f>$E$51*SUM(AQ91:AR91)</f>
        <v>529.39398347255133</v>
      </c>
      <c r="AT51" s="260"/>
      <c r="AU51" s="260">
        <f>$E$51*SUM(AS91:AT91)</f>
        <v>600.38551382327671</v>
      </c>
      <c r="AV51" s="261"/>
      <c r="AW51" s="260">
        <f>$E$51*SUM(AU91:AV91)</f>
        <v>638.92377315652755</v>
      </c>
      <c r="AX51" s="260"/>
      <c r="AY51" s="260">
        <f>$E$51*SUM(AW91:AX91)</f>
        <v>662.24956170033727</v>
      </c>
      <c r="AZ51" s="260"/>
      <c r="BA51" s="260">
        <f>$E$51*SUM(AY91:AZ91)</f>
        <v>686.58951496344321</v>
      </c>
      <c r="BB51" s="260"/>
      <c r="BC51" s="260">
        <f>$E$51*SUM(BA91:BB91)</f>
        <v>705.8586446300684</v>
      </c>
      <c r="BD51" s="260"/>
      <c r="BE51" s="260">
        <f>$E$51*SUM(BC91:BD91)</f>
        <v>766.70852778783308</v>
      </c>
      <c r="BF51" s="260"/>
      <c r="BG51" s="260">
        <f>$E$51*SUM(BE91:BF91)</f>
        <v>834.65756398067003</v>
      </c>
      <c r="BH51" s="260"/>
      <c r="BI51" s="261">
        <f>$E$51*SUM(BG91:BH91)</f>
        <v>858.99751724377586</v>
      </c>
      <c r="BJ51" s="260"/>
      <c r="BK51" s="266">
        <f>$E51-SUM($F51:BJ51)</f>
        <v>1046.6179903135508</v>
      </c>
      <c r="BL51" s="261"/>
      <c r="BM51" s="261"/>
      <c r="BN51" s="260">
        <f>$E51-SUM($F51:BM51)</f>
        <v>0</v>
      </c>
      <c r="BO51" s="264"/>
      <c r="BP51" s="260"/>
      <c r="BQ51" s="262"/>
      <c r="BR51" s="260"/>
      <c r="BS51" s="260"/>
      <c r="BT51" s="262"/>
      <c r="BU51" s="264"/>
      <c r="BV51" s="261"/>
      <c r="BW51" s="261"/>
      <c r="BX51" s="261"/>
      <c r="BY51" s="149">
        <f t="shared" si="17"/>
        <v>10141.647192960754</v>
      </c>
      <c r="BZ51" s="130"/>
      <c r="CA51" s="157">
        <f t="shared" si="5"/>
        <v>0</v>
      </c>
      <c r="CB51" s="132">
        <f>손익!AU41</f>
        <v>4.7628117827449259E-2</v>
      </c>
    </row>
    <row r="52" spans="1:80">
      <c r="A52" s="294"/>
      <c r="B52" s="1750" t="str">
        <f>손익!U42</f>
        <v xml:space="preserve"> 커뮤니티시설 공사비</v>
      </c>
      <c r="C52" s="1754"/>
      <c r="D52" s="1751"/>
      <c r="E52" s="258">
        <f>SUM(손익!AR42:AS42)/1000</f>
        <v>0</v>
      </c>
      <c r="F52" s="286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6"/>
      <c r="S52" s="287"/>
      <c r="T52" s="262"/>
      <c r="U52" s="290"/>
      <c r="V52" s="260"/>
      <c r="W52" s="264"/>
      <c r="X52" s="261"/>
      <c r="Y52" s="284"/>
      <c r="Z52" s="266"/>
      <c r="AA52" s="262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0"/>
      <c r="AO52" s="260"/>
      <c r="AP52" s="260"/>
      <c r="AQ52" s="260"/>
      <c r="AR52" s="260"/>
      <c r="AS52" s="261"/>
      <c r="AT52" s="260"/>
      <c r="AU52" s="262"/>
      <c r="AV52" s="261"/>
      <c r="AW52" s="260"/>
      <c r="AX52" s="260"/>
      <c r="AY52" s="260"/>
      <c r="AZ52" s="260"/>
      <c r="BA52" s="262"/>
      <c r="BB52" s="260"/>
      <c r="BC52" s="260"/>
      <c r="BD52" s="260"/>
      <c r="BE52" s="260"/>
      <c r="BF52" s="260"/>
      <c r="BG52" s="260"/>
      <c r="BH52" s="260"/>
      <c r="BI52" s="261"/>
      <c r="BJ52" s="260"/>
      <c r="BK52" s="266"/>
      <c r="BL52" s="261"/>
      <c r="BM52" s="261"/>
      <c r="BN52" s="260">
        <f>$E52-SUM($G52:BM52)</f>
        <v>0</v>
      </c>
      <c r="BO52" s="264"/>
      <c r="BP52" s="260"/>
      <c r="BQ52" s="264"/>
      <c r="BR52" s="260"/>
      <c r="BS52" s="260"/>
      <c r="BT52" s="262"/>
      <c r="BU52" s="264"/>
      <c r="BV52" s="261"/>
      <c r="BW52" s="261"/>
      <c r="BX52" s="261"/>
      <c r="BY52" s="149">
        <f t="shared" si="17"/>
        <v>0</v>
      </c>
      <c r="BZ52" s="130"/>
      <c r="CA52" s="157">
        <f t="shared" si="5"/>
        <v>0</v>
      </c>
      <c r="CB52" s="132">
        <f>손익!AU42</f>
        <v>0</v>
      </c>
    </row>
    <row r="53" spans="1:80">
      <c r="A53" s="146"/>
      <c r="B53" s="1750" t="str">
        <f>손익!U43</f>
        <v xml:space="preserve"> 미술장식품비</v>
      </c>
      <c r="C53" s="1754"/>
      <c r="D53" s="1751"/>
      <c r="E53" s="258">
        <f>SUM(손익!AR43:AS43)/1000</f>
        <v>822</v>
      </c>
      <c r="F53" s="286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6"/>
      <c r="S53" s="287"/>
      <c r="T53" s="262"/>
      <c r="U53" s="290"/>
      <c r="V53" s="260"/>
      <c r="W53" s="264"/>
      <c r="X53" s="261"/>
      <c r="Y53" s="284"/>
      <c r="Z53" s="266"/>
      <c r="AA53" s="262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0"/>
      <c r="AP53" s="260"/>
      <c r="AQ53" s="260"/>
      <c r="AR53" s="260"/>
      <c r="AS53" s="261"/>
      <c r="AT53" s="260"/>
      <c r="AU53" s="262"/>
      <c r="AV53" s="261"/>
      <c r="AW53" s="260"/>
      <c r="AX53" s="260"/>
      <c r="AY53" s="260"/>
      <c r="AZ53" s="260">
        <f>$E$53*50%</f>
        <v>411</v>
      </c>
      <c r="BA53" s="262"/>
      <c r="BB53" s="260"/>
      <c r="BC53" s="260"/>
      <c r="BD53" s="260"/>
      <c r="BE53" s="260"/>
      <c r="BF53" s="260"/>
      <c r="BG53" s="261"/>
      <c r="BH53" s="261"/>
      <c r="BI53" s="261"/>
      <c r="BJ53" s="260"/>
      <c r="BK53" s="266">
        <f>$E53-SUM($G53:BJ53)</f>
        <v>411</v>
      </c>
      <c r="BL53" s="261"/>
      <c r="BM53" s="261"/>
      <c r="BN53" s="260">
        <f>$E53-SUM($G53:BM53)</f>
        <v>0</v>
      </c>
      <c r="BO53" s="264"/>
      <c r="BP53" s="260"/>
      <c r="BQ53" s="262"/>
      <c r="BR53" s="260"/>
      <c r="BS53" s="260"/>
      <c r="BT53" s="262"/>
      <c r="BU53" s="264"/>
      <c r="BV53" s="261"/>
      <c r="BW53" s="261"/>
      <c r="BX53" s="261"/>
      <c r="BY53" s="149">
        <f t="shared" si="17"/>
        <v>822</v>
      </c>
      <c r="BZ53" s="130"/>
      <c r="CA53" s="157">
        <f t="shared" si="5"/>
        <v>0</v>
      </c>
      <c r="CB53" s="132">
        <f>손익!AU43</f>
        <v>0</v>
      </c>
    </row>
    <row r="54" spans="1:80" hidden="1">
      <c r="A54" s="146"/>
      <c r="B54" s="1750" t="str">
        <f>손익!U44</f>
        <v xml:space="preserve"> 철거 공사비</v>
      </c>
      <c r="C54" s="1754"/>
      <c r="D54" s="1751"/>
      <c r="E54" s="258">
        <f>SUM(손익!AR44:AS44)/1000</f>
        <v>0</v>
      </c>
      <c r="F54" s="286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6"/>
      <c r="S54" s="287"/>
      <c r="T54" s="262"/>
      <c r="U54" s="290"/>
      <c r="V54" s="260"/>
      <c r="W54" s="264"/>
      <c r="X54" s="261"/>
      <c r="Y54" s="284">
        <f>$E54-SUM($F54:X54)</f>
        <v>0</v>
      </c>
      <c r="Z54" s="266"/>
      <c r="AA54" s="262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1"/>
      <c r="AT54" s="260"/>
      <c r="AU54" s="262"/>
      <c r="AV54" s="261"/>
      <c r="AW54" s="260"/>
      <c r="AX54" s="260"/>
      <c r="AY54" s="260"/>
      <c r="AZ54" s="260"/>
      <c r="BA54" s="260"/>
      <c r="BB54" s="260"/>
      <c r="BC54" s="260"/>
      <c r="BD54" s="261"/>
      <c r="BE54" s="260"/>
      <c r="BF54" s="260"/>
      <c r="BG54" s="260"/>
      <c r="BH54" s="260"/>
      <c r="BI54" s="261"/>
      <c r="BJ54" s="260"/>
      <c r="BK54" s="266"/>
      <c r="BL54" s="261"/>
      <c r="BM54" s="261"/>
      <c r="BN54" s="260">
        <f>$E54-SUM($F54:BM54)</f>
        <v>0</v>
      </c>
      <c r="BO54" s="264"/>
      <c r="BP54" s="260"/>
      <c r="BQ54" s="262"/>
      <c r="BR54" s="260"/>
      <c r="BS54" s="260"/>
      <c r="BT54" s="262"/>
      <c r="BU54" s="264"/>
      <c r="BV54" s="261"/>
      <c r="BW54" s="261"/>
      <c r="BX54" s="261"/>
      <c r="BY54" s="149">
        <f t="shared" si="17"/>
        <v>0</v>
      </c>
      <c r="BZ54" s="130"/>
      <c r="CA54" s="157">
        <f t="shared" si="5"/>
        <v>0</v>
      </c>
      <c r="CB54" s="132">
        <f>손익!AU44</f>
        <v>0</v>
      </c>
    </row>
    <row r="55" spans="1:80" hidden="1">
      <c r="A55" s="146"/>
      <c r="B55" s="1750" t="str">
        <f>손익!U45</f>
        <v xml:space="preserve"> 인허가 조건 공사비</v>
      </c>
      <c r="C55" s="1754"/>
      <c r="D55" s="1751"/>
      <c r="E55" s="258">
        <f>SUM(손익!AR45:AS45)/1000</f>
        <v>550</v>
      </c>
      <c r="F55" s="286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6"/>
      <c r="S55" s="287"/>
      <c r="T55" s="262"/>
      <c r="U55" s="290"/>
      <c r="V55" s="260"/>
      <c r="W55" s="264"/>
      <c r="X55" s="261"/>
      <c r="Y55" s="284"/>
      <c r="Z55" s="266"/>
      <c r="AA55" s="262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  <c r="AL55" s="260"/>
      <c r="AM55" s="260"/>
      <c r="AN55" s="260"/>
      <c r="AO55" s="260"/>
      <c r="AP55" s="260"/>
      <c r="AQ55" s="260"/>
      <c r="AR55" s="260"/>
      <c r="AS55" s="261"/>
      <c r="AT55" s="260"/>
      <c r="AU55" s="262"/>
      <c r="AV55" s="261"/>
      <c r="AW55" s="260"/>
      <c r="AX55" s="260"/>
      <c r="AY55" s="260">
        <f>$E$55/3</f>
        <v>183.33333333333334</v>
      </c>
      <c r="AZ55" s="260"/>
      <c r="BA55" s="260"/>
      <c r="BB55" s="260"/>
      <c r="BC55" s="260"/>
      <c r="BD55" s="261"/>
      <c r="BE55" s="260">
        <f>AY55</f>
        <v>183.33333333333334</v>
      </c>
      <c r="BF55" s="260"/>
      <c r="BG55" s="260"/>
      <c r="BH55" s="260"/>
      <c r="BI55" s="261"/>
      <c r="BJ55" s="260"/>
      <c r="BK55" s="266"/>
      <c r="BL55" s="261"/>
      <c r="BM55" s="261"/>
      <c r="BN55" s="260">
        <f>$E55-SUM($F55:BM55)</f>
        <v>183.33333333333331</v>
      </c>
      <c r="BO55" s="264"/>
      <c r="BP55" s="260"/>
      <c r="BQ55" s="262"/>
      <c r="BR55" s="260"/>
      <c r="BS55" s="260"/>
      <c r="BT55" s="262"/>
      <c r="BU55" s="264"/>
      <c r="BV55" s="261"/>
      <c r="BW55" s="261"/>
      <c r="BX55" s="261"/>
      <c r="BY55" s="149">
        <f t="shared" si="17"/>
        <v>550</v>
      </c>
      <c r="BZ55" s="130"/>
      <c r="CA55" s="157">
        <f t="shared" si="5"/>
        <v>0</v>
      </c>
      <c r="CB55" s="132">
        <f>손익!AU45</f>
        <v>9.0909090909090912E-2</v>
      </c>
    </row>
    <row r="56" spans="1:80">
      <c r="A56" s="146"/>
      <c r="B56" s="1750" t="str">
        <f>손익!U47</f>
        <v xml:space="preserve"> 분양보증수수료</v>
      </c>
      <c r="C56" s="1754"/>
      <c r="D56" s="1751"/>
      <c r="E56" s="258">
        <f>SUM(손익!AR47:AS47)/1000</f>
        <v>1888</v>
      </c>
      <c r="F56" s="288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6"/>
      <c r="S56" s="287"/>
      <c r="T56" s="262"/>
      <c r="U56" s="290"/>
      <c r="V56" s="260"/>
      <c r="W56" s="272"/>
      <c r="X56" s="271"/>
      <c r="Y56" s="284"/>
      <c r="Z56" s="270">
        <f>$E$56</f>
        <v>1888</v>
      </c>
      <c r="AA56" s="273"/>
      <c r="AB56" s="260"/>
      <c r="AC56" s="260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  <c r="AR56" s="269"/>
      <c r="AS56" s="261"/>
      <c r="AT56" s="269"/>
      <c r="AU56" s="269"/>
      <c r="AV56" s="271"/>
      <c r="AW56" s="269"/>
      <c r="AX56" s="269"/>
      <c r="AY56" s="269"/>
      <c r="AZ56" s="269"/>
      <c r="BA56" s="269"/>
      <c r="BB56" s="271"/>
      <c r="BC56" s="269"/>
      <c r="BD56" s="269"/>
      <c r="BE56" s="269"/>
      <c r="BF56" s="269"/>
      <c r="BG56" s="269"/>
      <c r="BH56" s="260"/>
      <c r="BI56" s="271"/>
      <c r="BJ56" s="260"/>
      <c r="BK56" s="266"/>
      <c r="BL56" s="261"/>
      <c r="BM56" s="261"/>
      <c r="BN56" s="260">
        <f>$E56-SUM($F56:BM56)</f>
        <v>0</v>
      </c>
      <c r="BO56" s="264"/>
      <c r="BP56" s="260"/>
      <c r="BQ56" s="283"/>
      <c r="BR56" s="260"/>
      <c r="BS56" s="260"/>
      <c r="BT56" s="262"/>
      <c r="BU56" s="272"/>
      <c r="BV56" s="271"/>
      <c r="BW56" s="271"/>
      <c r="BX56" s="271"/>
      <c r="BY56" s="149">
        <f t="shared" si="17"/>
        <v>1888</v>
      </c>
      <c r="BZ56" s="130"/>
      <c r="CA56" s="157">
        <f t="shared" si="5"/>
        <v>0</v>
      </c>
      <c r="CB56" s="132">
        <f>손익!AU47</f>
        <v>0</v>
      </c>
    </row>
    <row r="57" spans="1:80">
      <c r="A57" s="146"/>
      <c r="B57" s="1750" t="str">
        <f>손익!U48</f>
        <v xml:space="preserve"> 금융수수료 (B/L)</v>
      </c>
      <c r="C57" s="1754"/>
      <c r="D57" s="1751"/>
      <c r="E57" s="258">
        <f>손익!AT48/1000</f>
        <v>1815</v>
      </c>
      <c r="F57" s="288"/>
      <c r="G57" s="287"/>
      <c r="H57" s="287"/>
      <c r="I57" s="287">
        <f>60*1.1</f>
        <v>66</v>
      </c>
      <c r="J57" s="287"/>
      <c r="K57" s="287"/>
      <c r="L57" s="287"/>
      <c r="M57" s="287"/>
      <c r="N57" s="287"/>
      <c r="O57" s="287"/>
      <c r="P57" s="287"/>
      <c r="Q57" s="287"/>
      <c r="R57" s="286"/>
      <c r="S57" s="287"/>
      <c r="T57" s="262"/>
      <c r="U57" s="290"/>
      <c r="V57" s="260"/>
      <c r="W57" s="272"/>
      <c r="X57" s="271"/>
      <c r="Y57" s="284"/>
      <c r="Z57" s="270"/>
      <c r="AA57" s="273"/>
      <c r="AB57" s="269"/>
      <c r="AC57" s="260"/>
      <c r="AD57" s="269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0"/>
      <c r="AP57" s="269"/>
      <c r="AQ57" s="269"/>
      <c r="AR57" s="269"/>
      <c r="AS57" s="261"/>
      <c r="AT57" s="260"/>
      <c r="AU57" s="273"/>
      <c r="AV57" s="271"/>
      <c r="AW57" s="260"/>
      <c r="AX57" s="269"/>
      <c r="AY57" s="269"/>
      <c r="AZ57" s="269"/>
      <c r="BA57" s="273"/>
      <c r="BB57" s="271"/>
      <c r="BC57" s="269"/>
      <c r="BD57" s="269"/>
      <c r="BE57" s="269"/>
      <c r="BF57" s="271"/>
      <c r="BG57" s="271"/>
      <c r="BH57" s="260"/>
      <c r="BI57" s="272"/>
      <c r="BJ57" s="260"/>
      <c r="BK57" s="266"/>
      <c r="BL57" s="261"/>
      <c r="BM57" s="261"/>
      <c r="BN57" s="260">
        <f>$E57-SUM($F57:BM57)</f>
        <v>1749</v>
      </c>
      <c r="BO57" s="264"/>
      <c r="BP57" s="260"/>
      <c r="BQ57" s="262"/>
      <c r="BR57" s="260"/>
      <c r="BS57" s="260"/>
      <c r="BT57" s="262"/>
      <c r="BU57" s="272"/>
      <c r="BV57" s="271"/>
      <c r="BW57" s="271"/>
      <c r="BX57" s="271"/>
      <c r="BY57" s="149">
        <f t="shared" si="17"/>
        <v>1815</v>
      </c>
      <c r="BZ57" s="130"/>
      <c r="CA57" s="157">
        <f t="shared" si="5"/>
        <v>0</v>
      </c>
      <c r="CB57" s="132">
        <f>손익!AU48</f>
        <v>9.0909090909090912E-2</v>
      </c>
    </row>
    <row r="58" spans="1:80">
      <c r="A58" s="146"/>
      <c r="B58" s="1750" t="str">
        <f>손익!U49</f>
        <v xml:space="preserve"> 금융수수료 (P/F)</v>
      </c>
      <c r="C58" s="1754"/>
      <c r="D58" s="1751"/>
      <c r="E58" s="258">
        <f>손익!AT49/1000</f>
        <v>5247.85</v>
      </c>
      <c r="F58" s="288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6"/>
      <c r="S58" s="287"/>
      <c r="T58" s="262"/>
      <c r="U58" s="290">
        <f>$E$58-(20*3+5*3+5*3+7*3+7*3+7*3)*1.1</f>
        <v>5079.55</v>
      </c>
      <c r="V58" s="260"/>
      <c r="W58" s="264"/>
      <c r="X58" s="261"/>
      <c r="Y58" s="284"/>
      <c r="Z58" s="266"/>
      <c r="AA58" s="262"/>
      <c r="AB58" s="260"/>
      <c r="AC58" s="260"/>
      <c r="AD58" s="260"/>
      <c r="AE58" s="260"/>
      <c r="AF58" s="260"/>
      <c r="AG58" s="260">
        <f>(20+5+5+7+7+7)*1.1</f>
        <v>56.1</v>
      </c>
      <c r="AH58" s="2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  <c r="AS58" s="260">
        <f>(20+5+5+7+7+7)*1.1</f>
        <v>56.1</v>
      </c>
      <c r="AT58" s="260"/>
      <c r="AU58" s="260"/>
      <c r="AV58" s="260"/>
      <c r="AW58" s="260"/>
      <c r="AX58" s="260"/>
      <c r="AY58" s="260"/>
      <c r="AZ58" s="260"/>
      <c r="BA58" s="262"/>
      <c r="BB58" s="260"/>
      <c r="BC58" s="260"/>
      <c r="BD58" s="260"/>
      <c r="BE58" s="260">
        <f>(20+5+5+7+7+7)*1.1</f>
        <v>56.1</v>
      </c>
      <c r="BF58" s="260"/>
      <c r="BG58" s="260"/>
      <c r="BH58" s="260"/>
      <c r="BI58" s="261"/>
      <c r="BJ58" s="260"/>
      <c r="BK58" s="266"/>
      <c r="BL58" s="261"/>
      <c r="BM58" s="261"/>
      <c r="BN58" s="260">
        <f>$E58-SUM($F58:BM58)</f>
        <v>0</v>
      </c>
      <c r="BO58" s="264"/>
      <c r="BP58" s="260"/>
      <c r="BQ58" s="262"/>
      <c r="BR58" s="260"/>
      <c r="BS58" s="260"/>
      <c r="BT58" s="262"/>
      <c r="BU58" s="264"/>
      <c r="BV58" s="261"/>
      <c r="BW58" s="261"/>
      <c r="BX58" s="261"/>
      <c r="BY58" s="149">
        <f t="shared" si="17"/>
        <v>5247.8500000000013</v>
      </c>
      <c r="BZ58" s="130"/>
      <c r="CA58" s="157">
        <f t="shared" si="5"/>
        <v>0</v>
      </c>
      <c r="CB58" s="132">
        <f>손익!AU49</f>
        <v>2.9126213592233011E-2</v>
      </c>
    </row>
    <row r="59" spans="1:80">
      <c r="A59" s="146"/>
      <c r="B59" s="1750" t="str">
        <f>손익!U50</f>
        <v xml:space="preserve"> 신탁수수료</v>
      </c>
      <c r="C59" s="1754"/>
      <c r="D59" s="1751"/>
      <c r="E59" s="258">
        <f>SUM(손익!AR50:AS50)/1000</f>
        <v>420</v>
      </c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95"/>
      <c r="T59" s="262"/>
      <c r="U59" s="296">
        <v>80</v>
      </c>
      <c r="V59" s="260"/>
      <c r="W59" s="264"/>
      <c r="X59" s="261"/>
      <c r="Y59" s="284"/>
      <c r="Z59" s="266">
        <v>65</v>
      </c>
      <c r="AA59" s="262"/>
      <c r="AB59" s="260"/>
      <c r="AC59" s="260"/>
      <c r="AD59" s="260"/>
      <c r="AE59" s="260">
        <f>Z59</f>
        <v>65</v>
      </c>
      <c r="AF59" s="260"/>
      <c r="AG59" s="260"/>
      <c r="AH59" s="260"/>
      <c r="AI59" s="260"/>
      <c r="AJ59" s="260">
        <f>AE59</f>
        <v>65</v>
      </c>
      <c r="AK59" s="260"/>
      <c r="AL59" s="260"/>
      <c r="AM59" s="260"/>
      <c r="AN59" s="260"/>
      <c r="AO59" s="260">
        <f>AJ59</f>
        <v>65</v>
      </c>
      <c r="AP59" s="260"/>
      <c r="AQ59" s="260"/>
      <c r="AR59" s="260"/>
      <c r="AS59" s="261"/>
      <c r="AT59" s="260"/>
      <c r="AU59" s="262">
        <f>AO59</f>
        <v>65</v>
      </c>
      <c r="AV59" s="260"/>
      <c r="AW59" s="260"/>
      <c r="AX59" s="260"/>
      <c r="AY59" s="260"/>
      <c r="AZ59" s="260">
        <f>AU59</f>
        <v>65</v>
      </c>
      <c r="BA59" s="262"/>
      <c r="BB59" s="260"/>
      <c r="BC59" s="260"/>
      <c r="BD59" s="260"/>
      <c r="BE59" s="260">
        <f>AZ59</f>
        <v>65</v>
      </c>
      <c r="BF59" s="260"/>
      <c r="BG59" s="261"/>
      <c r="BH59" s="260"/>
      <c r="BI59" s="264"/>
      <c r="BJ59" s="259"/>
      <c r="BK59" s="297"/>
      <c r="BL59" s="261"/>
      <c r="BM59" s="261">
        <f>$E59-SUM($F59:BL59)</f>
        <v>-115</v>
      </c>
      <c r="BN59" s="259">
        <f>$E59-SUM($F59:BM59)</f>
        <v>0</v>
      </c>
      <c r="BO59" s="264"/>
      <c r="BP59" s="259"/>
      <c r="BQ59" s="262"/>
      <c r="BR59" s="260"/>
      <c r="BS59" s="260"/>
      <c r="BT59" s="262"/>
      <c r="BU59" s="264"/>
      <c r="BV59" s="261"/>
      <c r="BW59" s="261"/>
      <c r="BX59" s="261"/>
      <c r="BY59" s="149">
        <f t="shared" si="17"/>
        <v>420</v>
      </c>
      <c r="BZ59" s="130"/>
      <c r="CA59" s="157">
        <f t="shared" si="5"/>
        <v>0</v>
      </c>
      <c r="CB59" s="132">
        <f>손익!AU50</f>
        <v>0</v>
      </c>
    </row>
    <row r="60" spans="1:80">
      <c r="A60" s="158"/>
      <c r="B60" s="1750" t="str">
        <f>손익!U53</f>
        <v xml:space="preserve"> 보존등기비</v>
      </c>
      <c r="C60" s="1754"/>
      <c r="D60" s="1751"/>
      <c r="E60" s="258">
        <f ca="1">SUM(손익!AR53:AS53)/1000</f>
        <v>7723</v>
      </c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7"/>
      <c r="T60" s="262"/>
      <c r="U60" s="290"/>
      <c r="V60" s="260"/>
      <c r="W60" s="264"/>
      <c r="X60" s="261"/>
      <c r="Y60" s="284"/>
      <c r="Z60" s="266"/>
      <c r="AA60" s="262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  <c r="AP60" s="260"/>
      <c r="AQ60" s="260"/>
      <c r="AR60" s="260"/>
      <c r="AS60" s="261"/>
      <c r="AT60" s="260"/>
      <c r="AU60" s="262"/>
      <c r="AV60" s="261"/>
      <c r="AW60" s="260"/>
      <c r="AX60" s="260"/>
      <c r="AY60" s="260"/>
      <c r="AZ60" s="260"/>
      <c r="BA60" s="262"/>
      <c r="BB60" s="260"/>
      <c r="BC60" s="260"/>
      <c r="BD60" s="260"/>
      <c r="BE60" s="260"/>
      <c r="BF60" s="260"/>
      <c r="BG60" s="261"/>
      <c r="BH60" s="260"/>
      <c r="BI60" s="264"/>
      <c r="BJ60" s="260"/>
      <c r="BK60" s="266"/>
      <c r="BL60" s="261">
        <f ca="1">$E60-SUM($G60:BK60)</f>
        <v>7723</v>
      </c>
      <c r="BM60" s="261"/>
      <c r="BN60" s="260">
        <f ca="1">$E60-SUM($F60:BM60)</f>
        <v>0</v>
      </c>
      <c r="BO60" s="264"/>
      <c r="BP60" s="260"/>
      <c r="BQ60" s="262"/>
      <c r="BR60" s="261"/>
      <c r="BS60" s="260"/>
      <c r="BT60" s="262"/>
      <c r="BU60" s="264"/>
      <c r="BV60" s="261"/>
      <c r="BW60" s="261"/>
      <c r="BX60" s="261"/>
      <c r="BY60" s="149">
        <f t="shared" ca="1" si="17"/>
        <v>7723</v>
      </c>
      <c r="BZ60" s="130"/>
      <c r="CA60" s="157">
        <f t="shared" ca="1" si="5"/>
        <v>0</v>
      </c>
      <c r="CB60" s="132">
        <f ca="1">손익!AU53</f>
        <v>0</v>
      </c>
    </row>
    <row r="61" spans="1:80">
      <c r="A61" s="146"/>
      <c r="B61" s="1750" t="str">
        <f>손익!U54</f>
        <v xml:space="preserve"> 상하수도원인자 부담금</v>
      </c>
      <c r="C61" s="1754"/>
      <c r="D61" s="1751"/>
      <c r="E61" s="258">
        <f>SUM(손익!AR54:AS54)/1000</f>
        <v>1430</v>
      </c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7"/>
      <c r="T61" s="262"/>
      <c r="U61" s="290"/>
      <c r="V61" s="260"/>
      <c r="W61" s="264"/>
      <c r="X61" s="261"/>
      <c r="Y61" s="284"/>
      <c r="Z61" s="266"/>
      <c r="AA61" s="262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  <c r="AL61" s="260"/>
      <c r="AM61" s="260"/>
      <c r="AN61" s="260"/>
      <c r="AO61" s="260"/>
      <c r="AP61" s="260"/>
      <c r="AQ61" s="260"/>
      <c r="AR61" s="260"/>
      <c r="AS61" s="261"/>
      <c r="AT61" s="260"/>
      <c r="AU61" s="262"/>
      <c r="AV61" s="261"/>
      <c r="AW61" s="260"/>
      <c r="AX61" s="260"/>
      <c r="AY61" s="260"/>
      <c r="AZ61" s="260">
        <f>$E$61/3</f>
        <v>476.66666666666669</v>
      </c>
      <c r="BA61" s="262"/>
      <c r="BB61" s="260"/>
      <c r="BC61" s="260"/>
      <c r="BD61" s="260"/>
      <c r="BE61" s="264">
        <f>$E$61/3</f>
        <v>476.66666666666669</v>
      </c>
      <c r="BF61" s="260"/>
      <c r="BG61" s="261"/>
      <c r="BH61" s="260"/>
      <c r="BI61" s="264"/>
      <c r="BJ61" s="260"/>
      <c r="BK61" s="266">
        <f>$E61-SUM($G61:BJ61)</f>
        <v>476.66666666666663</v>
      </c>
      <c r="BL61" s="261"/>
      <c r="BM61" s="261"/>
      <c r="BN61" s="260">
        <f>$E61-SUM($F61:BM61)</f>
        <v>0</v>
      </c>
      <c r="BO61" s="264"/>
      <c r="BP61" s="260"/>
      <c r="BQ61" s="262"/>
      <c r="BR61" s="261"/>
      <c r="BS61" s="260"/>
      <c r="BT61" s="262"/>
      <c r="BU61" s="264"/>
      <c r="BV61" s="261"/>
      <c r="BW61" s="261"/>
      <c r="BX61" s="261"/>
      <c r="BY61" s="149">
        <f t="shared" si="17"/>
        <v>1430</v>
      </c>
      <c r="BZ61" s="130"/>
      <c r="CA61" s="157">
        <f t="shared" si="5"/>
        <v>0</v>
      </c>
      <c r="CB61" s="132">
        <f>손익!AU54</f>
        <v>9.0909090909090912E-2</v>
      </c>
    </row>
    <row r="62" spans="1:80" hidden="1">
      <c r="A62" s="146"/>
      <c r="B62" s="1750" t="str">
        <f>손익!U55</f>
        <v xml:space="preserve"> 지역난방부담금</v>
      </c>
      <c r="C62" s="1754"/>
      <c r="D62" s="1751"/>
      <c r="E62" s="258">
        <f>SUM(손익!AR55:AS55)/1000</f>
        <v>0</v>
      </c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7"/>
      <c r="T62" s="262"/>
      <c r="U62" s="290"/>
      <c r="V62" s="260"/>
      <c r="W62" s="264"/>
      <c r="X62" s="261"/>
      <c r="Y62" s="284"/>
      <c r="Z62" s="266"/>
      <c r="AA62" s="262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  <c r="AL62" s="260"/>
      <c r="AM62" s="260"/>
      <c r="AN62" s="260"/>
      <c r="AO62" s="260"/>
      <c r="AP62" s="260"/>
      <c r="AQ62" s="260"/>
      <c r="AR62" s="260"/>
      <c r="AS62" s="261"/>
      <c r="AT62" s="260"/>
      <c r="AU62" s="262"/>
      <c r="AV62" s="261"/>
      <c r="AW62" s="260"/>
      <c r="AX62" s="260"/>
      <c r="AY62" s="260"/>
      <c r="AZ62" s="260"/>
      <c r="BA62" s="262"/>
      <c r="BB62" s="260"/>
      <c r="BC62" s="260"/>
      <c r="BD62" s="261"/>
      <c r="BE62" s="260"/>
      <c r="BF62" s="260"/>
      <c r="BG62" s="261"/>
      <c r="BH62" s="260"/>
      <c r="BI62" s="264"/>
      <c r="BJ62" s="260"/>
      <c r="BK62" s="266"/>
      <c r="BL62" s="261"/>
      <c r="BM62" s="261"/>
      <c r="BN62" s="260"/>
      <c r="BO62" s="264"/>
      <c r="BP62" s="260"/>
      <c r="BQ62" s="264"/>
      <c r="BR62" s="261"/>
      <c r="BS62" s="260"/>
      <c r="BT62" s="262"/>
      <c r="BU62" s="264"/>
      <c r="BV62" s="261"/>
      <c r="BW62" s="261"/>
      <c r="BX62" s="261"/>
      <c r="BY62" s="149">
        <f t="shared" si="17"/>
        <v>0</v>
      </c>
      <c r="BZ62" s="130"/>
      <c r="CA62" s="157">
        <f t="shared" si="5"/>
        <v>0</v>
      </c>
      <c r="CB62" s="132">
        <f>손익!AU55</f>
        <v>0</v>
      </c>
    </row>
    <row r="63" spans="1:80">
      <c r="A63" s="146"/>
      <c r="B63" s="1750" t="str">
        <f>손익!U56</f>
        <v xml:space="preserve"> 학교용지부담금</v>
      </c>
      <c r="C63" s="1754"/>
      <c r="D63" s="1751"/>
      <c r="E63" s="258">
        <f>SUM(손익!AR56:AS56)/1000</f>
        <v>3211.0815246632319</v>
      </c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7"/>
      <c r="T63" s="262"/>
      <c r="U63" s="290"/>
      <c r="V63" s="260"/>
      <c r="W63" s="264"/>
      <c r="X63" s="261"/>
      <c r="Y63" s="284"/>
      <c r="Z63" s="266"/>
      <c r="AA63" s="262"/>
      <c r="AB63" s="260">
        <f ca="1">$E$63*SUM(Z11:AB11)</f>
        <v>1605.5407623316157</v>
      </c>
      <c r="AC63" s="260"/>
      <c r="AD63" s="260"/>
      <c r="AE63" s="260">
        <f ca="1">$E$63*SUM(AC11:AE11)</f>
        <v>481.66222869948484</v>
      </c>
      <c r="AF63" s="260"/>
      <c r="AG63" s="260"/>
      <c r="AH63" s="260">
        <f ca="1">$E$63*SUM(AF11:AH11)</f>
        <v>288.99733721969085</v>
      </c>
      <c r="AI63" s="260"/>
      <c r="AJ63" s="260"/>
      <c r="AK63" s="260">
        <f ca="1">$E$63*SUM(AI11:AK11)</f>
        <v>288.99733721969085</v>
      </c>
      <c r="AL63" s="260"/>
      <c r="AM63" s="260"/>
      <c r="AN63" s="260">
        <f ca="1">$E$63*SUM(AL11:AN11)</f>
        <v>288.99733721969085</v>
      </c>
      <c r="AO63" s="260"/>
      <c r="AP63" s="260"/>
      <c r="AQ63" s="260">
        <f ca="1">$E$63*SUM(AO11:AQ11)</f>
        <v>256.88652197305856</v>
      </c>
      <c r="AR63" s="260"/>
      <c r="AS63" s="261"/>
      <c r="AT63" s="260">
        <f ca="1">$E$63*SUM(AR11:AT11)</f>
        <v>0</v>
      </c>
      <c r="AU63" s="262"/>
      <c r="AV63" s="261"/>
      <c r="AW63" s="260"/>
      <c r="AX63" s="260"/>
      <c r="AY63" s="260"/>
      <c r="AZ63" s="260"/>
      <c r="BA63" s="262"/>
      <c r="BB63" s="260"/>
      <c r="BC63" s="260"/>
      <c r="BD63" s="260"/>
      <c r="BE63" s="260"/>
      <c r="BF63" s="260"/>
      <c r="BG63" s="261"/>
      <c r="BH63" s="260"/>
      <c r="BI63" s="264"/>
      <c r="BJ63" s="260"/>
      <c r="BK63" s="266"/>
      <c r="BL63" s="261"/>
      <c r="BM63" s="261"/>
      <c r="BN63" s="260"/>
      <c r="BO63" s="264"/>
      <c r="BP63" s="260"/>
      <c r="BQ63" s="264"/>
      <c r="BR63" s="261"/>
      <c r="BS63" s="260"/>
      <c r="BT63" s="262"/>
      <c r="BU63" s="264"/>
      <c r="BV63" s="261"/>
      <c r="BW63" s="261"/>
      <c r="BX63" s="261"/>
      <c r="BY63" s="149">
        <f t="shared" ca="1" si="17"/>
        <v>3211.0815246632324</v>
      </c>
      <c r="BZ63" s="130"/>
      <c r="CA63" s="157">
        <f t="shared" ca="1" si="5"/>
        <v>0</v>
      </c>
      <c r="CB63" s="132">
        <f>손익!AU56</f>
        <v>0</v>
      </c>
    </row>
    <row r="64" spans="1:80" hidden="1">
      <c r="A64" s="146"/>
      <c r="B64" s="1750" t="str">
        <f>손익!U57</f>
        <v xml:space="preserve"> 과밀부담금</v>
      </c>
      <c r="C64" s="1754"/>
      <c r="D64" s="1751"/>
      <c r="E64" s="258">
        <f>SUM(손익!AR57:AS57)/1000</f>
        <v>0</v>
      </c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6"/>
      <c r="S64" s="287"/>
      <c r="T64" s="262"/>
      <c r="U64" s="290"/>
      <c r="V64" s="260"/>
      <c r="W64" s="264"/>
      <c r="X64" s="261"/>
      <c r="Y64" s="284"/>
      <c r="Z64" s="266"/>
      <c r="AA64" s="262"/>
      <c r="AB64" s="260"/>
      <c r="AC64" s="260"/>
      <c r="AD64" s="260"/>
      <c r="AE64" s="260"/>
      <c r="AF64" s="260"/>
      <c r="AG64" s="260"/>
      <c r="AH64" s="260"/>
      <c r="AI64" s="260"/>
      <c r="AJ64" s="260"/>
      <c r="AK64" s="260"/>
      <c r="AL64" s="260"/>
      <c r="AM64" s="260"/>
      <c r="AN64" s="260"/>
      <c r="AO64" s="260"/>
      <c r="AP64" s="260"/>
      <c r="AQ64" s="260"/>
      <c r="AR64" s="260"/>
      <c r="AS64" s="261"/>
      <c r="AT64" s="260"/>
      <c r="AU64" s="262"/>
      <c r="AV64" s="261"/>
      <c r="AW64" s="260"/>
      <c r="AX64" s="260"/>
      <c r="AY64" s="260"/>
      <c r="AZ64" s="260"/>
      <c r="BA64" s="262"/>
      <c r="BB64" s="260"/>
      <c r="BC64" s="260"/>
      <c r="BD64" s="260"/>
      <c r="BE64" s="260"/>
      <c r="BF64" s="260"/>
      <c r="BG64" s="261"/>
      <c r="BH64" s="260"/>
      <c r="BI64" s="264">
        <f>$E$64</f>
        <v>0</v>
      </c>
      <c r="BJ64" s="260"/>
      <c r="BK64" s="266"/>
      <c r="BL64" s="261"/>
      <c r="BM64" s="261"/>
      <c r="BN64" s="260"/>
      <c r="BO64" s="264"/>
      <c r="BP64" s="260"/>
      <c r="BQ64" s="264"/>
      <c r="BR64" s="261"/>
      <c r="BS64" s="260"/>
      <c r="BT64" s="262"/>
      <c r="BU64" s="264"/>
      <c r="BV64" s="261"/>
      <c r="BW64" s="261"/>
      <c r="BX64" s="261"/>
      <c r="BY64" s="149">
        <f t="shared" si="17"/>
        <v>0</v>
      </c>
      <c r="BZ64" s="130"/>
      <c r="CA64" s="157">
        <f t="shared" si="5"/>
        <v>0</v>
      </c>
      <c r="CB64" s="132">
        <f>손익!AU57</f>
        <v>0</v>
      </c>
    </row>
    <row r="65" spans="1:80">
      <c r="A65" s="146"/>
      <c r="B65" s="1750" t="str">
        <f>손익!U58</f>
        <v xml:space="preserve"> 광역교통시설부담금</v>
      </c>
      <c r="C65" s="1754"/>
      <c r="D65" s="1751"/>
      <c r="E65" s="258">
        <f>SUM(손익!AR58:AS58)/1000</f>
        <v>901</v>
      </c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7"/>
      <c r="T65" s="262"/>
      <c r="U65" s="290"/>
      <c r="V65" s="260"/>
      <c r="W65" s="264"/>
      <c r="X65" s="261"/>
      <c r="Y65" s="284">
        <f>$E$65*30%</f>
        <v>270.3</v>
      </c>
      <c r="Z65" s="266"/>
      <c r="AA65" s="262"/>
      <c r="AB65" s="260"/>
      <c r="AC65" s="260"/>
      <c r="AD65" s="260"/>
      <c r="AE65" s="260"/>
      <c r="AF65" s="260"/>
      <c r="AG65" s="260"/>
      <c r="AH65" s="260"/>
      <c r="AI65" s="260"/>
      <c r="AJ65" s="260"/>
      <c r="AK65" s="260"/>
      <c r="AL65" s="260"/>
      <c r="AM65" s="260"/>
      <c r="AN65" s="260"/>
      <c r="AO65" s="260"/>
      <c r="AP65" s="260"/>
      <c r="AQ65" s="260"/>
      <c r="AR65" s="260"/>
      <c r="AS65" s="261"/>
      <c r="AT65" s="260"/>
      <c r="AU65" s="262"/>
      <c r="AV65" s="261"/>
      <c r="AW65" s="260">
        <f>$E$65*40%</f>
        <v>360.40000000000003</v>
      </c>
      <c r="AX65" s="260"/>
      <c r="AY65" s="260"/>
      <c r="AZ65" s="260"/>
      <c r="BA65" s="262"/>
      <c r="BB65" s="260"/>
      <c r="BC65" s="260"/>
      <c r="BD65" s="260"/>
      <c r="BE65" s="260"/>
      <c r="BF65" s="260"/>
      <c r="BG65" s="261"/>
      <c r="BH65" s="260"/>
      <c r="BI65" s="264"/>
      <c r="BJ65" s="260">
        <f>$E65-SUM($G65:BI65)</f>
        <v>270.29999999999995</v>
      </c>
      <c r="BK65" s="266"/>
      <c r="BL65" s="261"/>
      <c r="BM65" s="261"/>
      <c r="BN65" s="260"/>
      <c r="BO65" s="264"/>
      <c r="BP65" s="260"/>
      <c r="BQ65" s="264"/>
      <c r="BR65" s="261"/>
      <c r="BS65" s="260"/>
      <c r="BT65" s="262"/>
      <c r="BU65" s="264"/>
      <c r="BV65" s="261"/>
      <c r="BW65" s="261"/>
      <c r="BX65" s="261"/>
      <c r="BY65" s="149">
        <f t="shared" si="17"/>
        <v>901</v>
      </c>
      <c r="BZ65" s="130"/>
      <c r="CA65" s="157">
        <f t="shared" si="5"/>
        <v>0</v>
      </c>
      <c r="CB65" s="132">
        <f>손익!AU58</f>
        <v>0</v>
      </c>
    </row>
    <row r="66" spans="1:80" hidden="1">
      <c r="A66" s="146"/>
      <c r="B66" s="1750" t="str">
        <f>손익!U59</f>
        <v xml:space="preserve"> 개발부담금</v>
      </c>
      <c r="C66" s="1754"/>
      <c r="D66" s="1751"/>
      <c r="E66" s="258">
        <f>SUM(손익!AR59:AS59)/1000</f>
        <v>0</v>
      </c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7"/>
      <c r="T66" s="262"/>
      <c r="U66" s="290"/>
      <c r="V66" s="260"/>
      <c r="W66" s="264"/>
      <c r="X66" s="261"/>
      <c r="Y66" s="284"/>
      <c r="Z66" s="266"/>
      <c r="AA66" s="262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1"/>
      <c r="AT66" s="260"/>
      <c r="AU66" s="262"/>
      <c r="AV66" s="261"/>
      <c r="AW66" s="260"/>
      <c r="AX66" s="260"/>
      <c r="AY66" s="260"/>
      <c r="AZ66" s="260"/>
      <c r="BA66" s="262"/>
      <c r="BB66" s="260"/>
      <c r="BC66" s="260"/>
      <c r="BD66" s="260"/>
      <c r="BE66" s="260"/>
      <c r="BF66" s="260"/>
      <c r="BG66" s="261"/>
      <c r="BH66" s="260"/>
      <c r="BI66" s="264"/>
      <c r="BJ66" s="260"/>
      <c r="BK66" s="266"/>
      <c r="BL66" s="261"/>
      <c r="BM66" s="261"/>
      <c r="BN66" s="260"/>
      <c r="BO66" s="264"/>
      <c r="BP66" s="260"/>
      <c r="BQ66" s="264"/>
      <c r="BR66" s="261"/>
      <c r="BS66" s="260"/>
      <c r="BT66" s="262"/>
      <c r="BU66" s="264"/>
      <c r="BV66" s="261"/>
      <c r="BW66" s="261"/>
      <c r="BX66" s="261"/>
      <c r="BY66" s="149">
        <f t="shared" si="17"/>
        <v>0</v>
      </c>
      <c r="BZ66" s="130"/>
      <c r="CA66" s="157">
        <f t="shared" si="5"/>
        <v>0</v>
      </c>
      <c r="CB66" s="132">
        <f>손익!AU59</f>
        <v>0</v>
      </c>
    </row>
    <row r="67" spans="1:80">
      <c r="A67" s="146"/>
      <c r="B67" s="1750" t="str">
        <f>손익!U61</f>
        <v xml:space="preserve"> 예비비</v>
      </c>
      <c r="C67" s="1754"/>
      <c r="D67" s="1751"/>
      <c r="E67" s="258">
        <f>SUM(손익!AR61:AS61)/1000</f>
        <v>550</v>
      </c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7"/>
      <c r="T67" s="262"/>
      <c r="U67" s="290"/>
      <c r="V67" s="259"/>
      <c r="W67" s="264"/>
      <c r="X67" s="261"/>
      <c r="Y67" s="265">
        <f>$E$67*50%</f>
        <v>275</v>
      </c>
      <c r="Z67" s="266"/>
      <c r="AA67" s="262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60"/>
      <c r="AT67" s="260"/>
      <c r="AU67" s="260"/>
      <c r="AV67" s="260"/>
      <c r="AW67" s="260"/>
      <c r="AX67" s="260"/>
      <c r="AY67" s="260"/>
      <c r="AZ67" s="260"/>
      <c r="BA67" s="260"/>
      <c r="BB67" s="260"/>
      <c r="BC67" s="260"/>
      <c r="BD67" s="260"/>
      <c r="BE67" s="260"/>
      <c r="BF67" s="260"/>
      <c r="BG67" s="261"/>
      <c r="BH67" s="260"/>
      <c r="BI67" s="264"/>
      <c r="BJ67" s="260"/>
      <c r="BK67" s="266">
        <f>$E67-SUM($G67:BJ67)</f>
        <v>275</v>
      </c>
      <c r="BL67" s="261"/>
      <c r="BM67" s="261"/>
      <c r="BN67" s="260"/>
      <c r="BO67" s="264"/>
      <c r="BP67" s="260"/>
      <c r="BQ67" s="264"/>
      <c r="BR67" s="261"/>
      <c r="BS67" s="260"/>
      <c r="BT67" s="262"/>
      <c r="BU67" s="264"/>
      <c r="BV67" s="261"/>
      <c r="BW67" s="261"/>
      <c r="BX67" s="261"/>
      <c r="BY67" s="149">
        <f t="shared" ref="BY67:BY86" si="22">SUM(F67:BX67)</f>
        <v>550</v>
      </c>
      <c r="BZ67" s="130"/>
      <c r="CA67" s="157">
        <f t="shared" si="5"/>
        <v>0</v>
      </c>
      <c r="CB67" s="132">
        <f>손익!AU61</f>
        <v>9.0909090909090912E-2</v>
      </c>
    </row>
    <row r="68" spans="1:80">
      <c r="A68" s="146"/>
      <c r="B68" s="1750" t="str">
        <f>손익!U62</f>
        <v xml:space="preserve"> 공가세대 관리비</v>
      </c>
      <c r="C68" s="1754"/>
      <c r="D68" s="1751"/>
      <c r="E68" s="258">
        <f>SUM(손익!AR62:AS62)/1000</f>
        <v>403.7</v>
      </c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7"/>
      <c r="T68" s="262"/>
      <c r="U68" s="290"/>
      <c r="V68" s="260"/>
      <c r="W68" s="264"/>
      <c r="X68" s="261"/>
      <c r="Y68" s="284"/>
      <c r="Z68" s="266"/>
      <c r="AA68" s="262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0"/>
      <c r="AO68" s="260"/>
      <c r="AP68" s="260"/>
      <c r="AQ68" s="260"/>
      <c r="AR68" s="260"/>
      <c r="AS68" s="260"/>
      <c r="AT68" s="260"/>
      <c r="AU68" s="260"/>
      <c r="AV68" s="260"/>
      <c r="AW68" s="260"/>
      <c r="AX68" s="260"/>
      <c r="AY68" s="260"/>
      <c r="AZ68" s="260"/>
      <c r="BA68" s="260"/>
      <c r="BB68" s="260"/>
      <c r="BC68" s="260"/>
      <c r="BD68" s="260"/>
      <c r="BE68" s="260"/>
      <c r="BF68" s="260"/>
      <c r="BG68" s="261"/>
      <c r="BH68" s="260"/>
      <c r="BI68" s="264"/>
      <c r="BJ68" s="260"/>
      <c r="BK68" s="266">
        <f>$E$68*50%</f>
        <v>201.85</v>
      </c>
      <c r="BL68" s="261">
        <f>$E$68*30%</f>
        <v>121.10999999999999</v>
      </c>
      <c r="BM68" s="261">
        <f>$E$68*20%</f>
        <v>80.740000000000009</v>
      </c>
      <c r="BN68" s="260"/>
      <c r="BO68" s="264"/>
      <c r="BP68" s="260"/>
      <c r="BQ68" s="264"/>
      <c r="BR68" s="261"/>
      <c r="BS68" s="260"/>
      <c r="BT68" s="262"/>
      <c r="BU68" s="264"/>
      <c r="BV68" s="261"/>
      <c r="BW68" s="261"/>
      <c r="BX68" s="261"/>
      <c r="BY68" s="149">
        <f t="shared" si="22"/>
        <v>403.7</v>
      </c>
      <c r="BZ68" s="130"/>
      <c r="CA68" s="157">
        <f t="shared" si="5"/>
        <v>0</v>
      </c>
      <c r="CB68" s="132">
        <f>손익!AU62</f>
        <v>9.0909090909090912E-2</v>
      </c>
    </row>
    <row r="69" spans="1:80">
      <c r="A69" s="158"/>
      <c r="B69" s="1750" t="s">
        <v>304</v>
      </c>
      <c r="C69" s="1754"/>
      <c r="D69" s="1751"/>
      <c r="E69" s="298">
        <f>E31</f>
        <v>6443.5010400000001</v>
      </c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7"/>
      <c r="T69" s="262"/>
      <c r="U69" s="290">
        <f>E69-1000</f>
        <v>5443.5010400000001</v>
      </c>
      <c r="V69" s="260"/>
      <c r="W69" s="264"/>
      <c r="X69" s="261"/>
      <c r="Y69" s="284"/>
      <c r="Z69" s="266"/>
      <c r="AA69" s="262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0"/>
      <c r="BG69" s="261"/>
      <c r="BH69" s="260"/>
      <c r="BI69" s="264"/>
      <c r="BJ69" s="260"/>
      <c r="BK69" s="266"/>
      <c r="BL69" s="261"/>
      <c r="BM69" s="261"/>
      <c r="BN69" s="260"/>
      <c r="BO69" s="264">
        <f>$E69-SUM($G69:BN69)</f>
        <v>1000</v>
      </c>
      <c r="BP69" s="260"/>
      <c r="BQ69" s="264"/>
      <c r="BR69" s="261"/>
      <c r="BS69" s="260"/>
      <c r="BT69" s="262"/>
      <c r="BU69" s="264"/>
      <c r="BV69" s="261"/>
      <c r="BW69" s="261"/>
      <c r="BX69" s="261"/>
      <c r="BY69" s="149">
        <f t="shared" si="22"/>
        <v>6443.5010400000001</v>
      </c>
      <c r="BZ69" s="130"/>
      <c r="CA69" s="157">
        <f t="shared" si="5"/>
        <v>0</v>
      </c>
      <c r="CB69" s="132"/>
    </row>
    <row r="70" spans="1:80" outlineLevel="1">
      <c r="A70" s="158"/>
      <c r="B70" s="1755" t="s">
        <v>305</v>
      </c>
      <c r="C70" s="1757">
        <f>손익!AH67</f>
        <v>0.05</v>
      </c>
      <c r="D70" s="299" t="s">
        <v>306</v>
      </c>
      <c r="E70" s="300">
        <f>E25</f>
        <v>3000</v>
      </c>
      <c r="F70" s="301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3"/>
      <c r="T70" s="304"/>
      <c r="U70" s="305">
        <f>E70</f>
        <v>3000</v>
      </c>
      <c r="V70" s="303"/>
      <c r="W70" s="306"/>
      <c r="X70" s="302"/>
      <c r="Y70" s="307"/>
      <c r="Z70" s="308"/>
      <c r="AA70" s="304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2"/>
      <c r="BH70" s="303"/>
      <c r="BI70" s="306"/>
      <c r="BJ70" s="303"/>
      <c r="BK70" s="308"/>
      <c r="BL70" s="302"/>
      <c r="BM70" s="302"/>
      <c r="BN70" s="303"/>
      <c r="BO70" s="306"/>
      <c r="BP70" s="303"/>
      <c r="BQ70" s="306"/>
      <c r="BR70" s="302"/>
      <c r="BS70" s="303"/>
      <c r="BT70" s="304"/>
      <c r="BU70" s="306"/>
      <c r="BV70" s="302"/>
      <c r="BW70" s="302"/>
      <c r="BX70" s="302"/>
      <c r="BY70" s="303">
        <f t="shared" si="22"/>
        <v>3000</v>
      </c>
      <c r="BZ70" s="130"/>
      <c r="CA70" s="309">
        <f t="shared" si="5"/>
        <v>0</v>
      </c>
      <c r="CB70" s="132"/>
    </row>
    <row r="71" spans="1:80" outlineLevel="1">
      <c r="A71" s="158"/>
      <c r="B71" s="1756"/>
      <c r="C71" s="1758"/>
      <c r="D71" s="310" t="s">
        <v>307</v>
      </c>
      <c r="E71" s="311">
        <f>BY71</f>
        <v>150</v>
      </c>
      <c r="F71" s="312"/>
      <c r="G71" s="313"/>
      <c r="H71" s="313"/>
      <c r="I71" s="313">
        <f>ROUNDDOWN((SUM($H$25:I25)-SUM($H70:I70))*$C$70*(U7-I7)/365,6)</f>
        <v>150</v>
      </c>
      <c r="J71" s="313"/>
      <c r="K71" s="313"/>
      <c r="L71" s="313"/>
      <c r="M71" s="313"/>
      <c r="N71" s="313"/>
      <c r="O71" s="313"/>
      <c r="P71" s="313"/>
      <c r="Q71" s="313"/>
      <c r="R71" s="313"/>
      <c r="S71" s="314"/>
      <c r="T71" s="315"/>
      <c r="U71" s="316"/>
      <c r="V71" s="314"/>
      <c r="W71" s="315"/>
      <c r="X71" s="313"/>
      <c r="Y71" s="317"/>
      <c r="Z71" s="318"/>
      <c r="AA71" s="319"/>
      <c r="AB71" s="314"/>
      <c r="AC71" s="314"/>
      <c r="AD71" s="314"/>
      <c r="AE71" s="314"/>
      <c r="AF71" s="314"/>
      <c r="AG71" s="314"/>
      <c r="AH71" s="314"/>
      <c r="AI71" s="314"/>
      <c r="AJ71" s="314"/>
      <c r="AK71" s="314"/>
      <c r="AL71" s="314"/>
      <c r="AM71" s="314"/>
      <c r="AN71" s="314"/>
      <c r="AO71" s="314"/>
      <c r="AP71" s="314"/>
      <c r="AQ71" s="314"/>
      <c r="AR71" s="314"/>
      <c r="AS71" s="314"/>
      <c r="AT71" s="314"/>
      <c r="AU71" s="314"/>
      <c r="AV71" s="314"/>
      <c r="AW71" s="314"/>
      <c r="AX71" s="314"/>
      <c r="AY71" s="314"/>
      <c r="AZ71" s="314"/>
      <c r="BA71" s="314"/>
      <c r="BB71" s="314"/>
      <c r="BC71" s="314"/>
      <c r="BD71" s="314"/>
      <c r="BE71" s="314"/>
      <c r="BF71" s="314"/>
      <c r="BG71" s="313"/>
      <c r="BH71" s="314"/>
      <c r="BI71" s="315"/>
      <c r="BJ71" s="314"/>
      <c r="BK71" s="318"/>
      <c r="BL71" s="313"/>
      <c r="BM71" s="313"/>
      <c r="BN71" s="314"/>
      <c r="BO71" s="315"/>
      <c r="BP71" s="314"/>
      <c r="BQ71" s="315"/>
      <c r="BR71" s="313"/>
      <c r="BS71" s="314"/>
      <c r="BT71" s="319"/>
      <c r="BU71" s="315"/>
      <c r="BV71" s="313"/>
      <c r="BW71" s="313"/>
      <c r="BX71" s="313"/>
      <c r="BY71" s="314">
        <f t="shared" si="22"/>
        <v>150</v>
      </c>
      <c r="BZ71" s="130"/>
      <c r="CA71" s="320">
        <f t="shared" si="5"/>
        <v>0</v>
      </c>
      <c r="CB71" s="132"/>
    </row>
    <row r="72" spans="1:80" hidden="1" outlineLevel="1">
      <c r="A72" s="158"/>
      <c r="B72" s="1755" t="s">
        <v>308</v>
      </c>
      <c r="C72" s="1757">
        <f>손익!AJ67</f>
        <v>0</v>
      </c>
      <c r="D72" s="299" t="s">
        <v>306</v>
      </c>
      <c r="E72" s="300">
        <f>E26</f>
        <v>0</v>
      </c>
      <c r="F72" s="301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3"/>
      <c r="T72" s="304"/>
      <c r="U72" s="305"/>
      <c r="V72" s="303"/>
      <c r="W72" s="306"/>
      <c r="X72" s="302"/>
      <c r="Y72" s="307"/>
      <c r="Z72" s="308"/>
      <c r="AA72" s="304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3"/>
      <c r="AM72" s="303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3"/>
      <c r="BG72" s="302"/>
      <c r="BH72" s="303"/>
      <c r="BI72" s="306"/>
      <c r="BJ72" s="303"/>
      <c r="BK72" s="308"/>
      <c r="BL72" s="302"/>
      <c r="BM72" s="302"/>
      <c r="BN72" s="303"/>
      <c r="BO72" s="306"/>
      <c r="BP72" s="303"/>
      <c r="BQ72" s="306"/>
      <c r="BR72" s="302"/>
      <c r="BS72" s="303"/>
      <c r="BT72" s="304"/>
      <c r="BU72" s="306"/>
      <c r="BV72" s="302"/>
      <c r="BW72" s="302"/>
      <c r="BX72" s="302"/>
      <c r="BY72" s="303">
        <f>SUM(F72:BX72)</f>
        <v>0</v>
      </c>
      <c r="BZ72" s="130"/>
      <c r="CA72" s="309">
        <f>E72-BY72</f>
        <v>0</v>
      </c>
      <c r="CB72" s="132"/>
    </row>
    <row r="73" spans="1:80" hidden="1" outlineLevel="1">
      <c r="A73" s="158"/>
      <c r="B73" s="1756"/>
      <c r="C73" s="1758"/>
      <c r="D73" s="310" t="s">
        <v>307</v>
      </c>
      <c r="E73" s="311">
        <f>BY73</f>
        <v>0</v>
      </c>
      <c r="F73" s="312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4"/>
      <c r="T73" s="315"/>
      <c r="U73" s="316"/>
      <c r="V73" s="314"/>
      <c r="W73" s="315"/>
      <c r="X73" s="313"/>
      <c r="Y73" s="317">
        <f>ROUNDDOWN((SUM($H$26:W26)-SUM($H72:W72))*$C$72*(Y7-W7)/365,6)</f>
        <v>0</v>
      </c>
      <c r="Z73" s="318"/>
      <c r="AA73" s="319"/>
      <c r="AB73" s="314"/>
      <c r="AC73" s="314"/>
      <c r="AD73" s="314"/>
      <c r="AE73" s="314"/>
      <c r="AF73" s="314"/>
      <c r="AG73" s="314"/>
      <c r="AH73" s="314"/>
      <c r="AI73" s="314"/>
      <c r="AJ73" s="314"/>
      <c r="AK73" s="314"/>
      <c r="AL73" s="314"/>
      <c r="AM73" s="314"/>
      <c r="AN73" s="314"/>
      <c r="AO73" s="314"/>
      <c r="AP73" s="314"/>
      <c r="AQ73" s="314"/>
      <c r="AR73" s="314"/>
      <c r="AS73" s="314"/>
      <c r="AT73" s="314"/>
      <c r="AU73" s="314"/>
      <c r="AV73" s="314"/>
      <c r="AW73" s="314"/>
      <c r="AX73" s="314"/>
      <c r="AY73" s="314"/>
      <c r="AZ73" s="314"/>
      <c r="BA73" s="314"/>
      <c r="BB73" s="314"/>
      <c r="BC73" s="314"/>
      <c r="BD73" s="314"/>
      <c r="BE73" s="314"/>
      <c r="BF73" s="314"/>
      <c r="BG73" s="313"/>
      <c r="BH73" s="314"/>
      <c r="BI73" s="315"/>
      <c r="BJ73" s="314"/>
      <c r="BK73" s="318"/>
      <c r="BL73" s="313"/>
      <c r="BM73" s="313"/>
      <c r="BN73" s="314"/>
      <c r="BO73" s="315"/>
      <c r="BP73" s="314"/>
      <c r="BQ73" s="315"/>
      <c r="BR73" s="313"/>
      <c r="BS73" s="314"/>
      <c r="BT73" s="319"/>
      <c r="BU73" s="315"/>
      <c r="BV73" s="313"/>
      <c r="BW73" s="313"/>
      <c r="BX73" s="313"/>
      <c r="BY73" s="314">
        <f>SUM(F73:BX73)</f>
        <v>0</v>
      </c>
      <c r="BZ73" s="130"/>
      <c r="CA73" s="320">
        <f>E73-BY73</f>
        <v>0</v>
      </c>
      <c r="CB73" s="132"/>
    </row>
    <row r="74" spans="1:80" hidden="1" outlineLevel="1">
      <c r="A74" s="158"/>
      <c r="B74" s="1755" t="s">
        <v>309</v>
      </c>
      <c r="C74" s="1757">
        <f>손익!AL67</f>
        <v>0</v>
      </c>
      <c r="D74" s="299" t="s">
        <v>306</v>
      </c>
      <c r="E74" s="300">
        <f>E27</f>
        <v>0</v>
      </c>
      <c r="F74" s="301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3"/>
      <c r="T74" s="304"/>
      <c r="U74" s="305"/>
      <c r="V74" s="303"/>
      <c r="W74" s="306"/>
      <c r="X74" s="302"/>
      <c r="Y74" s="307"/>
      <c r="Z74" s="308"/>
      <c r="AA74" s="304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  <c r="AZ74" s="303"/>
      <c r="BA74" s="303"/>
      <c r="BB74" s="303"/>
      <c r="BC74" s="303"/>
      <c r="BD74" s="303"/>
      <c r="BE74" s="303"/>
      <c r="BF74" s="303"/>
      <c r="BG74" s="302"/>
      <c r="BH74" s="303"/>
      <c r="BI74" s="306"/>
      <c r="BJ74" s="303"/>
      <c r="BK74" s="308"/>
      <c r="BL74" s="302"/>
      <c r="BM74" s="302"/>
      <c r="BN74" s="303"/>
      <c r="BO74" s="306"/>
      <c r="BP74" s="303"/>
      <c r="BQ74" s="306"/>
      <c r="BR74" s="302"/>
      <c r="BS74" s="303"/>
      <c r="BT74" s="304"/>
      <c r="BU74" s="306"/>
      <c r="BV74" s="302"/>
      <c r="BW74" s="302"/>
      <c r="BX74" s="302"/>
      <c r="BY74" s="303">
        <f t="shared" si="22"/>
        <v>0</v>
      </c>
      <c r="BZ74" s="130"/>
      <c r="CA74" s="309">
        <f t="shared" ref="CA74:CA86" si="23">E74-BY74</f>
        <v>0</v>
      </c>
      <c r="CB74" s="132"/>
    </row>
    <row r="75" spans="1:80" hidden="1" outlineLevel="1">
      <c r="A75" s="158"/>
      <c r="B75" s="1756"/>
      <c r="C75" s="1758"/>
      <c r="D75" s="310" t="s">
        <v>307</v>
      </c>
      <c r="E75" s="311">
        <f>BY75</f>
        <v>0</v>
      </c>
      <c r="F75" s="312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4"/>
      <c r="T75" s="315"/>
      <c r="U75" s="316"/>
      <c r="V75" s="314"/>
      <c r="W75" s="315"/>
      <c r="X75" s="313"/>
      <c r="Y75" s="317">
        <f>ROUNDDOWN((SUM($H$27:W27)-SUM($H74:W74))*$C$74*(Y7-$H$7)/365,6)</f>
        <v>0</v>
      </c>
      <c r="Z75" s="318"/>
      <c r="AA75" s="319"/>
      <c r="AB75" s="314"/>
      <c r="AC75" s="314"/>
      <c r="AD75" s="314"/>
      <c r="AE75" s="314"/>
      <c r="AF75" s="314"/>
      <c r="AG75" s="314"/>
      <c r="AH75" s="314"/>
      <c r="AI75" s="314"/>
      <c r="AJ75" s="314"/>
      <c r="AK75" s="314"/>
      <c r="AL75" s="314"/>
      <c r="AM75" s="314"/>
      <c r="AN75" s="314"/>
      <c r="AO75" s="314"/>
      <c r="AP75" s="314"/>
      <c r="AQ75" s="314"/>
      <c r="AR75" s="314"/>
      <c r="AS75" s="314"/>
      <c r="AT75" s="314"/>
      <c r="AU75" s="314"/>
      <c r="AV75" s="314"/>
      <c r="AW75" s="314"/>
      <c r="AX75" s="314"/>
      <c r="AY75" s="314"/>
      <c r="AZ75" s="314"/>
      <c r="BA75" s="314"/>
      <c r="BB75" s="314"/>
      <c r="BC75" s="314"/>
      <c r="BD75" s="314"/>
      <c r="BE75" s="314"/>
      <c r="BF75" s="314"/>
      <c r="BG75" s="313"/>
      <c r="BH75" s="314"/>
      <c r="BI75" s="315"/>
      <c r="BJ75" s="314"/>
      <c r="BK75" s="318"/>
      <c r="BL75" s="313"/>
      <c r="BM75" s="313"/>
      <c r="BN75" s="314"/>
      <c r="BO75" s="315"/>
      <c r="BP75" s="314"/>
      <c r="BQ75" s="315"/>
      <c r="BR75" s="313"/>
      <c r="BS75" s="314"/>
      <c r="BT75" s="319"/>
      <c r="BU75" s="315"/>
      <c r="BV75" s="313"/>
      <c r="BW75" s="313"/>
      <c r="BX75" s="313"/>
      <c r="BY75" s="314">
        <f t="shared" si="22"/>
        <v>0</v>
      </c>
      <c r="BZ75" s="130"/>
      <c r="CA75" s="320">
        <f t="shared" si="23"/>
        <v>0</v>
      </c>
      <c r="CB75" s="132"/>
    </row>
    <row r="76" spans="1:80">
      <c r="A76" s="321"/>
      <c r="B76" s="1771" t="s">
        <v>310</v>
      </c>
      <c r="C76" s="1773">
        <f>손익!AH68</f>
        <v>4.8000000000000001E-2</v>
      </c>
      <c r="D76" s="322">
        <f>'PF상환 민감도'!N12</f>
        <v>0.19999999999999996</v>
      </c>
      <c r="E76" s="323">
        <f>E28</f>
        <v>120000</v>
      </c>
      <c r="F76" s="324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6"/>
      <c r="T76" s="327"/>
      <c r="U76" s="328"/>
      <c r="V76" s="326"/>
      <c r="W76" s="329"/>
      <c r="X76" s="325"/>
      <c r="Y76" s="330"/>
      <c r="Z76" s="331"/>
      <c r="AA76" s="326">
        <f ca="1">AA124</f>
        <v>0</v>
      </c>
      <c r="AB76" s="326"/>
      <c r="AC76" s="326"/>
      <c r="AD76" s="326">
        <f ca="1">AD124</f>
        <v>2100</v>
      </c>
      <c r="AE76" s="326"/>
      <c r="AF76" s="326"/>
      <c r="AG76" s="326">
        <f ca="1">AG124</f>
        <v>8000</v>
      </c>
      <c r="AH76" s="326"/>
      <c r="AI76" s="326"/>
      <c r="AJ76" s="326">
        <f ca="1">AJ124</f>
        <v>5200</v>
      </c>
      <c r="AK76" s="326"/>
      <c r="AL76" s="326"/>
      <c r="AM76" s="326">
        <f ca="1">AM124</f>
        <v>1200</v>
      </c>
      <c r="AN76" s="326"/>
      <c r="AO76" s="326"/>
      <c r="AP76" s="326">
        <f ca="1">AP124</f>
        <v>5800</v>
      </c>
      <c r="AQ76" s="326"/>
      <c r="AR76" s="326"/>
      <c r="AS76" s="326">
        <f ca="1">AS124</f>
        <v>5000</v>
      </c>
      <c r="AT76" s="326"/>
      <c r="AU76" s="326"/>
      <c r="AV76" s="326">
        <f ca="1">AV124</f>
        <v>4600</v>
      </c>
      <c r="AW76" s="326"/>
      <c r="AX76" s="326"/>
      <c r="AY76" s="326">
        <f ca="1">AY124</f>
        <v>400</v>
      </c>
      <c r="AZ76" s="326"/>
      <c r="BA76" s="326"/>
      <c r="BB76" s="326">
        <f ca="1">BB124</f>
        <v>4700</v>
      </c>
      <c r="BC76" s="326"/>
      <c r="BD76" s="326"/>
      <c r="BE76" s="326">
        <f ca="1">BE124</f>
        <v>1400</v>
      </c>
      <c r="BF76" s="326"/>
      <c r="BG76" s="325"/>
      <c r="BH76" s="326">
        <f ca="1">BH124</f>
        <v>3600</v>
      </c>
      <c r="BI76" s="325"/>
      <c r="BJ76" s="326"/>
      <c r="BK76" s="331"/>
      <c r="BL76" s="325">
        <f ca="1">$E76-SUM($G76:BK76)</f>
        <v>78000</v>
      </c>
      <c r="BM76" s="325"/>
      <c r="BN76" s="326">
        <f ca="1">$E76-SUM($G76:BM76)</f>
        <v>0</v>
      </c>
      <c r="BO76" s="329"/>
      <c r="BP76" s="326"/>
      <c r="BQ76" s="327">
        <f ca="1">$E76-SUM($G76:BP76)</f>
        <v>0</v>
      </c>
      <c r="BR76" s="325"/>
      <c r="BS76" s="326"/>
      <c r="BT76" s="327"/>
      <c r="BU76" s="327"/>
      <c r="BV76" s="326"/>
      <c r="BW76" s="325"/>
      <c r="BX76" s="325"/>
      <c r="BY76" s="326">
        <f t="shared" ca="1" si="22"/>
        <v>120000</v>
      </c>
      <c r="BZ76" s="130"/>
      <c r="CA76" s="332">
        <f t="shared" ca="1" si="23"/>
        <v>0</v>
      </c>
      <c r="CB76" s="132"/>
    </row>
    <row r="77" spans="1:80">
      <c r="A77" s="158"/>
      <c r="B77" s="1772"/>
      <c r="C77" s="1774"/>
      <c r="D77" s="333" t="s">
        <v>307</v>
      </c>
      <c r="E77" s="334">
        <f ca="1">BY77</f>
        <v>14708.186293999999</v>
      </c>
      <c r="F77" s="335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7"/>
      <c r="T77" s="338"/>
      <c r="U77" s="339">
        <f>ROUNDDOWN((SUM($J$28:U28)-SUM($J$76:U76))*$C$76*(X7-U7)/365,6)</f>
        <v>1149.3698629999999</v>
      </c>
      <c r="V77" s="337"/>
      <c r="W77" s="338"/>
      <c r="X77" s="336">
        <f>ROUNDDOWN((SUM($J$28:X28)-SUM($J$76:X76))*$C$76*(AA7-X7)/365,6)</f>
        <v>1294.5534239999999</v>
      </c>
      <c r="Y77" s="340"/>
      <c r="Z77" s="341"/>
      <c r="AA77" s="336">
        <f ca="1">ROUNDDOWN((SUM($J$28:AA28)-SUM($J$76:AA76))*$C$76*(AD7-AA7)/365,6)</f>
        <v>1294.5534239999999</v>
      </c>
      <c r="AB77" s="336"/>
      <c r="AC77" s="336"/>
      <c r="AD77" s="336">
        <f ca="1">ROUNDDOWN((SUM($J$28:AD28)-SUM($J$76:AD76))*$C$76*(AG7-AD7)/365,6)</f>
        <v>1227.7610950000001</v>
      </c>
      <c r="AE77" s="336"/>
      <c r="AF77" s="336"/>
      <c r="AG77" s="336">
        <f ca="1">ROUNDDOWN((SUM($J$28:AG28)-SUM($J$76:AG76))*$C$76*(AJ7-AG7)/365,6)</f>
        <v>1172.35726</v>
      </c>
      <c r="AH77" s="336"/>
      <c r="AI77" s="336"/>
      <c r="AJ77" s="336">
        <f ca="1">ROUNDDOWN((SUM($J$28:AJ28)-SUM($J$76:AJ76))*$C$76*(AM7-AJ7)/365,6)</f>
        <v>1109.444383</v>
      </c>
      <c r="AK77" s="336"/>
      <c r="AL77" s="336"/>
      <c r="AM77" s="336">
        <f ca="1">ROUNDDOWN((SUM($J$28:AM28)-SUM($J$76:AM76))*$C$76*(AP7-AM7)/365,6)</f>
        <v>1094.926027</v>
      </c>
      <c r="AN77" s="336"/>
      <c r="AO77" s="336"/>
      <c r="AP77" s="336">
        <f ca="1">ROUNDDOWN((SUM($J$28:AP28)-SUM($J$76:AP76))*$C$76*(AS7-AP7)/365,6)</f>
        <v>1002.476712</v>
      </c>
      <c r="AQ77" s="336"/>
      <c r="AR77" s="337"/>
      <c r="AS77" s="336">
        <f ca="1">ROUNDDOWN((SUM($J$28:AS28)-SUM($J$76:AS76))*$C$76*(AV7-AS7)/365,6)</f>
        <v>964.26082099999996</v>
      </c>
      <c r="AT77" s="337"/>
      <c r="AU77" s="337"/>
      <c r="AV77" s="336">
        <f ca="1">ROUNDDOWN((SUM($J$28:AV28)-SUM($J$76:AV76))*$C$76*(AY7-AV7)/365,6)</f>
        <v>908.607123</v>
      </c>
      <c r="AW77" s="337"/>
      <c r="AX77" s="337"/>
      <c r="AY77" s="336">
        <f ca="1">ROUNDDOWN((SUM($J$28:AY28)-SUM($J$76:AY76))*$C$76*(BB7-AY7)/365,6)</f>
        <v>903.76767099999995</v>
      </c>
      <c r="AZ77" s="336"/>
      <c r="BA77" s="337"/>
      <c r="BB77" s="336">
        <f ca="1">ROUNDDOWN((SUM($J$28:BB28)-SUM($J$76:BB76))*$C$76*(BE7-BB7)/365,6)</f>
        <v>819.28767100000005</v>
      </c>
      <c r="BC77" s="337"/>
      <c r="BD77" s="337"/>
      <c r="BE77" s="336">
        <f ca="1">ROUNDDOWN((SUM($J$28:BE28)-SUM($J$76:BE76))*$C$76*(BH7-BE7)/365,6)</f>
        <v>829.96602700000005</v>
      </c>
      <c r="BF77" s="336"/>
      <c r="BG77" s="336"/>
      <c r="BH77" s="336">
        <f ca="1">ROUNDDOWN((SUM($J$28:BH28)-SUM($J$76:BH76))*$C$76*(BK7-BH7)/365,6)</f>
        <v>786.41095800000005</v>
      </c>
      <c r="BI77" s="336"/>
      <c r="BJ77" s="337"/>
      <c r="BK77" s="341">
        <f ca="1">ROUNDDOWN((SUM($J$28:BK28)-SUM($J$76:BK76))*$C$76*(BN7-BK7)/365,6)</f>
        <v>786.41095800000005</v>
      </c>
      <c r="BL77" s="336">
        <f ca="1">-ROUNDDOWN(BL76*$C$76*(BN7-BL7)/365,6)</f>
        <v>-635.96712300000002</v>
      </c>
      <c r="BM77" s="336"/>
      <c r="BN77" s="337">
        <f ca="1">ROUNDDOWN((SUM($J$28:BN28)-SUM($J$76:BN76))*$C$76*(BQ7-BN7)/365,6)</f>
        <v>0</v>
      </c>
      <c r="BO77" s="338"/>
      <c r="BP77" s="337"/>
      <c r="BQ77" s="342">
        <f ca="1">ROUNDDOWN((SUM($J$28:BQ28)-SUM($J$76:BQ76))*$C$76*(BT7-BQ7)/365,6)</f>
        <v>0</v>
      </c>
      <c r="BR77" s="336"/>
      <c r="BS77" s="337"/>
      <c r="BT77" s="342"/>
      <c r="BU77" s="342"/>
      <c r="BV77" s="337"/>
      <c r="BW77" s="336"/>
      <c r="BX77" s="336"/>
      <c r="BY77" s="337">
        <f t="shared" ca="1" si="22"/>
        <v>14708.186293999999</v>
      </c>
      <c r="BZ77" s="130"/>
      <c r="CA77" s="343">
        <f t="shared" ca="1" si="23"/>
        <v>0</v>
      </c>
      <c r="CB77" s="132"/>
    </row>
    <row r="78" spans="1:80">
      <c r="A78" s="158"/>
      <c r="B78" s="1771" t="s">
        <v>311</v>
      </c>
      <c r="C78" s="1773">
        <f>손익!AJ68</f>
        <v>0</v>
      </c>
      <c r="D78" s="322">
        <f>D76</f>
        <v>0.19999999999999996</v>
      </c>
      <c r="E78" s="323">
        <f>E29</f>
        <v>0</v>
      </c>
      <c r="F78" s="324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6"/>
      <c r="T78" s="327"/>
      <c r="U78" s="328"/>
      <c r="V78" s="326"/>
      <c r="W78" s="329"/>
      <c r="X78" s="325"/>
      <c r="Y78" s="330"/>
      <c r="Z78" s="331"/>
      <c r="AA78" s="325"/>
      <c r="AB78" s="326"/>
      <c r="AC78" s="326"/>
      <c r="AD78" s="325"/>
      <c r="AE78" s="326"/>
      <c r="AF78" s="326"/>
      <c r="AG78" s="325"/>
      <c r="AH78" s="326"/>
      <c r="AI78" s="326"/>
      <c r="AJ78" s="325"/>
      <c r="AK78" s="326"/>
      <c r="AL78" s="326"/>
      <c r="AM78" s="325"/>
      <c r="AN78" s="326"/>
      <c r="AO78" s="326"/>
      <c r="AP78" s="325"/>
      <c r="AQ78" s="326"/>
      <c r="AR78" s="326"/>
      <c r="AS78" s="325"/>
      <c r="AT78" s="326"/>
      <c r="AU78" s="326"/>
      <c r="AV78" s="325"/>
      <c r="AW78" s="326"/>
      <c r="AX78" s="326"/>
      <c r="AY78" s="325"/>
      <c r="AZ78" s="326"/>
      <c r="BA78" s="326"/>
      <c r="BB78" s="325"/>
      <c r="BC78" s="326"/>
      <c r="BD78" s="326"/>
      <c r="BE78" s="325"/>
      <c r="BF78" s="326"/>
      <c r="BG78" s="325"/>
      <c r="BH78" s="325"/>
      <c r="BI78" s="325"/>
      <c r="BJ78" s="326"/>
      <c r="BK78" s="331"/>
      <c r="BL78" s="325"/>
      <c r="BM78" s="325"/>
      <c r="BN78" s="326"/>
      <c r="BO78" s="329"/>
      <c r="BP78" s="326"/>
      <c r="BQ78" s="327"/>
      <c r="BR78" s="325"/>
      <c r="BS78" s="326"/>
      <c r="BT78" s="327"/>
      <c r="BU78" s="327"/>
      <c r="BV78" s="326"/>
      <c r="BW78" s="325"/>
      <c r="BX78" s="325"/>
      <c r="BY78" s="326">
        <f t="shared" si="22"/>
        <v>0</v>
      </c>
      <c r="BZ78" s="130"/>
      <c r="CA78" s="332">
        <f t="shared" si="23"/>
        <v>0</v>
      </c>
      <c r="CB78" s="132"/>
    </row>
    <row r="79" spans="1:80">
      <c r="A79" s="158"/>
      <c r="B79" s="1772"/>
      <c r="C79" s="1774"/>
      <c r="D79" s="333" t="s">
        <v>307</v>
      </c>
      <c r="E79" s="334">
        <f>BY79</f>
        <v>0</v>
      </c>
      <c r="F79" s="335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7"/>
      <c r="T79" s="338"/>
      <c r="U79" s="339">
        <f>ROUNDDOWN((SUM($J$29:U29)-SUM($J$78:U78))*$C$78*(X7-U7)/365,6)</f>
        <v>0</v>
      </c>
      <c r="V79" s="337"/>
      <c r="W79" s="338"/>
      <c r="X79" s="336">
        <f>ROUNDDOWN((SUM($J$29:X29)-SUM($J$78:X78))*$C$78*(AA7-X7)/365,6)</f>
        <v>0</v>
      </c>
      <c r="Y79" s="340"/>
      <c r="Z79" s="341"/>
      <c r="AA79" s="336">
        <f>ROUNDDOWN((SUM($J$29:AA29)-SUM($J$78:AA78))*$C$78*(AD7-AA7)/365,6)</f>
        <v>0</v>
      </c>
      <c r="AB79" s="336"/>
      <c r="AC79" s="336"/>
      <c r="AD79" s="336">
        <f>ROUNDDOWN((SUM($J$29:AD29)-SUM($J$78:AD78))*$C$78*(AG7-AD7)/365,6)</f>
        <v>0</v>
      </c>
      <c r="AE79" s="336"/>
      <c r="AF79" s="336"/>
      <c r="AG79" s="336">
        <f>ROUNDDOWN((SUM($J$29:AG29)-SUM($J$78:AG78))*$C$78*(AJ7-AG7)/365,6)</f>
        <v>0</v>
      </c>
      <c r="AH79" s="336"/>
      <c r="AI79" s="336"/>
      <c r="AJ79" s="336">
        <f>ROUNDDOWN((SUM($J$29:AJ29)-SUM($J$78:AJ78))*$C$78*(AM7-AJ7)/365,6)</f>
        <v>0</v>
      </c>
      <c r="AK79" s="336"/>
      <c r="AL79" s="336"/>
      <c r="AM79" s="336">
        <f>ROUNDDOWN((SUM($J$29:AM29)-SUM($J$78:AM78))*$C$78*(AP7-AM7)/365,6)</f>
        <v>0</v>
      </c>
      <c r="AN79" s="336"/>
      <c r="AO79" s="336"/>
      <c r="AP79" s="336">
        <f>ROUNDDOWN((SUM($J$29:AP29)-SUM($J$78:AP78))*$C$78*(AS7-AP7)/365,6)</f>
        <v>0</v>
      </c>
      <c r="AQ79" s="336"/>
      <c r="AR79" s="336"/>
      <c r="AS79" s="336">
        <f>ROUNDDOWN((SUM($J$29:AS29)-SUM($J$78:AS78))*$C$78*(AV7-AS7)/365,6)</f>
        <v>0</v>
      </c>
      <c r="AT79" s="336"/>
      <c r="AU79" s="337"/>
      <c r="AV79" s="336">
        <f>ROUNDDOWN((SUM($J$29:AV29)-SUM($J$78:AV78))*$C$78*(AY7-AV7)/365,6)</f>
        <v>0</v>
      </c>
      <c r="AW79" s="336"/>
      <c r="AX79" s="337"/>
      <c r="AY79" s="336">
        <f>ROUNDDOWN((SUM($J$29:AY29)-SUM($J$78:AY78))*$C$78*(BB7-AY7)/365,6)</f>
        <v>0</v>
      </c>
      <c r="AZ79" s="336"/>
      <c r="BA79" s="336"/>
      <c r="BB79" s="336">
        <f>ROUNDDOWN((SUM($J$29:BB29)-SUM($J$78:BB78))*$C$78*(BE7-BB7)/365,6)</f>
        <v>0</v>
      </c>
      <c r="BC79" s="336"/>
      <c r="BD79" s="337"/>
      <c r="BE79" s="336">
        <f>ROUNDDOWN((SUM($J$29:BE29)-SUM($J$78:BE78))*$C$78*(BH7-BE7)/365,6)</f>
        <v>0</v>
      </c>
      <c r="BF79" s="336"/>
      <c r="BG79" s="336"/>
      <c r="BH79" s="336">
        <f>ROUNDDOWN((SUM($J$29:BH29)-SUM($J$78:BH78))*$C$78*(BK7-BH7)/365,6)</f>
        <v>0</v>
      </c>
      <c r="BI79" s="336"/>
      <c r="BJ79" s="337"/>
      <c r="BK79" s="341">
        <f>ROUNDDOWN((SUM($J$29:BK29)-SUM($J$78:BK78))*$C$78*(BN7-BK7)/365,6)</f>
        <v>0</v>
      </c>
      <c r="BL79" s="336"/>
      <c r="BM79" s="336"/>
      <c r="BN79" s="337">
        <f>ROUNDDOWN((SUM($J$29:BN29)-SUM($J$78:BN78))*$C$78*(BQ7-BN7)/365,6)</f>
        <v>0</v>
      </c>
      <c r="BO79" s="338"/>
      <c r="BP79" s="337"/>
      <c r="BQ79" s="342">
        <f>ROUNDDOWN((SUM($J$29:BQ29)-SUM($J$78:BQ78))*$C$78*(BT7-BQ7)/365,6)</f>
        <v>0</v>
      </c>
      <c r="BR79" s="336"/>
      <c r="BS79" s="337"/>
      <c r="BT79" s="342"/>
      <c r="BU79" s="342"/>
      <c r="BV79" s="337"/>
      <c r="BW79" s="336"/>
      <c r="BX79" s="336"/>
      <c r="BY79" s="337">
        <f t="shared" si="22"/>
        <v>0</v>
      </c>
      <c r="BZ79" s="130"/>
      <c r="CA79" s="343">
        <f t="shared" si="23"/>
        <v>0</v>
      </c>
      <c r="CB79" s="132"/>
    </row>
    <row r="80" spans="1:80">
      <c r="A80" s="158"/>
      <c r="B80" s="1771" t="s">
        <v>312</v>
      </c>
      <c r="C80" s="1773">
        <f>손익!AL68</f>
        <v>0</v>
      </c>
      <c r="D80" s="322">
        <f>D78</f>
        <v>0.19999999999999996</v>
      </c>
      <c r="E80" s="323">
        <f>E30</f>
        <v>0</v>
      </c>
      <c r="F80" s="324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6"/>
      <c r="T80" s="327"/>
      <c r="U80" s="328"/>
      <c r="V80" s="326"/>
      <c r="W80" s="329"/>
      <c r="X80" s="325"/>
      <c r="Y80" s="330"/>
      <c r="Z80" s="331"/>
      <c r="AA80" s="325"/>
      <c r="AB80" s="326"/>
      <c r="AC80" s="326"/>
      <c r="AD80" s="325"/>
      <c r="AE80" s="326"/>
      <c r="AF80" s="326"/>
      <c r="AG80" s="325"/>
      <c r="AH80" s="326"/>
      <c r="AI80" s="326"/>
      <c r="AJ80" s="325"/>
      <c r="AK80" s="326"/>
      <c r="AL80" s="326"/>
      <c r="AM80" s="325"/>
      <c r="AN80" s="326"/>
      <c r="AO80" s="326"/>
      <c r="AP80" s="325"/>
      <c r="AQ80" s="326"/>
      <c r="AR80" s="326"/>
      <c r="AS80" s="325"/>
      <c r="AT80" s="326"/>
      <c r="AU80" s="326"/>
      <c r="AV80" s="325"/>
      <c r="AW80" s="326"/>
      <c r="AX80" s="326"/>
      <c r="AY80" s="325"/>
      <c r="AZ80" s="326"/>
      <c r="BA80" s="326"/>
      <c r="BB80" s="325"/>
      <c r="BC80" s="326"/>
      <c r="BD80" s="326"/>
      <c r="BE80" s="325"/>
      <c r="BF80" s="326"/>
      <c r="BG80" s="325"/>
      <c r="BH80" s="325"/>
      <c r="BI80" s="325"/>
      <c r="BJ80" s="326"/>
      <c r="BK80" s="331"/>
      <c r="BL80" s="325"/>
      <c r="BM80" s="325"/>
      <c r="BN80" s="326"/>
      <c r="BO80" s="329"/>
      <c r="BP80" s="326"/>
      <c r="BQ80" s="327"/>
      <c r="BR80" s="325"/>
      <c r="BS80" s="326"/>
      <c r="BT80" s="327"/>
      <c r="BU80" s="327"/>
      <c r="BV80" s="326"/>
      <c r="BW80" s="325"/>
      <c r="BX80" s="325"/>
      <c r="BY80" s="326">
        <f t="shared" si="22"/>
        <v>0</v>
      </c>
      <c r="BZ80" s="130"/>
      <c r="CA80" s="332">
        <f t="shared" si="23"/>
        <v>0</v>
      </c>
      <c r="CB80" s="132"/>
    </row>
    <row r="81" spans="1:80">
      <c r="A81" s="158"/>
      <c r="B81" s="1772"/>
      <c r="C81" s="1774"/>
      <c r="D81" s="344" t="s">
        <v>307</v>
      </c>
      <c r="E81" s="334">
        <f t="shared" ref="E81:E86" si="24">BY81</f>
        <v>0</v>
      </c>
      <c r="F81" s="335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7"/>
      <c r="T81" s="338"/>
      <c r="U81" s="339">
        <f>ROUNDDOWN((SUM($J$30:U30)-SUM($J$80:U80))*$C$80*(X7-U7)/365,6)</f>
        <v>0</v>
      </c>
      <c r="V81" s="337"/>
      <c r="W81" s="338"/>
      <c r="X81" s="336">
        <f>ROUNDDOWN((SUM($J$30:X30)-SUM($J$80:X80))*$C$80*(AA7-X7)/365,6)</f>
        <v>0</v>
      </c>
      <c r="Y81" s="340"/>
      <c r="Z81" s="341"/>
      <c r="AA81" s="336">
        <f>ROUNDDOWN((SUM($J$30:AA30)-SUM($J$80:AA80))*$C$80*(AD7-AA7)/365,6)</f>
        <v>0</v>
      </c>
      <c r="AB81" s="336"/>
      <c r="AC81" s="336"/>
      <c r="AD81" s="336">
        <f>ROUNDDOWN((SUM($J$30:AD30)-SUM($J$80:AD80))*$C$80*(AG7-AD7)/365,6)</f>
        <v>0</v>
      </c>
      <c r="AE81" s="336"/>
      <c r="AF81" s="336"/>
      <c r="AG81" s="336">
        <f>ROUNDDOWN((SUM($J$30:AG30)-SUM($J$80:AG80))*$C$80*(AJ7-AG7)/365,6)</f>
        <v>0</v>
      </c>
      <c r="AH81" s="336"/>
      <c r="AI81" s="336"/>
      <c r="AJ81" s="336">
        <f>ROUNDDOWN((SUM($J$30:AJ30)-SUM($J$80:AJ80))*$C$80*(AM7-AJ7)/365,6)</f>
        <v>0</v>
      </c>
      <c r="AK81" s="336"/>
      <c r="AL81" s="336"/>
      <c r="AM81" s="336">
        <f>ROUNDDOWN((SUM($J$30:AM30)-SUM($J$80:AM80))*$C$80*(AP7-AM7)/365,6)</f>
        <v>0</v>
      </c>
      <c r="AN81" s="336"/>
      <c r="AO81" s="336"/>
      <c r="AP81" s="336">
        <f>ROUNDDOWN((SUM($J$30:AP30)-SUM($J$80:AP80))*$C$80*(AS7-AP7)/365,6)</f>
        <v>0</v>
      </c>
      <c r="AQ81" s="336"/>
      <c r="AR81" s="336"/>
      <c r="AS81" s="336">
        <f>ROUNDDOWN((SUM($J$30:AS30)-SUM($J$80:AS80))*$C$80*(AV7-AS7)/365,6)</f>
        <v>0</v>
      </c>
      <c r="AT81" s="336"/>
      <c r="AU81" s="337"/>
      <c r="AV81" s="336">
        <f>ROUNDDOWN((SUM($J$30:AV30)-SUM($J$80:AV80))*$C$80*(AY7-AV7)/365,6)</f>
        <v>0</v>
      </c>
      <c r="AW81" s="336"/>
      <c r="AX81" s="337"/>
      <c r="AY81" s="336">
        <f>ROUNDDOWN((SUM($J$30:AY30)-SUM($J$80:AY80))*$C$80*(BB7-AY7)/365,6)</f>
        <v>0</v>
      </c>
      <c r="AZ81" s="336"/>
      <c r="BA81" s="336"/>
      <c r="BB81" s="336">
        <f>ROUNDDOWN((SUM($J$30:BB30)-SUM($J$80:BB80))*$C$80*(BE7-BB7)/365,6)</f>
        <v>0</v>
      </c>
      <c r="BC81" s="336"/>
      <c r="BD81" s="337"/>
      <c r="BE81" s="336">
        <f>ROUNDDOWN((SUM($J$30:BE30)-SUM($J$80:BE80))*$C$80*(BH7-BE7)/365,6)</f>
        <v>0</v>
      </c>
      <c r="BF81" s="336"/>
      <c r="BG81" s="336"/>
      <c r="BH81" s="336">
        <f>ROUNDDOWN((SUM($J$30:BH30)-SUM($J$80:BH80))*$C$80*(BK7-BH7)/365,6)</f>
        <v>0</v>
      </c>
      <c r="BI81" s="336"/>
      <c r="BJ81" s="337"/>
      <c r="BK81" s="341">
        <f>ROUNDDOWN((SUM($J$30:BK30)-SUM($J$80:BK80))*$C$80*(BN7-BK7)/365,6)</f>
        <v>0</v>
      </c>
      <c r="BL81" s="336"/>
      <c r="BM81" s="336"/>
      <c r="BN81" s="337">
        <f>ROUNDDOWN((SUM($J$30:BN30)-SUM($J$80:BN80))*$C$80*(BQ7-BN7)/365,6)</f>
        <v>0</v>
      </c>
      <c r="BO81" s="338"/>
      <c r="BP81" s="337"/>
      <c r="BQ81" s="342">
        <f>ROUNDDOWN((SUM($J$30:BQ30)-SUM($J$80:BQ80))*$C$80*(BT7-BQ7)/365,6)</f>
        <v>0</v>
      </c>
      <c r="BR81" s="336"/>
      <c r="BS81" s="337"/>
      <c r="BT81" s="342"/>
      <c r="BU81" s="342"/>
      <c r="BV81" s="337"/>
      <c r="BW81" s="336"/>
      <c r="BX81" s="336"/>
      <c r="BY81" s="337">
        <f t="shared" si="22"/>
        <v>0</v>
      </c>
      <c r="BZ81" s="130"/>
      <c r="CA81" s="343">
        <f t="shared" si="23"/>
        <v>0</v>
      </c>
      <c r="CB81" s="132"/>
    </row>
    <row r="82" spans="1:80">
      <c r="A82" s="158"/>
      <c r="B82" s="1759" t="s">
        <v>313</v>
      </c>
      <c r="C82" s="345">
        <f>손익!AB51</f>
        <v>4.4999999999999998E-2</v>
      </c>
      <c r="D82" s="346" t="str">
        <f>B8</f>
        <v>공동주택</v>
      </c>
      <c r="E82" s="347">
        <f t="shared" ca="1" si="24"/>
        <v>3382.5199999999986</v>
      </c>
      <c r="F82" s="174"/>
      <c r="G82" s="120"/>
      <c r="H82" s="120"/>
      <c r="I82" s="120"/>
      <c r="J82" s="120"/>
      <c r="K82" s="120"/>
      <c r="L82" s="120"/>
      <c r="M82" s="174"/>
      <c r="N82" s="174"/>
      <c r="O82" s="174"/>
      <c r="P82" s="174"/>
      <c r="Q82" s="174"/>
      <c r="R82" s="174"/>
      <c r="S82" s="118"/>
      <c r="T82" s="173"/>
      <c r="U82" s="348"/>
      <c r="V82" s="118"/>
      <c r="W82" s="173"/>
      <c r="X82" s="174"/>
      <c r="Y82" s="175"/>
      <c r="Z82" s="176">
        <f>수입!G64/1000</f>
        <v>0</v>
      </c>
      <c r="AA82" s="173">
        <f>수입!H64/1000</f>
        <v>0</v>
      </c>
      <c r="AB82" s="174">
        <f ca="1">수입!I64/1000</f>
        <v>0</v>
      </c>
      <c r="AC82" s="174">
        <f ca="1">수입!J64/1000</f>
        <v>0</v>
      </c>
      <c r="AD82" s="174">
        <f ca="1">수입!K64/1000</f>
        <v>0</v>
      </c>
      <c r="AE82" s="174">
        <f ca="1">수입!L64/1000</f>
        <v>0</v>
      </c>
      <c r="AF82" s="174">
        <f ca="1">수입!M64/1000</f>
        <v>57.987000000000002</v>
      </c>
      <c r="AG82" s="174">
        <f ca="1">수입!N64/1000</f>
        <v>56.116</v>
      </c>
      <c r="AH82" s="174">
        <f ca="1">수입!O64/1000</f>
        <v>57.987000000000002</v>
      </c>
      <c r="AI82" s="118">
        <f ca="1">수입!P64/1000</f>
        <v>56.116</v>
      </c>
      <c r="AJ82" s="174">
        <f ca="1">수입!Q64/1000</f>
        <v>57.987000000000002</v>
      </c>
      <c r="AK82" s="174">
        <f ca="1">수입!R64/1000</f>
        <v>81.182000000000002</v>
      </c>
      <c r="AL82" s="174">
        <f ca="1">수입!S64/1000</f>
        <v>78.563000000000002</v>
      </c>
      <c r="AM82" s="174">
        <f ca="1">수입!T64/1000</f>
        <v>81.182000000000002</v>
      </c>
      <c r="AN82" s="174">
        <f ca="1">수입!U64/1000</f>
        <v>78.563000000000002</v>
      </c>
      <c r="AO82" s="174">
        <f ca="1">수입!V64/1000</f>
        <v>81.182000000000002</v>
      </c>
      <c r="AP82" s="174">
        <f ca="1">수입!W64/1000</f>
        <v>98.578000000000003</v>
      </c>
      <c r="AQ82" s="174">
        <f ca="1">수입!X64/1000</f>
        <v>92.218000000000004</v>
      </c>
      <c r="AR82" s="174">
        <f ca="1">수입!Y64/1000</f>
        <v>98.578000000000003</v>
      </c>
      <c r="AS82" s="174">
        <f ca="1">수입!Z64/1000</f>
        <v>95.397999999999996</v>
      </c>
      <c r="AT82" s="118">
        <f ca="1">수입!AA64/1000</f>
        <v>98.578000000000003</v>
      </c>
      <c r="AU82" s="173">
        <f ca="1">수입!AB64/1000</f>
        <v>95.397999999999996</v>
      </c>
      <c r="AV82" s="174">
        <f ca="1">수입!AC64/1000</f>
        <v>115.974</v>
      </c>
      <c r="AW82" s="118">
        <f ca="1">수입!AD64/1000</f>
        <v>115.974</v>
      </c>
      <c r="AX82" s="118">
        <f ca="1">수입!AE64/1000</f>
        <v>112.233</v>
      </c>
      <c r="AY82" s="118">
        <f ca="1">수입!AF64/1000</f>
        <v>115.974</v>
      </c>
      <c r="AZ82" s="118">
        <f ca="1">수입!AG64/1000</f>
        <v>112.233</v>
      </c>
      <c r="BA82" s="172">
        <f ca="1">수입!AH64/1000</f>
        <v>133.37100000000001</v>
      </c>
      <c r="BB82" s="118">
        <f ca="1">수입!AI64/1000</f>
        <v>133.37100000000001</v>
      </c>
      <c r="BC82" s="118">
        <f ca="1">수입!AJ64/1000</f>
        <v>120.464</v>
      </c>
      <c r="BD82" s="174">
        <f ca="1">수입!AK64/1000</f>
        <v>133.37100000000001</v>
      </c>
      <c r="BE82" s="174">
        <f ca="1">수입!AL64/1000</f>
        <v>129.06800000000001</v>
      </c>
      <c r="BF82" s="174">
        <f ca="1">수입!AM64/1000</f>
        <v>150.767</v>
      </c>
      <c r="BG82" s="174">
        <f ca="1">수입!AN64/1000</f>
        <v>145.90299999999999</v>
      </c>
      <c r="BH82" s="118">
        <f ca="1">수입!AO64/1000</f>
        <v>150.767</v>
      </c>
      <c r="BI82" s="173">
        <f ca="1">수입!AP64/1000</f>
        <v>150.767</v>
      </c>
      <c r="BJ82" s="118">
        <f ca="1">수입!AQ64/1000</f>
        <v>145.90299999999999</v>
      </c>
      <c r="BK82" s="176">
        <f ca="1">수입!AR64/1000</f>
        <v>150.767</v>
      </c>
      <c r="BL82" s="174">
        <f ca="1">수입!AS64/1000</f>
        <v>0</v>
      </c>
      <c r="BM82" s="174">
        <f ca="1">수입!AT64/1000</f>
        <v>0</v>
      </c>
      <c r="BN82" s="118">
        <f ca="1">수입!AU64/1000</f>
        <v>0</v>
      </c>
      <c r="BO82" s="173">
        <f ca="1">수입!AV64/1000</f>
        <v>0</v>
      </c>
      <c r="BP82" s="118">
        <f ca="1">수입!AW64/1000</f>
        <v>0</v>
      </c>
      <c r="BQ82" s="173">
        <f ca="1">수입!AX64/1000</f>
        <v>0</v>
      </c>
      <c r="BR82" s="174">
        <f ca="1">수입!AY64/1000</f>
        <v>0</v>
      </c>
      <c r="BS82" s="118">
        <f ca="1">수입!AZ64/1000</f>
        <v>0</v>
      </c>
      <c r="BT82" s="172">
        <f ca="1">수입!BA64/1000</f>
        <v>0</v>
      </c>
      <c r="BU82" s="173">
        <f ca="1">수입!BB64/1000</f>
        <v>0</v>
      </c>
      <c r="BV82" s="174">
        <f ca="1">수입!BC64/1000</f>
        <v>0</v>
      </c>
      <c r="BW82" s="174">
        <f ca="1">수입!BD64/1000</f>
        <v>0</v>
      </c>
      <c r="BX82" s="174">
        <f ca="1">수입!BE64/1000</f>
        <v>0</v>
      </c>
      <c r="BY82" s="129">
        <f t="shared" ca="1" si="22"/>
        <v>3382.5199999999986</v>
      </c>
      <c r="BZ82" s="130"/>
      <c r="CA82" s="131">
        <f t="shared" ca="1" si="23"/>
        <v>0</v>
      </c>
      <c r="CB82" s="132"/>
    </row>
    <row r="83" spans="1:80">
      <c r="A83" s="158"/>
      <c r="B83" s="1760"/>
      <c r="C83" s="349">
        <f>C82</f>
        <v>4.4999999999999998E-2</v>
      </c>
      <c r="D83" s="350" t="str">
        <f>B12</f>
        <v xml:space="preserve"> 오피스텔</v>
      </c>
      <c r="E83" s="351">
        <f t="shared" ca="1" si="24"/>
        <v>5774.4690000000019</v>
      </c>
      <c r="F83" s="352"/>
      <c r="G83" s="353"/>
      <c r="H83" s="353"/>
      <c r="I83" s="353"/>
      <c r="J83" s="353"/>
      <c r="K83" s="353"/>
      <c r="L83" s="353"/>
      <c r="M83" s="352"/>
      <c r="N83" s="352"/>
      <c r="O83" s="352"/>
      <c r="P83" s="352"/>
      <c r="Q83" s="352"/>
      <c r="R83" s="352"/>
      <c r="S83" s="354"/>
      <c r="T83" s="355"/>
      <c r="U83" s="356"/>
      <c r="V83" s="354"/>
      <c r="W83" s="355"/>
      <c r="X83" s="352"/>
      <c r="Y83" s="357"/>
      <c r="Z83" s="358">
        <f>수입!G120/1000</f>
        <v>0</v>
      </c>
      <c r="AA83" s="355">
        <f>수입!H120/1000</f>
        <v>0</v>
      </c>
      <c r="AB83" s="352">
        <f ca="1">수입!I120/1000</f>
        <v>0</v>
      </c>
      <c r="AC83" s="352">
        <f ca="1">수입!J120/1000</f>
        <v>0</v>
      </c>
      <c r="AD83" s="352">
        <f ca="1">수입!K120/1000</f>
        <v>0</v>
      </c>
      <c r="AE83" s="352">
        <f ca="1">수입!L120/1000</f>
        <v>0</v>
      </c>
      <c r="AF83" s="352">
        <f ca="1">수입!M120/1000</f>
        <v>0</v>
      </c>
      <c r="AG83" s="352">
        <f ca="1">수입!N120/1000</f>
        <v>0</v>
      </c>
      <c r="AH83" s="352">
        <f ca="1">수입!O120/1000</f>
        <v>0</v>
      </c>
      <c r="AI83" s="352">
        <f ca="1">수입!P120/1000</f>
        <v>0</v>
      </c>
      <c r="AJ83" s="352">
        <f ca="1">수입!Q120/1000</f>
        <v>0</v>
      </c>
      <c r="AK83" s="352">
        <f ca="1">수입!R120/1000</f>
        <v>45.286999999999999</v>
      </c>
      <c r="AL83" s="352">
        <f ca="1">수입!S120/1000</f>
        <v>43.826000000000001</v>
      </c>
      <c r="AM83" s="352">
        <f ca="1">수입!T120/1000</f>
        <v>45.286999999999999</v>
      </c>
      <c r="AN83" s="352">
        <f ca="1">수입!U120/1000</f>
        <v>43.826000000000001</v>
      </c>
      <c r="AO83" s="352">
        <f ca="1">수입!V120/1000</f>
        <v>109.89700000000001</v>
      </c>
      <c r="AP83" s="352">
        <f ca="1">수입!W120/1000</f>
        <v>109.89700000000001</v>
      </c>
      <c r="AQ83" s="352">
        <f ca="1">수입!X120/1000</f>
        <v>102.807</v>
      </c>
      <c r="AR83" s="352">
        <f ca="1">수입!Y120/1000</f>
        <v>109.89700000000001</v>
      </c>
      <c r="AS83" s="352">
        <f ca="1">수입!Z120/1000</f>
        <v>175.30600000000001</v>
      </c>
      <c r="AT83" s="354">
        <f ca="1">수입!AA120/1000</f>
        <v>181.15</v>
      </c>
      <c r="AU83" s="355">
        <f ca="1">수입!AB120/1000</f>
        <v>175.30600000000001</v>
      </c>
      <c r="AV83" s="352">
        <f ca="1">수입!AC120/1000</f>
        <v>181.15</v>
      </c>
      <c r="AW83" s="354">
        <f ca="1">수입!AD120/1000</f>
        <v>241.53299999999999</v>
      </c>
      <c r="AX83" s="354">
        <f ca="1">수입!AE120/1000</f>
        <v>233.74199999999999</v>
      </c>
      <c r="AY83" s="354">
        <f ca="1">수입!AF120/1000</f>
        <v>241.53299999999999</v>
      </c>
      <c r="AZ83" s="354">
        <f ca="1">수입!AG120/1000</f>
        <v>233.74199999999999</v>
      </c>
      <c r="BA83" s="359">
        <f ca="1">수입!AH120/1000</f>
        <v>241.53299999999999</v>
      </c>
      <c r="BB83" s="354">
        <f ca="1">수입!AI120/1000</f>
        <v>301.916</v>
      </c>
      <c r="BC83" s="354">
        <f ca="1">수입!AJ120/1000</f>
        <v>272.69900000000001</v>
      </c>
      <c r="BD83" s="352">
        <f ca="1">수입!AK120/1000</f>
        <v>301.916</v>
      </c>
      <c r="BE83" s="352">
        <f ca="1">수입!AL120/1000</f>
        <v>292.17700000000002</v>
      </c>
      <c r="BF83" s="352">
        <f ca="1">수입!AM120/1000</f>
        <v>301.916</v>
      </c>
      <c r="BG83" s="352">
        <f ca="1">수입!AN120/1000</f>
        <v>350.613</v>
      </c>
      <c r="BH83" s="354">
        <f ca="1">수입!AO120/1000</f>
        <v>362.3</v>
      </c>
      <c r="BI83" s="355">
        <f ca="1">수입!AP120/1000</f>
        <v>362.3</v>
      </c>
      <c r="BJ83" s="354">
        <f ca="1">수입!AQ120/1000</f>
        <v>350.613</v>
      </c>
      <c r="BK83" s="358">
        <f ca="1">수입!AR120/1000</f>
        <v>362.3</v>
      </c>
      <c r="BL83" s="352">
        <f ca="1">수입!AS120/1000</f>
        <v>0</v>
      </c>
      <c r="BM83" s="352">
        <f ca="1">수입!AT120/1000</f>
        <v>0</v>
      </c>
      <c r="BN83" s="354">
        <f ca="1">수입!AU120/1000</f>
        <v>0</v>
      </c>
      <c r="BO83" s="355">
        <f ca="1">수입!AV120/1000</f>
        <v>0</v>
      </c>
      <c r="BP83" s="354">
        <f ca="1">수입!AW120/1000</f>
        <v>0</v>
      </c>
      <c r="BQ83" s="355">
        <f ca="1">수입!AX120/1000</f>
        <v>0</v>
      </c>
      <c r="BR83" s="352">
        <f ca="1">수입!AY120/1000</f>
        <v>0</v>
      </c>
      <c r="BS83" s="354">
        <f ca="1">수입!AZ120/1000</f>
        <v>0</v>
      </c>
      <c r="BT83" s="359">
        <f ca="1">수입!BA120/1000</f>
        <v>0</v>
      </c>
      <c r="BU83" s="355">
        <f ca="1">수입!BB120/1000</f>
        <v>0</v>
      </c>
      <c r="BV83" s="352">
        <f ca="1">수입!BC120/1000</f>
        <v>0</v>
      </c>
      <c r="BW83" s="352">
        <f ca="1">수입!BD120/1000</f>
        <v>0</v>
      </c>
      <c r="BX83" s="352">
        <f ca="1">수입!BE120/1000</f>
        <v>0</v>
      </c>
      <c r="BY83" s="360">
        <f t="shared" ca="1" si="22"/>
        <v>5774.4690000000019</v>
      </c>
      <c r="BZ83" s="130"/>
      <c r="CA83" s="361">
        <f t="shared" ca="1" si="23"/>
        <v>0</v>
      </c>
      <c r="CB83" s="132"/>
    </row>
    <row r="84" spans="1:80">
      <c r="A84" s="158"/>
      <c r="B84" s="1760"/>
      <c r="C84" s="349">
        <f>손익!AD51</f>
        <v>0.05</v>
      </c>
      <c r="D84" s="350" t="str">
        <f>B16</f>
        <v xml:space="preserve"> 근린생활시설</v>
      </c>
      <c r="E84" s="351">
        <f t="shared" ca="1" si="24"/>
        <v>384.85399999999998</v>
      </c>
      <c r="F84" s="352"/>
      <c r="G84" s="353"/>
      <c r="H84" s="353"/>
      <c r="I84" s="353"/>
      <c r="J84" s="353"/>
      <c r="K84" s="353"/>
      <c r="L84" s="353"/>
      <c r="M84" s="352"/>
      <c r="N84" s="352"/>
      <c r="O84" s="352"/>
      <c r="P84" s="352"/>
      <c r="Q84" s="352"/>
      <c r="R84" s="352"/>
      <c r="S84" s="354"/>
      <c r="T84" s="355"/>
      <c r="U84" s="356"/>
      <c r="V84" s="354"/>
      <c r="W84" s="355"/>
      <c r="X84" s="352"/>
      <c r="Y84" s="357"/>
      <c r="Z84" s="358">
        <f>수입!G176/1000</f>
        <v>0</v>
      </c>
      <c r="AA84" s="355">
        <f>수입!H176/1000</f>
        <v>0</v>
      </c>
      <c r="AB84" s="352">
        <f ca="1">수입!I176/1000</f>
        <v>0</v>
      </c>
      <c r="AC84" s="352">
        <f ca="1">수입!J176/1000</f>
        <v>0</v>
      </c>
      <c r="AD84" s="352">
        <f ca="1">수입!K176/1000</f>
        <v>0</v>
      </c>
      <c r="AE84" s="352">
        <f ca="1">수입!L176/1000</f>
        <v>0</v>
      </c>
      <c r="AF84" s="352">
        <f ca="1">수입!M176/1000</f>
        <v>0</v>
      </c>
      <c r="AG84" s="352">
        <f ca="1">수입!N176/1000</f>
        <v>0</v>
      </c>
      <c r="AH84" s="352">
        <f ca="1">수입!O176/1000</f>
        <v>0</v>
      </c>
      <c r="AI84" s="352">
        <f ca="1">수입!P176/1000</f>
        <v>0</v>
      </c>
      <c r="AJ84" s="352">
        <f ca="1">수입!Q176/1000</f>
        <v>0</v>
      </c>
      <c r="AK84" s="352">
        <f ca="1">수입!R176/1000</f>
        <v>0</v>
      </c>
      <c r="AL84" s="352">
        <f ca="1">수입!S176/1000</f>
        <v>0</v>
      </c>
      <c r="AM84" s="352">
        <f ca="1">수입!T176/1000</f>
        <v>4.0670000000000002</v>
      </c>
      <c r="AN84" s="352">
        <f ca="1">수입!U176/1000</f>
        <v>3.9359999999999999</v>
      </c>
      <c r="AO84" s="352">
        <f ca="1">수입!V176/1000</f>
        <v>4.0670000000000002</v>
      </c>
      <c r="AP84" s="352">
        <f ca="1">수입!W176/1000</f>
        <v>4.0670000000000002</v>
      </c>
      <c r="AQ84" s="352">
        <f ca="1">수입!X176/1000</f>
        <v>3.8050000000000002</v>
      </c>
      <c r="AR84" s="352">
        <f ca="1">수입!Y176/1000</f>
        <v>4.0670000000000002</v>
      </c>
      <c r="AS84" s="352">
        <f ca="1">수입!Z176/1000</f>
        <v>12.246</v>
      </c>
      <c r="AT84" s="354">
        <f ca="1">수입!AA176/1000</f>
        <v>12.654</v>
      </c>
      <c r="AU84" s="355">
        <f ca="1">수입!AB176/1000</f>
        <v>12.246</v>
      </c>
      <c r="AV84" s="352">
        <f ca="1">수입!AC176/1000</f>
        <v>12.654</v>
      </c>
      <c r="AW84" s="354">
        <f ca="1">수입!AD176/1000</f>
        <v>12.654</v>
      </c>
      <c r="AX84" s="354">
        <f ca="1">수입!AE176/1000</f>
        <v>12.246</v>
      </c>
      <c r="AY84" s="354">
        <f ca="1">수입!AF176/1000</f>
        <v>18.981000000000002</v>
      </c>
      <c r="AZ84" s="354">
        <f ca="1">수입!AG176/1000</f>
        <v>18.369</v>
      </c>
      <c r="BA84" s="359">
        <f ca="1">수입!AH176/1000</f>
        <v>18.981000000000002</v>
      </c>
      <c r="BB84" s="354">
        <f ca="1">수입!AI176/1000</f>
        <v>18.981000000000002</v>
      </c>
      <c r="BC84" s="354">
        <f ca="1">수입!AJ176/1000</f>
        <v>17.143999999999998</v>
      </c>
      <c r="BD84" s="352">
        <f ca="1">수입!AK176/1000</f>
        <v>18.981000000000002</v>
      </c>
      <c r="BE84" s="352">
        <f ca="1">수입!AL176/1000</f>
        <v>24.492000000000001</v>
      </c>
      <c r="BF84" s="352">
        <f ca="1">수입!AM176/1000</f>
        <v>25.308</v>
      </c>
      <c r="BG84" s="352">
        <f ca="1">수입!AN176/1000</f>
        <v>24.492000000000001</v>
      </c>
      <c r="BH84" s="354">
        <f ca="1">수입!AO176/1000</f>
        <v>25.308</v>
      </c>
      <c r="BI84" s="355">
        <f ca="1">수입!AP176/1000</f>
        <v>25.308</v>
      </c>
      <c r="BJ84" s="354">
        <f ca="1">수입!AQ176/1000</f>
        <v>24.492000000000001</v>
      </c>
      <c r="BK84" s="358">
        <f ca="1">수입!AR176/1000</f>
        <v>25.308</v>
      </c>
      <c r="BL84" s="352">
        <f ca="1">수입!AS176/1000</f>
        <v>0</v>
      </c>
      <c r="BM84" s="352">
        <f ca="1">수입!AT176/1000</f>
        <v>0</v>
      </c>
      <c r="BN84" s="354">
        <f ca="1">수입!AU176/1000</f>
        <v>0</v>
      </c>
      <c r="BO84" s="355">
        <f ca="1">수입!AV176/1000</f>
        <v>0</v>
      </c>
      <c r="BP84" s="354">
        <f ca="1">수입!AW176/1000</f>
        <v>0</v>
      </c>
      <c r="BQ84" s="355">
        <f ca="1">수입!AX176/1000</f>
        <v>0</v>
      </c>
      <c r="BR84" s="352">
        <f ca="1">수입!AY176/1000</f>
        <v>0</v>
      </c>
      <c r="BS84" s="354">
        <f ca="1">수입!AZ176/1000</f>
        <v>0</v>
      </c>
      <c r="BT84" s="359">
        <f ca="1">수입!BA176/1000</f>
        <v>0</v>
      </c>
      <c r="BU84" s="355">
        <f ca="1">수입!BB176/1000</f>
        <v>0</v>
      </c>
      <c r="BV84" s="352">
        <f ca="1">수입!BC176/1000</f>
        <v>0</v>
      </c>
      <c r="BW84" s="352">
        <f ca="1">수입!BD176/1000</f>
        <v>0</v>
      </c>
      <c r="BX84" s="352">
        <f ca="1">수입!BE176/1000</f>
        <v>0</v>
      </c>
      <c r="BY84" s="360">
        <f t="shared" ca="1" si="22"/>
        <v>384.85399999999998</v>
      </c>
      <c r="BZ84" s="130"/>
      <c r="CA84" s="145">
        <f t="shared" ca="1" si="23"/>
        <v>0</v>
      </c>
      <c r="CB84" s="132"/>
    </row>
    <row r="85" spans="1:80" hidden="1">
      <c r="A85" s="158"/>
      <c r="B85" s="1761"/>
      <c r="C85" s="362">
        <f>C84</f>
        <v>0.05</v>
      </c>
      <c r="D85" s="363">
        <f>B20</f>
        <v>0</v>
      </c>
      <c r="E85" s="364">
        <f t="shared" ca="1" si="24"/>
        <v>0</v>
      </c>
      <c r="F85" s="179"/>
      <c r="G85" s="136"/>
      <c r="H85" s="136"/>
      <c r="I85" s="136"/>
      <c r="J85" s="136"/>
      <c r="K85" s="136"/>
      <c r="L85" s="136"/>
      <c r="M85" s="179"/>
      <c r="N85" s="179"/>
      <c r="O85" s="179"/>
      <c r="P85" s="179"/>
      <c r="Q85" s="179"/>
      <c r="R85" s="179"/>
      <c r="S85" s="134"/>
      <c r="T85" s="178"/>
      <c r="U85" s="365"/>
      <c r="V85" s="134"/>
      <c r="W85" s="178"/>
      <c r="X85" s="179"/>
      <c r="Y85" s="180"/>
      <c r="Z85" s="366">
        <f>수입!G231/1000</f>
        <v>0</v>
      </c>
      <c r="AA85" s="178">
        <f>수입!H231/1000</f>
        <v>0</v>
      </c>
      <c r="AB85" s="179">
        <f ca="1">수입!I231/1000</f>
        <v>0</v>
      </c>
      <c r="AC85" s="179">
        <f ca="1">수입!J231/1000</f>
        <v>0</v>
      </c>
      <c r="AD85" s="179">
        <f ca="1">수입!K231/1000</f>
        <v>0</v>
      </c>
      <c r="AE85" s="179">
        <f ca="1">수입!L231/1000</f>
        <v>0</v>
      </c>
      <c r="AF85" s="179">
        <f ca="1">수입!M231/1000</f>
        <v>0</v>
      </c>
      <c r="AG85" s="179">
        <f ca="1">수입!N231/1000</f>
        <v>0</v>
      </c>
      <c r="AH85" s="179">
        <f ca="1">수입!O231/1000</f>
        <v>0</v>
      </c>
      <c r="AI85" s="179">
        <f ca="1">수입!P231/1000</f>
        <v>0</v>
      </c>
      <c r="AJ85" s="179">
        <f ca="1">수입!Q231/1000</f>
        <v>0</v>
      </c>
      <c r="AK85" s="179">
        <f ca="1">수입!R231/1000</f>
        <v>0</v>
      </c>
      <c r="AL85" s="179">
        <f ca="1">수입!S231/1000</f>
        <v>0</v>
      </c>
      <c r="AM85" s="179">
        <f ca="1">수입!T231/1000</f>
        <v>0</v>
      </c>
      <c r="AN85" s="179">
        <f ca="1">수입!U231/1000</f>
        <v>0</v>
      </c>
      <c r="AO85" s="179">
        <f ca="1">수입!V231/1000</f>
        <v>0</v>
      </c>
      <c r="AP85" s="179">
        <f ca="1">수입!W231/1000</f>
        <v>0</v>
      </c>
      <c r="AQ85" s="179">
        <f ca="1">수입!X231/1000</f>
        <v>0</v>
      </c>
      <c r="AR85" s="179">
        <f ca="1">수입!Y231/1000</f>
        <v>0</v>
      </c>
      <c r="AS85" s="179">
        <f ca="1">수입!Z231/1000</f>
        <v>0</v>
      </c>
      <c r="AT85" s="134">
        <f ca="1">수입!AA231/1000</f>
        <v>0</v>
      </c>
      <c r="AU85" s="178">
        <f ca="1">수입!AB231/1000</f>
        <v>0</v>
      </c>
      <c r="AV85" s="179">
        <f ca="1">수입!AC231/1000</f>
        <v>0</v>
      </c>
      <c r="AW85" s="134">
        <f ca="1">수입!AD231/1000</f>
        <v>0</v>
      </c>
      <c r="AX85" s="134">
        <f ca="1">수입!AE231/1000</f>
        <v>0</v>
      </c>
      <c r="AY85" s="134">
        <f ca="1">수입!AF231/1000</f>
        <v>0</v>
      </c>
      <c r="AZ85" s="134">
        <f ca="1">수입!AG231/1000</f>
        <v>0</v>
      </c>
      <c r="BA85" s="177">
        <f ca="1">수입!AH231/1000</f>
        <v>0</v>
      </c>
      <c r="BB85" s="134">
        <f ca="1">수입!AI231/1000</f>
        <v>0</v>
      </c>
      <c r="BC85" s="134">
        <f ca="1">수입!AJ231/1000</f>
        <v>0</v>
      </c>
      <c r="BD85" s="179">
        <f ca="1">수입!AK231/1000</f>
        <v>0</v>
      </c>
      <c r="BE85" s="179">
        <f ca="1">수입!AL231/1000</f>
        <v>0</v>
      </c>
      <c r="BF85" s="179">
        <f ca="1">수입!AM231/1000</f>
        <v>0</v>
      </c>
      <c r="BG85" s="179">
        <f ca="1">수입!AN231/1000</f>
        <v>0</v>
      </c>
      <c r="BH85" s="134">
        <f ca="1">수입!AO231/1000</f>
        <v>0</v>
      </c>
      <c r="BI85" s="178">
        <f ca="1">수입!AP231/1000</f>
        <v>0</v>
      </c>
      <c r="BJ85" s="134">
        <f ca="1">수입!AQ231/1000</f>
        <v>0</v>
      </c>
      <c r="BK85" s="366">
        <f ca="1">수입!AR231/1000</f>
        <v>0</v>
      </c>
      <c r="BL85" s="179">
        <f ca="1">수입!AS231/1000</f>
        <v>0</v>
      </c>
      <c r="BM85" s="179">
        <f ca="1">수입!AT231/1000</f>
        <v>0</v>
      </c>
      <c r="BN85" s="134">
        <f ca="1">수입!AU231/1000</f>
        <v>0</v>
      </c>
      <c r="BO85" s="178">
        <f ca="1">수입!AV231/1000</f>
        <v>0</v>
      </c>
      <c r="BP85" s="134">
        <f ca="1">수입!AW231/1000</f>
        <v>0</v>
      </c>
      <c r="BQ85" s="178">
        <f ca="1">수입!AX231/1000</f>
        <v>0</v>
      </c>
      <c r="BR85" s="179">
        <f ca="1">수입!AY231/1000</f>
        <v>0</v>
      </c>
      <c r="BS85" s="134">
        <f ca="1">수입!AZ231/1000</f>
        <v>0</v>
      </c>
      <c r="BT85" s="177">
        <f ca="1">수입!BA231/1000</f>
        <v>0</v>
      </c>
      <c r="BU85" s="178">
        <f ca="1">수입!BB231/1000</f>
        <v>0</v>
      </c>
      <c r="BV85" s="179">
        <f ca="1">수입!BC231/1000</f>
        <v>0</v>
      </c>
      <c r="BW85" s="179">
        <f ca="1">수입!BD231/1000</f>
        <v>0</v>
      </c>
      <c r="BX85" s="179">
        <f ca="1">수입!BE231/1000</f>
        <v>0</v>
      </c>
      <c r="BY85" s="144">
        <f t="shared" ca="1" si="22"/>
        <v>0</v>
      </c>
      <c r="BZ85" s="130"/>
      <c r="CA85" s="367">
        <f t="shared" ca="1" si="23"/>
        <v>0</v>
      </c>
      <c r="CB85" s="132"/>
    </row>
    <row r="86" spans="1:80">
      <c r="A86" s="158"/>
      <c r="B86" s="1762" t="s">
        <v>314</v>
      </c>
      <c r="C86" s="1763"/>
      <c r="D86" s="368" t="s">
        <v>315</v>
      </c>
      <c r="E86" s="347">
        <f t="shared" ca="1" si="24"/>
        <v>-1017.4670849603772</v>
      </c>
      <c r="F86" s="174"/>
      <c r="G86" s="174"/>
      <c r="H86" s="174">
        <f ca="1">IF(MOD(MONTH(H7),3)=1,IF(G87-SUM($G$86:G86)&lt;0,IF(MOD(MONTH(H7),6)=1,G87-SUM($G$86:G86),0),G87-SUM($G$86:G86)),0)</f>
        <v>0</v>
      </c>
      <c r="I86" s="174">
        <f>IF(MOD(MONTH(I7),3)=1,IF(H87-SUM($G$86:H86)&lt;0,IF(MOD(MONTH(I7),6)=1,H87-SUM($G$86:H86),0),H87-SUM($G$86:H86)),0)</f>
        <v>0</v>
      </c>
      <c r="J86" s="174">
        <f>IF(MOD(MONTH(J7),3)=1,IF(I87-SUM($G$86:I86)&lt;0,IF(MOD(MONTH(J7),6)=1,I87-SUM($G$86:I86),0),I87-SUM($G$86:I86)),0)</f>
        <v>0</v>
      </c>
      <c r="K86" s="174">
        <f ca="1">IF(MOD(MONTH(K7),3)=1,IF(J87-SUM($G$86:J86)&lt;0,IF(MOD(MONTH(K7),6)=1,J87-SUM($G$86:J86),0),J87-SUM($G$86:J86)),0)</f>
        <v>-3.5007000000000001</v>
      </c>
      <c r="L86" s="174">
        <f>IF(MOD(MONTH(L7),3)=1,IF(K87-SUM($G$86:K86)&lt;0,IF(MOD(MONTH(L7),6)=1,K87-SUM($G$86:K86),0),K87-SUM($G$86:K86)),0)</f>
        <v>0</v>
      </c>
      <c r="M86" s="174">
        <f>IF(MOD(MONTH(M7),3)=1,IF(L87-SUM($G$86:L86)&lt;0,IF(MOD(MONTH(M7),6)=1,L87-SUM($G$86:L86),0),L87-SUM($G$86:L86)),0)</f>
        <v>0</v>
      </c>
      <c r="N86" s="174">
        <f ca="1">IF(MOD(MONTH(N7),3)=1,IF(M87-SUM($G$86:M86)&lt;0,IF(MOD(MONTH(N7),6)=1,M87-SUM($G$86:M86),0),M87-SUM($G$86:M86)),0)</f>
        <v>0</v>
      </c>
      <c r="O86" s="174">
        <f>IF(MOD(MONTH(O7),3)=1,IF(N87-SUM($G$86:N86)&lt;0,IF(MOD(MONTH(O7),6)=1,N87-SUM($G$86:N86),0),N87-SUM($G$86:N86)),0)</f>
        <v>0</v>
      </c>
      <c r="P86" s="174">
        <f>IF(MOD(MONTH(P7),3)=1,IF(O87-SUM($G$86:O86)&lt;0,IF(MOD(MONTH(P7),6)=1,O87-SUM($G$86:O86),0),O87-SUM($G$86:O86)),0)</f>
        <v>0</v>
      </c>
      <c r="Q86" s="174">
        <f ca="1">IF(MOD(MONTH(Q7),3)=1,IF(P87-SUM($G$86:P86)&lt;0,IF(MOD(MONTH(Q7),6)=1,P87-SUM($G$86:P86),0),P87-SUM($G$86:P86)),0)</f>
        <v>-20.446758603822822</v>
      </c>
      <c r="R86" s="174">
        <f>IF(MOD(MONTH(R7),3)=1,IF(Q87-SUM($G$86:Q86)&lt;0,IF(MOD(MONTH(R7),6)=1,Q87-SUM($G$86:Q86),0),Q87-SUM($G$86:Q86)),0)</f>
        <v>0</v>
      </c>
      <c r="S86" s="118">
        <f>IF(MOD(MONTH(S7),3)=1,IF(R87-SUM($G$86:R86)&lt;0,IF(MOD(MONTH(S7),6)=1,R87-SUM($G$86:R86),0),R87-SUM($G$86:R86)),0)</f>
        <v>0</v>
      </c>
      <c r="T86" s="173">
        <f ca="1">IF(MOD(MONTH(T7),3)=1,IF(S87-SUM($G$86:S86)&lt;0,IF(MOD(MONTH(T7),6)=1,S87-SUM($G$86:S86),0),S87-SUM($G$86:S86)),0)</f>
        <v>0</v>
      </c>
      <c r="U86" s="348">
        <f>IF(MOD(MONTH(U7),3)=1,IF(T87-SUM($G$86:T86)&lt;0,IF(MOD(MONTH(U7),6)=1,T87-SUM($G$86:T86),0),T87-SUM($G$86:T86)),0)</f>
        <v>0</v>
      </c>
      <c r="V86" s="118">
        <f>IF(MOD(MONTH(V7),3)=1,IF(U87-SUM($G$86:U86)&lt;0,IF(MOD(MONTH(V7),6)=1,U87-SUM($G$86:U86),0),U87-SUM($G$86:U86)),0)</f>
        <v>0</v>
      </c>
      <c r="W86" s="173">
        <f ca="1">IF(MOD(MONTH(W7),3)=1,IF(V87-SUM($G$86:V86)&lt;0,IF(MOD(MONTH(W7),6)=1,V87-SUM($G$86:V86),0),V87-SUM($G$86:V86)),0)</f>
        <v>-95.235742535861661</v>
      </c>
      <c r="X86" s="174">
        <f>IF(MOD(MONTH(X7),3)=1,IF(W87-SUM($G$86:W86)&lt;0,IF(MOD(MONTH(X7),6)=1,W87-SUM($G$86:W86),0),W87-SUM($G$86:W86)),0)</f>
        <v>0</v>
      </c>
      <c r="Y86" s="175">
        <f>IF(MOD(MONTH(Y7),3)=1,IF(X87-SUM($G$86:X86)&lt;0,IF(MOD(MONTH(Y7),6)=1,X87-SUM($G$86:X86),0),X87-SUM($G$86:X86)),0)</f>
        <v>0</v>
      </c>
      <c r="Z86" s="176">
        <f ca="1">IF(MOD(MONTH(Z7),3)=1,IF(Y87-SUM($G$86:Y86)&lt;0,IF(MOD(MONTH(Z7),6)=1,Y87-SUM($G$86:Y86),0),Y87-SUM($G$86:Y86)),0)</f>
        <v>0</v>
      </c>
      <c r="AA86" s="173">
        <f>IF(MOD(MONTH(AA7),3)=1,IF(Z87-SUM($G$86:Z86)&lt;0,IF(MOD(MONTH(AA7),6)=1,Z87-SUM($G$86:Z86),0),Z87-SUM($G$86:Z86)),0)</f>
        <v>0</v>
      </c>
      <c r="AB86" s="174">
        <f>IF(MOD(MONTH(AB7),3)=1,IF(AA87-SUM($G$86:AA86)&lt;0,IF(MOD(MONTH(AB7),6)=1,AA87-SUM($G$86:AA86),0),AA87-SUM($G$86:AA86)),0)</f>
        <v>0</v>
      </c>
      <c r="AC86" s="174">
        <f ca="1">IF(MOD(MONTH(AC7),3)=1,IF(AB87-SUM($G$86:AB86)&lt;0,IF(MOD(MONTH(AC7),6)=1,AB87-SUM($G$86:AB86),0),AB87-SUM($G$86:AB86)),0)</f>
        <v>-666.76915246416706</v>
      </c>
      <c r="AD86" s="174">
        <f>IF(MOD(MONTH(AD7),3)=1,IF(AC87-SUM($G$86:AC86)&lt;0,IF(MOD(MONTH(AD7),6)=1,AC87-SUM($G$86:AC86),0),AC87-SUM($G$86:AC86)),0)</f>
        <v>0</v>
      </c>
      <c r="AE86" s="174">
        <f>IF(MOD(MONTH(AE7),3)=1,IF(AD87-SUM($G$86:AD86)&lt;0,IF(MOD(MONTH(AE7),6)=1,AD87-SUM($G$86:AD86),0),AD87-SUM($G$86:AD86)),0)</f>
        <v>0</v>
      </c>
      <c r="AF86" s="174">
        <f ca="1">IF(MOD(MONTH(AF7),3)=1,IF(AE87-SUM($G$86:AE86)&lt;0,IF(MOD(MONTH(AF7),6)=1,AE87-SUM($G$86:AE86),0),AE87-SUM($G$86:AE86)),0)</f>
        <v>0</v>
      </c>
      <c r="AG86" s="174">
        <f>IF(MOD(MONTH(AG7),3)=1,IF(AF87-SUM($G$86:AF86)&lt;0,IF(MOD(MONTH(AG7),6)=1,AF87-SUM($G$86:AF86),0),AF87-SUM($G$86:AF86)),0)</f>
        <v>0</v>
      </c>
      <c r="AH86" s="174">
        <f>IF(MOD(MONTH(AH7),3)=1,IF(AG87-SUM($G$86:AG86)&lt;0,IF(MOD(MONTH(AH7),6)=1,AG87-SUM($G$86:AG86),0),AG87-SUM($G$86:AG86)),0)</f>
        <v>0</v>
      </c>
      <c r="AI86" s="174">
        <f ca="1">IF(MOD(MONTH(AI7),3)=1,IF(AH87-SUM($G$86:AH86)&lt;0,IF(MOD(MONTH(AI7),6)=1,AH87-SUM($G$86:AH86),0),AH87-SUM($G$86:AH86)),0)</f>
        <v>-433.78695071197683</v>
      </c>
      <c r="AJ86" s="174">
        <f>IF(MOD(MONTH(AJ7),3)=1,IF(AI87-SUM($G$86:AI86)&lt;0,IF(MOD(MONTH(AJ7),6)=1,AI87-SUM($G$86:AI86),0),AI87-SUM($G$86:AI86)),0)</f>
        <v>0</v>
      </c>
      <c r="AK86" s="174">
        <f>IF(MOD(MONTH(AK7),3)=1,IF(AJ87-SUM($G$86:AJ86)&lt;0,IF(MOD(MONTH(AK7),6)=1,AJ87-SUM($G$86:AJ86),0),AJ87-SUM($G$86:AJ86)),0)</f>
        <v>0</v>
      </c>
      <c r="AL86" s="174">
        <f ca="1">IF(MOD(MONTH(AL7),3)=1,IF(AK87-SUM($G$86:AK86)&lt;0,IF(MOD(MONTH(AL7),6)=1,AK87-SUM($G$86:AK86),0),AK87-SUM($G$86:AK86)),0)</f>
        <v>0</v>
      </c>
      <c r="AM86" s="174">
        <f>IF(MOD(MONTH(AM7),3)=1,IF(AL87-SUM($G$86:AL86)&lt;0,IF(MOD(MONTH(AM7),6)=1,AL87-SUM($G$86:AL86),0),AL87-SUM($G$86:AL86)),0)</f>
        <v>0</v>
      </c>
      <c r="AN86" s="174">
        <f>IF(MOD(MONTH(AN7),3)=1,IF(AM87-SUM($G$86:AM86)&lt;0,IF(MOD(MONTH(AN7),6)=1,AM87-SUM($G$86:AM86),0),AM87-SUM($G$86:AM86)),0)</f>
        <v>0</v>
      </c>
      <c r="AO86" s="174">
        <f ca="1">IF(MOD(MONTH(AO7),3)=1,IF(AN87-SUM($G$86:AN86)&lt;0,IF(MOD(MONTH(AO7),6)=1,AN87-SUM($G$86:AN86),0),AN87-SUM($G$86:AN86)),0)</f>
        <v>601.64579795560667</v>
      </c>
      <c r="AP86" s="174">
        <f>IF(MOD(MONTH(AP7),3)=1,IF(AO87-SUM($G$86:AO86)&lt;0,IF(MOD(MONTH(AP7),6)=1,AO87-SUM($G$86:AO86),0),AO87-SUM($G$86:AO86)),0)</f>
        <v>0</v>
      </c>
      <c r="AQ86" s="174">
        <f>IF(MOD(MONTH(AQ7),3)=1,IF(AP87-SUM($G$86:AP86)&lt;0,IF(MOD(MONTH(AQ7),6)=1,AP87-SUM($G$86:AP86),0),AP87-SUM($G$86:AP86)),0)</f>
        <v>0</v>
      </c>
      <c r="AR86" s="174">
        <f ca="1">IF(MOD(MONTH(AR7),3)=1,IF(AQ87-SUM($G$86:AQ86)&lt;0,IF(MOD(MONTH(AR7),6)=1,AQ87-SUM($G$86:AQ86),0),AQ87-SUM($G$86:AQ86)),0)</f>
        <v>0</v>
      </c>
      <c r="AS86" s="174">
        <f>IF(MOD(MONTH(AS7),3)=1,IF(AR87-SUM($G$86:AR86)&lt;0,IF(MOD(MONTH(AS7),6)=1,AR87-SUM($G$86:AR86),0),AR87-SUM($G$86:AR86)),0)</f>
        <v>0</v>
      </c>
      <c r="AT86" s="118">
        <f>IF(MOD(MONTH(AT7),3)=1,IF(AS87-SUM($G$86:AS86)&lt;0,IF(MOD(MONTH(AT7),6)=1,AS87-SUM($G$86:AS86),0),AS87-SUM($G$86:AS86)),0)</f>
        <v>0</v>
      </c>
      <c r="AU86" s="173">
        <f ca="1">IF(MOD(MONTH(AU7),3)=1,IF(AT87-SUM($G$86:AT86)&lt;0,IF(MOD(MONTH(AU7),6)=1,AT87-SUM($G$86:AT86),0),AT87-SUM($G$86:AT86)),0)</f>
        <v>-303.90163763475311</v>
      </c>
      <c r="AV86" s="174">
        <f>IF(MOD(MONTH(AV7),3)=1,IF(AU87-SUM($G$86:AU86)&lt;0,IF(MOD(MONTH(AV7),6)=1,AU87-SUM($G$86:AU86),0),AU87-SUM($G$86:AU86)),0)</f>
        <v>0</v>
      </c>
      <c r="AW86" s="118">
        <f>IF(MOD(MONTH(AW7),3)=1,IF(AV87-SUM($G$86:AV86)&lt;0,IF(MOD(MONTH(AW7),6)=1,AV87-SUM($G$86:AV86),0),AV87-SUM($G$86:AV86)),0)</f>
        <v>0</v>
      </c>
      <c r="AX86" s="118">
        <f ca="1">IF(MOD(MONTH(AX7),3)=1,IF(AW87-SUM($G$86:AW86)&lt;0,IF(MOD(MONTH(AX7),6)=1,AW87-SUM($G$86:AW86),0),AW87-SUM($G$86:AW86)),0)</f>
        <v>0</v>
      </c>
      <c r="AY86" s="118">
        <f>IF(MOD(MONTH(AY7),3)=1,IF(AX87-SUM($G$86:AX86)&lt;0,IF(MOD(MONTH(AY7),6)=1,AX87-SUM($G$86:AX86),0),AX87-SUM($G$86:AX86)),0)</f>
        <v>0</v>
      </c>
      <c r="AZ86" s="118">
        <f>IF(MOD(MONTH(AZ7),3)=1,IF(AY87-SUM($G$86:AY86)&lt;0,IF(MOD(MONTH(AZ7),6)=1,AY87-SUM($G$86:AY86),0),AY87-SUM($G$86:AY86)),0)</f>
        <v>0</v>
      </c>
      <c r="BA86" s="172">
        <f ca="1">IF(MOD(MONTH(BA7),3)=1,IF(AZ87-SUM($G$86:AZ86)&lt;0,IF(MOD(MONTH(BA7),6)=1,AZ87-SUM($G$86:AZ86),0),AZ87-SUM($G$86:AZ86)),0)</f>
        <v>-1084.8795316214848</v>
      </c>
      <c r="BB86" s="118">
        <f>IF(MOD(MONTH(BB7),3)=1,IF(BA87-SUM($G$86:BA86)&lt;0,IF(MOD(MONTH(BB7),6)=1,BA87-SUM($G$86:BA86),0),BA87-SUM($G$86:BA86)),0)</f>
        <v>0</v>
      </c>
      <c r="BC86" s="118">
        <f>IF(MOD(MONTH(BC7),3)=1,IF(BB87-SUM($G$86:BB86)&lt;0,IF(MOD(MONTH(BC7),6)=1,BB87-SUM($G$86:BB86),0),BB87-SUM($G$86:BB86)),0)</f>
        <v>0</v>
      </c>
      <c r="BD86" s="174">
        <f ca="1">IF(MOD(MONTH(BD7),3)=1,IF(BC87-SUM($G$86:BC86)&lt;0,IF(MOD(MONTH(BD7),6)=1,BC87-SUM($G$86:BC86),0),BC87-SUM($G$86:BC86)),0)</f>
        <v>0</v>
      </c>
      <c r="BE86" s="174">
        <f>IF(MOD(MONTH(BE7),3)=1,IF(BD87-SUM($G$86:BD86)&lt;0,IF(MOD(MONTH(BE7),6)=1,BD87-SUM($G$86:BD86),0),BD87-SUM($G$86:BD86)),0)</f>
        <v>0</v>
      </c>
      <c r="BF86" s="174">
        <f>IF(MOD(MONTH(BF7),3)=1,IF(BE87-SUM($G$86:BE86)&lt;0,IF(MOD(MONTH(BF7),6)=1,BE87-SUM($G$86:BE86),0),BE87-SUM($G$86:BE86)),0)</f>
        <v>0</v>
      </c>
      <c r="BG86" s="174">
        <f ca="1">IF(MOD(MONTH(BG7),3)=1,IF(BF87-SUM($G$86:BF86)&lt;0,IF(MOD(MONTH(BG7),6)=1,BF87-SUM($G$86:BF86),0),BF87-SUM($G$86:BF86)),0)</f>
        <v>-408.35508380063857</v>
      </c>
      <c r="BH86" s="118">
        <f>IF(MOD(MONTH(BH7),3)=1,IF(BG87-SUM($G$86:BG86)&lt;0,IF(MOD(MONTH(BH7),6)=1,BG87-SUM($G$86:BG86),0),BG87-SUM($G$86:BG86)),0)</f>
        <v>0</v>
      </c>
      <c r="BI86" s="173">
        <f>IF(MOD(MONTH(BI7),3)=1,IF(BH87-SUM($G$86:BH86)&lt;0,IF(MOD(MONTH(BI7),6)=1,BH87-SUM($G$86:BH86),0),BH87-SUM($G$86:BH86)),0)</f>
        <v>0</v>
      </c>
      <c r="BJ86" s="118">
        <f ca="1">IF(MOD(MONTH(BJ7),3)=1,IF(BI87-SUM($G$86:BI86)&lt;0,IF(MOD(MONTH(BJ7),6)=1,BI87-SUM($G$86:BI86),0),BI87-SUM($G$86:BI86)),0)</f>
        <v>0</v>
      </c>
      <c r="BK86" s="176">
        <f>IF(MOD(MONTH(BK7),3)=1,IF(BJ87-SUM($G$86:BJ86)&lt;0,IF(MOD(MONTH(BK7),6)=1,BJ87-SUM($G$86:BJ86),0),BJ87-SUM($G$86:BJ86)),0)</f>
        <v>0</v>
      </c>
      <c r="BL86" s="174">
        <f>IF(MOD(MONTH(BL7),3)=1,IF(BK87-SUM($G$86:BK86)&lt;0,IF(MOD(MONTH(BL7),6)=1,BK87-SUM($G$86:BK86),0),BK87-SUM($G$86:BK86)),0)</f>
        <v>0</v>
      </c>
      <c r="BM86" s="174">
        <f ca="1">IF(MOD(MONTH(BM7),3)=1,IF(BL87-SUM($G$86:BL86)&lt;0,IF(MOD(MONTH(BM7),6)=1,BL87-SUM($G$86:BL86),0),BL87-SUM($G$86:BL86)),0)</f>
        <v>436.2755058084681</v>
      </c>
      <c r="BN86" s="118">
        <f>IF(MOD(MONTH(BN7),3)=1,IF(BM87-SUM($G$86:BM86)&lt;0,IF(MOD(MONTH(BN7),6)=1,BM87-SUM($G$86:BM86),0),BM87-SUM($G$86:BM86)),0)</f>
        <v>0</v>
      </c>
      <c r="BO86" s="173">
        <f>IF(MOD(MONTH(BO7),3)=1,IF(BN87-SUM($G$86:BN86)&lt;0,IF(MOD(MONTH(BO7),6)=1,BN87-SUM($G$86:BN86),0),BN87-SUM($G$86:BN86)),0)</f>
        <v>0</v>
      </c>
      <c r="BP86" s="118">
        <f ca="1">IF(MOD(MONTH(BP7),3)=1,IF(BO87-SUM($G$86:BO86)&lt;0,IF(MOD(MONTH(BP7),6)=1,BO87-SUM($G$86:BO86),0),BO87-SUM($G$86:BO86)),0)</f>
        <v>961.48716864825292</v>
      </c>
      <c r="BQ86" s="173">
        <f>IF(MOD(MONTH(BQ7),3)=1,IF(BP87-SUM($G$86:BP86)&lt;0,IF(MOD(MONTH(BQ7),6)=1,BP87-SUM($G$86:BP86),0),BP87-SUM($G$86:BP86)),0)</f>
        <v>0</v>
      </c>
      <c r="BR86" s="174">
        <f>IF(MOD(MONTH(BR7),3)=1,IF(BQ87-SUM($G$86:BQ86)&lt;0,IF(MOD(MONTH(BR7),6)=1,BQ87-SUM($G$86:BQ86),0),BQ87-SUM($G$86:BQ86)),0)</f>
        <v>0</v>
      </c>
      <c r="BS86" s="118">
        <f ca="1">IF(MOD(MONTH(BS7),3)=1,IF(BR87-SUM($G$86:BR86)&lt;0,IF(MOD(MONTH(BS7),6)=1,BR87-SUM($G$86:BR86),0),BR87-SUM($G$86:BR86)),0)</f>
        <v>0</v>
      </c>
      <c r="BT86" s="172">
        <f>IF(MOD(MONTH(BT7),3)=1,IF(BS87-SUM($G$86:BS86)&lt;0,IF(MOD(MONTH(BT7),6)=1,BS87-SUM($G$86:BS86),0),BS87-SUM($G$86:BS86)),0)</f>
        <v>0</v>
      </c>
      <c r="BU86" s="173">
        <f>IF(MOD(MONTH(BU7),3)=1,IF(BT87-SUM($G$86:BT86)&lt;0,IF(MOD(MONTH(BU7),6)=1,BT87-SUM($G$86:BT86),0),BT87-SUM($G$86:BT86)),0)</f>
        <v>0</v>
      </c>
      <c r="BV86" s="174">
        <f ca="1">IF(MOD(MONTH(BV7),3)=1,IF(BU87-SUM($G$86:BU86)&lt;0,IF(MOD(MONTH(BV7),6)=1,BU87-SUM($G$86:BU86),0),BU87-SUM($G$86:BU86)),0)</f>
        <v>0</v>
      </c>
      <c r="BW86" s="174">
        <f>IF(MOD(MONTH(BW7),3)=1,IF(BV87-SUM($G$86:BV86)&lt;0,IF(MOD(MONTH(BW7),6)=1,BV87-SUM($G$86:BV86),0),BV87-SUM($G$86:BV86)),0)</f>
        <v>0</v>
      </c>
      <c r="BX86" s="174">
        <f>IF(MOD(MONTH(BX7),3)=1,IF(BW87-SUM($G$86:BW86)&lt;0,IF(MOD(MONTH(BX7),6)=1,BW87-SUM($G$86:BW86),0),BW87-SUM($G$86:BW86)),0)</f>
        <v>0</v>
      </c>
      <c r="BY86" s="129">
        <f t="shared" ca="1" si="22"/>
        <v>-1017.4670849603772</v>
      </c>
      <c r="BZ86" s="130"/>
      <c r="CA86" s="361">
        <f t="shared" ca="1" si="23"/>
        <v>0</v>
      </c>
      <c r="CB86" s="132"/>
    </row>
    <row r="87" spans="1:80">
      <c r="A87" s="158"/>
      <c r="B87" s="1764"/>
      <c r="C87" s="1765"/>
      <c r="D87" s="363" t="s">
        <v>316</v>
      </c>
      <c r="E87" s="364"/>
      <c r="F87" s="179"/>
      <c r="G87" s="179">
        <f ca="1">(SUM(G9,G13,G17,G21)+G24*$CB$24)-((SUMPRODUCT(G34:G38,$CB$34:$CB$38)+SUMPRODUCT(G40:G50,$CB$40:$CB$50)+SUMPRODUCT(G52:G68,$CB$52:$CB$68)+G98)*면세비율!$G$28+(G39*$CB$39)+(G51*$CB$51)+G95)+F87</f>
        <v>0</v>
      </c>
      <c r="H87" s="179">
        <f ca="1">(SUM(H9,H13,H17,H21)+H24*$CB$24)-((SUMPRODUCT(H34:H38,$CB$34:$CB$38)+SUMPRODUCT(H40:H50,$CB$40:$CB$50)+SUMPRODUCT(H52:H68,$CB$52:$CB$68)+H98)*면세비율!$G$28+(H39*$CB$39)+(H51*$CB$51)+H95)+G87</f>
        <v>0</v>
      </c>
      <c r="I87" s="179">
        <f ca="1">(SUM(I9,I13,I17,I21)+I24*$CB$24)-((SUMPRODUCT(I34:I38,$CB$34:$CB$38)+SUMPRODUCT(I40:I50,$CB$40:$CB$50)+SUMPRODUCT(I52:I68,$CB$52:$CB$68)+I98)*면세비율!$G$28+(I39*$CB$39)+(I51*$CB$51)+I95)+H87</f>
        <v>-3.5007000000000001</v>
      </c>
      <c r="J87" s="179">
        <f ca="1">(SUM(J9,J13,J17,J21)+J24*$CB$24)-((SUMPRODUCT(J34:J38,$CB$34:$CB$38)+SUMPRODUCT(J40:J50,$CB$40:$CB$50)+SUMPRODUCT(J52:J68,$CB$52:$CB$68)+J98)*면세비율!$G$28+(J39*$CB$39)+(J51*$CB$51)+J95)+I87</f>
        <v>-3.5007000000000001</v>
      </c>
      <c r="K87" s="179">
        <f ca="1">(SUM(K9,K13,K17,K21)+K24*$CB$24)-((SUMPRODUCT(K34:K38,$CB$34:$CB$38)+SUMPRODUCT(K40:K50,$CB$40:$CB$50)+SUMPRODUCT(K52:K68,$CB$52:$CB$68)+K98)*면세비율!$G$28+(K39*$CB$39)+(K51*$CB$51)+K95)+J87</f>
        <v>-23.947458603822824</v>
      </c>
      <c r="L87" s="179">
        <f ca="1">(SUM(L9,L13,L17,L21)+L24*$CB$24)-((SUMPRODUCT(L34:L38,$CB$34:$CB$38)+SUMPRODUCT(L40:L50,$CB$40:$CB$50)+SUMPRODUCT(L52:L68,$CB$52:$CB$68)+L98)*면세비율!$G$28+(L39*$CB$39)+(L51*$CB$51)+L95)+K87</f>
        <v>-23.947458603822824</v>
      </c>
      <c r="M87" s="179">
        <f ca="1">(SUM(M9,M13,M17,M21)+M24*$CB$24)-((SUMPRODUCT(M34:M38,$CB$34:$CB$38)+SUMPRODUCT(M40:M50,$CB$40:$CB$50)+SUMPRODUCT(M52:M68,$CB$52:$CB$68)+M98)*면세비율!$G$28+(M39*$CB$39)+(M51*$CB$51)+M95)+L87</f>
        <v>-23.947458603822824</v>
      </c>
      <c r="N87" s="179">
        <f ca="1">(SUM(N9,N13,N17,N21)+N24*$CB$24)-((SUMPRODUCT(N34:N38,$CB$34:$CB$38)+SUMPRODUCT(N40:N50,$CB$40:$CB$50)+SUMPRODUCT(N52:N68,$CB$52:$CB$68)+N98)*면세비율!$G$28+(N39*$CB$39)+(N51*$CB$51)+N95)+M87</f>
        <v>-23.947458603822824</v>
      </c>
      <c r="O87" s="369">
        <f ca="1">(SUM(O9,O13,O17,O21)+O24*$CB$24)-((SUMPRODUCT(O34:O38,$CB$34:$CB$38)+SUMPRODUCT(O40:O50,$CB$40:$CB$50)+SUMPRODUCT(O52:O68,$CB$52:$CB$68)+O98)*면세비율!$G$28+(O39*$CB$39)+(O51*$CB$51)+O95)+N87</f>
        <v>-23.947458603822824</v>
      </c>
      <c r="P87" s="179">
        <f ca="1">(SUM(P9,P13,P17,P21)+P24*$CB$24)-((SUMPRODUCT(P34:P38,$CB$34:$CB$38)+SUMPRODUCT(P40:P50,$CB$40:$CB$50)+SUMPRODUCT(P52:P68,$CB$52:$CB$68)+P98)*면세비율!$G$28+(P39*$CB$39)+(P51*$CB$51)+P95)+O87</f>
        <v>-23.947458603822824</v>
      </c>
      <c r="Q87" s="179">
        <f ca="1">(SUM(Q9,Q13,Q17,Q21)+Q24*$CB$24)-((SUMPRODUCT(Q34:Q38,$CB$34:$CB$38)+SUMPRODUCT(Q40:Q50,$CB$40:$CB$50)+SUMPRODUCT(Q52:Q68,$CB$52:$CB$68)+Q98)*면세비율!$G$28+(Q39*$CB$39)+(Q51*$CB$51)+Q95)+P87</f>
        <v>-23.947458603822824</v>
      </c>
      <c r="R87" s="179">
        <f ca="1">(SUM(R9,R13,R17,R21)+R24*$CB$24)-((SUMPRODUCT(R34:R38,$CB$34:$CB$38)+SUMPRODUCT(R40:R50,$CB$40:$CB$50)+SUMPRODUCT(R52:R68,$CB$52:$CB$68)+R98)*면세비율!$G$28+(R39*$CB$39)+(R51*$CB$51)+R95)+Q87</f>
        <v>-23.947458603822824</v>
      </c>
      <c r="S87" s="134">
        <f ca="1">(SUM(S9,S13,S17,S21)+S24*$CB$24)-((SUMPRODUCT(S34:S38,$CB$34:$CB$38)+SUMPRODUCT(S40:S50,$CB$40:$CB$50)+SUMPRODUCT(S52:S68,$CB$52:$CB$68)+S98)*면세비율!$G$28+(S39*$CB$39)+(S51*$CB$51)+S95)+R87</f>
        <v>-23.947458603822824</v>
      </c>
      <c r="T87" s="178">
        <f ca="1">(SUM(T9,T13,T17,T21)+T24*$CB$24)-((SUMPRODUCT(T34:T38,$CB$34:$CB$38)+SUMPRODUCT(T40:T50,$CB$40:$CB$50)+SUMPRODUCT(T52:T68,$CB$52:$CB$68)+T98)*면세비율!$G$28+(T39*$CB$39)+(T51*$CB$51)+T95)+S87</f>
        <v>-23.947458603822824</v>
      </c>
      <c r="U87" s="365">
        <f ca="1">(SUM(U9,U13,U17,U21)+U24*$CB$24)-((SUMPRODUCT(U34:U38,$CB$34:$CB$38)+SUMPRODUCT(U40:U50,$CB$40:$CB$50)+SUMPRODUCT(U52:U68,$CB$52:$CB$68)+U98)*면세비율!$G$28+(U39*$CB$39)+(U51*$CB$51)+U95)+T87</f>
        <v>-117.58288113968449</v>
      </c>
      <c r="V87" s="134">
        <f ca="1">(SUM(V9,V13,V17,V21)+V24*$CB$24)-((SUMPRODUCT(V34:V38,$CB$34:$CB$38)+SUMPRODUCT(V40:V50,$CB$40:$CB$50)+SUMPRODUCT(V52:V68,$CB$52:$CB$68)+V98)*면세비율!$G$28+(V39*$CB$39)+(V51*$CB$51)+V95)+U87</f>
        <v>-119.18320113968448</v>
      </c>
      <c r="W87" s="178">
        <f ca="1">(SUM(W9,W13,W17,W21)+W24*$CB$24)-((SUMPRODUCT(W34:W38,$CB$34:$CB$38)+SUMPRODUCT(W40:W50,$CB$40:$CB$50)+SUMPRODUCT(W52:W68,$CB$52:$CB$68)+W98)*면세비율!$G$28+(W39*$CB$39)+(W51*$CB$51)+W95)+V87</f>
        <v>-125.68450113968449</v>
      </c>
      <c r="X87" s="179">
        <f ca="1">(SUM(X9,X13,X17,X21)+X24*$CB$24)-((SUMPRODUCT(X34:X38,$CB$34:$CB$38)+SUMPRODUCT(X40:X50,$CB$40:$CB$50)+SUMPRODUCT(X52:X68,$CB$52:$CB$68)+X98)*면세비율!$G$28+(X39*$CB$39)+(X51*$CB$51)+X95)+W87</f>
        <v>-210.56613393203884</v>
      </c>
      <c r="Y87" s="180">
        <f ca="1">(SUM(Y9,Y13,Y17,Y21)+Y24*$CB$24)-((SUMPRODUCT(Y34:Y38,$CB$34:$CB$38)+SUMPRODUCT(Y40:Y50,$CB$40:$CB$50)+SUMPRODUCT(Y52:Y68,$CB$52:$CB$68)+Y98)*면세비율!$G$28+(Y39*$CB$39)+(Y51*$CB$51)+Y95)+X87</f>
        <v>-334.09083393203883</v>
      </c>
      <c r="Z87" s="366">
        <f ca="1">(SUM(Z9,Z13,Z17,Z21)+Z24*$CB$24)-((SUMPRODUCT(Z34:Z38,$CB$34:$CB$38)+SUMPRODUCT(Z40:Z50,$CB$40:$CB$50)+SUMPRODUCT(Z52:Z68,$CB$52:$CB$68)+Z98)*면세비율!$G$28+(Z39*$CB$39)+(Z51*$CB$51)+Z95)+Y87</f>
        <v>-399.34554393203882</v>
      </c>
      <c r="AA87" s="178">
        <f ca="1">(SUM(AA9,AA13,AA17,AA21)+AA24*$CB$24)-((SUMPRODUCT(AA34:AA38,$CB$34:$CB$38)+SUMPRODUCT(AA40:AA50,$CB$40:$CB$50)+SUMPRODUCT(AA52:AA68,$CB$52:$CB$68)+AA98)*면세비율!$G$28+(AA39*$CB$39)+(AA51*$CB$51)+AA95)+Z87</f>
        <v>-710.22267656379995</v>
      </c>
      <c r="AB87" s="179">
        <f ca="1">(SUM(AB9,AB13,AB17,AB21)+AB24*$CB$24)-((SUMPRODUCT(AB34:AB38,$CB$34:$CB$38)+SUMPRODUCT(AB40:AB50,$CB$40:$CB$50)+SUMPRODUCT(AB52:AB68,$CB$52:$CB$68)+AB98)*면세비율!$G$28+(AB39*$CB$39)+(AB51*$CB$51)+AB95)+AA87</f>
        <v>-785.95235360385152</v>
      </c>
      <c r="AC87" s="179">
        <f ca="1">(SUM(AC9,AC13,AC17,AC21)+AC24*$CB$24)-((SUMPRODUCT(AC34:AC38,$CB$34:$CB$38)+SUMPRODUCT(AC40:AC50,$CB$40:$CB$50)+SUMPRODUCT(AC52:AC68,$CB$52:$CB$68)+AC98)*면세비율!$G$28+(AC39*$CB$39)+(AC51*$CB$51)+AC95)+AB87</f>
        <v>-1027.5922627491279</v>
      </c>
      <c r="AD87" s="179">
        <f ca="1">(SUM(AD9,AD13,AD17,AD21)+AD24*$CB$24)-((SUMPRODUCT(AD34:AD38,$CB$34:$CB$38)+SUMPRODUCT(AD40:AD50,$CB$40:$CB$50)+SUMPRODUCT(AD52:AD68,$CB$52:$CB$68)+AD98)*면세비율!$G$28+(AD39*$CB$39)+(AD51*$CB$51)+AD95)+AC87</f>
        <v>-1054.3060271678839</v>
      </c>
      <c r="AE87" s="179">
        <f ca="1">(SUM(AE9,AE13,AE17,AE21)+AE24*$CB$24)-((SUMPRODUCT(AE34:AE38,$CB$34:$CB$38)+SUMPRODUCT(AE40:AE50,$CB$40:$CB$50)+SUMPRODUCT(AE52:AE68,$CB$52:$CB$68)+AE98)*면세비율!$G$28+(AE39*$CB$39)+(AE51*$CB$51)+AE95)+AD87</f>
        <v>-1418.7426490249732</v>
      </c>
      <c r="AF87" s="179">
        <f ca="1">(SUM(AF9,AF13,AF17,AF21)+AF24*$CB$24)-((SUMPRODUCT(AF34:AF38,$CB$34:$CB$38)+SUMPRODUCT(AF40:AF50,$CB$40:$CB$50)+SUMPRODUCT(AF52:AF68,$CB$52:$CB$68)+AF98)*면세비율!$G$28+(AF39*$CB$39)+(AF51*$CB$51)+AF95)+AE87</f>
        <v>-965.01172593564161</v>
      </c>
      <c r="AG87" s="179">
        <f ca="1">(SUM(AG9,AG13,AG17,AG21)+AG24*$CB$24)-((SUMPRODUCT(AG34:AG38,$CB$34:$CB$38)+SUMPRODUCT(AG40:AG50,$CB$40:$CB$50)+SUMPRODUCT(AG52:AG68,$CB$52:$CB$68)+AG98)*면세비율!$G$28+(AG39*$CB$39)+(AG51*$CB$51)+AG95)+AF87</f>
        <v>-1242.3609298082652</v>
      </c>
      <c r="AH87" s="179">
        <f ca="1">(SUM(AH9,AH13,AH17,AH21)+AH24*$CB$24)-((SUMPRODUCT(AH34:AH38,$CB$34:$CB$38)+SUMPRODUCT(AH40:AH50,$CB$40:$CB$50)+SUMPRODUCT(AH52:AH68,$CB$52:$CB$68)+AH98)*면세비율!$G$28+(AH39*$CB$39)+(AH51*$CB$51)+AH95)+AG87</f>
        <v>-1219.7393043158283</v>
      </c>
      <c r="AI87" s="179">
        <f ca="1">(SUM(AI9,AI13,AI17,AI21)+AI24*$CB$24)-((SUMPRODUCT(AI34:AI38,$CB$34:$CB$38)+SUMPRODUCT(AI40:AI50,$CB$40:$CB$50)+SUMPRODUCT(AI52:AI68,$CB$52:$CB$68)+AI98)*면세비율!$G$28+(AI39*$CB$39)+(AI51*$CB$51)+AI95)+AH87</f>
        <v>-1594.7877693310725</v>
      </c>
      <c r="AJ87" s="179">
        <f ca="1">(SUM(AJ9,AJ13,AJ17,AJ21)+AJ24*$CB$24)-((SUMPRODUCT(AJ34:AJ38,$CB$34:$CB$38)+SUMPRODUCT(AJ40:AJ50,$CB$40:$CB$50)+SUMPRODUCT(AJ52:AJ68,$CB$52:$CB$68)+AJ98)*면세비율!$G$28+(AJ39*$CB$39)+(AJ51*$CB$51)+AJ95)+AI87</f>
        <v>-873.44480688266992</v>
      </c>
      <c r="AK87" s="179">
        <f ca="1">(SUM(AK9,AK13,AK17,AK21)+AK24*$CB$24)-((SUMPRODUCT(AK34:AK38,$CB$34:$CB$38)+SUMPRODUCT(AK40:AK50,$CB$40:$CB$50)+SUMPRODUCT(AK52:AK68,$CB$52:$CB$68)+AK98)*면세비율!$G$28+(AK39*$CB$39)+(AK51*$CB$51)+AK95)+AJ87</f>
        <v>-1261.7576138058673</v>
      </c>
      <c r="AL87" s="179">
        <f ca="1">(SUM(AL9,AL13,AL17,AL21)+AL24*$CB$24)-((SUMPRODUCT(AL34:AL38,$CB$34:$CB$38)+SUMPRODUCT(AL40:AL50,$CB$40:$CB$50)+SUMPRODUCT(AL52:AL68,$CB$52:$CB$68)+AL98)*면세비율!$G$28+(AL39*$CB$39)+(AL51*$CB$51)+AL95)+AK87</f>
        <v>-1214.5511317482092</v>
      </c>
      <c r="AM87" s="179">
        <f ca="1">(SUM(AM9,AM13,AM17,AM21)+AM24*$CB$24)-((SUMPRODUCT(AM34:AM38,$CB$34:$CB$38)+SUMPRODUCT(AM40:AM50,$CB$40:$CB$50)+SUMPRODUCT(AM52:AM68,$CB$52:$CB$68)+AM98)*면세비율!$G$28+(AM39*$CB$39)+(AM51*$CB$51)+AM95)+AL87</f>
        <v>-1641.1469846787577</v>
      </c>
      <c r="AN87" s="179">
        <f ca="1">(SUM(AN9,AN13,AN17,AN21)+AN24*$CB$24)-((SUMPRODUCT(AN34:AN38,$CB$34:$CB$38)+SUMPRODUCT(AN40:AN50,$CB$40:$CB$50)+SUMPRODUCT(AN52:AN68,$CB$52:$CB$68)+AN98)*면세비율!$G$28+(AN39*$CB$39)+(AN51*$CB$51)+AN95)+AM87</f>
        <v>-618.09350636022168</v>
      </c>
      <c r="AO87" s="179">
        <f ca="1">(SUM(AO9,AO13,AO17,AO21)+AO24*$CB$24)-((SUMPRODUCT(AO34:AO38,$CB$34:$CB$38)+SUMPRODUCT(AO40:AO50,$CB$40:$CB$50)+SUMPRODUCT(AO52:AO68,$CB$52:$CB$68)+AO98)*면세비율!$G$28+(AO39*$CB$39)+(AO51*$CB$51)+AO95)+AN87</f>
        <v>-1023.5069203633427</v>
      </c>
      <c r="AP87" s="179">
        <f ca="1">(SUM(AP9,AP13,AP17,AP21)+AP24*$CB$24)-((SUMPRODUCT(AP34:AP38,$CB$34:$CB$38)+SUMPRODUCT(AP40:AP50,$CB$40:$CB$50)+SUMPRODUCT(AP52:AP68,$CB$52:$CB$68)+AP98)*면세비율!$G$28+(AP39*$CB$39)+(AP51*$CB$51)+AP95)+AO87</f>
        <v>-1026.2222338948766</v>
      </c>
      <c r="AQ87" s="179">
        <f ca="1">(SUM(AQ9,AQ13,AQ17,AQ21)+AQ24*$CB$24)-((SUMPRODUCT(AQ34:AQ38,$CB$34:$CB$38)+SUMPRODUCT(AQ40:AQ50,$CB$40:$CB$50)+SUMPRODUCT(AQ52:AQ68,$CB$52:$CB$68)+AQ98)*면세비율!$G$28+(AQ39*$CB$39)+(AQ51*$CB$51)+AQ95)+AP87</f>
        <v>-1532.1979361805506</v>
      </c>
      <c r="AR87" s="179">
        <f ca="1">(SUM(AR9,AR13,AR17,AR21)+AR24*$CB$24)-((SUMPRODUCT(AR34:AR38,$CB$34:$CB$38)+SUMPRODUCT(AR40:AR50,$CB$40:$CB$50)+SUMPRODUCT(AR52:AR68,$CB$52:$CB$68)+AR98)*면세비율!$G$28+(AR39*$CB$39)+(AR51*$CB$51)+AR95)+AQ87</f>
        <v>-328.11058980746498</v>
      </c>
      <c r="AS87" s="179">
        <f ca="1">(SUM(AS9,AS13,AS17,AS21)+AS24*$CB$24)-((SUMPRODUCT(AS34:AS38,$CB$34:$CB$38)+SUMPRODUCT(AS40:AS50,$CB$40:$CB$50)+SUMPRODUCT(AS52:AS68,$CB$52:$CB$68)+AS98)*면세비율!$G$28+(AS39*$CB$39)+(AS51*$CB$51)+AS95)+AR87</f>
        <v>-916.73733588686673</v>
      </c>
      <c r="AT87" s="134">
        <f ca="1">(SUM(AT9,AT13,AT17,AT21)+AT24*$CB$24)-((SUMPRODUCT(AT34:AT38,$CB$34:$CB$38)+SUMPRODUCT(AT40:AT50,$CB$40:$CB$50)+SUMPRODUCT(AT52:AT68,$CB$52:$CB$68)+AT98)*면세비율!$G$28+(AT39*$CB$39)+(AT51*$CB$51)+AT95)+AS87</f>
        <v>-921.9951439949748</v>
      </c>
      <c r="AU87" s="178">
        <f ca="1">(SUM(AU9,AU13,AU17,AU21)+AU24*$CB$24)-((SUMPRODUCT(AU34:AU38,$CB$34:$CB$38)+SUMPRODUCT(AU40:AU50,$CB$40:$CB$50)+SUMPRODUCT(AU52:AU68,$CB$52:$CB$68)+AU98)*면세비율!$G$28+(AU39*$CB$39)+(AU51*$CB$51)+AU95)+AT87</f>
        <v>-1603.8676620773517</v>
      </c>
      <c r="AV87" s="179">
        <f ca="1">(SUM(AV9,AV13,AV17,AV21)+AV24*$CB$24)-((SUMPRODUCT(AV34:AV38,$CB$34:$CB$38)+SUMPRODUCT(AV40:AV50,$CB$40:$CB$50)+SUMPRODUCT(AV52:AV68,$CB$52:$CB$68)+AV98)*면세비율!$G$28+(AV39*$CB$39)+(AV51*$CB$51)+AV95)+AU87</f>
        <v>-661.17128032586027</v>
      </c>
      <c r="AW87" s="134">
        <f ca="1">(SUM(AW9,AW13,AW17,AW21)+AW24*$CB$24)-((SUMPRODUCT(AW34:AW38,$CB$34:$CB$38)+SUMPRODUCT(AW40:AW50,$CB$40:$CB$50)+SUMPRODUCT(AW52:AW68,$CB$52:$CB$68)+AW98)*면세비율!$G$28+(AW39*$CB$39)+(AW51*$CB$51)+AW95)+AV87</f>
        <v>-1347.2557783646259</v>
      </c>
      <c r="AX87" s="134">
        <f ca="1">(SUM(AX9,AX13,AX17,AX21)+AX24*$CB$24)-((SUMPRODUCT(AX34:AX38,$CB$34:$CB$38)+SUMPRODUCT(AX40:AX50,$CB$40:$CB$50)+SUMPRODUCT(AX52:AX68,$CB$52:$CB$68)+AX98)*면세비율!$G$28+(AX39*$CB$39)+(AX51*$CB$51)+AX95)+AW87</f>
        <v>-1275.7124793406192</v>
      </c>
      <c r="AY87" s="134">
        <f ca="1">(SUM(AY9,AY13,AY17,AY21)+AY24*$CB$24)-((SUMPRODUCT(AY34:AY38,$CB$34:$CB$38)+SUMPRODUCT(AY40:AY50,$CB$40:$CB$50)+SUMPRODUCT(AY52:AY68,$CB$52:$CB$68)+AY98)*면세비율!$G$28+(AY39*$CB$39)+(AY51*$CB$51)+AY95)+AX87</f>
        <v>-1985.2036756164596</v>
      </c>
      <c r="AZ87" s="134">
        <f ca="1">(SUM(AZ9,AZ13,AZ17,AZ21)+AZ24*$CB$24)-((SUMPRODUCT(AZ34:AZ38,$CB$34:$CB$38)+SUMPRODUCT(AZ40:AZ50,$CB$40:$CB$50)+SUMPRODUCT(AZ52:AZ68,$CB$52:$CB$68)+AZ98)*면세비율!$G$28+(AZ39*$CB$39)+(AZ51*$CB$51)+AZ95)+AY87</f>
        <v>-2006.8746756164596</v>
      </c>
      <c r="BA87" s="177">
        <f ca="1">(SUM(BA9,BA13,BA17,BA21)+BA24*$CB$24)-((SUMPRODUCT(BA34:BA38,$CB$34:$CB$38)+SUMPRODUCT(BA40:BA50,$CB$40:$CB$50)+SUMPRODUCT(BA52:BA68,$CB$52:$CB$68)+BA98)*면세비율!$G$28+(BA39*$CB$39)+(BA51*$CB$51)+BA95)+AZ87</f>
        <v>-1807.4115814746301</v>
      </c>
      <c r="BB87" s="134">
        <f ca="1">(SUM(BB9,BB13,BB17,BB21)+BB24*$CB$24)-((SUMPRODUCT(BB34:BB38,$CB$34:$CB$38)+SUMPRODUCT(BB40:BB50,$CB$40:$CB$50)+SUMPRODUCT(BB52:BB68,$CB$52:$CB$68)+BB98)*면세비율!$G$28+(BB39*$CB$39)+(BB51*$CB$51)+BB95)+BA87</f>
        <v>-1807.4115814746301</v>
      </c>
      <c r="BC87" s="134">
        <f ca="1">(SUM(BC9,BC13,BC17,BC21)+BC24*$CB$24)-((SUMPRODUCT(BC34:BC38,$CB$34:$CB$38)+SUMPRODUCT(BC40:BC50,$CB$40:$CB$50)+SUMPRODUCT(BC52:BC68,$CB$52:$CB$68)+BC98)*면세비율!$G$28+(BC39*$CB$39)+(BC51*$CB$51)+BC95)+BB87</f>
        <v>-2562.2314115505947</v>
      </c>
      <c r="BD87" s="179">
        <f ca="1">(SUM(BD9,BD13,BD17,BD21)+BD24*$CB$24)-((SUMPRODUCT(BD34:BD38,$CB$34:$CB$38)+SUMPRODUCT(BD40:BD50,$CB$40:$CB$50)+SUMPRODUCT(BD52:BD68,$CB$52:$CB$68)+BD98)*면세비율!$G$28+(BD39*$CB$39)+(BD51*$CB$51)+BD95)+BC87</f>
        <v>-2490.6881125265882</v>
      </c>
      <c r="BE87" s="179">
        <f ca="1">(SUM(BE9,BE13,BE17,BE21)+BE24*$CB$24)-((SUMPRODUCT(BE34:BE38,$CB$34:$CB$38)+SUMPRODUCT(BE40:BE50,$CB$40:$CB$50)+SUMPRODUCT(BE52:BE68,$CB$52:$CB$68)+BE98)*면세비율!$G$28+(BE39*$CB$39)+(BE51*$CB$51)+BE95)+BD87</f>
        <v>-3363.1839492766976</v>
      </c>
      <c r="BF87" s="179">
        <f ca="1">(SUM(BF9,BF13,BF17,BF21)+BF24*$CB$24)-((SUMPRODUCT(BF34:BF38,$CB$34:$CB$38)+SUMPRODUCT(BF40:BF50,$CB$40:$CB$50)+SUMPRODUCT(BF52:BF68,$CB$52:$CB$68)+BF98)*면세비율!$G$28+(BF39*$CB$39)+(BF51*$CB$51)+BF95)+BE87</f>
        <v>-2415.2297594170982</v>
      </c>
      <c r="BG87" s="179">
        <f ca="1">(SUM(BG9,BG13,BG17,BG21)+BG24*$CB$24)-((SUMPRODUCT(BG34:BG38,$CB$34:$CB$38)+SUMPRODUCT(BG40:BG50,$CB$40:$CB$50)+SUMPRODUCT(BG52:BG68,$CB$52:$CB$68)+BG98)*면세비율!$G$28+(BG39*$CB$39)+(BG51*$CB$51)+BG95)+BF87</f>
        <v>-3318.4523875799414</v>
      </c>
      <c r="BH87" s="134">
        <f ca="1">(SUM(BH9,BH13,BH17,BH21)+BH24*$CB$24)-((SUMPRODUCT(BH34:BH38,$CB$34:$CB$38)+SUMPRODUCT(BH40:BH50,$CB$40:$CB$50)+SUMPRODUCT(BH52:BH68,$CB$52:$CB$68)+BH98)*면세비율!$G$28+(BH39*$CB$39)+(BH51*$CB$51)+BH95)+BG87</f>
        <v>-3318.4523875799414</v>
      </c>
      <c r="BI87" s="178">
        <f ca="1">(SUM(BI9,BI13,BI17,BI21)+BI24*$CB$24)-((SUMPRODUCT(BI34:BI38,$CB$34:$CB$38)+SUMPRODUCT(BI40:BI50,$CB$40:$CB$50)+SUMPRODUCT(BI52:BI68,$CB$52:$CB$68)+BI98)*면세비율!$G$28+(BI39*$CB$39)+(BI51*$CB$51)+BI95)+BH87</f>
        <v>-4217.1187390247142</v>
      </c>
      <c r="BJ87" s="134">
        <f ca="1">(SUM(BJ9,BJ13,BJ17,BJ21)+BJ24*$CB$24)-((SUMPRODUCT(BJ34:BJ38,$CB$34:$CB$38)+SUMPRODUCT(BJ40:BJ50,$CB$40:$CB$50)+SUMPRODUCT(BJ52:BJ68,$CB$52:$CB$68)+BJ98)*면세비율!$G$28+(BJ39*$CB$39)+(BJ51*$CB$51)+BJ95)+BI87</f>
        <v>-4217.1187390247142</v>
      </c>
      <c r="BK87" s="366">
        <f ca="1">(SUM(BK9,BK13,BK17,BK21)+BK24*$CB$24)-((SUMPRODUCT(BK34:BK38,$CB$34:$CB$38)+SUMPRODUCT(BK40:BK50,$CB$40:$CB$50)+SUMPRODUCT(BK52:BK68,$CB$52:$CB$68)+BK98)*면세비율!$G$28+(BK39*$CB$39)+(BK51*$CB$51)+BK95)+BJ87</f>
        <v>-3863.0316099580464</v>
      </c>
      <c r="BL87" s="179">
        <f ca="1">(SUM(BL9,BL13,BL17,BL21)+BL24*$CB$24)-((SUMPRODUCT(BL34:BL38,$CB$34:$CB$38)+SUMPRODUCT(BL40:BL50,$CB$40:$CB$50)+SUMPRODUCT(BL52:BL68,$CB$52:$CB$68)+BL98)*면세비율!$G$28+(BL39*$CB$39)+(BL51*$CB$51)+BL95)+BK87</f>
        <v>-1978.9542536086301</v>
      </c>
      <c r="BM87" s="179">
        <f ca="1">(SUM(BM9,BM13,BM17,BM21)+BM24*$CB$24)-((SUMPRODUCT(BM34:BM38,$CB$34:$CB$38)+SUMPRODUCT(BM40:BM50,$CB$40:$CB$50)+SUMPRODUCT(BM52:BM68,$CB$52:$CB$68)+BM98)*면세비율!$G$28+(BM39*$CB$39)+(BM51*$CB$51)+BM95)+BL87</f>
        <v>-1226.7916046688633</v>
      </c>
      <c r="BN87" s="134">
        <f ca="1">(SUM(BN9,BN13,BN17,BN21)+BN24*$CB$24)-((SUMPRODUCT(BN34:BN38,$CB$34:$CB$38)+SUMPRODUCT(BN40:BN50,$CB$40:$CB$50)+SUMPRODUCT(BN52:BN68,$CB$52:$CB$68)+BN98)*면세비율!$G$28+(BN39*$CB$39)+(BN51*$CB$51)+BN95)+BM87</f>
        <v>-1017.4670849603772</v>
      </c>
      <c r="BO87" s="178">
        <f ca="1">(SUM(BO9,BO13,BO17,BO21)+BO24*$CB$24)-((SUMPRODUCT(BO34:BO38,$CB$34:$CB$38)+SUMPRODUCT(BO40:BO50,$CB$40:$CB$50)+SUMPRODUCT(BO52:BO68,$CB$52:$CB$68)+BO98)*면세비율!$G$28+(BO39*$CB$39)+(BO51*$CB$51)+BO95)+BN87</f>
        <v>-1017.4670849603772</v>
      </c>
      <c r="BP87" s="134">
        <f ca="1">(SUM(BP9,BP13,BP17,BP21)+BP24*$CB$24)-((SUMPRODUCT(BP34:BP38,$CB$34:$CB$38)+SUMPRODUCT(BP40:BP50,$CB$40:$CB$50)+SUMPRODUCT(BP52:BP68,$CB$52:$CB$68)+BP98)*면세비율!$G$28+(BP39*$CB$39)+(BP51*$CB$51)+BP95)+BO87</f>
        <v>-1017.4670849603772</v>
      </c>
      <c r="BQ87" s="178">
        <f ca="1">(SUM(BQ9,BQ13,BQ17,BQ21)+BQ24*$CB$24)-((SUMPRODUCT(BQ34:BQ38,$CB$34:$CB$38)+SUMPRODUCT(BQ40:BQ50,$CB$40:$CB$50)+SUMPRODUCT(BQ52:BQ68,$CB$52:$CB$68)+BQ98)*면세비율!$G$28+(BQ39*$CB$39)+(BQ51*$CB$51)+BQ95)+BP87</f>
        <v>-1017.4670849603772</v>
      </c>
      <c r="BR87" s="179">
        <f ca="1">(SUM(BR9,BR13,BR17,BR21)+BR24*$CB$24)-((SUMPRODUCT(BR34:BR38,$CB$34:$CB$38)+SUMPRODUCT(BR40:BR50,$CB$40:$CB$50)+SUMPRODUCT(BR52:BR68,$CB$52:$CB$68)+BR98)*면세비율!$G$28+(BR39*$CB$39)+(BR51*$CB$51)+BR95)+BQ87</f>
        <v>-1017.4670849603772</v>
      </c>
      <c r="BS87" s="134">
        <f ca="1">(SUM(BS9,BS13,BS17,BS21)+BS24*$CB$24)-((SUMPRODUCT(BS34:BS38,$CB$34:$CB$38)+SUMPRODUCT(BS40:BS50,$CB$40:$CB$50)+SUMPRODUCT(BS52:BS68,$CB$52:$CB$68)+BS98)*면세비율!$G$28+(BS39*$CB$39)+(BS51*$CB$51)+BS95)+BR87</f>
        <v>-1017.4670849603772</v>
      </c>
      <c r="BT87" s="177">
        <f ca="1">(SUM(BT9,BT13,BT17,BT21)+BT24*$CB$24)-((SUMPRODUCT(BT34:BT38,$CB$34:$CB$38)+SUMPRODUCT(BT40:BT50,$CB$40:$CB$50)+SUMPRODUCT(BT52:BT68,$CB$52:$CB$68)+BT98)*면세비율!$G$28+(BT39*$CB$39)+(BT51*$CB$51)+BT95)+BS87</f>
        <v>-1017.4670849603772</v>
      </c>
      <c r="BU87" s="178">
        <f ca="1">(SUM(BU9,BU13,BU17,BU21)+BU24*$CB$24)-((SUMPRODUCT(BU34:BU38,$CB$34:$CB$38)+SUMPRODUCT(BU40:BU50,$CB$40:$CB$50)+SUMPRODUCT(BU52:BU68,$CB$52:$CB$68)+BU98)*면세비율!$G$28+(BU39*$CB$39)+(BU51*$CB$51)+BU95)+BT87</f>
        <v>-1017.4670849603772</v>
      </c>
      <c r="BV87" s="179">
        <f ca="1">(SUM(BV9,BV13,BV17,BV21)+BV24*$CB$24)-((SUMPRODUCT(BV34:BV38,$CB$34:$CB$38)+SUMPRODUCT(BV40:BV50,$CB$40:$CB$50)+SUMPRODUCT(BV52:BV68,$CB$52:$CB$68)+BV98)*면세비율!$G$28+(BV39*$CB$39)+(BV51*$CB$51)+BV95)+BU87</f>
        <v>-1017.4670849603772</v>
      </c>
      <c r="BW87" s="179">
        <f ca="1">(SUM(BW9,BW13,BW17,BW21)+BW24*$CB$24)-((SUMPRODUCT(BW34:BW38,$CB$34:$CB$38)+SUMPRODUCT(BW40:BW50,$CB$40:$CB$50)+SUMPRODUCT(BW52:BW68,$CB$52:$CB$68)+BW98)*면세비율!$G$28+(BW39*$CB$39)+(BW51*$CB$51)+BW95)+BV87</f>
        <v>-1017.4670849603772</v>
      </c>
      <c r="BX87" s="179">
        <f ca="1">(SUM(BX9,BX13,BX17,BX21)+BX24*$CB$24)-((SUMPRODUCT(BX34:BX38,$CB$34:$CB$38)+SUMPRODUCT(BX40:BX50,$CB$40:$CB$50)+SUMPRODUCT(BX52:BX68,$CB$52:$CB$68)+BX98)*면세비율!$G$28+(BX39*$CB$39)+(BX51*$CB$51)+BX95)+BW87</f>
        <v>-1017.4670849603772</v>
      </c>
      <c r="BY87" s="144">
        <f ca="1">BX87</f>
        <v>-1017.4670849603772</v>
      </c>
      <c r="BZ87" s="130"/>
      <c r="CA87" s="145">
        <f ca="1">BY86-BY87</f>
        <v>0</v>
      </c>
      <c r="CB87" s="132"/>
    </row>
    <row r="88" spans="1:80">
      <c r="A88" s="243"/>
      <c r="B88" s="1766" t="s">
        <v>317</v>
      </c>
      <c r="C88" s="1766"/>
      <c r="D88" s="1767"/>
      <c r="E88" s="370">
        <f ca="1">SUM(E34:E86)</f>
        <v>308780.54717666365</v>
      </c>
      <c r="F88" s="371">
        <f>SUM(F34:F82)</f>
        <v>0</v>
      </c>
      <c r="G88" s="371">
        <f t="shared" ref="G88:BR88" si="25">SUM(G34:G86)</f>
        <v>0</v>
      </c>
      <c r="H88" s="371">
        <f t="shared" ca="1" si="25"/>
        <v>4200.0005000000001</v>
      </c>
      <c r="I88" s="371">
        <f t="shared" si="25"/>
        <v>4427.0005000000001</v>
      </c>
      <c r="J88" s="371">
        <f t="shared" si="25"/>
        <v>0</v>
      </c>
      <c r="K88" s="371">
        <f>SUM(K34:K84)</f>
        <v>816.50004000000001</v>
      </c>
      <c r="L88" s="371">
        <f t="shared" si="25"/>
        <v>0</v>
      </c>
      <c r="M88" s="371">
        <f t="shared" si="25"/>
        <v>0</v>
      </c>
      <c r="N88" s="371">
        <f t="shared" ca="1" si="25"/>
        <v>0</v>
      </c>
      <c r="O88" s="371">
        <f t="shared" si="25"/>
        <v>0</v>
      </c>
      <c r="P88" s="371">
        <f t="shared" si="25"/>
        <v>0</v>
      </c>
      <c r="Q88" s="371">
        <f t="shared" ca="1" si="25"/>
        <v>-20.446758603822822</v>
      </c>
      <c r="R88" s="372">
        <f t="shared" si="25"/>
        <v>0</v>
      </c>
      <c r="S88" s="371">
        <f t="shared" si="25"/>
        <v>0</v>
      </c>
      <c r="T88" s="373">
        <f t="shared" ca="1" si="25"/>
        <v>0</v>
      </c>
      <c r="U88" s="374">
        <f t="shared" si="25"/>
        <v>94242.529863000003</v>
      </c>
      <c r="V88" s="371">
        <f t="shared" si="25"/>
        <v>35.200000000000003</v>
      </c>
      <c r="W88" s="375">
        <f>SUM(W34:W84)</f>
        <v>143</v>
      </c>
      <c r="X88" s="372">
        <f t="shared" si="25"/>
        <v>3107.1221739999996</v>
      </c>
      <c r="Y88" s="376">
        <f t="shared" si="25"/>
        <v>3097.3651399999999</v>
      </c>
      <c r="Z88" s="377">
        <f t="shared" ca="1" si="25"/>
        <v>3762.3557499999997</v>
      </c>
      <c r="AA88" s="373">
        <f t="shared" ca="1" si="25"/>
        <v>4725.7386025273809</v>
      </c>
      <c r="AB88" s="371">
        <f t="shared" ca="1" si="25"/>
        <v>3356.6705971477877</v>
      </c>
      <c r="AC88" s="371">
        <f ca="1">SUM(AC34:AC84)</f>
        <v>1213.7388880023793</v>
      </c>
      <c r="AD88" s="371">
        <f t="shared" ca="1" si="25"/>
        <v>3982.4769690378234</v>
      </c>
      <c r="AE88" s="371">
        <f t="shared" ca="1" si="25"/>
        <v>2666.6689087368127</v>
      </c>
      <c r="AF88" s="371">
        <f t="shared" ca="1" si="25"/>
        <v>1105.4028740378233</v>
      </c>
      <c r="AG88" s="371">
        <f t="shared" ca="1" si="25"/>
        <v>11051.716850548322</v>
      </c>
      <c r="AH88" s="371">
        <f t="shared" ca="1" si="25"/>
        <v>1072.6802402316223</v>
      </c>
      <c r="AI88" s="371">
        <f ca="1">SUM(AI34:AI84)</f>
        <v>1412.9320574395663</v>
      </c>
      <c r="AJ88" s="371">
        <f t="shared" ca="1" si="25"/>
        <v>7427.4481414929787</v>
      </c>
      <c r="AK88" s="371">
        <f t="shared" ca="1" si="25"/>
        <v>1511.3774201679944</v>
      </c>
      <c r="AL88" s="371">
        <f t="shared" ca="1" si="25"/>
        <v>1114.1057584929792</v>
      </c>
      <c r="AM88" s="371">
        <f t="shared" ca="1" si="25"/>
        <v>3410.8938326233947</v>
      </c>
      <c r="AN88" s="371">
        <f t="shared" ca="1" si="25"/>
        <v>1008.7727468088793</v>
      </c>
      <c r="AO88" s="371">
        <f ca="1">SUM(AO34:AO85)</f>
        <v>1646.3911233777637</v>
      </c>
      <c r="AP88" s="371">
        <f t="shared" ca="1" si="25"/>
        <v>7576.0317271372933</v>
      </c>
      <c r="AQ88" s="371">
        <f t="shared" ca="1" si="25"/>
        <v>1424.3267326600851</v>
      </c>
      <c r="AR88" s="371">
        <f t="shared" ca="1" si="25"/>
        <v>1000.4886486486488</v>
      </c>
      <c r="AS88" s="372">
        <f t="shared" ca="1" si="25"/>
        <v>6948.3534531211999</v>
      </c>
      <c r="AT88" s="371">
        <f t="shared" ca="1" si="25"/>
        <v>408.03064864864865</v>
      </c>
      <c r="AU88" s="373">
        <f ca="1">SUM(AU34:AU84)</f>
        <v>1456.6841624719254</v>
      </c>
      <c r="AV88" s="372">
        <f t="shared" ca="1" si="25"/>
        <v>5934.0337716486483</v>
      </c>
      <c r="AW88" s="371">
        <f t="shared" ca="1" si="25"/>
        <v>1606.4802418051761</v>
      </c>
      <c r="AX88" s="371">
        <f t="shared" ca="1" si="25"/>
        <v>750.92100000000005</v>
      </c>
      <c r="AY88" s="371">
        <f t="shared" ca="1" si="25"/>
        <v>2525.8385660336708</v>
      </c>
      <c r="AZ88" s="371">
        <f t="shared" ca="1" si="25"/>
        <v>1338.3446266666665</v>
      </c>
      <c r="BA88" s="373">
        <f ca="1">SUM(BA34:BA85)</f>
        <v>1473.1745149634432</v>
      </c>
      <c r="BB88" s="371">
        <f t="shared" ca="1" si="25"/>
        <v>5973.5556710000001</v>
      </c>
      <c r="BC88" s="371">
        <f t="shared" ca="1" si="25"/>
        <v>1116.1656446300685</v>
      </c>
      <c r="BD88" s="371">
        <f t="shared" ca="1" si="25"/>
        <v>846.96800000000007</v>
      </c>
      <c r="BE88" s="371">
        <f t="shared" ca="1" si="25"/>
        <v>4223.511554787834</v>
      </c>
      <c r="BF88" s="371">
        <f t="shared" ca="1" si="25"/>
        <v>477.99099999999999</v>
      </c>
      <c r="BG88" s="372">
        <f ca="1">SUM(BG34:BG85)</f>
        <v>1748.36556398067</v>
      </c>
      <c r="BH88" s="371">
        <f t="shared" ca="1" si="25"/>
        <v>4924.7859580000004</v>
      </c>
      <c r="BI88" s="375">
        <f t="shared" ca="1" si="25"/>
        <v>1524.7866672437758</v>
      </c>
      <c r="BJ88" s="371">
        <f t="shared" ca="1" si="25"/>
        <v>791.30799999999999</v>
      </c>
      <c r="BK88" s="377">
        <f t="shared" ca="1" si="25"/>
        <v>5169.9759649802181</v>
      </c>
      <c r="BL88" s="372">
        <f t="shared" ca="1" si="25"/>
        <v>85231.119537000006</v>
      </c>
      <c r="BM88" s="372">
        <f ca="1">SUM(BM34:BM85)</f>
        <v>-34.259999999999991</v>
      </c>
      <c r="BN88" s="371">
        <f t="shared" ca="1" si="25"/>
        <v>3822.9436285225129</v>
      </c>
      <c r="BO88" s="375">
        <f t="shared" ca="1" si="25"/>
        <v>1000</v>
      </c>
      <c r="BP88" s="371">
        <f ca="1">SUM(BP34:BP85)</f>
        <v>0</v>
      </c>
      <c r="BQ88" s="375">
        <f t="shared" ca="1" si="25"/>
        <v>0</v>
      </c>
      <c r="BR88" s="372">
        <f t="shared" ca="1" si="25"/>
        <v>0</v>
      </c>
      <c r="BS88" s="371">
        <f t="shared" ref="BS88:BX88" ca="1" si="26">SUM(BS34:BS86)</f>
        <v>0</v>
      </c>
      <c r="BT88" s="373">
        <f t="shared" ca="1" si="26"/>
        <v>0</v>
      </c>
      <c r="BU88" s="373">
        <f t="shared" ca="1" si="26"/>
        <v>0</v>
      </c>
      <c r="BV88" s="371">
        <f t="shared" ca="1" si="26"/>
        <v>0</v>
      </c>
      <c r="BW88" s="371">
        <f t="shared" ca="1" si="26"/>
        <v>0</v>
      </c>
      <c r="BX88" s="371">
        <f t="shared" ca="1" si="26"/>
        <v>0</v>
      </c>
      <c r="BY88" s="371">
        <f ca="1">SUM(BY34:BY85)</f>
        <v>309798.01426162402</v>
      </c>
      <c r="BZ88" s="257"/>
      <c r="CA88" s="191">
        <f ca="1">SUM(CA34:CA86)</f>
        <v>0</v>
      </c>
      <c r="CB88" s="132"/>
    </row>
    <row r="89" spans="1:80">
      <c r="A89" s="1768" t="s">
        <v>318</v>
      </c>
      <c r="B89" s="1769" t="s">
        <v>319</v>
      </c>
      <c r="C89" s="1769"/>
      <c r="D89" s="1769"/>
      <c r="E89" s="378">
        <f t="shared" ref="E89:BP89" ca="1" si="27">E33-E88</f>
        <v>268684.04416007607</v>
      </c>
      <c r="F89" s="379">
        <f t="shared" si="27"/>
        <v>0</v>
      </c>
      <c r="G89" s="380">
        <f t="shared" si="27"/>
        <v>0</v>
      </c>
      <c r="H89" s="380">
        <f t="shared" ca="1" si="27"/>
        <v>0</v>
      </c>
      <c r="I89" s="380">
        <f t="shared" si="27"/>
        <v>0</v>
      </c>
      <c r="J89" s="380">
        <f t="shared" si="27"/>
        <v>0</v>
      </c>
      <c r="K89" s="380">
        <f t="shared" si="27"/>
        <v>0</v>
      </c>
      <c r="L89" s="380">
        <f t="shared" si="27"/>
        <v>0</v>
      </c>
      <c r="M89" s="380">
        <f t="shared" si="27"/>
        <v>0</v>
      </c>
      <c r="N89" s="380">
        <f t="shared" ca="1" si="27"/>
        <v>0</v>
      </c>
      <c r="O89" s="380">
        <f t="shared" si="27"/>
        <v>0</v>
      </c>
      <c r="P89" s="380">
        <f t="shared" si="27"/>
        <v>0</v>
      </c>
      <c r="Q89" s="380">
        <f t="shared" ca="1" si="27"/>
        <v>20.446758603822822</v>
      </c>
      <c r="R89" s="381">
        <f t="shared" si="27"/>
        <v>0</v>
      </c>
      <c r="S89" s="380">
        <f t="shared" si="27"/>
        <v>0</v>
      </c>
      <c r="T89" s="382">
        <f t="shared" ca="1" si="27"/>
        <v>0</v>
      </c>
      <c r="U89" s="383">
        <f t="shared" si="27"/>
        <v>757.47013699999661</v>
      </c>
      <c r="V89" s="380">
        <f t="shared" si="27"/>
        <v>-35.200000000000003</v>
      </c>
      <c r="W89" s="384">
        <f t="shared" si="27"/>
        <v>-143</v>
      </c>
      <c r="X89" s="381">
        <f t="shared" si="27"/>
        <v>8892.8778259999999</v>
      </c>
      <c r="Y89" s="385">
        <f t="shared" si="27"/>
        <v>-3097.3651399999999</v>
      </c>
      <c r="Z89" s="386">
        <f t="shared" ca="1" si="27"/>
        <v>4025.2472751470004</v>
      </c>
      <c r="AA89" s="382">
        <f t="shared" ca="1" si="27"/>
        <v>-831.93708995388079</v>
      </c>
      <c r="AB89" s="380">
        <f t="shared" ca="1" si="27"/>
        <v>-2058.7367596232875</v>
      </c>
      <c r="AC89" s="380">
        <f t="shared" ca="1" si="27"/>
        <v>84.194949522120851</v>
      </c>
      <c r="AD89" s="380">
        <f t="shared" ca="1" si="27"/>
        <v>-2684.5431315133233</v>
      </c>
      <c r="AE89" s="380">
        <f t="shared" ca="1" si="27"/>
        <v>13803.606979081685</v>
      </c>
      <c r="AF89" s="380">
        <f t="shared" ca="1" si="27"/>
        <v>7998.6750536116688</v>
      </c>
      <c r="AG89" s="380">
        <f t="shared" ca="1" si="27"/>
        <v>-7796.6462293084242</v>
      </c>
      <c r="AH89" s="380">
        <f t="shared" ca="1" si="27"/>
        <v>602.46673124227596</v>
      </c>
      <c r="AI89" s="380">
        <f t="shared" ca="1" si="27"/>
        <v>262.21491403433197</v>
      </c>
      <c r="AJ89" s="380">
        <f t="shared" ca="1" si="27"/>
        <v>12166.063023343511</v>
      </c>
      <c r="AK89" s="380">
        <f t="shared" ca="1" si="27"/>
        <v>163.76955130590386</v>
      </c>
      <c r="AL89" s="380">
        <f t="shared" ca="1" si="27"/>
        <v>1182.7368797135048</v>
      </c>
      <c r="AM89" s="380">
        <f t="shared" ca="1" si="27"/>
        <v>-2071.8747911026962</v>
      </c>
      <c r="AN89" s="380">
        <f t="shared" ca="1" si="27"/>
        <v>17235.429347208017</v>
      </c>
      <c r="AO89" s="380">
        <f t="shared" ca="1" si="27"/>
        <v>4757.7781682545374</v>
      </c>
      <c r="AP89" s="380">
        <f t="shared" ca="1" si="27"/>
        <v>-6437.5749882236742</v>
      </c>
      <c r="AQ89" s="380">
        <f t="shared" ca="1" si="27"/>
        <v>-560.02733006660571</v>
      </c>
      <c r="AR89" s="380">
        <f t="shared" ca="1" si="27"/>
        <v>19664.68245603791</v>
      </c>
      <c r="AS89" s="381">
        <f t="shared" ca="1" si="27"/>
        <v>-6948.3534531211999</v>
      </c>
      <c r="AT89" s="380">
        <f t="shared" ca="1" si="27"/>
        <v>-408.03064864864865</v>
      </c>
      <c r="AU89" s="382">
        <f t="shared" ca="1" si="27"/>
        <v>3095.018452616273</v>
      </c>
      <c r="AV89" s="381">
        <f t="shared" ca="1" si="27"/>
        <v>9865.2027260113427</v>
      </c>
      <c r="AW89" s="380">
        <f t="shared" ca="1" si="27"/>
        <v>-1606.4802418051761</v>
      </c>
      <c r="AX89" s="380">
        <f t="shared" ca="1" si="27"/>
        <v>739.02681706677799</v>
      </c>
      <c r="AY89" s="380">
        <f t="shared" ca="1" si="27"/>
        <v>-2525.8385660336708</v>
      </c>
      <c r="AZ89" s="380">
        <f t="shared" ca="1" si="27"/>
        <v>3213.3579884215319</v>
      </c>
      <c r="BA89" s="382">
        <f t="shared" ca="1" si="27"/>
        <v>14326.06198269655</v>
      </c>
      <c r="BB89" s="380">
        <f t="shared" ca="1" si="27"/>
        <v>-5973.5556710000001</v>
      </c>
      <c r="BC89" s="380">
        <f t="shared" ca="1" si="27"/>
        <v>-1116.1656446300685</v>
      </c>
      <c r="BD89" s="380">
        <f t="shared" ca="1" si="27"/>
        <v>642.97981706677797</v>
      </c>
      <c r="BE89" s="380">
        <f t="shared" ca="1" si="27"/>
        <v>328.19106030036437</v>
      </c>
      <c r="BF89" s="380">
        <f t="shared" ca="1" si="27"/>
        <v>15321.245497659991</v>
      </c>
      <c r="BG89" s="381">
        <f t="shared" ca="1" si="27"/>
        <v>-1748.36556398067</v>
      </c>
      <c r="BH89" s="380">
        <f t="shared" ca="1" si="27"/>
        <v>-4924.7859580000004</v>
      </c>
      <c r="BI89" s="384">
        <f t="shared" ca="1" si="27"/>
        <v>-1524.7866672437758</v>
      </c>
      <c r="BJ89" s="380">
        <f t="shared" ca="1" si="27"/>
        <v>-791.30799999999999</v>
      </c>
      <c r="BK89" s="386">
        <f t="shared" ca="1" si="27"/>
        <v>-154439.14307528178</v>
      </c>
      <c r="BL89" s="381">
        <f t="shared" ca="1" si="27"/>
        <v>95680.137348438453</v>
      </c>
      <c r="BM89" s="381" t="e" vm="1">
        <f t="shared" ca="1" si="27"/>
        <v>#VALUE!</v>
      </c>
      <c r="BN89" s="380">
        <f t="shared" ca="1" si="27"/>
        <v>-12333.051515247225</v>
      </c>
      <c r="BO89" s="384" t="e" vm="1">
        <f t="shared" ca="1" si="27"/>
        <v>#VALUE!</v>
      </c>
      <c r="BP89" s="380">
        <f t="shared" ca="1" si="27"/>
        <v>0</v>
      </c>
      <c r="BQ89" s="384">
        <f t="shared" ref="BQ89:BX89" ca="1" si="28">BQ33-BQ88</f>
        <v>0</v>
      </c>
      <c r="BR89" s="381">
        <f t="shared" ca="1" si="28"/>
        <v>0</v>
      </c>
      <c r="BS89" s="380">
        <f t="shared" ca="1" si="28"/>
        <v>0</v>
      </c>
      <c r="BT89" s="382">
        <f t="shared" ca="1" si="28"/>
        <v>0</v>
      </c>
      <c r="BU89" s="382">
        <f t="shared" ca="1" si="28"/>
        <v>0</v>
      </c>
      <c r="BV89" s="380">
        <f t="shared" ca="1" si="28"/>
        <v>0</v>
      </c>
      <c r="BW89" s="380">
        <f t="shared" ca="1" si="28"/>
        <v>0</v>
      </c>
      <c r="BX89" s="380">
        <f t="shared" ca="1" si="28"/>
        <v>0</v>
      </c>
      <c r="BY89" s="387">
        <f ca="1">SUM(F89:BX89)</f>
        <v>55533.410863198282</v>
      </c>
      <c r="BZ89" s="130"/>
      <c r="CA89" s="383">
        <f ca="1">E89-BY89</f>
        <v>213150.63329687779</v>
      </c>
      <c r="CB89" s="388"/>
    </row>
    <row r="90" spans="1:80">
      <c r="A90" s="1768"/>
      <c r="B90" s="1770" t="s">
        <v>320</v>
      </c>
      <c r="C90" s="1770"/>
      <c r="D90" s="1770"/>
      <c r="E90" s="389">
        <f ca="1">+E89</f>
        <v>268684.04416007607</v>
      </c>
      <c r="F90" s="390">
        <f>F89</f>
        <v>0</v>
      </c>
      <c r="G90" s="391">
        <f t="shared" ref="G90:BR90" si="29">F90+G89</f>
        <v>0</v>
      </c>
      <c r="H90" s="391">
        <f t="shared" ca="1" si="29"/>
        <v>0</v>
      </c>
      <c r="I90" s="391">
        <f t="shared" ca="1" si="29"/>
        <v>0</v>
      </c>
      <c r="J90" s="391">
        <f t="shared" ca="1" si="29"/>
        <v>0</v>
      </c>
      <c r="K90" s="391">
        <f t="shared" ca="1" si="29"/>
        <v>0</v>
      </c>
      <c r="L90" s="391">
        <f t="shared" ca="1" si="29"/>
        <v>0</v>
      </c>
      <c r="M90" s="391">
        <f t="shared" ca="1" si="29"/>
        <v>0</v>
      </c>
      <c r="N90" s="391">
        <f t="shared" ca="1" si="29"/>
        <v>0</v>
      </c>
      <c r="O90" s="391">
        <f t="shared" ca="1" si="29"/>
        <v>0</v>
      </c>
      <c r="P90" s="391">
        <f t="shared" ca="1" si="29"/>
        <v>0</v>
      </c>
      <c r="Q90" s="391">
        <f t="shared" ca="1" si="29"/>
        <v>20.446758603822822</v>
      </c>
      <c r="R90" s="392">
        <f ca="1">Q90+R89</f>
        <v>20.446758603822822</v>
      </c>
      <c r="S90" s="391">
        <f ca="1">R90+S89</f>
        <v>20.446758603822822</v>
      </c>
      <c r="T90" s="393">
        <f ca="1">S90+T89</f>
        <v>20.446758603822822</v>
      </c>
      <c r="U90" s="394">
        <f t="shared" ca="1" si="29"/>
        <v>777.9168956038194</v>
      </c>
      <c r="V90" s="391">
        <f t="shared" ca="1" si="29"/>
        <v>742.71689560381935</v>
      </c>
      <c r="W90" s="395">
        <f t="shared" ca="1" si="29"/>
        <v>599.71689560381935</v>
      </c>
      <c r="X90" s="392">
        <f t="shared" ca="1" si="29"/>
        <v>9492.5947216038185</v>
      </c>
      <c r="Y90" s="396">
        <f t="shared" ca="1" si="29"/>
        <v>6395.2295816038186</v>
      </c>
      <c r="Z90" s="397">
        <f t="shared" ca="1" si="29"/>
        <v>10420.476856750818</v>
      </c>
      <c r="AA90" s="393">
        <f t="shared" ca="1" si="29"/>
        <v>9588.5397667969373</v>
      </c>
      <c r="AB90" s="391">
        <f t="shared" ca="1" si="29"/>
        <v>7529.8030071736503</v>
      </c>
      <c r="AC90" s="391">
        <f t="shared" ca="1" si="29"/>
        <v>7613.9979566957709</v>
      </c>
      <c r="AD90" s="391">
        <f t="shared" ca="1" si="29"/>
        <v>4929.4548251824472</v>
      </c>
      <c r="AE90" s="391">
        <f t="shared" ca="1" si="29"/>
        <v>18733.061804264133</v>
      </c>
      <c r="AF90" s="391">
        <f t="shared" ca="1" si="29"/>
        <v>26731.736857875803</v>
      </c>
      <c r="AG90" s="391">
        <f t="shared" ca="1" si="29"/>
        <v>18935.090628567377</v>
      </c>
      <c r="AH90" s="391">
        <f t="shared" ca="1" si="29"/>
        <v>19537.557359809653</v>
      </c>
      <c r="AI90" s="391">
        <f t="shared" ca="1" si="29"/>
        <v>19799.772273843984</v>
      </c>
      <c r="AJ90" s="391">
        <f t="shared" ca="1" si="29"/>
        <v>31965.835297187496</v>
      </c>
      <c r="AK90" s="391">
        <f t="shared" ca="1" si="29"/>
        <v>32129.6048484934</v>
      </c>
      <c r="AL90" s="391">
        <f t="shared" ca="1" si="29"/>
        <v>33312.341728206906</v>
      </c>
      <c r="AM90" s="391">
        <f t="shared" ca="1" si="29"/>
        <v>31240.466937104211</v>
      </c>
      <c r="AN90" s="391">
        <f t="shared" ca="1" si="29"/>
        <v>48475.896284312228</v>
      </c>
      <c r="AO90" s="391">
        <f t="shared" ca="1" si="29"/>
        <v>53233.674452566767</v>
      </c>
      <c r="AP90" s="391">
        <f t="shared" ca="1" si="29"/>
        <v>46796.099464343089</v>
      </c>
      <c r="AQ90" s="391">
        <f t="shared" ca="1" si="29"/>
        <v>46236.072134276481</v>
      </c>
      <c r="AR90" s="391">
        <f t="shared" ca="1" si="29"/>
        <v>65900.754590314391</v>
      </c>
      <c r="AS90" s="392">
        <f t="shared" ca="1" si="29"/>
        <v>58952.401137193192</v>
      </c>
      <c r="AT90" s="391">
        <f t="shared" ca="1" si="29"/>
        <v>58544.37048854454</v>
      </c>
      <c r="AU90" s="393">
        <f t="shared" ca="1" si="29"/>
        <v>61639.388941160811</v>
      </c>
      <c r="AV90" s="392">
        <f t="shared" ca="1" si="29"/>
        <v>71504.59166717215</v>
      </c>
      <c r="AW90" s="391">
        <f t="shared" ca="1" si="29"/>
        <v>69898.11142536698</v>
      </c>
      <c r="AX90" s="391">
        <f t="shared" ca="1" si="29"/>
        <v>70637.138242433764</v>
      </c>
      <c r="AY90" s="391">
        <f t="shared" ca="1" si="29"/>
        <v>68111.2996764001</v>
      </c>
      <c r="AZ90" s="391">
        <f t="shared" ca="1" si="29"/>
        <v>71324.657664821629</v>
      </c>
      <c r="BA90" s="393">
        <f t="shared" ca="1" si="29"/>
        <v>85650.719647518185</v>
      </c>
      <c r="BB90" s="391">
        <f t="shared" ca="1" si="29"/>
        <v>79677.16397651819</v>
      </c>
      <c r="BC90" s="391">
        <f t="shared" ca="1" si="29"/>
        <v>78560.998331888128</v>
      </c>
      <c r="BD90" s="391">
        <f t="shared" ca="1" si="29"/>
        <v>79203.978148954906</v>
      </c>
      <c r="BE90" s="391">
        <f t="shared" ca="1" si="29"/>
        <v>79532.169209255269</v>
      </c>
      <c r="BF90" s="391">
        <f t="shared" ca="1" si="29"/>
        <v>94853.414706915268</v>
      </c>
      <c r="BG90" s="392">
        <f t="shared" ca="1" si="29"/>
        <v>93105.0491429346</v>
      </c>
      <c r="BH90" s="391">
        <f t="shared" ca="1" si="29"/>
        <v>88180.263184934593</v>
      </c>
      <c r="BI90" s="395">
        <f t="shared" ca="1" si="29"/>
        <v>86655.476517690811</v>
      </c>
      <c r="BJ90" s="391">
        <f t="shared" ca="1" si="29"/>
        <v>85864.168517690807</v>
      </c>
      <c r="BK90" s="397">
        <f t="shared" ca="1" si="29"/>
        <v>-68574.974557590976</v>
      </c>
      <c r="BL90" s="392">
        <f t="shared" ca="1" si="29"/>
        <v>27105.162790847477</v>
      </c>
      <c r="BM90" s="392">
        <f t="shared" ca="1" si="29"/>
        <v>85819.551870498428</v>
      </c>
      <c r="BN90" s="391">
        <f t="shared" ca="1" si="29"/>
        <v>73486.500355251206</v>
      </c>
      <c r="BO90" s="395">
        <f t="shared" ca="1" si="29"/>
        <v>55533.410863198282</v>
      </c>
      <c r="BP90" s="391">
        <f t="shared" ca="1" si="29"/>
        <v>55533.410863198282</v>
      </c>
      <c r="BQ90" s="395">
        <f t="shared" ca="1" si="29"/>
        <v>55533.410863198282</v>
      </c>
      <c r="BR90" s="392">
        <f t="shared" ca="1" si="29"/>
        <v>55533.410863198282</v>
      </c>
      <c r="BS90" s="391">
        <f t="shared" ref="BS90:BX90" ca="1" si="30">BR90+BS89</f>
        <v>55533.410863198282</v>
      </c>
      <c r="BT90" s="393">
        <f t="shared" ca="1" si="30"/>
        <v>55533.410863198282</v>
      </c>
      <c r="BU90" s="393">
        <f t="shared" ca="1" si="30"/>
        <v>55533.410863198282</v>
      </c>
      <c r="BV90" s="391">
        <f t="shared" ca="1" si="30"/>
        <v>55533.410863198282</v>
      </c>
      <c r="BW90" s="391">
        <f t="shared" ca="1" si="30"/>
        <v>55533.410863198282</v>
      </c>
      <c r="BX90" s="391">
        <f t="shared" ca="1" si="30"/>
        <v>55533.410863198282</v>
      </c>
      <c r="BY90" s="398">
        <f ca="1">BY89</f>
        <v>55533.410863198282</v>
      </c>
      <c r="BZ90" s="130"/>
      <c r="CA90" s="394">
        <f ca="1">E90-BY90</f>
        <v>213150.63329687779</v>
      </c>
      <c r="CB90" s="388"/>
    </row>
    <row r="91" spans="1:80">
      <c r="A91" s="1791" t="s">
        <v>321</v>
      </c>
      <c r="B91" s="1794" t="s">
        <v>322</v>
      </c>
      <c r="C91" s="1795"/>
      <c r="D91" s="399" t="s">
        <v>323</v>
      </c>
      <c r="E91" s="400">
        <v>1</v>
      </c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1"/>
      <c r="S91" s="400"/>
      <c r="T91" s="402"/>
      <c r="U91" s="403"/>
      <c r="V91" s="400"/>
      <c r="W91" s="404"/>
      <c r="X91" s="401"/>
      <c r="Y91" s="405"/>
      <c r="Z91" s="406">
        <v>8.0000000000000002E-3</v>
      </c>
      <c r="AA91" s="402">
        <v>8.2000000000000007E-3</v>
      </c>
      <c r="AB91" s="400">
        <v>8.2000000000000007E-3</v>
      </c>
      <c r="AC91" s="400">
        <v>1.0500000000000001E-2</v>
      </c>
      <c r="AD91" s="400">
        <v>1.23E-2</v>
      </c>
      <c r="AE91" s="400">
        <v>1.4200000000000001E-2</v>
      </c>
      <c r="AF91" s="400">
        <v>1.6199999999999999E-2</v>
      </c>
      <c r="AG91" s="400">
        <v>1.7999999999999999E-2</v>
      </c>
      <c r="AH91" s="400">
        <v>1.7999999999999999E-2</v>
      </c>
      <c r="AI91" s="400">
        <v>1.84E-2</v>
      </c>
      <c r="AJ91" s="400">
        <v>1.9199999999999998E-2</v>
      </c>
      <c r="AK91" s="400">
        <v>2.0199999999999999E-2</v>
      </c>
      <c r="AL91" s="400">
        <v>2.0400000000000001E-2</v>
      </c>
      <c r="AM91" s="400">
        <v>2.07E-2</v>
      </c>
      <c r="AN91" s="400">
        <v>2.07E-2</v>
      </c>
      <c r="AO91" s="400">
        <v>2.1600000000000001E-2</v>
      </c>
      <c r="AP91" s="400">
        <v>2.24E-2</v>
      </c>
      <c r="AQ91" s="400">
        <v>2.53E-2</v>
      </c>
      <c r="AR91" s="400">
        <v>2.69E-2</v>
      </c>
      <c r="AS91" s="401">
        <v>2.8199999999999999E-2</v>
      </c>
      <c r="AT91" s="400">
        <v>3.1E-2</v>
      </c>
      <c r="AU91" s="402">
        <v>3.1300000000000001E-2</v>
      </c>
      <c r="AV91" s="401">
        <v>3.1699999999999999E-2</v>
      </c>
      <c r="AW91" s="400">
        <v>3.2599999999999997E-2</v>
      </c>
      <c r="AX91" s="407">
        <v>3.27E-2</v>
      </c>
      <c r="AY91" s="407">
        <v>3.3500000000000002E-2</v>
      </c>
      <c r="AZ91" s="407">
        <v>3.4200000000000001E-2</v>
      </c>
      <c r="BA91" s="408">
        <v>3.4799999999999998E-2</v>
      </c>
      <c r="BB91" s="407">
        <v>3.4799999999999998E-2</v>
      </c>
      <c r="BC91" s="407">
        <v>3.6499999999999998E-2</v>
      </c>
      <c r="BD91" s="409">
        <v>3.9100000000000003E-2</v>
      </c>
      <c r="BE91" s="407">
        <v>4.0500000000000001E-2</v>
      </c>
      <c r="BF91" s="407">
        <v>4.1799999999999997E-2</v>
      </c>
      <c r="BG91" s="410">
        <v>4.1799999999999997E-2</v>
      </c>
      <c r="BH91" s="400">
        <v>4.2900000000000001E-2</v>
      </c>
      <c r="BI91" s="409">
        <v>4.19E-2</v>
      </c>
      <c r="BJ91" s="400">
        <v>3.6499999999999998E-2</v>
      </c>
      <c r="BK91" s="406">
        <v>2.4799999999999999E-2</v>
      </c>
      <c r="BL91" s="401"/>
      <c r="BM91" s="401"/>
      <c r="BN91" s="400"/>
      <c r="BO91" s="404"/>
      <c r="BP91" s="400"/>
      <c r="BQ91" s="409"/>
      <c r="BR91" s="401"/>
      <c r="BS91" s="400"/>
      <c r="BT91" s="402"/>
      <c r="BU91" s="411"/>
      <c r="BV91" s="412"/>
      <c r="BW91" s="412"/>
      <c r="BX91" s="412"/>
      <c r="BY91" s="413">
        <f>SUM(T91:BX91)</f>
        <v>0.99999999999999989</v>
      </c>
      <c r="BZ91" s="414"/>
      <c r="CA91" s="415">
        <f>E91-BY91</f>
        <v>0</v>
      </c>
      <c r="CB91" s="388"/>
    </row>
    <row r="92" spans="1:80">
      <c r="A92" s="1792"/>
      <c r="B92" s="1796"/>
      <c r="C92" s="1797"/>
      <c r="D92" s="416" t="s">
        <v>324</v>
      </c>
      <c r="E92" s="417"/>
      <c r="F92" s="418">
        <f>F91</f>
        <v>0</v>
      </c>
      <c r="G92" s="418">
        <f t="shared" ref="G92:BR92" si="31">G91+F92</f>
        <v>0</v>
      </c>
      <c r="H92" s="418">
        <f t="shared" si="31"/>
        <v>0</v>
      </c>
      <c r="I92" s="418">
        <f t="shared" si="31"/>
        <v>0</v>
      </c>
      <c r="J92" s="418">
        <f t="shared" si="31"/>
        <v>0</v>
      </c>
      <c r="K92" s="418">
        <f t="shared" si="31"/>
        <v>0</v>
      </c>
      <c r="L92" s="418">
        <f t="shared" si="31"/>
        <v>0</v>
      </c>
      <c r="M92" s="418">
        <f t="shared" si="31"/>
        <v>0</v>
      </c>
      <c r="N92" s="418">
        <f t="shared" si="31"/>
        <v>0</v>
      </c>
      <c r="O92" s="418">
        <f t="shared" si="31"/>
        <v>0</v>
      </c>
      <c r="P92" s="418">
        <f t="shared" si="31"/>
        <v>0</v>
      </c>
      <c r="Q92" s="418">
        <f t="shared" si="31"/>
        <v>0</v>
      </c>
      <c r="R92" s="419">
        <f t="shared" si="31"/>
        <v>0</v>
      </c>
      <c r="S92" s="418">
        <f t="shared" si="31"/>
        <v>0</v>
      </c>
      <c r="T92" s="420">
        <f t="shared" si="31"/>
        <v>0</v>
      </c>
      <c r="U92" s="421">
        <f t="shared" si="31"/>
        <v>0</v>
      </c>
      <c r="V92" s="418">
        <f t="shared" si="31"/>
        <v>0</v>
      </c>
      <c r="W92" s="422">
        <f t="shared" si="31"/>
        <v>0</v>
      </c>
      <c r="X92" s="419">
        <f t="shared" si="31"/>
        <v>0</v>
      </c>
      <c r="Y92" s="423">
        <f>Y91+W92</f>
        <v>0</v>
      </c>
      <c r="Z92" s="424">
        <f t="shared" si="31"/>
        <v>8.0000000000000002E-3</v>
      </c>
      <c r="AA92" s="420">
        <f t="shared" si="31"/>
        <v>1.6199999999999999E-2</v>
      </c>
      <c r="AB92" s="418">
        <f t="shared" si="31"/>
        <v>2.4399999999999998E-2</v>
      </c>
      <c r="AC92" s="418">
        <f t="shared" si="31"/>
        <v>3.49E-2</v>
      </c>
      <c r="AD92" s="418">
        <f t="shared" si="31"/>
        <v>4.7199999999999999E-2</v>
      </c>
      <c r="AE92" s="418">
        <f t="shared" si="31"/>
        <v>6.1399999999999996E-2</v>
      </c>
      <c r="AF92" s="418">
        <f t="shared" si="31"/>
        <v>7.7600000000000002E-2</v>
      </c>
      <c r="AG92" s="418">
        <f t="shared" si="31"/>
        <v>9.5600000000000004E-2</v>
      </c>
      <c r="AH92" s="418">
        <f t="shared" si="31"/>
        <v>0.11360000000000001</v>
      </c>
      <c r="AI92" s="418">
        <f t="shared" si="31"/>
        <v>0.13200000000000001</v>
      </c>
      <c r="AJ92" s="418">
        <f t="shared" si="31"/>
        <v>0.1512</v>
      </c>
      <c r="AK92" s="418">
        <f t="shared" si="31"/>
        <v>0.1714</v>
      </c>
      <c r="AL92" s="418">
        <f t="shared" si="31"/>
        <v>0.1918</v>
      </c>
      <c r="AM92" s="418">
        <f t="shared" si="31"/>
        <v>0.21249999999999999</v>
      </c>
      <c r="AN92" s="418">
        <f t="shared" si="31"/>
        <v>0.23319999999999999</v>
      </c>
      <c r="AO92" s="418">
        <f t="shared" si="31"/>
        <v>0.25479999999999997</v>
      </c>
      <c r="AP92" s="418">
        <f t="shared" si="31"/>
        <v>0.27719999999999995</v>
      </c>
      <c r="AQ92" s="418">
        <f t="shared" si="31"/>
        <v>0.30249999999999994</v>
      </c>
      <c r="AR92" s="418">
        <f t="shared" si="31"/>
        <v>0.32939999999999992</v>
      </c>
      <c r="AS92" s="419">
        <f t="shared" si="31"/>
        <v>0.35759999999999992</v>
      </c>
      <c r="AT92" s="418">
        <f t="shared" si="31"/>
        <v>0.38859999999999995</v>
      </c>
      <c r="AU92" s="420">
        <f t="shared" si="31"/>
        <v>0.41989999999999994</v>
      </c>
      <c r="AV92" s="419">
        <f t="shared" si="31"/>
        <v>0.45159999999999995</v>
      </c>
      <c r="AW92" s="418">
        <f t="shared" si="31"/>
        <v>0.48419999999999996</v>
      </c>
      <c r="AX92" s="418">
        <f t="shared" si="31"/>
        <v>0.51689999999999992</v>
      </c>
      <c r="AY92" s="418">
        <f t="shared" si="31"/>
        <v>0.55039999999999989</v>
      </c>
      <c r="AZ92" s="418">
        <f t="shared" si="31"/>
        <v>0.5845999999999999</v>
      </c>
      <c r="BA92" s="420">
        <f t="shared" si="31"/>
        <v>0.61939999999999995</v>
      </c>
      <c r="BB92" s="418">
        <f t="shared" si="31"/>
        <v>0.65419999999999989</v>
      </c>
      <c r="BC92" s="418">
        <f t="shared" si="31"/>
        <v>0.69069999999999987</v>
      </c>
      <c r="BD92" s="418">
        <f t="shared" si="31"/>
        <v>0.72979999999999989</v>
      </c>
      <c r="BE92" s="418">
        <f t="shared" si="31"/>
        <v>0.77029999999999987</v>
      </c>
      <c r="BF92" s="418">
        <f t="shared" si="31"/>
        <v>0.81209999999999982</v>
      </c>
      <c r="BG92" s="419">
        <f t="shared" si="31"/>
        <v>0.85389999999999977</v>
      </c>
      <c r="BH92" s="418">
        <f t="shared" si="31"/>
        <v>0.89679999999999982</v>
      </c>
      <c r="BI92" s="422">
        <f t="shared" si="31"/>
        <v>0.93869999999999987</v>
      </c>
      <c r="BJ92" s="418">
        <f t="shared" si="31"/>
        <v>0.97519999999999984</v>
      </c>
      <c r="BK92" s="424">
        <f t="shared" si="31"/>
        <v>0.99999999999999989</v>
      </c>
      <c r="BL92" s="419">
        <f t="shared" si="31"/>
        <v>0.99999999999999989</v>
      </c>
      <c r="BM92" s="419">
        <f t="shared" si="31"/>
        <v>0.99999999999999989</v>
      </c>
      <c r="BN92" s="418">
        <f t="shared" si="31"/>
        <v>0.99999999999999989</v>
      </c>
      <c r="BO92" s="422">
        <f t="shared" si="31"/>
        <v>0.99999999999999989</v>
      </c>
      <c r="BP92" s="418">
        <f t="shared" si="31"/>
        <v>0.99999999999999989</v>
      </c>
      <c r="BQ92" s="422">
        <f t="shared" si="31"/>
        <v>0.99999999999999989</v>
      </c>
      <c r="BR92" s="419">
        <f t="shared" si="31"/>
        <v>0.99999999999999989</v>
      </c>
      <c r="BS92" s="418">
        <f t="shared" ref="BS92:BX92" si="32">BS91+BR92</f>
        <v>0.99999999999999989</v>
      </c>
      <c r="BT92" s="420">
        <f t="shared" si="32"/>
        <v>0.99999999999999989</v>
      </c>
      <c r="BU92" s="420">
        <f t="shared" si="32"/>
        <v>0.99999999999999989</v>
      </c>
      <c r="BV92" s="418">
        <f t="shared" si="32"/>
        <v>0.99999999999999989</v>
      </c>
      <c r="BW92" s="418">
        <f t="shared" si="32"/>
        <v>0.99999999999999989</v>
      </c>
      <c r="BX92" s="418">
        <f t="shared" si="32"/>
        <v>0.99999999999999989</v>
      </c>
      <c r="BY92" s="425"/>
      <c r="BZ92" s="130"/>
      <c r="CA92" s="426"/>
      <c r="CB92" s="388"/>
    </row>
    <row r="93" spans="1:80">
      <c r="A93" s="1792"/>
      <c r="B93" s="1798" t="s">
        <v>325</v>
      </c>
      <c r="C93" s="399" t="s">
        <v>274</v>
      </c>
      <c r="D93" s="400">
        <f>D94+D95</f>
        <v>1</v>
      </c>
      <c r="E93" s="427">
        <f>E94+E95</f>
        <v>206011.962</v>
      </c>
      <c r="F93" s="428"/>
      <c r="G93" s="428"/>
      <c r="H93" s="428"/>
      <c r="I93" s="428"/>
      <c r="J93" s="428"/>
      <c r="K93" s="428"/>
      <c r="L93" s="428"/>
      <c r="M93" s="428"/>
      <c r="N93" s="428"/>
      <c r="O93" s="428"/>
      <c r="P93" s="428"/>
      <c r="Q93" s="428"/>
      <c r="R93" s="429"/>
      <c r="S93" s="428"/>
      <c r="T93" s="121"/>
      <c r="U93" s="430"/>
      <c r="V93" s="123">
        <f>SUM(V94:V95)</f>
        <v>0</v>
      </c>
      <c r="W93" s="124">
        <f>SUM(W94:W95)</f>
        <v>0</v>
      </c>
      <c r="X93" s="125"/>
      <c r="Y93" s="126">
        <f>SUM(Y94:Y95)</f>
        <v>0</v>
      </c>
      <c r="Z93" s="128">
        <f>SUM(Z94:Z95)</f>
        <v>0</v>
      </c>
      <c r="AA93" s="121">
        <f>SUM(AA94:AA95)</f>
        <v>3337.3937844000002</v>
      </c>
      <c r="AB93" s="123">
        <f t="shared" ref="AB93:BT93" si="33">SUM(AB94:AB95)</f>
        <v>0</v>
      </c>
      <c r="AC93" s="123">
        <f t="shared" si="33"/>
        <v>3852.4236894000001</v>
      </c>
      <c r="AD93" s="123">
        <f t="shared" si="33"/>
        <v>0</v>
      </c>
      <c r="AE93" s="123">
        <f t="shared" si="33"/>
        <v>5459.3169930000004</v>
      </c>
      <c r="AF93" s="123">
        <f t="shared" si="33"/>
        <v>0</v>
      </c>
      <c r="AG93" s="123">
        <f t="shared" si="33"/>
        <v>7045.6091003999991</v>
      </c>
      <c r="AH93" s="123">
        <f t="shared" si="33"/>
        <v>0</v>
      </c>
      <c r="AI93" s="123">
        <f t="shared" si="33"/>
        <v>7498.8354168000005</v>
      </c>
      <c r="AJ93" s="123">
        <f t="shared" si="33"/>
        <v>0</v>
      </c>
      <c r="AK93" s="123">
        <f t="shared" si="33"/>
        <v>8116.8713028000002</v>
      </c>
      <c r="AL93" s="123">
        <f t="shared" si="33"/>
        <v>0</v>
      </c>
      <c r="AM93" s="123">
        <f t="shared" si="33"/>
        <v>8467.0916381999996</v>
      </c>
      <c r="AN93" s="123">
        <f t="shared" si="33"/>
        <v>0</v>
      </c>
      <c r="AO93" s="123">
        <f t="shared" si="33"/>
        <v>8714.3059926000005</v>
      </c>
      <c r="AP93" s="123">
        <f t="shared" si="33"/>
        <v>0</v>
      </c>
      <c r="AQ93" s="123">
        <f t="shared" si="33"/>
        <v>9826.7705874000003</v>
      </c>
      <c r="AR93" s="123">
        <f t="shared" si="33"/>
        <v>0</v>
      </c>
      <c r="AS93" s="125">
        <f t="shared" si="33"/>
        <v>11351.259106199999</v>
      </c>
      <c r="AT93" s="123">
        <f t="shared" si="33"/>
        <v>0</v>
      </c>
      <c r="AU93" s="121">
        <f t="shared" si="33"/>
        <v>12834.5452326</v>
      </c>
      <c r="AV93" s="125">
        <f t="shared" si="33"/>
        <v>0</v>
      </c>
      <c r="AW93" s="123">
        <f t="shared" si="33"/>
        <v>13246.5691566</v>
      </c>
      <c r="AX93" s="123">
        <f t="shared" si="33"/>
        <v>0</v>
      </c>
      <c r="AY93" s="123">
        <f t="shared" si="33"/>
        <v>13637.991884400002</v>
      </c>
      <c r="AZ93" s="123">
        <f t="shared" si="33"/>
        <v>0</v>
      </c>
      <c r="BA93" s="121">
        <f t="shared" si="33"/>
        <v>14214.825378000001</v>
      </c>
      <c r="BB93" s="123">
        <f t="shared" si="33"/>
        <v>0</v>
      </c>
      <c r="BC93" s="123">
        <f t="shared" si="33"/>
        <v>14688.652890600002</v>
      </c>
      <c r="BD93" s="123">
        <f t="shared" si="33"/>
        <v>0</v>
      </c>
      <c r="BE93" s="123">
        <f t="shared" si="33"/>
        <v>16398.552175199999</v>
      </c>
      <c r="BF93" s="123">
        <f t="shared" si="33"/>
        <v>0</v>
      </c>
      <c r="BG93" s="125">
        <f t="shared" si="33"/>
        <v>17222.600023200001</v>
      </c>
      <c r="BH93" s="123">
        <f t="shared" si="33"/>
        <v>0</v>
      </c>
      <c r="BI93" s="124">
        <f t="shared" si="33"/>
        <v>17469.8143776</v>
      </c>
      <c r="BJ93" s="123">
        <f t="shared" si="33"/>
        <v>0</v>
      </c>
      <c r="BK93" s="128">
        <f t="shared" si="33"/>
        <v>12628.533270599999</v>
      </c>
      <c r="BL93" s="125">
        <f t="shared" si="33"/>
        <v>0</v>
      </c>
      <c r="BM93" s="125">
        <f t="shared" si="33"/>
        <v>0</v>
      </c>
      <c r="BN93" s="123">
        <f t="shared" si="33"/>
        <v>0</v>
      </c>
      <c r="BO93" s="124">
        <f t="shared" si="33"/>
        <v>0</v>
      </c>
      <c r="BP93" s="123">
        <f t="shared" si="33"/>
        <v>0</v>
      </c>
      <c r="BQ93" s="124">
        <f>SUM(BQ94:BQ95)</f>
        <v>0</v>
      </c>
      <c r="BR93" s="125">
        <f>SUM(BR94:BR95)</f>
        <v>0</v>
      </c>
      <c r="BS93" s="123">
        <f t="shared" si="33"/>
        <v>0</v>
      </c>
      <c r="BT93" s="121">
        <f t="shared" si="33"/>
        <v>0</v>
      </c>
      <c r="BU93" s="121">
        <f>SUM(BU94:BU95)</f>
        <v>0</v>
      </c>
      <c r="BV93" s="123">
        <f>SUM(BV94:BV95)</f>
        <v>0</v>
      </c>
      <c r="BW93" s="123">
        <f>SUM(BW94:BW95)</f>
        <v>0</v>
      </c>
      <c r="BX93" s="123">
        <f>SUM(BX94:BX95)</f>
        <v>0</v>
      </c>
      <c r="BY93" s="129">
        <f t="shared" ref="BY93:BY98" si="34">SUM(T93:BX93)</f>
        <v>206011.962</v>
      </c>
      <c r="BZ93" s="130"/>
      <c r="CA93" s="131">
        <f t="shared" ref="CA93:CA100" si="35">E93-BY93</f>
        <v>0</v>
      </c>
      <c r="CB93" s="132"/>
    </row>
    <row r="94" spans="1:80">
      <c r="A94" s="1792"/>
      <c r="B94" s="1792"/>
      <c r="C94" s="431" t="s">
        <v>326</v>
      </c>
      <c r="D94" s="432">
        <f>E94/E93</f>
        <v>0.95237188217255075</v>
      </c>
      <c r="E94" s="433">
        <f>(손익!X23)/1000</f>
        <v>196200</v>
      </c>
      <c r="F94" s="434"/>
      <c r="G94" s="434"/>
      <c r="H94" s="434"/>
      <c r="I94" s="434"/>
      <c r="J94" s="434"/>
      <c r="K94" s="434"/>
      <c r="L94" s="434"/>
      <c r="M94" s="434"/>
      <c r="N94" s="434"/>
      <c r="O94" s="434"/>
      <c r="P94" s="434"/>
      <c r="Q94" s="434"/>
      <c r="R94" s="435"/>
      <c r="S94" s="434"/>
      <c r="T94" s="436"/>
      <c r="U94" s="437"/>
      <c r="V94" s="438"/>
      <c r="W94" s="439">
        <f>$E$94*SUM(V91:W91)</f>
        <v>0</v>
      </c>
      <c r="X94" s="440"/>
      <c r="Y94" s="441"/>
      <c r="Z94" s="442"/>
      <c r="AA94" s="436">
        <f>$E$94*SUM(Z91:AA91)</f>
        <v>3178.44</v>
      </c>
      <c r="AB94" s="438"/>
      <c r="AC94" s="438">
        <f>$E$94*SUM(AB91:AC91)</f>
        <v>3668.94</v>
      </c>
      <c r="AD94" s="438"/>
      <c r="AE94" s="438">
        <f>$E$94*SUM(AD91:AE91)</f>
        <v>5199.3</v>
      </c>
      <c r="AF94" s="438"/>
      <c r="AG94" s="438">
        <f>$E$94*SUM(AF91:AG91)</f>
        <v>6710.0399999999991</v>
      </c>
      <c r="AH94" s="438"/>
      <c r="AI94" s="438">
        <f>$E$94*SUM(AH91:AI91)</f>
        <v>7141.68</v>
      </c>
      <c r="AJ94" s="438"/>
      <c r="AK94" s="438">
        <f>$E$94*SUM(AJ91:AK91)</f>
        <v>7730.28</v>
      </c>
      <c r="AL94" s="438"/>
      <c r="AM94" s="438">
        <f>$E$94*SUM(AL91:AM91)</f>
        <v>8063.82</v>
      </c>
      <c r="AN94" s="438"/>
      <c r="AO94" s="438">
        <f>$E$94*SUM(AN91:AO91)</f>
        <v>8299.26</v>
      </c>
      <c r="AP94" s="438"/>
      <c r="AQ94" s="438">
        <f>$E$94*SUM(AP91:AQ91)</f>
        <v>9358.74</v>
      </c>
      <c r="AR94" s="438"/>
      <c r="AS94" s="440">
        <f>$E$94*SUM(AR91:AS91)</f>
        <v>10810.619999999999</v>
      </c>
      <c r="AT94" s="438"/>
      <c r="AU94" s="440">
        <f>$E$94*SUM(AT91:AU91)</f>
        <v>12223.26</v>
      </c>
      <c r="AV94" s="440"/>
      <c r="AW94" s="440">
        <f>$E$94*SUM(AV91:AW91)</f>
        <v>12615.66</v>
      </c>
      <c r="AX94" s="438"/>
      <c r="AY94" s="440">
        <f>$E$94*SUM(AX91:AY91)</f>
        <v>12988.440000000002</v>
      </c>
      <c r="AZ94" s="443"/>
      <c r="BA94" s="440">
        <f>$E$94*SUM(AZ91:BA91)</f>
        <v>13537.800000000001</v>
      </c>
      <c r="BB94" s="443"/>
      <c r="BC94" s="440">
        <f>$E$94*SUM(BB91:BC91)</f>
        <v>13989.060000000001</v>
      </c>
      <c r="BD94" s="443"/>
      <c r="BE94" s="440">
        <f>$E$94*SUM(BD91:BE91)</f>
        <v>15617.52</v>
      </c>
      <c r="BF94" s="443"/>
      <c r="BG94" s="440">
        <f>$E$94*SUM(BF91:BG91)</f>
        <v>16402.32</v>
      </c>
      <c r="BH94" s="438"/>
      <c r="BI94" s="440">
        <f>$E$94*SUM(BH91:BI91)</f>
        <v>16637.759999999998</v>
      </c>
      <c r="BJ94" s="438"/>
      <c r="BK94" s="442">
        <f>$E$94*SUM(BJ91:BK91)</f>
        <v>12027.06</v>
      </c>
      <c r="BL94" s="438"/>
      <c r="BM94" s="440"/>
      <c r="BN94" s="438"/>
      <c r="BO94" s="439"/>
      <c r="BP94" s="438"/>
      <c r="BQ94" s="439"/>
      <c r="BR94" s="440"/>
      <c r="BS94" s="438"/>
      <c r="BT94" s="436"/>
      <c r="BU94" s="444"/>
      <c r="BV94" s="434"/>
      <c r="BW94" s="434"/>
      <c r="BX94" s="434"/>
      <c r="BY94" s="360">
        <f t="shared" si="34"/>
        <v>196200</v>
      </c>
      <c r="BZ94" s="130"/>
      <c r="CA94" s="361">
        <f t="shared" si="35"/>
        <v>0</v>
      </c>
      <c r="CB94" s="132"/>
    </row>
    <row r="95" spans="1:80">
      <c r="A95" s="1792"/>
      <c r="B95" s="1793"/>
      <c r="C95" s="445" t="s">
        <v>327</v>
      </c>
      <c r="D95" s="446">
        <f>E95/E93</f>
        <v>4.7628117827449259E-2</v>
      </c>
      <c r="E95" s="447">
        <f>E94*면세비율!$H$31</f>
        <v>9811.9619999999995</v>
      </c>
      <c r="F95" s="448"/>
      <c r="G95" s="448"/>
      <c r="H95" s="448"/>
      <c r="I95" s="448"/>
      <c r="J95" s="448"/>
      <c r="K95" s="448"/>
      <c r="L95" s="448"/>
      <c r="M95" s="448"/>
      <c r="N95" s="448"/>
      <c r="O95" s="448"/>
      <c r="P95" s="448"/>
      <c r="Q95" s="448"/>
      <c r="R95" s="449"/>
      <c r="S95" s="448"/>
      <c r="T95" s="137"/>
      <c r="U95" s="450"/>
      <c r="V95" s="139"/>
      <c r="W95" s="140">
        <f>W94*면세비율!$H$31</f>
        <v>0</v>
      </c>
      <c r="X95" s="141">
        <f>X94*면세비율!$H$31</f>
        <v>0</v>
      </c>
      <c r="Y95" s="142">
        <f>Y94*면세비율!$H$31</f>
        <v>0</v>
      </c>
      <c r="Z95" s="143">
        <f>Z94*면세비율!$H$31</f>
        <v>0</v>
      </c>
      <c r="AA95" s="137">
        <f>AA94*면세비율!$H$31</f>
        <v>158.95378439999999</v>
      </c>
      <c r="AB95" s="139">
        <f>AB94*면세비율!$H$31</f>
        <v>0</v>
      </c>
      <c r="AC95" s="139">
        <f>AC94*면세비율!$H$31</f>
        <v>183.4836894</v>
      </c>
      <c r="AD95" s="139">
        <f>AD94*면세비율!$H$31</f>
        <v>0</v>
      </c>
      <c r="AE95" s="139">
        <f>AE94*면세비율!$H$31</f>
        <v>260.01699300000001</v>
      </c>
      <c r="AF95" s="139">
        <f>AF94*면세비율!$H$31</f>
        <v>0</v>
      </c>
      <c r="AG95" s="139">
        <f>AG94*면세비율!$H$31</f>
        <v>335.56910039999997</v>
      </c>
      <c r="AH95" s="139">
        <f>AH94*면세비율!$H$31</f>
        <v>0</v>
      </c>
      <c r="AI95" s="139">
        <f>AI94*면세비율!$H$31</f>
        <v>357.15541680000001</v>
      </c>
      <c r="AJ95" s="139">
        <f>AJ94*면세비율!$H$31</f>
        <v>0</v>
      </c>
      <c r="AK95" s="139">
        <f>AK94*면세비율!$H$31</f>
        <v>386.59130279999999</v>
      </c>
      <c r="AL95" s="139">
        <f>AL94*면세비율!$H$31</f>
        <v>0</v>
      </c>
      <c r="AM95" s="139">
        <f>AM94*면세비율!$H$31</f>
        <v>403.27163819999998</v>
      </c>
      <c r="AN95" s="139">
        <f>AN94*면세비율!$H$31</f>
        <v>0</v>
      </c>
      <c r="AO95" s="139">
        <f>AO94*면세비율!$H$31</f>
        <v>415.04599259999998</v>
      </c>
      <c r="AP95" s="139">
        <f>AP94*면세비율!$H$31</f>
        <v>0</v>
      </c>
      <c r="AQ95" s="139">
        <f>AQ94*면세비율!$H$31</f>
        <v>468.0305874</v>
      </c>
      <c r="AR95" s="139">
        <f>AR94*면세비율!$H$31</f>
        <v>0</v>
      </c>
      <c r="AS95" s="141">
        <f>AS94*면세비율!$H$31</f>
        <v>540.6391061999999</v>
      </c>
      <c r="AT95" s="139">
        <f>AT94*면세비율!$H$31</f>
        <v>0</v>
      </c>
      <c r="AU95" s="137">
        <f>AU94*면세비율!$H$31</f>
        <v>611.28523259999997</v>
      </c>
      <c r="AV95" s="141">
        <f>AV94*면세비율!$H$31</f>
        <v>0</v>
      </c>
      <c r="AW95" s="139">
        <f>AW94*면세비율!$H$31</f>
        <v>630.90915659999996</v>
      </c>
      <c r="AX95" s="139">
        <f>AX94*면세비율!$H$31</f>
        <v>0</v>
      </c>
      <c r="AY95" s="139">
        <f>AY94*면세비율!$H$31</f>
        <v>649.55188440000006</v>
      </c>
      <c r="AZ95" s="139">
        <f>AZ94*면세비율!$H$31</f>
        <v>0</v>
      </c>
      <c r="BA95" s="137">
        <f>BA94*면세비율!$H$31</f>
        <v>677.02537800000005</v>
      </c>
      <c r="BB95" s="139">
        <f>BB94*면세비율!$H$31</f>
        <v>0</v>
      </c>
      <c r="BC95" s="139">
        <f>BC94*면세비율!$H$31</f>
        <v>699.59289060000003</v>
      </c>
      <c r="BD95" s="139">
        <f>BD94*면세비율!$H$31</f>
        <v>0</v>
      </c>
      <c r="BE95" s="139">
        <f>BE94*면세비율!$H$31</f>
        <v>781.03217519999998</v>
      </c>
      <c r="BF95" s="139">
        <f>BF94*면세비율!$H$31</f>
        <v>0</v>
      </c>
      <c r="BG95" s="141">
        <f>BG94*면세비율!$H$31</f>
        <v>820.28002319999996</v>
      </c>
      <c r="BH95" s="139">
        <f>BH94*면세비율!$H$31</f>
        <v>0</v>
      </c>
      <c r="BI95" s="140">
        <f>BI94*면세비율!$H$31</f>
        <v>832.05437759999995</v>
      </c>
      <c r="BJ95" s="139">
        <f>BJ94*면세비율!$H$31</f>
        <v>0</v>
      </c>
      <c r="BK95" s="143">
        <f>BK94*면세비율!$H$31</f>
        <v>601.47327059999998</v>
      </c>
      <c r="BL95" s="141">
        <f>BL94*면세비율!$H$31</f>
        <v>0</v>
      </c>
      <c r="BM95" s="141">
        <f>BM94*면세비율!$H$31</f>
        <v>0</v>
      </c>
      <c r="BN95" s="139">
        <f>BN94*면세비율!$H$31</f>
        <v>0</v>
      </c>
      <c r="BO95" s="140">
        <f>BO94*면세비율!$H$31</f>
        <v>0</v>
      </c>
      <c r="BP95" s="139">
        <f>BP94*면세비율!$H$31</f>
        <v>0</v>
      </c>
      <c r="BQ95" s="140">
        <f>BQ94*면세비율!$H$31</f>
        <v>0</v>
      </c>
      <c r="BR95" s="141">
        <f>BR94*면세비율!$H$31</f>
        <v>0</v>
      </c>
      <c r="BS95" s="139">
        <f>BS94*면세비율!$H$31</f>
        <v>0</v>
      </c>
      <c r="BT95" s="137">
        <f>BT94*면세비율!$H$31</f>
        <v>0</v>
      </c>
      <c r="BU95" s="137">
        <f>BU94*면세비율!$H$31</f>
        <v>0</v>
      </c>
      <c r="BV95" s="139">
        <f>BV94*면세비율!$H$31</f>
        <v>0</v>
      </c>
      <c r="BW95" s="139">
        <f>BW94*면세비율!$H$31</f>
        <v>0</v>
      </c>
      <c r="BX95" s="139">
        <f>BX94*면세비율!$H$31</f>
        <v>0</v>
      </c>
      <c r="BY95" s="144">
        <f t="shared" si="34"/>
        <v>9811.9619999999977</v>
      </c>
      <c r="BZ95" s="130"/>
      <c r="CA95" s="145">
        <f t="shared" si="35"/>
        <v>0</v>
      </c>
      <c r="CB95" s="132"/>
    </row>
    <row r="96" spans="1:80">
      <c r="A96" s="1792"/>
      <c r="B96" s="1798" t="s">
        <v>328</v>
      </c>
      <c r="C96" s="399" t="s">
        <v>274</v>
      </c>
      <c r="D96" s="400">
        <f>D97+D98</f>
        <v>1</v>
      </c>
      <c r="E96" s="427">
        <f>E97+E98</f>
        <v>6666</v>
      </c>
      <c r="F96" s="428"/>
      <c r="G96" s="428"/>
      <c r="H96" s="428"/>
      <c r="I96" s="428"/>
      <c r="J96" s="428"/>
      <c r="K96" s="428"/>
      <c r="L96" s="428"/>
      <c r="M96" s="428"/>
      <c r="N96" s="428"/>
      <c r="O96" s="428"/>
      <c r="P96" s="428"/>
      <c r="Q96" s="428"/>
      <c r="R96" s="429"/>
      <c r="S96" s="428"/>
      <c r="T96" s="121"/>
      <c r="U96" s="430"/>
      <c r="V96" s="123">
        <f>SUM(V97:V98)</f>
        <v>0</v>
      </c>
      <c r="W96" s="124">
        <f>SUM(W97:W98)</f>
        <v>0</v>
      </c>
      <c r="X96" s="125"/>
      <c r="Y96" s="126">
        <f>SUM(Y97:Y98)</f>
        <v>0</v>
      </c>
      <c r="Z96" s="128">
        <f>SUM(Z97:Z98)</f>
        <v>0</v>
      </c>
      <c r="AA96" s="121">
        <f>SUM(AA97:AA98)</f>
        <v>107.9892</v>
      </c>
      <c r="AB96" s="123">
        <f t="shared" ref="AB96:BX96" si="36">SUM(AB97:AB98)</f>
        <v>0</v>
      </c>
      <c r="AC96" s="123">
        <f t="shared" si="36"/>
        <v>124.6542</v>
      </c>
      <c r="AD96" s="123">
        <f t="shared" si="36"/>
        <v>0</v>
      </c>
      <c r="AE96" s="123">
        <f t="shared" si="36"/>
        <v>176.649</v>
      </c>
      <c r="AF96" s="123">
        <f t="shared" si="36"/>
        <v>0</v>
      </c>
      <c r="AG96" s="123">
        <f t="shared" si="36"/>
        <v>227.97719999999995</v>
      </c>
      <c r="AH96" s="123">
        <f t="shared" si="36"/>
        <v>0</v>
      </c>
      <c r="AI96" s="123">
        <f t="shared" si="36"/>
        <v>242.64240000000001</v>
      </c>
      <c r="AJ96" s="123">
        <f t="shared" si="36"/>
        <v>0</v>
      </c>
      <c r="AK96" s="123">
        <f t="shared" si="36"/>
        <v>262.6404</v>
      </c>
      <c r="AL96" s="123">
        <f t="shared" si="36"/>
        <v>0</v>
      </c>
      <c r="AM96" s="123">
        <f t="shared" si="36"/>
        <v>273.97259999999994</v>
      </c>
      <c r="AN96" s="123">
        <f t="shared" si="36"/>
        <v>0</v>
      </c>
      <c r="AO96" s="123">
        <f t="shared" si="36"/>
        <v>281.97180000000003</v>
      </c>
      <c r="AP96" s="123">
        <f t="shared" si="36"/>
        <v>0</v>
      </c>
      <c r="AQ96" s="123">
        <f t="shared" si="36"/>
        <v>317.96820000000002</v>
      </c>
      <c r="AR96" s="123">
        <f t="shared" si="36"/>
        <v>0</v>
      </c>
      <c r="AS96" s="125">
        <f t="shared" si="36"/>
        <v>367.29659999999996</v>
      </c>
      <c r="AT96" s="123">
        <f t="shared" si="36"/>
        <v>0</v>
      </c>
      <c r="AU96" s="121">
        <f t="shared" si="36"/>
        <v>415.29180000000002</v>
      </c>
      <c r="AV96" s="125">
        <f t="shared" si="36"/>
        <v>0</v>
      </c>
      <c r="AW96" s="123">
        <f t="shared" si="36"/>
        <v>428.62379999999996</v>
      </c>
      <c r="AX96" s="123">
        <f t="shared" si="36"/>
        <v>0</v>
      </c>
      <c r="AY96" s="123">
        <f t="shared" si="36"/>
        <v>441.28920000000005</v>
      </c>
      <c r="AZ96" s="123">
        <f t="shared" si="36"/>
        <v>0</v>
      </c>
      <c r="BA96" s="121">
        <f t="shared" si="36"/>
        <v>459.95400000000006</v>
      </c>
      <c r="BB96" s="123">
        <f t="shared" si="36"/>
        <v>0</v>
      </c>
      <c r="BC96" s="123">
        <f t="shared" si="36"/>
        <v>475.28580000000005</v>
      </c>
      <c r="BD96" s="123">
        <f t="shared" si="36"/>
        <v>0</v>
      </c>
      <c r="BE96" s="123">
        <f t="shared" si="36"/>
        <v>530.61360000000002</v>
      </c>
      <c r="BF96" s="123">
        <f t="shared" si="36"/>
        <v>0</v>
      </c>
      <c r="BG96" s="125">
        <f t="shared" si="36"/>
        <v>557.27760000000001</v>
      </c>
      <c r="BH96" s="123">
        <f t="shared" si="36"/>
        <v>0</v>
      </c>
      <c r="BI96" s="124">
        <f t="shared" si="36"/>
        <v>565.27680000000009</v>
      </c>
      <c r="BJ96" s="123">
        <f t="shared" si="36"/>
        <v>0</v>
      </c>
      <c r="BK96" s="128">
        <f t="shared" si="36"/>
        <v>408.62579999999997</v>
      </c>
      <c r="BL96" s="125">
        <f t="shared" si="36"/>
        <v>0</v>
      </c>
      <c r="BM96" s="125">
        <f t="shared" si="36"/>
        <v>0</v>
      </c>
      <c r="BN96" s="123">
        <f t="shared" si="36"/>
        <v>0</v>
      </c>
      <c r="BO96" s="124">
        <f t="shared" si="36"/>
        <v>0</v>
      </c>
      <c r="BP96" s="123">
        <f t="shared" si="36"/>
        <v>0</v>
      </c>
      <c r="BQ96" s="124">
        <f t="shared" si="36"/>
        <v>0</v>
      </c>
      <c r="BR96" s="125">
        <f t="shared" si="36"/>
        <v>0</v>
      </c>
      <c r="BS96" s="123">
        <f t="shared" si="36"/>
        <v>0</v>
      </c>
      <c r="BT96" s="121">
        <f t="shared" si="36"/>
        <v>0</v>
      </c>
      <c r="BU96" s="121">
        <f t="shared" si="36"/>
        <v>0</v>
      </c>
      <c r="BV96" s="123">
        <f t="shared" si="36"/>
        <v>0</v>
      </c>
      <c r="BW96" s="123">
        <f t="shared" si="36"/>
        <v>0</v>
      </c>
      <c r="BX96" s="123">
        <f t="shared" si="36"/>
        <v>0</v>
      </c>
      <c r="BY96" s="129">
        <f t="shared" si="34"/>
        <v>6666</v>
      </c>
      <c r="BZ96" s="130"/>
      <c r="CA96" s="131">
        <f t="shared" si="35"/>
        <v>0</v>
      </c>
      <c r="CB96" s="132"/>
    </row>
    <row r="97" spans="1:80">
      <c r="A97" s="1792"/>
      <c r="B97" s="1792"/>
      <c r="C97" s="431" t="s">
        <v>326</v>
      </c>
      <c r="D97" s="432">
        <f>E97/E96</f>
        <v>0.90909090909090906</v>
      </c>
      <c r="E97" s="433">
        <f>(손익!X24)/1000</f>
        <v>6060</v>
      </c>
      <c r="F97" s="434"/>
      <c r="G97" s="434"/>
      <c r="H97" s="434"/>
      <c r="I97" s="434"/>
      <c r="J97" s="434"/>
      <c r="K97" s="434"/>
      <c r="L97" s="434"/>
      <c r="M97" s="434"/>
      <c r="N97" s="434"/>
      <c r="O97" s="434"/>
      <c r="P97" s="434"/>
      <c r="Q97" s="434"/>
      <c r="R97" s="435"/>
      <c r="S97" s="434"/>
      <c r="T97" s="436"/>
      <c r="U97" s="437"/>
      <c r="V97" s="438"/>
      <c r="W97" s="439">
        <f>$E$94*SUM(V94:W94)</f>
        <v>0</v>
      </c>
      <c r="X97" s="440"/>
      <c r="Y97" s="441"/>
      <c r="Z97" s="442"/>
      <c r="AA97" s="436">
        <f>$E$97*SUM(Z91:AA91)</f>
        <v>98.171999999999997</v>
      </c>
      <c r="AB97" s="438"/>
      <c r="AC97" s="438">
        <f>$E$97*SUM(AB91:AC91)</f>
        <v>113.322</v>
      </c>
      <c r="AD97" s="438"/>
      <c r="AE97" s="438">
        <f>$E$97*SUM(AD91:AE91)</f>
        <v>160.59</v>
      </c>
      <c r="AF97" s="438"/>
      <c r="AG97" s="438">
        <f>$E$97*SUM(AF91:AG91)</f>
        <v>207.25199999999995</v>
      </c>
      <c r="AH97" s="438"/>
      <c r="AI97" s="438">
        <f>$E$97*SUM(AH91:AI91)</f>
        <v>220.584</v>
      </c>
      <c r="AJ97" s="438"/>
      <c r="AK97" s="438">
        <f>$E$97*SUM(AJ91:AK91)</f>
        <v>238.76399999999998</v>
      </c>
      <c r="AL97" s="438"/>
      <c r="AM97" s="438">
        <f>$E$97*SUM(AL91:AM91)</f>
        <v>249.06599999999997</v>
      </c>
      <c r="AN97" s="438"/>
      <c r="AO97" s="438">
        <f>$E$97*SUM(AN91:AO91)</f>
        <v>256.33800000000002</v>
      </c>
      <c r="AP97" s="438"/>
      <c r="AQ97" s="438">
        <f>$E$97*SUM(AP91:AQ91)</f>
        <v>289.06200000000001</v>
      </c>
      <c r="AR97" s="438"/>
      <c r="AS97" s="440">
        <f>$E$97*SUM(AR91:AS91)</f>
        <v>333.90599999999995</v>
      </c>
      <c r="AT97" s="438"/>
      <c r="AU97" s="440">
        <f>$E$97*SUM(AT91:AU91)</f>
        <v>377.53800000000001</v>
      </c>
      <c r="AV97" s="440"/>
      <c r="AW97" s="440">
        <f>$E$97*SUM(AV91:AW91)</f>
        <v>389.65799999999996</v>
      </c>
      <c r="AX97" s="438"/>
      <c r="AY97" s="440">
        <f>$E$97*SUM(AX91:AY91)</f>
        <v>401.17200000000003</v>
      </c>
      <c r="AZ97" s="443"/>
      <c r="BA97" s="440">
        <f>$E$97*SUM(AZ91:BA91)</f>
        <v>418.14000000000004</v>
      </c>
      <c r="BB97" s="443"/>
      <c r="BC97" s="440">
        <f>$E$97*SUM(BB91:BC91)</f>
        <v>432.07800000000003</v>
      </c>
      <c r="BD97" s="443"/>
      <c r="BE97" s="440">
        <f>$E$97*SUM(BD91:BE91)</f>
        <v>482.37600000000003</v>
      </c>
      <c r="BF97" s="443"/>
      <c r="BG97" s="440">
        <f>$E$97*SUM(BF91:BG91)</f>
        <v>506.61599999999999</v>
      </c>
      <c r="BH97" s="438"/>
      <c r="BI97" s="440">
        <f>$E$97*SUM(BH91:BI91)</f>
        <v>513.88800000000003</v>
      </c>
      <c r="BJ97" s="438"/>
      <c r="BK97" s="442">
        <f>$E$97*SUM(BJ91:BK91)</f>
        <v>371.47799999999995</v>
      </c>
      <c r="BL97" s="438"/>
      <c r="BM97" s="440"/>
      <c r="BN97" s="438"/>
      <c r="BO97" s="439"/>
      <c r="BP97" s="438"/>
      <c r="BQ97" s="439"/>
      <c r="BR97" s="440"/>
      <c r="BS97" s="438"/>
      <c r="BT97" s="436"/>
      <c r="BU97" s="444"/>
      <c r="BV97" s="434"/>
      <c r="BW97" s="434"/>
      <c r="BX97" s="434"/>
      <c r="BY97" s="360">
        <f t="shared" si="34"/>
        <v>6060</v>
      </c>
      <c r="BZ97" s="130"/>
      <c r="CA97" s="361">
        <f t="shared" si="35"/>
        <v>0</v>
      </c>
      <c r="CB97" s="132"/>
    </row>
    <row r="98" spans="1:80">
      <c r="A98" s="1792"/>
      <c r="B98" s="1793"/>
      <c r="C98" s="445" t="s">
        <v>327</v>
      </c>
      <c r="D98" s="446">
        <f>E98/E96</f>
        <v>9.0909090909090912E-2</v>
      </c>
      <c r="E98" s="447">
        <f>E97*10%</f>
        <v>606</v>
      </c>
      <c r="F98" s="448"/>
      <c r="G98" s="448"/>
      <c r="H98" s="448"/>
      <c r="I98" s="448"/>
      <c r="J98" s="448"/>
      <c r="K98" s="448"/>
      <c r="L98" s="448"/>
      <c r="M98" s="448"/>
      <c r="N98" s="448"/>
      <c r="O98" s="448"/>
      <c r="P98" s="448"/>
      <c r="Q98" s="448"/>
      <c r="R98" s="449"/>
      <c r="S98" s="448"/>
      <c r="T98" s="137"/>
      <c r="U98" s="450"/>
      <c r="V98" s="139"/>
      <c r="W98" s="140">
        <f>W97*10%</f>
        <v>0</v>
      </c>
      <c r="X98" s="141">
        <f t="shared" ref="X98:BX98" si="37">X97*10%</f>
        <v>0</v>
      </c>
      <c r="Y98" s="142">
        <f t="shared" si="37"/>
        <v>0</v>
      </c>
      <c r="Z98" s="143">
        <f t="shared" si="37"/>
        <v>0</v>
      </c>
      <c r="AA98" s="137">
        <f t="shared" si="37"/>
        <v>9.8171999999999997</v>
      </c>
      <c r="AB98" s="139">
        <f t="shared" si="37"/>
        <v>0</v>
      </c>
      <c r="AC98" s="139">
        <f t="shared" si="37"/>
        <v>11.3322</v>
      </c>
      <c r="AD98" s="139">
        <f t="shared" si="37"/>
        <v>0</v>
      </c>
      <c r="AE98" s="139">
        <f t="shared" si="37"/>
        <v>16.059000000000001</v>
      </c>
      <c r="AF98" s="139">
        <f t="shared" si="37"/>
        <v>0</v>
      </c>
      <c r="AG98" s="139">
        <f t="shared" si="37"/>
        <v>20.725199999999997</v>
      </c>
      <c r="AH98" s="139">
        <f t="shared" si="37"/>
        <v>0</v>
      </c>
      <c r="AI98" s="139">
        <f t="shared" si="37"/>
        <v>22.058400000000002</v>
      </c>
      <c r="AJ98" s="139">
        <f t="shared" si="37"/>
        <v>0</v>
      </c>
      <c r="AK98" s="139">
        <f t="shared" si="37"/>
        <v>23.8764</v>
      </c>
      <c r="AL98" s="139">
        <f t="shared" si="37"/>
        <v>0</v>
      </c>
      <c r="AM98" s="139">
        <f t="shared" si="37"/>
        <v>24.906599999999997</v>
      </c>
      <c r="AN98" s="139">
        <f t="shared" si="37"/>
        <v>0</v>
      </c>
      <c r="AO98" s="139">
        <f t="shared" si="37"/>
        <v>25.633800000000004</v>
      </c>
      <c r="AP98" s="139">
        <f t="shared" si="37"/>
        <v>0</v>
      </c>
      <c r="AQ98" s="139">
        <f t="shared" si="37"/>
        <v>28.906200000000002</v>
      </c>
      <c r="AR98" s="139">
        <f t="shared" si="37"/>
        <v>0</v>
      </c>
      <c r="AS98" s="141">
        <f t="shared" si="37"/>
        <v>33.390599999999999</v>
      </c>
      <c r="AT98" s="139">
        <f t="shared" si="37"/>
        <v>0</v>
      </c>
      <c r="AU98" s="137">
        <f t="shared" si="37"/>
        <v>37.753800000000005</v>
      </c>
      <c r="AV98" s="141">
        <f t="shared" si="37"/>
        <v>0</v>
      </c>
      <c r="AW98" s="139">
        <f t="shared" si="37"/>
        <v>38.965800000000002</v>
      </c>
      <c r="AX98" s="139">
        <f t="shared" si="37"/>
        <v>0</v>
      </c>
      <c r="AY98" s="139">
        <f t="shared" si="37"/>
        <v>40.117200000000004</v>
      </c>
      <c r="AZ98" s="139">
        <f t="shared" si="37"/>
        <v>0</v>
      </c>
      <c r="BA98" s="137">
        <f t="shared" si="37"/>
        <v>41.814000000000007</v>
      </c>
      <c r="BB98" s="139">
        <f t="shared" si="37"/>
        <v>0</v>
      </c>
      <c r="BC98" s="139">
        <f t="shared" si="37"/>
        <v>43.207800000000006</v>
      </c>
      <c r="BD98" s="139">
        <f t="shared" si="37"/>
        <v>0</v>
      </c>
      <c r="BE98" s="139">
        <f t="shared" si="37"/>
        <v>48.237600000000008</v>
      </c>
      <c r="BF98" s="139">
        <f t="shared" si="37"/>
        <v>0</v>
      </c>
      <c r="BG98" s="141">
        <f t="shared" si="37"/>
        <v>50.6616</v>
      </c>
      <c r="BH98" s="139">
        <f t="shared" si="37"/>
        <v>0</v>
      </c>
      <c r="BI98" s="140">
        <f t="shared" si="37"/>
        <v>51.388800000000003</v>
      </c>
      <c r="BJ98" s="139">
        <f t="shared" si="37"/>
        <v>0</v>
      </c>
      <c r="BK98" s="143">
        <f t="shared" si="37"/>
        <v>37.147799999999997</v>
      </c>
      <c r="BL98" s="141">
        <f t="shared" si="37"/>
        <v>0</v>
      </c>
      <c r="BM98" s="141">
        <f t="shared" si="37"/>
        <v>0</v>
      </c>
      <c r="BN98" s="139">
        <f t="shared" si="37"/>
        <v>0</v>
      </c>
      <c r="BO98" s="140">
        <f t="shared" si="37"/>
        <v>0</v>
      </c>
      <c r="BP98" s="139">
        <f t="shared" si="37"/>
        <v>0</v>
      </c>
      <c r="BQ98" s="140">
        <f t="shared" si="37"/>
        <v>0</v>
      </c>
      <c r="BR98" s="141">
        <f t="shared" si="37"/>
        <v>0</v>
      </c>
      <c r="BS98" s="139">
        <f t="shared" si="37"/>
        <v>0</v>
      </c>
      <c r="BT98" s="137">
        <f t="shared" si="37"/>
        <v>0</v>
      </c>
      <c r="BU98" s="137">
        <f t="shared" si="37"/>
        <v>0</v>
      </c>
      <c r="BV98" s="139">
        <f t="shared" si="37"/>
        <v>0</v>
      </c>
      <c r="BW98" s="139">
        <f t="shared" si="37"/>
        <v>0</v>
      </c>
      <c r="BX98" s="139">
        <f t="shared" si="37"/>
        <v>0</v>
      </c>
      <c r="BY98" s="144">
        <f t="shared" si="34"/>
        <v>606</v>
      </c>
      <c r="BZ98" s="130"/>
      <c r="CA98" s="145">
        <f t="shared" si="35"/>
        <v>0</v>
      </c>
      <c r="CB98" s="132"/>
    </row>
    <row r="99" spans="1:80">
      <c r="A99" s="1792"/>
      <c r="B99" s="1799" t="s">
        <v>329</v>
      </c>
      <c r="C99" s="1800"/>
      <c r="D99" s="451">
        <f>E99/(E93+E96)</f>
        <v>1</v>
      </c>
      <c r="E99" s="258">
        <f>E93+E96</f>
        <v>212677.962</v>
      </c>
      <c r="F99" s="268"/>
      <c r="G99" s="268"/>
      <c r="H99" s="268"/>
      <c r="I99" s="268"/>
      <c r="J99" s="268"/>
      <c r="K99" s="268"/>
      <c r="L99" s="268"/>
      <c r="M99" s="268"/>
      <c r="N99" s="268"/>
      <c r="O99" s="268"/>
      <c r="P99" s="268"/>
      <c r="Q99" s="268"/>
      <c r="R99" s="452"/>
      <c r="S99" s="268"/>
      <c r="T99" s="262"/>
      <c r="U99" s="453"/>
      <c r="V99" s="260"/>
      <c r="W99" s="264"/>
      <c r="X99" s="261"/>
      <c r="Y99" s="284">
        <f>X93+X96</f>
        <v>0</v>
      </c>
      <c r="Z99" s="266">
        <f>Y93+Y96</f>
        <v>0</v>
      </c>
      <c r="AA99" s="262">
        <f>Z93+Z96</f>
        <v>0</v>
      </c>
      <c r="AB99" s="260">
        <f>AA93+AA96</f>
        <v>3445.3829844000002</v>
      </c>
      <c r="AC99" s="260">
        <f t="shared" ref="AC99:BL99" si="38">AB93+AB96</f>
        <v>0</v>
      </c>
      <c r="AD99" s="260">
        <f t="shared" si="38"/>
        <v>3977.0778894</v>
      </c>
      <c r="AE99" s="260">
        <f t="shared" si="38"/>
        <v>0</v>
      </c>
      <c r="AF99" s="260">
        <f t="shared" si="38"/>
        <v>5635.9659930000007</v>
      </c>
      <c r="AG99" s="260">
        <f t="shared" si="38"/>
        <v>0</v>
      </c>
      <c r="AH99" s="260">
        <f t="shared" si="38"/>
        <v>7273.5863003999993</v>
      </c>
      <c r="AI99" s="260">
        <f t="shared" si="38"/>
        <v>0</v>
      </c>
      <c r="AJ99" s="260">
        <f t="shared" si="38"/>
        <v>7741.4778168000003</v>
      </c>
      <c r="AK99" s="260">
        <f t="shared" si="38"/>
        <v>0</v>
      </c>
      <c r="AL99" s="260">
        <f t="shared" si="38"/>
        <v>8379.5117028000004</v>
      </c>
      <c r="AM99" s="260">
        <f t="shared" si="38"/>
        <v>0</v>
      </c>
      <c r="AN99" s="260">
        <f t="shared" si="38"/>
        <v>8741.0642381999987</v>
      </c>
      <c r="AO99" s="260">
        <f t="shared" si="38"/>
        <v>0</v>
      </c>
      <c r="AP99" s="260">
        <f t="shared" si="38"/>
        <v>8996.2777925999999</v>
      </c>
      <c r="AQ99" s="260">
        <f t="shared" si="38"/>
        <v>0</v>
      </c>
      <c r="AR99" s="260">
        <f t="shared" si="38"/>
        <v>10144.7387874</v>
      </c>
      <c r="AS99" s="261">
        <f t="shared" si="38"/>
        <v>0</v>
      </c>
      <c r="AT99" s="260">
        <f t="shared" si="38"/>
        <v>11718.555706199999</v>
      </c>
      <c r="AU99" s="262">
        <f t="shared" si="38"/>
        <v>0</v>
      </c>
      <c r="AV99" s="261">
        <f t="shared" si="38"/>
        <v>13249.8370326</v>
      </c>
      <c r="AW99" s="260">
        <f t="shared" si="38"/>
        <v>0</v>
      </c>
      <c r="AX99" s="260">
        <f t="shared" si="38"/>
        <v>13675.1929566</v>
      </c>
      <c r="AY99" s="260">
        <f t="shared" si="38"/>
        <v>0</v>
      </c>
      <c r="AZ99" s="260">
        <f t="shared" si="38"/>
        <v>14079.281084400001</v>
      </c>
      <c r="BA99" s="262">
        <f t="shared" si="38"/>
        <v>0</v>
      </c>
      <c r="BB99" s="260">
        <f t="shared" si="38"/>
        <v>14674.779378000001</v>
      </c>
      <c r="BC99" s="260">
        <f t="shared" si="38"/>
        <v>0</v>
      </c>
      <c r="BD99" s="260">
        <f t="shared" si="38"/>
        <v>15163.938690600002</v>
      </c>
      <c r="BE99" s="260">
        <f t="shared" si="38"/>
        <v>0</v>
      </c>
      <c r="BF99" s="260">
        <f t="shared" si="38"/>
        <v>16929.165775199999</v>
      </c>
      <c r="BG99" s="261">
        <f t="shared" si="38"/>
        <v>0</v>
      </c>
      <c r="BH99" s="260">
        <f t="shared" si="38"/>
        <v>17779.877623200002</v>
      </c>
      <c r="BI99" s="261">
        <f t="shared" si="38"/>
        <v>0</v>
      </c>
      <c r="BJ99" s="260">
        <f t="shared" si="38"/>
        <v>18035.091177599999</v>
      </c>
      <c r="BK99" s="266">
        <f t="shared" si="38"/>
        <v>0</v>
      </c>
      <c r="BL99" s="261">
        <f t="shared" si="38"/>
        <v>13037.159070599999</v>
      </c>
      <c r="BM99" s="261"/>
      <c r="BN99" s="260"/>
      <c r="BO99" s="264"/>
      <c r="BP99" s="260"/>
      <c r="BQ99" s="264"/>
      <c r="BR99" s="261"/>
      <c r="BS99" s="260"/>
      <c r="BT99" s="262"/>
      <c r="BU99" s="262"/>
      <c r="BV99" s="260"/>
      <c r="BW99" s="260"/>
      <c r="BX99" s="260"/>
      <c r="BY99" s="149">
        <f>SUM(F99:BX99)</f>
        <v>212677.96200000003</v>
      </c>
      <c r="BZ99" s="130"/>
      <c r="CA99" s="157">
        <f t="shared" si="35"/>
        <v>0</v>
      </c>
      <c r="CB99" s="132"/>
    </row>
    <row r="100" spans="1:80">
      <c r="A100" s="1792"/>
      <c r="B100" s="1801" t="s">
        <v>330</v>
      </c>
      <c r="C100" s="1802"/>
      <c r="D100" s="454">
        <f>E100/(E93+E96)</f>
        <v>1</v>
      </c>
      <c r="E100" s="258">
        <f>E99</f>
        <v>212677.962</v>
      </c>
      <c r="F100" s="268"/>
      <c r="G100" s="268"/>
      <c r="H100" s="268"/>
      <c r="I100" s="268"/>
      <c r="J100" s="268"/>
      <c r="K100" s="268"/>
      <c r="L100" s="268"/>
      <c r="M100" s="268"/>
      <c r="N100" s="268"/>
      <c r="O100" s="268"/>
      <c r="P100" s="260"/>
      <c r="Q100" s="260"/>
      <c r="R100" s="261"/>
      <c r="S100" s="260"/>
      <c r="T100" s="262"/>
      <c r="U100" s="263"/>
      <c r="V100" s="260"/>
      <c r="W100" s="264"/>
      <c r="X100" s="261"/>
      <c r="Y100" s="284">
        <f>Y99</f>
        <v>0</v>
      </c>
      <c r="Z100" s="266">
        <f>Z99</f>
        <v>0</v>
      </c>
      <c r="AA100" s="262">
        <f>AA99</f>
        <v>0</v>
      </c>
      <c r="AB100" s="260">
        <f>AB99</f>
        <v>3445.3829844000002</v>
      </c>
      <c r="AC100" s="260">
        <f>AC99</f>
        <v>0</v>
      </c>
      <c r="AD100" s="260">
        <f t="shared" ref="AD100:AP100" si="39">AD99</f>
        <v>3977.0778894</v>
      </c>
      <c r="AE100" s="260">
        <f t="shared" si="39"/>
        <v>0</v>
      </c>
      <c r="AF100" s="260">
        <f t="shared" si="39"/>
        <v>5635.9659930000007</v>
      </c>
      <c r="AG100" s="260">
        <f t="shared" si="39"/>
        <v>0</v>
      </c>
      <c r="AH100" s="260">
        <f t="shared" si="39"/>
        <v>7273.5863003999993</v>
      </c>
      <c r="AI100" s="260">
        <f t="shared" si="39"/>
        <v>0</v>
      </c>
      <c r="AJ100" s="260">
        <f t="shared" si="39"/>
        <v>7741.4778168000003</v>
      </c>
      <c r="AK100" s="260">
        <f t="shared" si="39"/>
        <v>0</v>
      </c>
      <c r="AL100" s="260">
        <f t="shared" si="39"/>
        <v>8379.5117028000004</v>
      </c>
      <c r="AM100" s="260">
        <f t="shared" si="39"/>
        <v>0</v>
      </c>
      <c r="AN100" s="260">
        <f t="shared" si="39"/>
        <v>8741.0642381999987</v>
      </c>
      <c r="AO100" s="260">
        <f t="shared" si="39"/>
        <v>0</v>
      </c>
      <c r="AP100" s="260">
        <f t="shared" si="39"/>
        <v>8996.2777925999999</v>
      </c>
      <c r="AQ100" s="260">
        <f>AQ99</f>
        <v>0</v>
      </c>
      <c r="AR100" s="260">
        <f t="shared" ref="AR100:BG100" si="40">AR99</f>
        <v>10144.7387874</v>
      </c>
      <c r="AS100" s="261">
        <f t="shared" si="40"/>
        <v>0</v>
      </c>
      <c r="AT100" s="260">
        <f t="shared" si="40"/>
        <v>11718.555706199999</v>
      </c>
      <c r="AU100" s="262">
        <f t="shared" si="40"/>
        <v>0</v>
      </c>
      <c r="AV100" s="455">
        <f t="shared" si="40"/>
        <v>13249.8370326</v>
      </c>
      <c r="AW100" s="260">
        <f t="shared" si="40"/>
        <v>0</v>
      </c>
      <c r="AX100" s="260">
        <f t="shared" si="40"/>
        <v>13675.1929566</v>
      </c>
      <c r="AY100" s="260">
        <f t="shared" si="40"/>
        <v>0</v>
      </c>
      <c r="AZ100" s="260">
        <f t="shared" si="40"/>
        <v>14079.281084400001</v>
      </c>
      <c r="BA100" s="262">
        <f t="shared" si="40"/>
        <v>0</v>
      </c>
      <c r="BB100" s="260">
        <f t="shared" si="40"/>
        <v>14674.779378000001</v>
      </c>
      <c r="BC100" s="260">
        <f t="shared" si="40"/>
        <v>0</v>
      </c>
      <c r="BD100" s="260">
        <f t="shared" si="40"/>
        <v>15163.938690600002</v>
      </c>
      <c r="BE100" s="260">
        <f t="shared" si="40"/>
        <v>0</v>
      </c>
      <c r="BF100" s="260">
        <f t="shared" si="40"/>
        <v>16929.165775199999</v>
      </c>
      <c r="BG100" s="261">
        <f t="shared" si="40"/>
        <v>0</v>
      </c>
      <c r="BH100" s="260">
        <f>BH99</f>
        <v>17779.877623200002</v>
      </c>
      <c r="BI100" s="261">
        <f>BI99</f>
        <v>0</v>
      </c>
      <c r="BJ100" s="260">
        <v>2000</v>
      </c>
      <c r="BK100" s="266">
        <f>BK99</f>
        <v>0</v>
      </c>
      <c r="BL100" s="261">
        <f>$E100-SUM($G100:BK100)</f>
        <v>29072.250248199969</v>
      </c>
      <c r="BM100" s="261">
        <f>$E100-SUM($G100:BL100)</f>
        <v>0</v>
      </c>
      <c r="BN100" s="260"/>
      <c r="BO100" s="264"/>
      <c r="BP100" s="260"/>
      <c r="BQ100" s="264"/>
      <c r="BR100" s="261"/>
      <c r="BS100" s="260"/>
      <c r="BT100" s="262"/>
      <c r="BU100" s="262"/>
      <c r="BV100" s="260"/>
      <c r="BW100" s="260"/>
      <c r="BX100" s="260"/>
      <c r="BY100" s="149">
        <f>SUM(F100:BX100)</f>
        <v>212677.962</v>
      </c>
      <c r="BZ100" s="130"/>
      <c r="CA100" s="157">
        <f t="shared" si="35"/>
        <v>0</v>
      </c>
      <c r="CB100" s="132"/>
    </row>
    <row r="101" spans="1:80">
      <c r="A101" s="1792"/>
      <c r="B101" s="1803" t="s">
        <v>331</v>
      </c>
      <c r="C101" s="1804"/>
      <c r="D101" s="456" t="s">
        <v>323</v>
      </c>
      <c r="E101" s="457"/>
      <c r="F101" s="458"/>
      <c r="G101" s="459"/>
      <c r="H101" s="459"/>
      <c r="I101" s="459"/>
      <c r="J101" s="459"/>
      <c r="K101" s="459"/>
      <c r="L101" s="459"/>
      <c r="M101" s="459"/>
      <c r="N101" s="459"/>
      <c r="O101" s="459"/>
      <c r="P101" s="459"/>
      <c r="Q101" s="459"/>
      <c r="R101" s="460"/>
      <c r="S101" s="459"/>
      <c r="T101" s="461"/>
      <c r="U101" s="462"/>
      <c r="V101" s="459"/>
      <c r="W101" s="463"/>
      <c r="X101" s="460"/>
      <c r="Y101" s="464"/>
      <c r="Z101" s="465">
        <f>Z100-Z99</f>
        <v>0</v>
      </c>
      <c r="AA101" s="461">
        <f t="shared" ref="AA101:BX101" si="41">AA100-AA99</f>
        <v>0</v>
      </c>
      <c r="AB101" s="459">
        <f t="shared" si="41"/>
        <v>0</v>
      </c>
      <c r="AC101" s="459">
        <f t="shared" si="41"/>
        <v>0</v>
      </c>
      <c r="AD101" s="459">
        <f t="shared" si="41"/>
        <v>0</v>
      </c>
      <c r="AE101" s="459">
        <f t="shared" si="41"/>
        <v>0</v>
      </c>
      <c r="AF101" s="459">
        <f t="shared" si="41"/>
        <v>0</v>
      </c>
      <c r="AG101" s="459">
        <f t="shared" si="41"/>
        <v>0</v>
      </c>
      <c r="AH101" s="459">
        <f t="shared" si="41"/>
        <v>0</v>
      </c>
      <c r="AI101" s="459">
        <f t="shared" si="41"/>
        <v>0</v>
      </c>
      <c r="AJ101" s="459">
        <f t="shared" si="41"/>
        <v>0</v>
      </c>
      <c r="AK101" s="459">
        <f t="shared" si="41"/>
        <v>0</v>
      </c>
      <c r="AL101" s="459">
        <f t="shared" si="41"/>
        <v>0</v>
      </c>
      <c r="AM101" s="459">
        <f t="shared" si="41"/>
        <v>0</v>
      </c>
      <c r="AN101" s="459">
        <f t="shared" si="41"/>
        <v>0</v>
      </c>
      <c r="AO101" s="459">
        <f t="shared" si="41"/>
        <v>0</v>
      </c>
      <c r="AP101" s="459">
        <f t="shared" si="41"/>
        <v>0</v>
      </c>
      <c r="AQ101" s="459">
        <f t="shared" si="41"/>
        <v>0</v>
      </c>
      <c r="AR101" s="459">
        <f t="shared" si="41"/>
        <v>0</v>
      </c>
      <c r="AS101" s="460">
        <f t="shared" si="41"/>
        <v>0</v>
      </c>
      <c r="AT101" s="459">
        <f t="shared" si="41"/>
        <v>0</v>
      </c>
      <c r="AU101" s="461">
        <f t="shared" si="41"/>
        <v>0</v>
      </c>
      <c r="AV101" s="460">
        <f t="shared" si="41"/>
        <v>0</v>
      </c>
      <c r="AW101" s="459">
        <f t="shared" si="41"/>
        <v>0</v>
      </c>
      <c r="AX101" s="459">
        <f t="shared" si="41"/>
        <v>0</v>
      </c>
      <c r="AY101" s="459">
        <f t="shared" si="41"/>
        <v>0</v>
      </c>
      <c r="AZ101" s="459">
        <f t="shared" si="41"/>
        <v>0</v>
      </c>
      <c r="BA101" s="461">
        <f t="shared" si="41"/>
        <v>0</v>
      </c>
      <c r="BB101" s="459">
        <f t="shared" si="41"/>
        <v>0</v>
      </c>
      <c r="BC101" s="459">
        <f t="shared" si="41"/>
        <v>0</v>
      </c>
      <c r="BD101" s="459">
        <f t="shared" si="41"/>
        <v>0</v>
      </c>
      <c r="BE101" s="459">
        <f t="shared" si="41"/>
        <v>0</v>
      </c>
      <c r="BF101" s="459">
        <f t="shared" si="41"/>
        <v>0</v>
      </c>
      <c r="BG101" s="460">
        <f t="shared" si="41"/>
        <v>0</v>
      </c>
      <c r="BH101" s="459">
        <f t="shared" si="41"/>
        <v>0</v>
      </c>
      <c r="BI101" s="463">
        <f t="shared" si="41"/>
        <v>0</v>
      </c>
      <c r="BJ101" s="459">
        <f t="shared" si="41"/>
        <v>-16035.091177599999</v>
      </c>
      <c r="BK101" s="465">
        <f t="shared" si="41"/>
        <v>0</v>
      </c>
      <c r="BL101" s="460">
        <f t="shared" si="41"/>
        <v>16035.09117759997</v>
      </c>
      <c r="BM101" s="460">
        <f t="shared" si="41"/>
        <v>0</v>
      </c>
      <c r="BN101" s="459">
        <f t="shared" si="41"/>
        <v>0</v>
      </c>
      <c r="BO101" s="463">
        <f t="shared" si="41"/>
        <v>0</v>
      </c>
      <c r="BP101" s="459">
        <f t="shared" si="41"/>
        <v>0</v>
      </c>
      <c r="BQ101" s="463">
        <f t="shared" si="41"/>
        <v>0</v>
      </c>
      <c r="BR101" s="460">
        <f t="shared" si="41"/>
        <v>0</v>
      </c>
      <c r="BS101" s="459">
        <f t="shared" si="41"/>
        <v>0</v>
      </c>
      <c r="BT101" s="461">
        <f t="shared" si="41"/>
        <v>0</v>
      </c>
      <c r="BU101" s="461">
        <f t="shared" si="41"/>
        <v>0</v>
      </c>
      <c r="BV101" s="459">
        <f t="shared" si="41"/>
        <v>0</v>
      </c>
      <c r="BW101" s="459">
        <f t="shared" si="41"/>
        <v>0</v>
      </c>
      <c r="BX101" s="459">
        <f t="shared" si="41"/>
        <v>0</v>
      </c>
      <c r="BY101" s="459">
        <f>BY99-BY100</f>
        <v>0</v>
      </c>
      <c r="BZ101" s="466"/>
      <c r="CA101" s="467">
        <f>CA99-CA100</f>
        <v>0</v>
      </c>
      <c r="CB101" s="132"/>
    </row>
    <row r="102" spans="1:80">
      <c r="A102" s="1792"/>
      <c r="B102" s="1805"/>
      <c r="C102" s="1806"/>
      <c r="D102" s="468" t="s">
        <v>324</v>
      </c>
      <c r="E102" s="469"/>
      <c r="F102" s="470"/>
      <c r="G102" s="471"/>
      <c r="H102" s="471"/>
      <c r="I102" s="471"/>
      <c r="J102" s="471"/>
      <c r="K102" s="471"/>
      <c r="L102" s="471"/>
      <c r="M102" s="471"/>
      <c r="N102" s="471"/>
      <c r="O102" s="471"/>
      <c r="P102" s="471"/>
      <c r="Q102" s="471"/>
      <c r="R102" s="472"/>
      <c r="S102" s="471"/>
      <c r="T102" s="473"/>
      <c r="U102" s="474"/>
      <c r="V102" s="471"/>
      <c r="W102" s="475"/>
      <c r="X102" s="472"/>
      <c r="Y102" s="476"/>
      <c r="Z102" s="477">
        <f t="shared" ref="Z102:BX102" si="42">Y102+Z101</f>
        <v>0</v>
      </c>
      <c r="AA102" s="473">
        <f t="shared" si="42"/>
        <v>0</v>
      </c>
      <c r="AB102" s="471">
        <f t="shared" si="42"/>
        <v>0</v>
      </c>
      <c r="AC102" s="471">
        <f t="shared" si="42"/>
        <v>0</v>
      </c>
      <c r="AD102" s="471">
        <f t="shared" si="42"/>
        <v>0</v>
      </c>
      <c r="AE102" s="471">
        <f t="shared" si="42"/>
        <v>0</v>
      </c>
      <c r="AF102" s="471">
        <f t="shared" si="42"/>
        <v>0</v>
      </c>
      <c r="AG102" s="471">
        <f t="shared" si="42"/>
        <v>0</v>
      </c>
      <c r="AH102" s="471">
        <f t="shared" si="42"/>
        <v>0</v>
      </c>
      <c r="AI102" s="471">
        <f t="shared" si="42"/>
        <v>0</v>
      </c>
      <c r="AJ102" s="471">
        <f t="shared" si="42"/>
        <v>0</v>
      </c>
      <c r="AK102" s="471">
        <f t="shared" si="42"/>
        <v>0</v>
      </c>
      <c r="AL102" s="471">
        <f t="shared" si="42"/>
        <v>0</v>
      </c>
      <c r="AM102" s="471">
        <f t="shared" si="42"/>
        <v>0</v>
      </c>
      <c r="AN102" s="471">
        <f t="shared" si="42"/>
        <v>0</v>
      </c>
      <c r="AO102" s="471">
        <f t="shared" si="42"/>
        <v>0</v>
      </c>
      <c r="AP102" s="471">
        <f t="shared" si="42"/>
        <v>0</v>
      </c>
      <c r="AQ102" s="471">
        <f t="shared" si="42"/>
        <v>0</v>
      </c>
      <c r="AR102" s="471">
        <f t="shared" si="42"/>
        <v>0</v>
      </c>
      <c r="AS102" s="472">
        <f t="shared" si="42"/>
        <v>0</v>
      </c>
      <c r="AT102" s="471">
        <f t="shared" si="42"/>
        <v>0</v>
      </c>
      <c r="AU102" s="473">
        <f t="shared" si="42"/>
        <v>0</v>
      </c>
      <c r="AV102" s="472">
        <f t="shared" si="42"/>
        <v>0</v>
      </c>
      <c r="AW102" s="471">
        <f t="shared" si="42"/>
        <v>0</v>
      </c>
      <c r="AX102" s="471">
        <f t="shared" si="42"/>
        <v>0</v>
      </c>
      <c r="AY102" s="471">
        <f t="shared" si="42"/>
        <v>0</v>
      </c>
      <c r="AZ102" s="471">
        <f t="shared" si="42"/>
        <v>0</v>
      </c>
      <c r="BA102" s="473">
        <f t="shared" si="42"/>
        <v>0</v>
      </c>
      <c r="BB102" s="471">
        <f t="shared" si="42"/>
        <v>0</v>
      </c>
      <c r="BC102" s="471">
        <f t="shared" si="42"/>
        <v>0</v>
      </c>
      <c r="BD102" s="471">
        <f t="shared" si="42"/>
        <v>0</v>
      </c>
      <c r="BE102" s="471">
        <f t="shared" si="42"/>
        <v>0</v>
      </c>
      <c r="BF102" s="471">
        <f t="shared" si="42"/>
        <v>0</v>
      </c>
      <c r="BG102" s="472">
        <f t="shared" si="42"/>
        <v>0</v>
      </c>
      <c r="BH102" s="471">
        <f t="shared" si="42"/>
        <v>0</v>
      </c>
      <c r="BI102" s="475">
        <f t="shared" si="42"/>
        <v>0</v>
      </c>
      <c r="BJ102" s="471">
        <f t="shared" si="42"/>
        <v>-16035.091177599999</v>
      </c>
      <c r="BK102" s="477">
        <f t="shared" si="42"/>
        <v>-16035.091177599999</v>
      </c>
      <c r="BL102" s="472">
        <f t="shared" si="42"/>
        <v>-2.9103830456733704E-11</v>
      </c>
      <c r="BM102" s="472">
        <f t="shared" si="42"/>
        <v>-2.9103830456733704E-11</v>
      </c>
      <c r="BN102" s="471">
        <f t="shared" si="42"/>
        <v>-2.9103830456733704E-11</v>
      </c>
      <c r="BO102" s="475">
        <f t="shared" si="42"/>
        <v>-2.9103830456733704E-11</v>
      </c>
      <c r="BP102" s="471">
        <f t="shared" si="42"/>
        <v>-2.9103830456733704E-11</v>
      </c>
      <c r="BQ102" s="475">
        <f t="shared" si="42"/>
        <v>-2.9103830456733704E-11</v>
      </c>
      <c r="BR102" s="472">
        <f t="shared" si="42"/>
        <v>-2.9103830456733704E-11</v>
      </c>
      <c r="BS102" s="471">
        <f t="shared" si="42"/>
        <v>-2.9103830456733704E-11</v>
      </c>
      <c r="BT102" s="473">
        <f t="shared" si="42"/>
        <v>-2.9103830456733704E-11</v>
      </c>
      <c r="BU102" s="473">
        <f t="shared" si="42"/>
        <v>-2.9103830456733704E-11</v>
      </c>
      <c r="BV102" s="471">
        <f t="shared" si="42"/>
        <v>-2.9103830456733704E-11</v>
      </c>
      <c r="BW102" s="471">
        <f t="shared" si="42"/>
        <v>-2.9103830456733704E-11</v>
      </c>
      <c r="BX102" s="471">
        <f t="shared" si="42"/>
        <v>-2.9103830456733704E-11</v>
      </c>
      <c r="BY102" s="471"/>
      <c r="BZ102" s="466"/>
      <c r="CA102" s="478"/>
      <c r="CB102" s="132"/>
    </row>
    <row r="103" spans="1:80">
      <c r="A103" s="1792"/>
      <c r="B103" s="1807" t="s">
        <v>332</v>
      </c>
      <c r="C103" s="1808"/>
      <c r="D103" s="479" t="s">
        <v>323</v>
      </c>
      <c r="E103" s="480">
        <f>BY103</f>
        <v>-214.3869724566818</v>
      </c>
      <c r="F103" s="481"/>
      <c r="G103" s="481">
        <f t="shared" ref="G103:BR103" si="43">F102*$B104*(G7-F7)/365</f>
        <v>0</v>
      </c>
      <c r="H103" s="481">
        <f t="shared" si="43"/>
        <v>0</v>
      </c>
      <c r="I103" s="481">
        <f t="shared" si="43"/>
        <v>0</v>
      </c>
      <c r="J103" s="481">
        <f t="shared" si="43"/>
        <v>0</v>
      </c>
      <c r="K103" s="481">
        <f t="shared" si="43"/>
        <v>0</v>
      </c>
      <c r="L103" s="481">
        <f t="shared" si="43"/>
        <v>0</v>
      </c>
      <c r="M103" s="481">
        <f t="shared" si="43"/>
        <v>0</v>
      </c>
      <c r="N103" s="481">
        <f t="shared" si="43"/>
        <v>0</v>
      </c>
      <c r="O103" s="481">
        <f t="shared" si="43"/>
        <v>0</v>
      </c>
      <c r="P103" s="481">
        <f t="shared" si="43"/>
        <v>0</v>
      </c>
      <c r="Q103" s="481">
        <f t="shared" si="43"/>
        <v>0</v>
      </c>
      <c r="R103" s="482">
        <f t="shared" si="43"/>
        <v>0</v>
      </c>
      <c r="S103" s="481">
        <f t="shared" si="43"/>
        <v>0</v>
      </c>
      <c r="T103" s="483">
        <f t="shared" si="43"/>
        <v>0</v>
      </c>
      <c r="U103" s="484">
        <f t="shared" si="43"/>
        <v>0</v>
      </c>
      <c r="V103" s="481">
        <f t="shared" si="43"/>
        <v>0</v>
      </c>
      <c r="W103" s="485">
        <f t="shared" si="43"/>
        <v>0</v>
      </c>
      <c r="X103" s="482">
        <f t="shared" si="43"/>
        <v>0</v>
      </c>
      <c r="Y103" s="486">
        <f t="shared" si="43"/>
        <v>0</v>
      </c>
      <c r="Z103" s="487">
        <f t="shared" si="43"/>
        <v>0</v>
      </c>
      <c r="AA103" s="483">
        <f t="shared" si="43"/>
        <v>0</v>
      </c>
      <c r="AB103" s="481">
        <f t="shared" si="43"/>
        <v>0</v>
      </c>
      <c r="AC103" s="481">
        <f t="shared" si="43"/>
        <v>0</v>
      </c>
      <c r="AD103" s="481">
        <f t="shared" si="43"/>
        <v>0</v>
      </c>
      <c r="AE103" s="481">
        <f t="shared" si="43"/>
        <v>0</v>
      </c>
      <c r="AF103" s="481">
        <f t="shared" si="43"/>
        <v>0</v>
      </c>
      <c r="AG103" s="481">
        <f t="shared" si="43"/>
        <v>0</v>
      </c>
      <c r="AH103" s="481">
        <f t="shared" si="43"/>
        <v>0</v>
      </c>
      <c r="AI103" s="481">
        <f t="shared" si="43"/>
        <v>0</v>
      </c>
      <c r="AJ103" s="481">
        <f t="shared" si="43"/>
        <v>0</v>
      </c>
      <c r="AK103" s="481">
        <f t="shared" si="43"/>
        <v>0</v>
      </c>
      <c r="AL103" s="481">
        <f t="shared" si="43"/>
        <v>0</v>
      </c>
      <c r="AM103" s="481">
        <f t="shared" si="43"/>
        <v>0</v>
      </c>
      <c r="AN103" s="481">
        <f t="shared" si="43"/>
        <v>0</v>
      </c>
      <c r="AO103" s="481">
        <f t="shared" si="43"/>
        <v>0</v>
      </c>
      <c r="AP103" s="481">
        <f t="shared" si="43"/>
        <v>0</v>
      </c>
      <c r="AQ103" s="481">
        <f t="shared" si="43"/>
        <v>0</v>
      </c>
      <c r="AR103" s="481">
        <f t="shared" si="43"/>
        <v>0</v>
      </c>
      <c r="AS103" s="482">
        <f t="shared" si="43"/>
        <v>0</v>
      </c>
      <c r="AT103" s="481">
        <f t="shared" si="43"/>
        <v>0</v>
      </c>
      <c r="AU103" s="483">
        <f t="shared" si="43"/>
        <v>0</v>
      </c>
      <c r="AV103" s="482">
        <f t="shared" si="43"/>
        <v>0</v>
      </c>
      <c r="AW103" s="481">
        <f t="shared" si="43"/>
        <v>0</v>
      </c>
      <c r="AX103" s="481">
        <f t="shared" si="43"/>
        <v>0</v>
      </c>
      <c r="AY103" s="481">
        <f t="shared" si="43"/>
        <v>0</v>
      </c>
      <c r="AZ103" s="481">
        <f t="shared" si="43"/>
        <v>0</v>
      </c>
      <c r="BA103" s="483">
        <f t="shared" si="43"/>
        <v>0</v>
      </c>
      <c r="BB103" s="481">
        <f t="shared" si="43"/>
        <v>0</v>
      </c>
      <c r="BC103" s="481">
        <f t="shared" si="43"/>
        <v>0</v>
      </c>
      <c r="BD103" s="481">
        <f t="shared" si="43"/>
        <v>0</v>
      </c>
      <c r="BE103" s="481">
        <f t="shared" si="43"/>
        <v>0</v>
      </c>
      <c r="BF103" s="481">
        <f t="shared" si="43"/>
        <v>0</v>
      </c>
      <c r="BG103" s="482">
        <f t="shared" si="43"/>
        <v>0</v>
      </c>
      <c r="BH103" s="481">
        <f t="shared" si="43"/>
        <v>0</v>
      </c>
      <c r="BI103" s="485">
        <f t="shared" si="43"/>
        <v>0</v>
      </c>
      <c r="BJ103" s="481">
        <f t="shared" si="43"/>
        <v>0</v>
      </c>
      <c r="BK103" s="487">
        <f t="shared" si="43"/>
        <v>-108.95075649437807</v>
      </c>
      <c r="BL103" s="482">
        <f t="shared" si="43"/>
        <v>-105.43621596230138</v>
      </c>
      <c r="BM103" s="482">
        <f t="shared" si="43"/>
        <v>-1.9774657406219065E-13</v>
      </c>
      <c r="BN103" s="481">
        <f t="shared" si="43"/>
        <v>-1.9774657406219065E-13</v>
      </c>
      <c r="BO103" s="485">
        <f t="shared" si="43"/>
        <v>-1.7860980883036576E-13</v>
      </c>
      <c r="BP103" s="481">
        <f t="shared" si="43"/>
        <v>-1.9774657406219065E-13</v>
      </c>
      <c r="BQ103" s="483">
        <f t="shared" si="43"/>
        <v>-1.91367652318249E-13</v>
      </c>
      <c r="BR103" s="483">
        <f t="shared" si="43"/>
        <v>-1.9774657406219065E-13</v>
      </c>
      <c r="BS103" s="483">
        <f t="shared" ref="BS103:BX103" si="44">BR102*$B104*(BS7-BR7)/365</f>
        <v>-1.91367652318249E-13</v>
      </c>
      <c r="BT103" s="483">
        <f t="shared" si="44"/>
        <v>-1.9774657406219065E-13</v>
      </c>
      <c r="BU103" s="485">
        <f t="shared" si="44"/>
        <v>-1.9774657406219065E-13</v>
      </c>
      <c r="BV103" s="482">
        <f t="shared" si="44"/>
        <v>-1.91367652318249E-13</v>
      </c>
      <c r="BW103" s="482">
        <f t="shared" si="44"/>
        <v>-1.9774657406219065E-13</v>
      </c>
      <c r="BX103" s="482">
        <f t="shared" si="44"/>
        <v>-1.91367652318249E-13</v>
      </c>
      <c r="BY103" s="488">
        <f>SUM(F103:BX103)</f>
        <v>-214.3869724566818</v>
      </c>
      <c r="BZ103" s="489"/>
      <c r="CA103" s="131">
        <f t="shared" ref="CA103:CA111" si="45">E103-BY103</f>
        <v>0</v>
      </c>
      <c r="CB103" s="132"/>
    </row>
    <row r="104" spans="1:80">
      <c r="A104" s="1793"/>
      <c r="B104" s="1809">
        <f>손익!AD70</f>
        <v>0.08</v>
      </c>
      <c r="C104" s="1810"/>
      <c r="D104" s="445" t="s">
        <v>324</v>
      </c>
      <c r="E104" s="447"/>
      <c r="F104" s="490"/>
      <c r="G104" s="491">
        <f t="shared" ref="G104:BR104" si="46">F104+G103</f>
        <v>0</v>
      </c>
      <c r="H104" s="491">
        <f t="shared" si="46"/>
        <v>0</v>
      </c>
      <c r="I104" s="491">
        <f t="shared" si="46"/>
        <v>0</v>
      </c>
      <c r="J104" s="491">
        <f t="shared" si="46"/>
        <v>0</v>
      </c>
      <c r="K104" s="491">
        <f t="shared" si="46"/>
        <v>0</v>
      </c>
      <c r="L104" s="491">
        <f t="shared" si="46"/>
        <v>0</v>
      </c>
      <c r="M104" s="491">
        <f t="shared" si="46"/>
        <v>0</v>
      </c>
      <c r="N104" s="491">
        <f t="shared" si="46"/>
        <v>0</v>
      </c>
      <c r="O104" s="491">
        <f t="shared" si="46"/>
        <v>0</v>
      </c>
      <c r="P104" s="491">
        <f t="shared" si="46"/>
        <v>0</v>
      </c>
      <c r="Q104" s="491">
        <f t="shared" si="46"/>
        <v>0</v>
      </c>
      <c r="R104" s="492">
        <f>Q104+R103</f>
        <v>0</v>
      </c>
      <c r="S104" s="491">
        <f>R104+S103</f>
        <v>0</v>
      </c>
      <c r="T104" s="493">
        <f>S104+T103</f>
        <v>0</v>
      </c>
      <c r="U104" s="494">
        <f t="shared" si="46"/>
        <v>0</v>
      </c>
      <c r="V104" s="491">
        <f t="shared" si="46"/>
        <v>0</v>
      </c>
      <c r="W104" s="495">
        <f t="shared" si="46"/>
        <v>0</v>
      </c>
      <c r="X104" s="492">
        <f t="shared" si="46"/>
        <v>0</v>
      </c>
      <c r="Y104" s="496">
        <f t="shared" si="46"/>
        <v>0</v>
      </c>
      <c r="Z104" s="497">
        <f t="shared" si="46"/>
        <v>0</v>
      </c>
      <c r="AA104" s="493">
        <f t="shared" si="46"/>
        <v>0</v>
      </c>
      <c r="AB104" s="491">
        <f t="shared" si="46"/>
        <v>0</v>
      </c>
      <c r="AC104" s="491">
        <f t="shared" si="46"/>
        <v>0</v>
      </c>
      <c r="AD104" s="491">
        <f t="shared" si="46"/>
        <v>0</v>
      </c>
      <c r="AE104" s="491">
        <f t="shared" si="46"/>
        <v>0</v>
      </c>
      <c r="AF104" s="491">
        <f t="shared" si="46"/>
        <v>0</v>
      </c>
      <c r="AG104" s="491">
        <f t="shared" si="46"/>
        <v>0</v>
      </c>
      <c r="AH104" s="491">
        <f t="shared" si="46"/>
        <v>0</v>
      </c>
      <c r="AI104" s="491">
        <f t="shared" si="46"/>
        <v>0</v>
      </c>
      <c r="AJ104" s="491">
        <f t="shared" si="46"/>
        <v>0</v>
      </c>
      <c r="AK104" s="491">
        <f t="shared" si="46"/>
        <v>0</v>
      </c>
      <c r="AL104" s="491">
        <f t="shared" si="46"/>
        <v>0</v>
      </c>
      <c r="AM104" s="491">
        <f t="shared" si="46"/>
        <v>0</v>
      </c>
      <c r="AN104" s="491">
        <f t="shared" si="46"/>
        <v>0</v>
      </c>
      <c r="AO104" s="491">
        <f t="shared" si="46"/>
        <v>0</v>
      </c>
      <c r="AP104" s="491">
        <f t="shared" si="46"/>
        <v>0</v>
      </c>
      <c r="AQ104" s="491">
        <f t="shared" si="46"/>
        <v>0</v>
      </c>
      <c r="AR104" s="491">
        <f t="shared" si="46"/>
        <v>0</v>
      </c>
      <c r="AS104" s="492">
        <f t="shared" si="46"/>
        <v>0</v>
      </c>
      <c r="AT104" s="491">
        <f t="shared" si="46"/>
        <v>0</v>
      </c>
      <c r="AU104" s="493">
        <f t="shared" si="46"/>
        <v>0</v>
      </c>
      <c r="AV104" s="492">
        <f t="shared" si="46"/>
        <v>0</v>
      </c>
      <c r="AW104" s="491">
        <f t="shared" si="46"/>
        <v>0</v>
      </c>
      <c r="AX104" s="491">
        <f t="shared" si="46"/>
        <v>0</v>
      </c>
      <c r="AY104" s="491">
        <f t="shared" si="46"/>
        <v>0</v>
      </c>
      <c r="AZ104" s="491">
        <f t="shared" si="46"/>
        <v>0</v>
      </c>
      <c r="BA104" s="493">
        <f t="shared" si="46"/>
        <v>0</v>
      </c>
      <c r="BB104" s="491">
        <f t="shared" si="46"/>
        <v>0</v>
      </c>
      <c r="BC104" s="491">
        <f t="shared" si="46"/>
        <v>0</v>
      </c>
      <c r="BD104" s="491">
        <f t="shared" si="46"/>
        <v>0</v>
      </c>
      <c r="BE104" s="491">
        <f t="shared" si="46"/>
        <v>0</v>
      </c>
      <c r="BF104" s="491">
        <f t="shared" si="46"/>
        <v>0</v>
      </c>
      <c r="BG104" s="492">
        <f t="shared" si="46"/>
        <v>0</v>
      </c>
      <c r="BH104" s="491">
        <f t="shared" si="46"/>
        <v>0</v>
      </c>
      <c r="BI104" s="495">
        <f t="shared" si="46"/>
        <v>0</v>
      </c>
      <c r="BJ104" s="491">
        <f t="shared" si="46"/>
        <v>0</v>
      </c>
      <c r="BK104" s="497">
        <f t="shared" si="46"/>
        <v>-108.95075649437807</v>
      </c>
      <c r="BL104" s="492">
        <f t="shared" si="46"/>
        <v>-214.38697245667944</v>
      </c>
      <c r="BM104" s="492">
        <f t="shared" si="46"/>
        <v>-214.38697245667964</v>
      </c>
      <c r="BN104" s="491">
        <f t="shared" si="46"/>
        <v>-214.38697245667984</v>
      </c>
      <c r="BO104" s="495">
        <f t="shared" si="46"/>
        <v>-214.38697245668001</v>
      </c>
      <c r="BP104" s="491">
        <f t="shared" si="46"/>
        <v>-214.38697245668021</v>
      </c>
      <c r="BQ104" s="495">
        <f t="shared" si="46"/>
        <v>-214.38697245668041</v>
      </c>
      <c r="BR104" s="492">
        <f t="shared" si="46"/>
        <v>-214.38697245668061</v>
      </c>
      <c r="BS104" s="491">
        <f t="shared" ref="BS104:BX104" si="47">BR104+BS103</f>
        <v>-214.38697245668081</v>
      </c>
      <c r="BT104" s="493">
        <f t="shared" si="47"/>
        <v>-214.38697245668101</v>
      </c>
      <c r="BU104" s="495">
        <f t="shared" si="47"/>
        <v>-214.38697245668121</v>
      </c>
      <c r="BV104" s="492">
        <f t="shared" si="47"/>
        <v>-214.38697245668141</v>
      </c>
      <c r="BW104" s="492">
        <f t="shared" si="47"/>
        <v>-214.3869724566816</v>
      </c>
      <c r="BX104" s="492">
        <f t="shared" si="47"/>
        <v>-214.3869724566818</v>
      </c>
      <c r="BY104" s="498"/>
      <c r="BZ104" s="489"/>
      <c r="CA104" s="499">
        <f t="shared" si="45"/>
        <v>0</v>
      </c>
      <c r="CB104" s="132"/>
    </row>
    <row r="105" spans="1:80">
      <c r="A105" s="1775" t="s">
        <v>333</v>
      </c>
      <c r="B105" s="1777" t="s">
        <v>323</v>
      </c>
      <c r="C105" s="1778"/>
      <c r="D105" s="1779"/>
      <c r="E105" s="500">
        <f ca="1">E89-E100+E103</f>
        <v>55791.695187619385</v>
      </c>
      <c r="F105" s="501">
        <f>F89-F99-F100</f>
        <v>0</v>
      </c>
      <c r="G105" s="500">
        <f t="shared" ref="G105:BR105" si="48">G89-G100+G103</f>
        <v>0</v>
      </c>
      <c r="H105" s="500">
        <f t="shared" ca="1" si="48"/>
        <v>0</v>
      </c>
      <c r="I105" s="500">
        <f t="shared" si="48"/>
        <v>0</v>
      </c>
      <c r="J105" s="500">
        <f t="shared" si="48"/>
        <v>0</v>
      </c>
      <c r="K105" s="500">
        <f t="shared" si="48"/>
        <v>0</v>
      </c>
      <c r="L105" s="500">
        <f t="shared" si="48"/>
        <v>0</v>
      </c>
      <c r="M105" s="500">
        <f t="shared" si="48"/>
        <v>0</v>
      </c>
      <c r="N105" s="500">
        <f t="shared" ca="1" si="48"/>
        <v>0</v>
      </c>
      <c r="O105" s="500">
        <f t="shared" si="48"/>
        <v>0</v>
      </c>
      <c r="P105" s="500">
        <f t="shared" si="48"/>
        <v>0</v>
      </c>
      <c r="Q105" s="500">
        <f t="shared" ca="1" si="48"/>
        <v>20.446758603822822</v>
      </c>
      <c r="R105" s="502">
        <f t="shared" si="48"/>
        <v>0</v>
      </c>
      <c r="S105" s="500">
        <f t="shared" si="48"/>
        <v>0</v>
      </c>
      <c r="T105" s="503">
        <f t="shared" ca="1" si="48"/>
        <v>0</v>
      </c>
      <c r="U105" s="504">
        <f t="shared" si="48"/>
        <v>757.47013699999661</v>
      </c>
      <c r="V105" s="500">
        <f t="shared" si="48"/>
        <v>-35.200000000000003</v>
      </c>
      <c r="W105" s="505">
        <f t="shared" si="48"/>
        <v>-143</v>
      </c>
      <c r="X105" s="502">
        <f t="shared" si="48"/>
        <v>8892.8778259999999</v>
      </c>
      <c r="Y105" s="506">
        <f t="shared" si="48"/>
        <v>-3097.3651399999999</v>
      </c>
      <c r="Z105" s="507">
        <f t="shared" ca="1" si="48"/>
        <v>4025.2472751470004</v>
      </c>
      <c r="AA105" s="503">
        <f t="shared" ca="1" si="48"/>
        <v>-831.93708995388079</v>
      </c>
      <c r="AB105" s="500">
        <f t="shared" ca="1" si="48"/>
        <v>-5504.1197440232881</v>
      </c>
      <c r="AC105" s="500">
        <f t="shared" ca="1" si="48"/>
        <v>84.194949522120851</v>
      </c>
      <c r="AD105" s="500">
        <f t="shared" ca="1" si="48"/>
        <v>-6661.6210209133233</v>
      </c>
      <c r="AE105" s="500">
        <f t="shared" ca="1" si="48"/>
        <v>13803.606979081685</v>
      </c>
      <c r="AF105" s="500">
        <f t="shared" ca="1" si="48"/>
        <v>2362.7090606116681</v>
      </c>
      <c r="AG105" s="500">
        <f t="shared" ca="1" si="48"/>
        <v>-7796.6462293084242</v>
      </c>
      <c r="AH105" s="500">
        <f t="shared" ca="1" si="48"/>
        <v>-6671.1195691577232</v>
      </c>
      <c r="AI105" s="500">
        <f t="shared" ca="1" si="48"/>
        <v>262.21491403433197</v>
      </c>
      <c r="AJ105" s="500">
        <f t="shared" ca="1" si="48"/>
        <v>4424.585206543511</v>
      </c>
      <c r="AK105" s="500">
        <f t="shared" ca="1" si="48"/>
        <v>163.76955130590386</v>
      </c>
      <c r="AL105" s="500">
        <f t="shared" ca="1" si="48"/>
        <v>-7196.7748230864954</v>
      </c>
      <c r="AM105" s="500">
        <f t="shared" ca="1" si="48"/>
        <v>-2071.8747911026962</v>
      </c>
      <c r="AN105" s="500">
        <f t="shared" ca="1" si="48"/>
        <v>8494.3651090080184</v>
      </c>
      <c r="AO105" s="500">
        <f t="shared" ca="1" si="48"/>
        <v>4757.7781682545374</v>
      </c>
      <c r="AP105" s="500">
        <f t="shared" ca="1" si="48"/>
        <v>-15433.852780823674</v>
      </c>
      <c r="AQ105" s="500">
        <f t="shared" ca="1" si="48"/>
        <v>-560.02733006660571</v>
      </c>
      <c r="AR105" s="500">
        <f t="shared" ca="1" si="48"/>
        <v>9519.9436686379104</v>
      </c>
      <c r="AS105" s="502">
        <f t="shared" ca="1" si="48"/>
        <v>-6948.3534531211999</v>
      </c>
      <c r="AT105" s="500">
        <f t="shared" ca="1" si="48"/>
        <v>-12126.586354848647</v>
      </c>
      <c r="AU105" s="503">
        <f t="shared" ca="1" si="48"/>
        <v>3095.018452616273</v>
      </c>
      <c r="AV105" s="502">
        <f t="shared" ca="1" si="48"/>
        <v>-3384.6343065886576</v>
      </c>
      <c r="AW105" s="500">
        <f t="shared" ca="1" si="48"/>
        <v>-1606.4802418051761</v>
      </c>
      <c r="AX105" s="500">
        <f t="shared" ca="1" si="48"/>
        <v>-12936.166139533221</v>
      </c>
      <c r="AY105" s="500">
        <f t="shared" ca="1" si="48"/>
        <v>-2525.8385660336708</v>
      </c>
      <c r="AZ105" s="500">
        <f t="shared" ca="1" si="48"/>
        <v>-10865.923095978469</v>
      </c>
      <c r="BA105" s="503">
        <f t="shared" ca="1" si="48"/>
        <v>14326.06198269655</v>
      </c>
      <c r="BB105" s="500">
        <f t="shared" ca="1" si="48"/>
        <v>-20648.335049000001</v>
      </c>
      <c r="BC105" s="500">
        <f t="shared" ca="1" si="48"/>
        <v>-1116.1656446300685</v>
      </c>
      <c r="BD105" s="500">
        <f t="shared" ca="1" si="48"/>
        <v>-14520.958873533224</v>
      </c>
      <c r="BE105" s="500">
        <f t="shared" ca="1" si="48"/>
        <v>328.19106030036437</v>
      </c>
      <c r="BF105" s="500">
        <f t="shared" ca="1" si="48"/>
        <v>-1607.9202775400081</v>
      </c>
      <c r="BG105" s="502">
        <f t="shared" ca="1" si="48"/>
        <v>-1748.36556398067</v>
      </c>
      <c r="BH105" s="500">
        <f t="shared" ca="1" si="48"/>
        <v>-22704.663581200002</v>
      </c>
      <c r="BI105" s="505">
        <f t="shared" ca="1" si="48"/>
        <v>-1524.7866672437758</v>
      </c>
      <c r="BJ105" s="500">
        <f t="shared" ca="1" si="48"/>
        <v>-2791.308</v>
      </c>
      <c r="BK105" s="507">
        <f t="shared" ca="1" si="48"/>
        <v>-154548.09383177618</v>
      </c>
      <c r="BL105" s="502">
        <f t="shared" ca="1" si="48"/>
        <v>66502.450884276186</v>
      </c>
      <c r="BM105" s="502" t="e" vm="1">
        <f t="shared" ca="1" si="48"/>
        <v>#VALUE!</v>
      </c>
      <c r="BN105" s="500">
        <f t="shared" ca="1" si="48"/>
        <v>-12333.051515247225</v>
      </c>
      <c r="BO105" s="505" t="e" vm="1">
        <f t="shared" ca="1" si="48"/>
        <v>#VALUE!</v>
      </c>
      <c r="BP105" s="500">
        <f t="shared" ca="1" si="48"/>
        <v>-1.9774657406219065E-13</v>
      </c>
      <c r="BQ105" s="505">
        <f t="shared" ca="1" si="48"/>
        <v>-1.91367652318249E-13</v>
      </c>
      <c r="BR105" s="502">
        <f t="shared" ca="1" si="48"/>
        <v>-1.9774657406219065E-13</v>
      </c>
      <c r="BS105" s="500">
        <f t="shared" ref="BS105:BX105" ca="1" si="49">BS89-BS100+BS103</f>
        <v>-1.91367652318249E-13</v>
      </c>
      <c r="BT105" s="503">
        <f t="shared" ca="1" si="49"/>
        <v>-1.9774657406219065E-13</v>
      </c>
      <c r="BU105" s="503">
        <f t="shared" ca="1" si="49"/>
        <v>-1.9774657406219065E-13</v>
      </c>
      <c r="BV105" s="500">
        <f t="shared" ca="1" si="49"/>
        <v>-1.91367652318249E-13</v>
      </c>
      <c r="BW105" s="500">
        <f t="shared" ca="1" si="49"/>
        <v>-1.9774657406219065E-13</v>
      </c>
      <c r="BX105" s="500">
        <f t="shared" ca="1" si="49"/>
        <v>-1.91367652318249E-13</v>
      </c>
      <c r="BY105" s="500">
        <f ca="1">SUM(F105:BX105)</f>
        <v>-157358.93810925842</v>
      </c>
      <c r="BZ105" s="489"/>
      <c r="CA105" s="508">
        <f t="shared" ca="1" si="45"/>
        <v>213150.63329687782</v>
      </c>
      <c r="CB105" s="132"/>
    </row>
    <row r="106" spans="1:80">
      <c r="A106" s="1776"/>
      <c r="B106" s="1780" t="s">
        <v>324</v>
      </c>
      <c r="C106" s="1781"/>
      <c r="D106" s="1782"/>
      <c r="E106" s="509"/>
      <c r="F106" s="510">
        <f>F105</f>
        <v>0</v>
      </c>
      <c r="G106" s="509">
        <f t="shared" ref="G106:BR106" si="50">F106+G105</f>
        <v>0</v>
      </c>
      <c r="H106" s="509">
        <f t="shared" ca="1" si="50"/>
        <v>0</v>
      </c>
      <c r="I106" s="509">
        <f t="shared" ca="1" si="50"/>
        <v>0</v>
      </c>
      <c r="J106" s="509">
        <f t="shared" ca="1" si="50"/>
        <v>0</v>
      </c>
      <c r="K106" s="509">
        <f t="shared" ca="1" si="50"/>
        <v>0</v>
      </c>
      <c r="L106" s="509">
        <f t="shared" ca="1" si="50"/>
        <v>0</v>
      </c>
      <c r="M106" s="509">
        <f t="shared" ca="1" si="50"/>
        <v>0</v>
      </c>
      <c r="N106" s="509">
        <f t="shared" ca="1" si="50"/>
        <v>0</v>
      </c>
      <c r="O106" s="509">
        <f t="shared" ca="1" si="50"/>
        <v>0</v>
      </c>
      <c r="P106" s="509">
        <f t="shared" ca="1" si="50"/>
        <v>0</v>
      </c>
      <c r="Q106" s="509">
        <f t="shared" ca="1" si="50"/>
        <v>20.446758603822822</v>
      </c>
      <c r="R106" s="511">
        <f ca="1">Q106+R105</f>
        <v>20.446758603822822</v>
      </c>
      <c r="S106" s="509">
        <f ca="1">R106+S105</f>
        <v>20.446758603822822</v>
      </c>
      <c r="T106" s="512">
        <f ca="1">S106+T105</f>
        <v>20.446758603822822</v>
      </c>
      <c r="U106" s="513">
        <f t="shared" ca="1" si="50"/>
        <v>777.9168956038194</v>
      </c>
      <c r="V106" s="509">
        <f t="shared" ca="1" si="50"/>
        <v>742.71689560381935</v>
      </c>
      <c r="W106" s="514">
        <f t="shared" ca="1" si="50"/>
        <v>599.71689560381935</v>
      </c>
      <c r="X106" s="511">
        <f t="shared" ca="1" si="50"/>
        <v>9492.5947216038185</v>
      </c>
      <c r="Y106" s="515">
        <f t="shared" ca="1" si="50"/>
        <v>6395.2295816038186</v>
      </c>
      <c r="Z106" s="516">
        <f t="shared" ca="1" si="50"/>
        <v>10420.476856750818</v>
      </c>
      <c r="AA106" s="512">
        <f t="shared" ca="1" si="50"/>
        <v>9588.5397667969373</v>
      </c>
      <c r="AB106" s="509">
        <f t="shared" ca="1" si="50"/>
        <v>4084.4200227736492</v>
      </c>
      <c r="AC106" s="509">
        <f t="shared" ca="1" si="50"/>
        <v>4168.6149722957698</v>
      </c>
      <c r="AD106" s="509">
        <f t="shared" ca="1" si="50"/>
        <v>-2493.0060486175535</v>
      </c>
      <c r="AE106" s="509">
        <f t="shared" ca="1" si="50"/>
        <v>11310.600930464132</v>
      </c>
      <c r="AF106" s="509">
        <f t="shared" ca="1" si="50"/>
        <v>13673.309991075799</v>
      </c>
      <c r="AG106" s="509">
        <f t="shared" ca="1" si="50"/>
        <v>5876.663761767375</v>
      </c>
      <c r="AH106" s="509">
        <f t="shared" ca="1" si="50"/>
        <v>-794.45580739034813</v>
      </c>
      <c r="AI106" s="509">
        <f t="shared" ca="1" si="50"/>
        <v>-532.24089335601616</v>
      </c>
      <c r="AJ106" s="509">
        <f t="shared" ca="1" si="50"/>
        <v>3892.3443131874947</v>
      </c>
      <c r="AK106" s="509">
        <f t="shared" ca="1" si="50"/>
        <v>4056.1138644933985</v>
      </c>
      <c r="AL106" s="509">
        <f t="shared" ca="1" si="50"/>
        <v>-3140.6609585930969</v>
      </c>
      <c r="AM106" s="509">
        <f t="shared" ca="1" si="50"/>
        <v>-5212.5357496957931</v>
      </c>
      <c r="AN106" s="509">
        <f t="shared" ca="1" si="50"/>
        <v>3281.8293593122253</v>
      </c>
      <c r="AO106" s="509">
        <f t="shared" ca="1" si="50"/>
        <v>8039.6075275667627</v>
      </c>
      <c r="AP106" s="509">
        <f t="shared" ca="1" si="50"/>
        <v>-7394.2452532569114</v>
      </c>
      <c r="AQ106" s="509">
        <f t="shared" ca="1" si="50"/>
        <v>-7954.2725833235172</v>
      </c>
      <c r="AR106" s="509">
        <f t="shared" ca="1" si="50"/>
        <v>1565.6710853143932</v>
      </c>
      <c r="AS106" s="511">
        <f t="shared" ca="1" si="50"/>
        <v>-5382.6823678068067</v>
      </c>
      <c r="AT106" s="509">
        <f t="shared" ca="1" si="50"/>
        <v>-17509.268722655455</v>
      </c>
      <c r="AU106" s="512">
        <f t="shared" ca="1" si="50"/>
        <v>-14414.250270039181</v>
      </c>
      <c r="AV106" s="511">
        <f t="shared" ca="1" si="50"/>
        <v>-17798.884576627839</v>
      </c>
      <c r="AW106" s="509">
        <f t="shared" ca="1" si="50"/>
        <v>-19405.364818433016</v>
      </c>
      <c r="AX106" s="509">
        <f t="shared" ca="1" si="50"/>
        <v>-32341.530957966235</v>
      </c>
      <c r="AY106" s="509">
        <f t="shared" ca="1" si="50"/>
        <v>-34867.369523999907</v>
      </c>
      <c r="AZ106" s="509">
        <f t="shared" ca="1" si="50"/>
        <v>-45733.292619978376</v>
      </c>
      <c r="BA106" s="512">
        <f t="shared" ca="1" si="50"/>
        <v>-31407.230637281828</v>
      </c>
      <c r="BB106" s="509">
        <f t="shared" ca="1" si="50"/>
        <v>-52055.565686281829</v>
      </c>
      <c r="BC106" s="509">
        <f t="shared" ca="1" si="50"/>
        <v>-53171.731330911898</v>
      </c>
      <c r="BD106" s="509">
        <f t="shared" ca="1" si="50"/>
        <v>-67692.690204445127</v>
      </c>
      <c r="BE106" s="509">
        <f t="shared" ca="1" si="50"/>
        <v>-67364.499144144764</v>
      </c>
      <c r="BF106" s="509">
        <f t="shared" ca="1" si="50"/>
        <v>-68972.419421684768</v>
      </c>
      <c r="BG106" s="511">
        <f t="shared" ca="1" si="50"/>
        <v>-70720.784985665436</v>
      </c>
      <c r="BH106" s="509">
        <f t="shared" ca="1" si="50"/>
        <v>-93425.448566865438</v>
      </c>
      <c r="BI106" s="514">
        <f t="shared" ca="1" si="50"/>
        <v>-94950.235234109219</v>
      </c>
      <c r="BJ106" s="509">
        <f t="shared" ca="1" si="50"/>
        <v>-97741.543234109224</v>
      </c>
      <c r="BK106" s="516">
        <f t="shared" ca="1" si="50"/>
        <v>-252289.63706588541</v>
      </c>
      <c r="BL106" s="511">
        <f t="shared" ca="1" si="50"/>
        <v>-185787.18618160923</v>
      </c>
      <c r="BM106" s="511">
        <f t="shared" ca="1" si="50"/>
        <v>-127072.79710195828</v>
      </c>
      <c r="BN106" s="509">
        <f t="shared" ca="1" si="50"/>
        <v>-139405.84861720551</v>
      </c>
      <c r="BO106" s="514">
        <f t="shared" ca="1" si="50"/>
        <v>-157358.93810925842</v>
      </c>
      <c r="BP106" s="509">
        <f t="shared" ca="1" si="50"/>
        <v>-157358.93810925842</v>
      </c>
      <c r="BQ106" s="514">
        <f t="shared" ca="1" si="50"/>
        <v>-157358.93810925842</v>
      </c>
      <c r="BR106" s="511">
        <f t="shared" ca="1" si="50"/>
        <v>-157358.93810925842</v>
      </c>
      <c r="BS106" s="509">
        <f t="shared" ref="BS106:BX106" ca="1" si="51">BR106+BS105</f>
        <v>-157358.93810925842</v>
      </c>
      <c r="BT106" s="512">
        <f t="shared" ca="1" si="51"/>
        <v>-157358.93810925842</v>
      </c>
      <c r="BU106" s="512">
        <f t="shared" ca="1" si="51"/>
        <v>-157358.93810925842</v>
      </c>
      <c r="BV106" s="509">
        <f t="shared" ca="1" si="51"/>
        <v>-157358.93810925842</v>
      </c>
      <c r="BW106" s="509">
        <f t="shared" ca="1" si="51"/>
        <v>-157358.93810925842</v>
      </c>
      <c r="BX106" s="509">
        <f t="shared" ca="1" si="51"/>
        <v>-157358.93810925842</v>
      </c>
      <c r="BY106" s="509"/>
      <c r="BZ106" s="489"/>
      <c r="CA106" s="517">
        <f t="shared" si="45"/>
        <v>0</v>
      </c>
      <c r="CB106" s="132"/>
    </row>
    <row r="107" spans="1:80">
      <c r="A107" s="518" t="s">
        <v>334</v>
      </c>
      <c r="B107" s="519"/>
      <c r="C107" s="520"/>
      <c r="D107" s="521"/>
      <c r="E107" s="522">
        <f>손익!AT65/1000</f>
        <v>450</v>
      </c>
      <c r="F107" s="523"/>
      <c r="G107" s="522"/>
      <c r="H107" s="522"/>
      <c r="I107" s="522"/>
      <c r="J107" s="522"/>
      <c r="K107" s="522"/>
      <c r="L107" s="522"/>
      <c r="M107" s="522"/>
      <c r="N107" s="522"/>
      <c r="O107" s="522"/>
      <c r="P107" s="522"/>
      <c r="Q107" s="522"/>
      <c r="R107" s="524"/>
      <c r="S107" s="522"/>
      <c r="T107" s="525"/>
      <c r="U107" s="526">
        <v>80</v>
      </c>
      <c r="V107" s="522">
        <f t="shared" ref="V107:BM107" si="52">U107</f>
        <v>80</v>
      </c>
      <c r="W107" s="527">
        <f t="shared" si="52"/>
        <v>80</v>
      </c>
      <c r="X107" s="524">
        <f t="shared" si="52"/>
        <v>80</v>
      </c>
      <c r="Y107" s="528">
        <f t="shared" si="52"/>
        <v>80</v>
      </c>
      <c r="Z107" s="529">
        <f>100+20*5</f>
        <v>200</v>
      </c>
      <c r="AA107" s="525">
        <v>100</v>
      </c>
      <c r="AB107" s="522">
        <f t="shared" si="52"/>
        <v>100</v>
      </c>
      <c r="AC107" s="522">
        <f t="shared" si="52"/>
        <v>100</v>
      </c>
      <c r="AD107" s="522">
        <f t="shared" si="52"/>
        <v>100</v>
      </c>
      <c r="AE107" s="522">
        <f t="shared" si="52"/>
        <v>100</v>
      </c>
      <c r="AF107" s="522">
        <f t="shared" si="52"/>
        <v>100</v>
      </c>
      <c r="AG107" s="522">
        <f t="shared" si="52"/>
        <v>100</v>
      </c>
      <c r="AH107" s="522">
        <f t="shared" si="52"/>
        <v>100</v>
      </c>
      <c r="AI107" s="522">
        <f t="shared" si="52"/>
        <v>100</v>
      </c>
      <c r="AJ107" s="522">
        <f t="shared" si="52"/>
        <v>100</v>
      </c>
      <c r="AK107" s="522">
        <f t="shared" si="52"/>
        <v>100</v>
      </c>
      <c r="AL107" s="522">
        <f t="shared" si="52"/>
        <v>100</v>
      </c>
      <c r="AM107" s="522">
        <f t="shared" si="52"/>
        <v>100</v>
      </c>
      <c r="AN107" s="522">
        <f t="shared" si="52"/>
        <v>100</v>
      </c>
      <c r="AO107" s="522">
        <f t="shared" si="52"/>
        <v>100</v>
      </c>
      <c r="AP107" s="522">
        <f t="shared" si="52"/>
        <v>100</v>
      </c>
      <c r="AQ107" s="522">
        <f t="shared" si="52"/>
        <v>100</v>
      </c>
      <c r="AR107" s="522">
        <f t="shared" si="52"/>
        <v>100</v>
      </c>
      <c r="AS107" s="524">
        <f t="shared" si="52"/>
        <v>100</v>
      </c>
      <c r="AT107" s="522">
        <f t="shared" si="52"/>
        <v>100</v>
      </c>
      <c r="AU107" s="525">
        <f t="shared" si="52"/>
        <v>100</v>
      </c>
      <c r="AV107" s="524">
        <f t="shared" si="52"/>
        <v>100</v>
      </c>
      <c r="AW107" s="522">
        <f t="shared" si="52"/>
        <v>100</v>
      </c>
      <c r="AX107" s="522">
        <f t="shared" si="52"/>
        <v>100</v>
      </c>
      <c r="AY107" s="522">
        <f t="shared" si="52"/>
        <v>100</v>
      </c>
      <c r="AZ107" s="522">
        <f t="shared" si="52"/>
        <v>100</v>
      </c>
      <c r="BA107" s="525">
        <f t="shared" si="52"/>
        <v>100</v>
      </c>
      <c r="BB107" s="522">
        <f t="shared" si="52"/>
        <v>100</v>
      </c>
      <c r="BC107" s="522">
        <f t="shared" si="52"/>
        <v>100</v>
      </c>
      <c r="BD107" s="522">
        <f t="shared" si="52"/>
        <v>100</v>
      </c>
      <c r="BE107" s="522">
        <f t="shared" si="52"/>
        <v>100</v>
      </c>
      <c r="BF107" s="522">
        <f t="shared" si="52"/>
        <v>100</v>
      </c>
      <c r="BG107" s="524">
        <f t="shared" si="52"/>
        <v>100</v>
      </c>
      <c r="BH107" s="522">
        <f t="shared" si="52"/>
        <v>100</v>
      </c>
      <c r="BI107" s="527">
        <f t="shared" si="52"/>
        <v>100</v>
      </c>
      <c r="BJ107" s="522">
        <f t="shared" si="52"/>
        <v>100</v>
      </c>
      <c r="BK107" s="529">
        <f t="shared" si="52"/>
        <v>100</v>
      </c>
      <c r="BL107" s="524">
        <f t="shared" si="52"/>
        <v>100</v>
      </c>
      <c r="BM107" s="524">
        <f t="shared" si="52"/>
        <v>100</v>
      </c>
      <c r="BN107" s="522"/>
      <c r="BO107" s="527"/>
      <c r="BP107" s="522"/>
      <c r="BQ107" s="527"/>
      <c r="BR107" s="524"/>
      <c r="BS107" s="522"/>
      <c r="BT107" s="525"/>
      <c r="BU107" s="525"/>
      <c r="BV107" s="522"/>
      <c r="BW107" s="522"/>
      <c r="BX107" s="522"/>
      <c r="BY107" s="530">
        <f>SUM(F107:BX107)</f>
        <v>4500</v>
      </c>
      <c r="BZ107" s="489"/>
      <c r="CA107" s="531">
        <f t="shared" si="45"/>
        <v>-4050</v>
      </c>
      <c r="CB107" s="132">
        <f>손익!AU65</f>
        <v>0</v>
      </c>
    </row>
    <row r="108" spans="1:80">
      <c r="A108" s="1783" t="s">
        <v>335</v>
      </c>
      <c r="B108" s="1785" t="s">
        <v>323</v>
      </c>
      <c r="C108" s="1786"/>
      <c r="D108" s="1787"/>
      <c r="E108" s="532">
        <f ca="1">BY108</f>
        <v>0</v>
      </c>
      <c r="F108" s="533"/>
      <c r="G108" s="481">
        <f t="shared" ref="G108:BR108" si="53">IF(G106&lt;0,G106*$A109*(G7-F7)/365*-1,0)</f>
        <v>0</v>
      </c>
      <c r="H108" s="481">
        <f t="shared" ca="1" si="53"/>
        <v>0</v>
      </c>
      <c r="I108" s="481">
        <f t="shared" ca="1" si="53"/>
        <v>0</v>
      </c>
      <c r="J108" s="481">
        <f t="shared" ca="1" si="53"/>
        <v>0</v>
      </c>
      <c r="K108" s="481">
        <f t="shared" ca="1" si="53"/>
        <v>0</v>
      </c>
      <c r="L108" s="481">
        <f t="shared" ca="1" si="53"/>
        <v>0</v>
      </c>
      <c r="M108" s="481">
        <f t="shared" ca="1" si="53"/>
        <v>0</v>
      </c>
      <c r="N108" s="481">
        <f t="shared" ca="1" si="53"/>
        <v>0</v>
      </c>
      <c r="O108" s="481">
        <f t="shared" ca="1" si="53"/>
        <v>0</v>
      </c>
      <c r="P108" s="481">
        <f t="shared" ca="1" si="53"/>
        <v>0</v>
      </c>
      <c r="Q108" s="481">
        <f t="shared" ca="1" si="53"/>
        <v>0</v>
      </c>
      <c r="R108" s="482">
        <f t="shared" ca="1" si="53"/>
        <v>0</v>
      </c>
      <c r="S108" s="481">
        <f t="shared" ca="1" si="53"/>
        <v>0</v>
      </c>
      <c r="T108" s="483">
        <f t="shared" ca="1" si="53"/>
        <v>0</v>
      </c>
      <c r="U108" s="484">
        <f t="shared" ca="1" si="53"/>
        <v>0</v>
      </c>
      <c r="V108" s="481">
        <f t="shared" ca="1" si="53"/>
        <v>0</v>
      </c>
      <c r="W108" s="485">
        <f t="shared" ca="1" si="53"/>
        <v>0</v>
      </c>
      <c r="X108" s="482">
        <f t="shared" ca="1" si="53"/>
        <v>0</v>
      </c>
      <c r="Y108" s="486">
        <f t="shared" ca="1" si="53"/>
        <v>0</v>
      </c>
      <c r="Z108" s="487">
        <f t="shared" ca="1" si="53"/>
        <v>0</v>
      </c>
      <c r="AA108" s="483">
        <f t="shared" ca="1" si="53"/>
        <v>0</v>
      </c>
      <c r="AB108" s="481">
        <f t="shared" ca="1" si="53"/>
        <v>0</v>
      </c>
      <c r="AC108" s="481">
        <f t="shared" ca="1" si="53"/>
        <v>0</v>
      </c>
      <c r="AD108" s="481">
        <f t="shared" ca="1" si="53"/>
        <v>0</v>
      </c>
      <c r="AE108" s="481">
        <f t="shared" ca="1" si="53"/>
        <v>0</v>
      </c>
      <c r="AF108" s="481">
        <f t="shared" ca="1" si="53"/>
        <v>0</v>
      </c>
      <c r="AG108" s="481">
        <f t="shared" ca="1" si="53"/>
        <v>0</v>
      </c>
      <c r="AH108" s="481">
        <f t="shared" ca="1" si="53"/>
        <v>0</v>
      </c>
      <c r="AI108" s="481">
        <f t="shared" ca="1" si="53"/>
        <v>0</v>
      </c>
      <c r="AJ108" s="481">
        <f t="shared" ca="1" si="53"/>
        <v>0</v>
      </c>
      <c r="AK108" s="481">
        <f t="shared" ca="1" si="53"/>
        <v>0</v>
      </c>
      <c r="AL108" s="481">
        <f t="shared" ca="1" si="53"/>
        <v>0</v>
      </c>
      <c r="AM108" s="481">
        <f t="shared" ca="1" si="53"/>
        <v>0</v>
      </c>
      <c r="AN108" s="481">
        <f t="shared" ca="1" si="53"/>
        <v>0</v>
      </c>
      <c r="AO108" s="481">
        <f t="shared" ca="1" si="53"/>
        <v>0</v>
      </c>
      <c r="AP108" s="481">
        <f t="shared" ca="1" si="53"/>
        <v>0</v>
      </c>
      <c r="AQ108" s="481">
        <f t="shared" ca="1" si="53"/>
        <v>0</v>
      </c>
      <c r="AR108" s="481">
        <f t="shared" ca="1" si="53"/>
        <v>0</v>
      </c>
      <c r="AS108" s="482">
        <f t="shared" ca="1" si="53"/>
        <v>0</v>
      </c>
      <c r="AT108" s="481">
        <f t="shared" ca="1" si="53"/>
        <v>0</v>
      </c>
      <c r="AU108" s="483">
        <f t="shared" ca="1" si="53"/>
        <v>0</v>
      </c>
      <c r="AV108" s="482">
        <f t="shared" ca="1" si="53"/>
        <v>0</v>
      </c>
      <c r="AW108" s="481">
        <f t="shared" ca="1" si="53"/>
        <v>0</v>
      </c>
      <c r="AX108" s="481">
        <f t="shared" ca="1" si="53"/>
        <v>0</v>
      </c>
      <c r="AY108" s="481">
        <f t="shared" ca="1" si="53"/>
        <v>0</v>
      </c>
      <c r="AZ108" s="481">
        <f t="shared" ca="1" si="53"/>
        <v>0</v>
      </c>
      <c r="BA108" s="483">
        <f t="shared" ca="1" si="53"/>
        <v>0</v>
      </c>
      <c r="BB108" s="481">
        <f t="shared" ca="1" si="53"/>
        <v>0</v>
      </c>
      <c r="BC108" s="481">
        <f t="shared" ca="1" si="53"/>
        <v>0</v>
      </c>
      <c r="BD108" s="481">
        <f t="shared" ca="1" si="53"/>
        <v>0</v>
      </c>
      <c r="BE108" s="481">
        <f t="shared" ca="1" si="53"/>
        <v>0</v>
      </c>
      <c r="BF108" s="481">
        <f t="shared" ca="1" si="53"/>
        <v>0</v>
      </c>
      <c r="BG108" s="482">
        <f t="shared" ca="1" si="53"/>
        <v>0</v>
      </c>
      <c r="BH108" s="481">
        <f t="shared" ca="1" si="53"/>
        <v>0</v>
      </c>
      <c r="BI108" s="485">
        <f t="shared" ca="1" si="53"/>
        <v>0</v>
      </c>
      <c r="BJ108" s="481">
        <f t="shared" ca="1" si="53"/>
        <v>0</v>
      </c>
      <c r="BK108" s="487">
        <f t="shared" ca="1" si="53"/>
        <v>0</v>
      </c>
      <c r="BL108" s="482">
        <f t="shared" ca="1" si="53"/>
        <v>0</v>
      </c>
      <c r="BM108" s="482">
        <f t="shared" ca="1" si="53"/>
        <v>0</v>
      </c>
      <c r="BN108" s="481">
        <f t="shared" ca="1" si="53"/>
        <v>0</v>
      </c>
      <c r="BO108" s="485">
        <f t="shared" ca="1" si="53"/>
        <v>0</v>
      </c>
      <c r="BP108" s="481">
        <f t="shared" ca="1" si="53"/>
        <v>0</v>
      </c>
      <c r="BQ108" s="485">
        <f t="shared" ca="1" si="53"/>
        <v>0</v>
      </c>
      <c r="BR108" s="482">
        <f t="shared" ca="1" si="53"/>
        <v>0</v>
      </c>
      <c r="BS108" s="481">
        <f t="shared" ref="BS108:BX108" ca="1" si="54">IF(BS106&lt;0,BS106*$A109*(BS7-BR7)/365*-1,0)</f>
        <v>0</v>
      </c>
      <c r="BT108" s="483">
        <f t="shared" ca="1" si="54"/>
        <v>0</v>
      </c>
      <c r="BU108" s="485">
        <f t="shared" ca="1" si="54"/>
        <v>0</v>
      </c>
      <c r="BV108" s="482">
        <f t="shared" ca="1" si="54"/>
        <v>0</v>
      </c>
      <c r="BW108" s="482">
        <f t="shared" ca="1" si="54"/>
        <v>0</v>
      </c>
      <c r="BX108" s="482">
        <f t="shared" ca="1" si="54"/>
        <v>0</v>
      </c>
      <c r="BY108" s="488">
        <f ca="1">SUM(F108:BX108)</f>
        <v>0</v>
      </c>
      <c r="BZ108" s="489"/>
      <c r="CA108" s="131">
        <f t="shared" ca="1" si="45"/>
        <v>0</v>
      </c>
      <c r="CB108" s="132"/>
    </row>
    <row r="109" spans="1:80">
      <c r="A109" s="1784"/>
      <c r="B109" s="1788" t="s">
        <v>324</v>
      </c>
      <c r="C109" s="1789"/>
      <c r="D109" s="1790"/>
      <c r="E109" s="490"/>
      <c r="F109" s="534"/>
      <c r="G109" s="490">
        <f t="shared" ref="G109:BR109" si="55">F109+G108</f>
        <v>0</v>
      </c>
      <c r="H109" s="490">
        <f t="shared" ca="1" si="55"/>
        <v>0</v>
      </c>
      <c r="I109" s="490">
        <f t="shared" ca="1" si="55"/>
        <v>0</v>
      </c>
      <c r="J109" s="490">
        <f t="shared" ca="1" si="55"/>
        <v>0</v>
      </c>
      <c r="K109" s="490">
        <f t="shared" ca="1" si="55"/>
        <v>0</v>
      </c>
      <c r="L109" s="490">
        <f t="shared" ca="1" si="55"/>
        <v>0</v>
      </c>
      <c r="M109" s="490">
        <f t="shared" ca="1" si="55"/>
        <v>0</v>
      </c>
      <c r="N109" s="490">
        <f t="shared" ca="1" si="55"/>
        <v>0</v>
      </c>
      <c r="O109" s="490">
        <f t="shared" ca="1" si="55"/>
        <v>0</v>
      </c>
      <c r="P109" s="490">
        <f t="shared" ca="1" si="55"/>
        <v>0</v>
      </c>
      <c r="Q109" s="490">
        <f t="shared" ca="1" si="55"/>
        <v>0</v>
      </c>
      <c r="R109" s="535">
        <f ca="1">Q109+R108</f>
        <v>0</v>
      </c>
      <c r="S109" s="490">
        <f ca="1">R109+S108</f>
        <v>0</v>
      </c>
      <c r="T109" s="536">
        <f ca="1">S109+T108</f>
        <v>0</v>
      </c>
      <c r="U109" s="537">
        <f t="shared" ca="1" si="55"/>
        <v>0</v>
      </c>
      <c r="V109" s="490">
        <f t="shared" ca="1" si="55"/>
        <v>0</v>
      </c>
      <c r="W109" s="538">
        <f t="shared" ca="1" si="55"/>
        <v>0</v>
      </c>
      <c r="X109" s="535">
        <f t="shared" ca="1" si="55"/>
        <v>0</v>
      </c>
      <c r="Y109" s="539">
        <f t="shared" ca="1" si="55"/>
        <v>0</v>
      </c>
      <c r="Z109" s="540">
        <f t="shared" ca="1" si="55"/>
        <v>0</v>
      </c>
      <c r="AA109" s="536">
        <f t="shared" ca="1" si="55"/>
        <v>0</v>
      </c>
      <c r="AB109" s="490">
        <f t="shared" ca="1" si="55"/>
        <v>0</v>
      </c>
      <c r="AC109" s="490">
        <f t="shared" ca="1" si="55"/>
        <v>0</v>
      </c>
      <c r="AD109" s="490">
        <f t="shared" ca="1" si="55"/>
        <v>0</v>
      </c>
      <c r="AE109" s="490">
        <f t="shared" ca="1" si="55"/>
        <v>0</v>
      </c>
      <c r="AF109" s="490">
        <f t="shared" ca="1" si="55"/>
        <v>0</v>
      </c>
      <c r="AG109" s="490">
        <f t="shared" ca="1" si="55"/>
        <v>0</v>
      </c>
      <c r="AH109" s="490">
        <f t="shared" ca="1" si="55"/>
        <v>0</v>
      </c>
      <c r="AI109" s="490">
        <f t="shared" ca="1" si="55"/>
        <v>0</v>
      </c>
      <c r="AJ109" s="490">
        <f t="shared" ca="1" si="55"/>
        <v>0</v>
      </c>
      <c r="AK109" s="490">
        <f t="shared" ca="1" si="55"/>
        <v>0</v>
      </c>
      <c r="AL109" s="490">
        <f t="shared" ca="1" si="55"/>
        <v>0</v>
      </c>
      <c r="AM109" s="490">
        <f t="shared" ca="1" si="55"/>
        <v>0</v>
      </c>
      <c r="AN109" s="490">
        <f t="shared" ca="1" si="55"/>
        <v>0</v>
      </c>
      <c r="AO109" s="490">
        <f t="shared" ca="1" si="55"/>
        <v>0</v>
      </c>
      <c r="AP109" s="490">
        <f t="shared" ca="1" si="55"/>
        <v>0</v>
      </c>
      <c r="AQ109" s="490">
        <f t="shared" ca="1" si="55"/>
        <v>0</v>
      </c>
      <c r="AR109" s="490">
        <f t="shared" ca="1" si="55"/>
        <v>0</v>
      </c>
      <c r="AS109" s="535">
        <f t="shared" ca="1" si="55"/>
        <v>0</v>
      </c>
      <c r="AT109" s="490">
        <f t="shared" ca="1" si="55"/>
        <v>0</v>
      </c>
      <c r="AU109" s="536">
        <f t="shared" ca="1" si="55"/>
        <v>0</v>
      </c>
      <c r="AV109" s="535">
        <f t="shared" ca="1" si="55"/>
        <v>0</v>
      </c>
      <c r="AW109" s="490">
        <f t="shared" ca="1" si="55"/>
        <v>0</v>
      </c>
      <c r="AX109" s="490">
        <f t="shared" ca="1" si="55"/>
        <v>0</v>
      </c>
      <c r="AY109" s="490">
        <f t="shared" ca="1" si="55"/>
        <v>0</v>
      </c>
      <c r="AZ109" s="490">
        <f t="shared" ca="1" si="55"/>
        <v>0</v>
      </c>
      <c r="BA109" s="536">
        <f t="shared" ca="1" si="55"/>
        <v>0</v>
      </c>
      <c r="BB109" s="490">
        <f t="shared" ca="1" si="55"/>
        <v>0</v>
      </c>
      <c r="BC109" s="490">
        <f t="shared" ca="1" si="55"/>
        <v>0</v>
      </c>
      <c r="BD109" s="490">
        <f t="shared" ca="1" si="55"/>
        <v>0</v>
      </c>
      <c r="BE109" s="490">
        <f t="shared" ca="1" si="55"/>
        <v>0</v>
      </c>
      <c r="BF109" s="490">
        <f t="shared" ca="1" si="55"/>
        <v>0</v>
      </c>
      <c r="BG109" s="535">
        <f t="shared" ca="1" si="55"/>
        <v>0</v>
      </c>
      <c r="BH109" s="490">
        <f t="shared" ca="1" si="55"/>
        <v>0</v>
      </c>
      <c r="BI109" s="538">
        <f t="shared" ca="1" si="55"/>
        <v>0</v>
      </c>
      <c r="BJ109" s="490">
        <f t="shared" ca="1" si="55"/>
        <v>0</v>
      </c>
      <c r="BK109" s="540">
        <f t="shared" ca="1" si="55"/>
        <v>0</v>
      </c>
      <c r="BL109" s="535">
        <f t="shared" ca="1" si="55"/>
        <v>0</v>
      </c>
      <c r="BM109" s="535">
        <f t="shared" ca="1" si="55"/>
        <v>0</v>
      </c>
      <c r="BN109" s="490">
        <f t="shared" ca="1" si="55"/>
        <v>0</v>
      </c>
      <c r="BO109" s="538">
        <f t="shared" ca="1" si="55"/>
        <v>0</v>
      </c>
      <c r="BP109" s="490">
        <f t="shared" ca="1" si="55"/>
        <v>0</v>
      </c>
      <c r="BQ109" s="538">
        <f t="shared" ca="1" si="55"/>
        <v>0</v>
      </c>
      <c r="BR109" s="535">
        <f t="shared" ca="1" si="55"/>
        <v>0</v>
      </c>
      <c r="BS109" s="490">
        <f t="shared" ref="BS109:BX109" ca="1" si="56">BR109+BS108</f>
        <v>0</v>
      </c>
      <c r="BT109" s="536">
        <f t="shared" ca="1" si="56"/>
        <v>0</v>
      </c>
      <c r="BU109" s="538">
        <f t="shared" ca="1" si="56"/>
        <v>0</v>
      </c>
      <c r="BV109" s="535">
        <f t="shared" ca="1" si="56"/>
        <v>0</v>
      </c>
      <c r="BW109" s="535">
        <f t="shared" ca="1" si="56"/>
        <v>0</v>
      </c>
      <c r="BX109" s="535">
        <f t="shared" ca="1" si="56"/>
        <v>0</v>
      </c>
      <c r="BY109" s="541"/>
      <c r="BZ109" s="489"/>
      <c r="CA109" s="499">
        <f t="shared" si="45"/>
        <v>0</v>
      </c>
      <c r="CB109" s="132"/>
    </row>
    <row r="110" spans="1:80">
      <c r="A110" s="1775" t="s">
        <v>336</v>
      </c>
      <c r="B110" s="1811" t="s">
        <v>323</v>
      </c>
      <c r="C110" s="1811"/>
      <c r="D110" s="1811"/>
      <c r="E110" s="500">
        <f ca="1">E105-E107-E108</f>
        <v>55341.695187619385</v>
      </c>
      <c r="F110" s="500">
        <f t="shared" ref="F110:BQ110" si="57">F105-F107-F108</f>
        <v>0</v>
      </c>
      <c r="G110" s="500">
        <f t="shared" si="57"/>
        <v>0</v>
      </c>
      <c r="H110" s="500">
        <f t="shared" ca="1" si="57"/>
        <v>0</v>
      </c>
      <c r="I110" s="500">
        <f t="shared" ca="1" si="57"/>
        <v>0</v>
      </c>
      <c r="J110" s="500">
        <f t="shared" ca="1" si="57"/>
        <v>0</v>
      </c>
      <c r="K110" s="500">
        <f t="shared" ca="1" si="57"/>
        <v>0</v>
      </c>
      <c r="L110" s="500">
        <f t="shared" ca="1" si="57"/>
        <v>0</v>
      </c>
      <c r="M110" s="500">
        <f t="shared" ca="1" si="57"/>
        <v>0</v>
      </c>
      <c r="N110" s="500">
        <f t="shared" ca="1" si="57"/>
        <v>0</v>
      </c>
      <c r="O110" s="500">
        <f t="shared" ca="1" si="57"/>
        <v>0</v>
      </c>
      <c r="P110" s="500">
        <f t="shared" ca="1" si="57"/>
        <v>0</v>
      </c>
      <c r="Q110" s="500">
        <f t="shared" ca="1" si="57"/>
        <v>20.446758603822822</v>
      </c>
      <c r="R110" s="502">
        <f t="shared" ca="1" si="57"/>
        <v>0</v>
      </c>
      <c r="S110" s="500">
        <f t="shared" ca="1" si="57"/>
        <v>0</v>
      </c>
      <c r="T110" s="503">
        <f t="shared" ca="1" si="57"/>
        <v>0</v>
      </c>
      <c r="U110" s="504">
        <f t="shared" ca="1" si="57"/>
        <v>677.47013699999661</v>
      </c>
      <c r="V110" s="500">
        <f t="shared" ca="1" si="57"/>
        <v>-115.2</v>
      </c>
      <c r="W110" s="505">
        <f t="shared" ca="1" si="57"/>
        <v>-223</v>
      </c>
      <c r="X110" s="502">
        <f t="shared" ca="1" si="57"/>
        <v>8812.8778259999999</v>
      </c>
      <c r="Y110" s="506">
        <f t="shared" ca="1" si="57"/>
        <v>-3177.3651399999999</v>
      </c>
      <c r="Z110" s="507">
        <f t="shared" ca="1" si="57"/>
        <v>3825.2472751470004</v>
      </c>
      <c r="AA110" s="503">
        <f t="shared" ca="1" si="57"/>
        <v>-931.93708995388079</v>
      </c>
      <c r="AB110" s="500">
        <f t="shared" ca="1" si="57"/>
        <v>-5604.1197440232881</v>
      </c>
      <c r="AC110" s="500">
        <f t="shared" ca="1" si="57"/>
        <v>-15.805050477879149</v>
      </c>
      <c r="AD110" s="500">
        <f t="shared" ca="1" si="57"/>
        <v>-6761.6210209133233</v>
      </c>
      <c r="AE110" s="500">
        <f t="shared" ca="1" si="57"/>
        <v>13703.606979081685</v>
      </c>
      <c r="AF110" s="500">
        <f t="shared" ca="1" si="57"/>
        <v>2262.7090606116681</v>
      </c>
      <c r="AG110" s="500">
        <f t="shared" ca="1" si="57"/>
        <v>-7896.6462293084242</v>
      </c>
      <c r="AH110" s="500">
        <f t="shared" ca="1" si="57"/>
        <v>-6771.1195691577232</v>
      </c>
      <c r="AI110" s="500">
        <f t="shared" ca="1" si="57"/>
        <v>162.21491403433197</v>
      </c>
      <c r="AJ110" s="500">
        <f t="shared" ca="1" si="57"/>
        <v>4324.585206543511</v>
      </c>
      <c r="AK110" s="500">
        <f t="shared" ca="1" si="57"/>
        <v>63.76955130590386</v>
      </c>
      <c r="AL110" s="500">
        <f t="shared" ca="1" si="57"/>
        <v>-7296.7748230864954</v>
      </c>
      <c r="AM110" s="500">
        <f t="shared" ca="1" si="57"/>
        <v>-2171.8747911026962</v>
      </c>
      <c r="AN110" s="500">
        <f t="shared" ca="1" si="57"/>
        <v>8394.3651090080184</v>
      </c>
      <c r="AO110" s="500">
        <f t="shared" ca="1" si="57"/>
        <v>4657.7781682545374</v>
      </c>
      <c r="AP110" s="500">
        <f t="shared" ca="1" si="57"/>
        <v>-15533.852780823674</v>
      </c>
      <c r="AQ110" s="500">
        <f t="shared" ca="1" si="57"/>
        <v>-660.02733006660571</v>
      </c>
      <c r="AR110" s="500">
        <f t="shared" ca="1" si="57"/>
        <v>9419.9436686379104</v>
      </c>
      <c r="AS110" s="502">
        <f t="shared" ca="1" si="57"/>
        <v>-7048.3534531211999</v>
      </c>
      <c r="AT110" s="500">
        <f t="shared" ca="1" si="57"/>
        <v>-12226.586354848647</v>
      </c>
      <c r="AU110" s="503">
        <f t="shared" ca="1" si="57"/>
        <v>2995.018452616273</v>
      </c>
      <c r="AV110" s="502">
        <f t="shared" ca="1" si="57"/>
        <v>-3484.6343065886576</v>
      </c>
      <c r="AW110" s="500">
        <f t="shared" ca="1" si="57"/>
        <v>-1706.4802418051761</v>
      </c>
      <c r="AX110" s="500">
        <f t="shared" ca="1" si="57"/>
        <v>-13036.166139533221</v>
      </c>
      <c r="AY110" s="500">
        <f t="shared" ca="1" si="57"/>
        <v>-2625.8385660336708</v>
      </c>
      <c r="AZ110" s="500">
        <f t="shared" ca="1" si="57"/>
        <v>-10965.923095978469</v>
      </c>
      <c r="BA110" s="503">
        <f t="shared" ca="1" si="57"/>
        <v>14226.06198269655</v>
      </c>
      <c r="BB110" s="500">
        <f t="shared" ca="1" si="57"/>
        <v>-20748.335049000001</v>
      </c>
      <c r="BC110" s="500">
        <f t="shared" ca="1" si="57"/>
        <v>-1216.1656446300685</v>
      </c>
      <c r="BD110" s="500">
        <f t="shared" ca="1" si="57"/>
        <v>-14620.958873533224</v>
      </c>
      <c r="BE110" s="500">
        <f t="shared" ca="1" si="57"/>
        <v>228.19106030036437</v>
      </c>
      <c r="BF110" s="500">
        <f t="shared" ca="1" si="57"/>
        <v>-1707.9202775400081</v>
      </c>
      <c r="BG110" s="502">
        <f t="shared" ca="1" si="57"/>
        <v>-1848.36556398067</v>
      </c>
      <c r="BH110" s="500">
        <f t="shared" ca="1" si="57"/>
        <v>-22804.663581200002</v>
      </c>
      <c r="BI110" s="505">
        <f t="shared" ca="1" si="57"/>
        <v>-1624.7866672437758</v>
      </c>
      <c r="BJ110" s="500">
        <f t="shared" ca="1" si="57"/>
        <v>-2891.308</v>
      </c>
      <c r="BK110" s="507">
        <f t="shared" ca="1" si="57"/>
        <v>-154648.09383177618</v>
      </c>
      <c r="BL110" s="502">
        <f t="shared" ca="1" si="57"/>
        <v>66402.450884276186</v>
      </c>
      <c r="BM110" s="502">
        <f t="shared" ca="1" si="57"/>
        <v>58614.389079650951</v>
      </c>
      <c r="BN110" s="500">
        <f t="shared" ca="1" si="57"/>
        <v>-12333.051515247225</v>
      </c>
      <c r="BO110" s="505">
        <f t="shared" ca="1" si="57"/>
        <v>-17953.089492052921</v>
      </c>
      <c r="BP110" s="500">
        <f t="shared" ca="1" si="57"/>
        <v>-1.9774657406219065E-13</v>
      </c>
      <c r="BQ110" s="505">
        <f t="shared" ca="1" si="57"/>
        <v>-1.91367652318249E-13</v>
      </c>
      <c r="BR110" s="502">
        <f t="shared" ref="BR110:BX110" ca="1" si="58">BR105-BR107-BR108</f>
        <v>-1.9774657406219065E-13</v>
      </c>
      <c r="BS110" s="500">
        <f t="shared" ca="1" si="58"/>
        <v>-1.91367652318249E-13</v>
      </c>
      <c r="BT110" s="503">
        <f t="shared" ca="1" si="58"/>
        <v>-1.9774657406219065E-13</v>
      </c>
      <c r="BU110" s="503">
        <f t="shared" ca="1" si="58"/>
        <v>-1.9774657406219065E-13</v>
      </c>
      <c r="BV110" s="500">
        <f t="shared" ca="1" si="58"/>
        <v>-1.91367652318249E-13</v>
      </c>
      <c r="BW110" s="500">
        <f t="shared" ca="1" si="58"/>
        <v>-1.9774657406219065E-13</v>
      </c>
      <c r="BX110" s="500">
        <f t="shared" ca="1" si="58"/>
        <v>-1.91367652318249E-13</v>
      </c>
      <c r="BY110" s="500">
        <f ca="1">SUM(F110:BX110)</f>
        <v>-161858.93810925842</v>
      </c>
      <c r="BZ110" s="489"/>
      <c r="CA110" s="508">
        <f t="shared" ca="1" si="45"/>
        <v>217200.63329687782</v>
      </c>
      <c r="CB110" s="132"/>
    </row>
    <row r="111" spans="1:80" ht="17.5" thickBot="1">
      <c r="A111" s="1776"/>
      <c r="B111" s="1812" t="s">
        <v>324</v>
      </c>
      <c r="C111" s="1812"/>
      <c r="D111" s="1812"/>
      <c r="E111" s="509"/>
      <c r="F111" s="509">
        <f t="shared" ref="F111:BQ111" si="59">E111+F110</f>
        <v>0</v>
      </c>
      <c r="G111" s="509">
        <f t="shared" si="59"/>
        <v>0</v>
      </c>
      <c r="H111" s="509">
        <f t="shared" ca="1" si="59"/>
        <v>0</v>
      </c>
      <c r="I111" s="509">
        <f t="shared" ca="1" si="59"/>
        <v>0</v>
      </c>
      <c r="J111" s="509">
        <f t="shared" ca="1" si="59"/>
        <v>0</v>
      </c>
      <c r="K111" s="509">
        <f t="shared" ca="1" si="59"/>
        <v>0</v>
      </c>
      <c r="L111" s="509">
        <f t="shared" ca="1" si="59"/>
        <v>0</v>
      </c>
      <c r="M111" s="509">
        <f t="shared" ca="1" si="59"/>
        <v>0</v>
      </c>
      <c r="N111" s="509">
        <f t="shared" ca="1" si="59"/>
        <v>0</v>
      </c>
      <c r="O111" s="509">
        <f t="shared" ca="1" si="59"/>
        <v>0</v>
      </c>
      <c r="P111" s="509">
        <f t="shared" ca="1" si="59"/>
        <v>0</v>
      </c>
      <c r="Q111" s="509">
        <f t="shared" ca="1" si="59"/>
        <v>20.446758603822822</v>
      </c>
      <c r="R111" s="511">
        <f t="shared" ca="1" si="59"/>
        <v>20.446758603822822</v>
      </c>
      <c r="S111" s="509">
        <f t="shared" ca="1" si="59"/>
        <v>20.446758603822822</v>
      </c>
      <c r="T111" s="512">
        <f t="shared" ca="1" si="59"/>
        <v>20.446758603822822</v>
      </c>
      <c r="U111" s="542">
        <f t="shared" ca="1" si="59"/>
        <v>697.9168956038194</v>
      </c>
      <c r="V111" s="509">
        <f t="shared" ca="1" si="59"/>
        <v>582.71689560381935</v>
      </c>
      <c r="W111" s="514">
        <f t="shared" ca="1" si="59"/>
        <v>359.71689560381935</v>
      </c>
      <c r="X111" s="511">
        <f t="shared" ca="1" si="59"/>
        <v>9172.5947216038185</v>
      </c>
      <c r="Y111" s="515">
        <f t="shared" ca="1" si="59"/>
        <v>5995.2295816038186</v>
      </c>
      <c r="Z111" s="543">
        <f t="shared" ca="1" si="59"/>
        <v>9820.4768567508181</v>
      </c>
      <c r="AA111" s="512">
        <f t="shared" ca="1" si="59"/>
        <v>8888.5397667969373</v>
      </c>
      <c r="AB111" s="509">
        <f t="shared" ca="1" si="59"/>
        <v>3284.4200227736492</v>
      </c>
      <c r="AC111" s="509">
        <f t="shared" ca="1" si="59"/>
        <v>3268.6149722957698</v>
      </c>
      <c r="AD111" s="509">
        <f t="shared" ca="1" si="59"/>
        <v>-3493.0060486175535</v>
      </c>
      <c r="AE111" s="509">
        <f t="shared" ca="1" si="59"/>
        <v>10210.600930464132</v>
      </c>
      <c r="AF111" s="509">
        <f t="shared" ca="1" si="59"/>
        <v>12473.309991075799</v>
      </c>
      <c r="AG111" s="509">
        <f t="shared" ca="1" si="59"/>
        <v>4576.663761767375</v>
      </c>
      <c r="AH111" s="509">
        <f t="shared" ca="1" si="59"/>
        <v>-2194.4558073903481</v>
      </c>
      <c r="AI111" s="509">
        <f t="shared" ca="1" si="59"/>
        <v>-2032.2408933560162</v>
      </c>
      <c r="AJ111" s="509">
        <f t="shared" ca="1" si="59"/>
        <v>2292.3443131874947</v>
      </c>
      <c r="AK111" s="509">
        <f t="shared" ca="1" si="59"/>
        <v>2356.1138644933985</v>
      </c>
      <c r="AL111" s="509">
        <f t="shared" ca="1" si="59"/>
        <v>-4940.6609585930964</v>
      </c>
      <c r="AM111" s="509">
        <f t="shared" ca="1" si="59"/>
        <v>-7112.5357496957931</v>
      </c>
      <c r="AN111" s="509">
        <f t="shared" ca="1" si="59"/>
        <v>1281.8293593122253</v>
      </c>
      <c r="AO111" s="509">
        <f t="shared" ca="1" si="59"/>
        <v>5939.6075275667627</v>
      </c>
      <c r="AP111" s="509">
        <f t="shared" ca="1" si="59"/>
        <v>-9594.2452532569114</v>
      </c>
      <c r="AQ111" s="509">
        <f t="shared" ca="1" si="59"/>
        <v>-10254.272583323516</v>
      </c>
      <c r="AR111" s="509">
        <f t="shared" ca="1" si="59"/>
        <v>-834.32891468560592</v>
      </c>
      <c r="AS111" s="511">
        <f t="shared" ca="1" si="59"/>
        <v>-7882.6823678068058</v>
      </c>
      <c r="AT111" s="509">
        <f t="shared" ca="1" si="59"/>
        <v>-20109.268722655452</v>
      </c>
      <c r="AU111" s="512">
        <f t="shared" ca="1" si="59"/>
        <v>-17114.250270039178</v>
      </c>
      <c r="AV111" s="511">
        <f t="shared" ca="1" si="59"/>
        <v>-20598.884576627835</v>
      </c>
      <c r="AW111" s="509">
        <f t="shared" ca="1" si="59"/>
        <v>-22305.364818433012</v>
      </c>
      <c r="AX111" s="509">
        <f t="shared" ca="1" si="59"/>
        <v>-35341.530957966235</v>
      </c>
      <c r="AY111" s="509">
        <f t="shared" ca="1" si="59"/>
        <v>-37967.369523999907</v>
      </c>
      <c r="AZ111" s="509">
        <f t="shared" ca="1" si="59"/>
        <v>-48933.292619978376</v>
      </c>
      <c r="BA111" s="512">
        <f t="shared" ca="1" si="59"/>
        <v>-34707.230637281828</v>
      </c>
      <c r="BB111" s="509">
        <f t="shared" ca="1" si="59"/>
        <v>-55455.565686281829</v>
      </c>
      <c r="BC111" s="509">
        <f t="shared" ca="1" si="59"/>
        <v>-56671.731330911898</v>
      </c>
      <c r="BD111" s="509">
        <f t="shared" ca="1" si="59"/>
        <v>-71292.690204445127</v>
      </c>
      <c r="BE111" s="509">
        <f t="shared" ca="1" si="59"/>
        <v>-71064.499144144764</v>
      </c>
      <c r="BF111" s="509">
        <f t="shared" ca="1" si="59"/>
        <v>-72772.419421684768</v>
      </c>
      <c r="BG111" s="511">
        <f t="shared" ca="1" si="59"/>
        <v>-74620.784985665436</v>
      </c>
      <c r="BH111" s="509">
        <f t="shared" ca="1" si="59"/>
        <v>-97425.448566865438</v>
      </c>
      <c r="BI111" s="514">
        <f t="shared" ca="1" si="59"/>
        <v>-99050.235234109219</v>
      </c>
      <c r="BJ111" s="509">
        <f t="shared" ca="1" si="59"/>
        <v>-101941.54323410922</v>
      </c>
      <c r="BK111" s="543">
        <f t="shared" ca="1" si="59"/>
        <v>-256589.63706588541</v>
      </c>
      <c r="BL111" s="511">
        <f t="shared" ca="1" si="59"/>
        <v>-190187.18618160923</v>
      </c>
      <c r="BM111" s="511">
        <f t="shared" ca="1" si="59"/>
        <v>-131572.79710195828</v>
      </c>
      <c r="BN111" s="509">
        <f t="shared" ca="1" si="59"/>
        <v>-143905.84861720551</v>
      </c>
      <c r="BO111" s="514">
        <f t="shared" ca="1" si="59"/>
        <v>-161858.93810925842</v>
      </c>
      <c r="BP111" s="509">
        <f t="shared" ca="1" si="59"/>
        <v>-161858.93810925842</v>
      </c>
      <c r="BQ111" s="514">
        <f t="shared" ca="1" si="59"/>
        <v>-161858.93810925842</v>
      </c>
      <c r="BR111" s="511">
        <f t="shared" ref="BR111:BX111" ca="1" si="60">BQ111+BR110</f>
        <v>-161858.93810925842</v>
      </c>
      <c r="BS111" s="509">
        <f t="shared" ca="1" si="60"/>
        <v>-161858.93810925842</v>
      </c>
      <c r="BT111" s="512">
        <f t="shared" ca="1" si="60"/>
        <v>-161858.93810925842</v>
      </c>
      <c r="BU111" s="512">
        <f t="shared" ca="1" si="60"/>
        <v>-161858.93810925842</v>
      </c>
      <c r="BV111" s="509">
        <f t="shared" ca="1" si="60"/>
        <v>-161858.93810925842</v>
      </c>
      <c r="BW111" s="509">
        <f t="shared" ca="1" si="60"/>
        <v>-161858.93810925842</v>
      </c>
      <c r="BX111" s="509">
        <f t="shared" ca="1" si="60"/>
        <v>-161858.93810925842</v>
      </c>
      <c r="BY111" s="509"/>
      <c r="BZ111" s="489"/>
      <c r="CA111" s="544">
        <f t="shared" si="45"/>
        <v>0</v>
      </c>
      <c r="CB111" s="132"/>
    </row>
    <row r="112" spans="1:80">
      <c r="A112" s="70"/>
      <c r="B112" s="70"/>
      <c r="C112" s="70"/>
      <c r="D112" s="545"/>
      <c r="E112" s="546">
        <f ca="1">E110*1000</f>
        <v>55341695.187619388</v>
      </c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7"/>
      <c r="U112" s="547"/>
      <c r="V112" s="547"/>
      <c r="W112" s="547"/>
      <c r="X112" s="547"/>
      <c r="Y112" s="547"/>
      <c r="Z112" s="548">
        <f ca="1">Z111-Z33</f>
        <v>2032.873831603818</v>
      </c>
      <c r="AA112" s="547"/>
      <c r="AB112" s="547"/>
      <c r="AC112" s="547"/>
      <c r="AD112" s="547"/>
      <c r="AE112" s="547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  <c r="AS112" s="547"/>
      <c r="AT112" s="547"/>
      <c r="AU112" s="547"/>
      <c r="AV112" s="549"/>
      <c r="AW112" s="550"/>
      <c r="AX112" s="547"/>
      <c r="AY112" s="547"/>
      <c r="AZ112" s="547"/>
      <c r="BA112" s="547"/>
      <c r="BB112" s="547"/>
      <c r="BC112" s="547"/>
      <c r="BD112" s="547"/>
      <c r="BE112" s="547"/>
      <c r="BF112" s="547"/>
      <c r="BG112" s="547"/>
      <c r="BH112" s="547"/>
      <c r="BI112" s="547"/>
      <c r="BJ112" s="547"/>
      <c r="BK112" s="547"/>
      <c r="BL112" s="547"/>
      <c r="BM112" s="547"/>
      <c r="BN112" s="547"/>
      <c r="BO112" s="547"/>
      <c r="BP112" s="547"/>
      <c r="BQ112" s="547"/>
      <c r="BR112" s="547"/>
      <c r="BS112" s="547"/>
      <c r="BT112" s="547"/>
      <c r="BU112" s="547"/>
      <c r="BV112" s="547"/>
      <c r="BW112" s="547"/>
      <c r="BX112" s="547"/>
      <c r="BY112" s="546"/>
      <c r="BZ112" s="546"/>
      <c r="CA112" s="547"/>
      <c r="CB112" s="547"/>
    </row>
    <row r="113" spans="1:80">
      <c r="A113" s="551"/>
      <c r="B113" s="551"/>
      <c r="C113" s="551"/>
      <c r="D113" s="552"/>
      <c r="E113" s="553" t="b">
        <f ca="1">ROUNDDOWN(E112,0)=ROUNDDOWN(손익!X71+손익!X69,0)</f>
        <v>0</v>
      </c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554"/>
      <c r="AT113" s="554"/>
      <c r="AU113" s="554"/>
      <c r="AV113" s="554"/>
      <c r="AW113" s="554"/>
      <c r="AX113" s="554"/>
      <c r="AY113" s="554"/>
      <c r="AZ113" s="555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7"/>
      <c r="BZ113" s="67"/>
      <c r="CA113" s="68"/>
      <c r="CB113" s="68"/>
    </row>
    <row r="114" spans="1:80">
      <c r="A114" s="551"/>
      <c r="B114" s="551"/>
      <c r="C114" s="551"/>
      <c r="D114" s="552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554"/>
      <c r="AR114" s="554"/>
      <c r="AS114" s="554"/>
      <c r="AT114" s="554"/>
      <c r="AU114" s="554"/>
      <c r="AV114" s="554"/>
      <c r="AW114" s="554"/>
      <c r="AX114" s="555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7"/>
      <c r="BZ114" s="67"/>
      <c r="CA114" s="68"/>
      <c r="CB114" s="68"/>
    </row>
    <row r="115" spans="1:80">
      <c r="A115" s="1813" t="s">
        <v>337</v>
      </c>
      <c r="B115" s="1813"/>
      <c r="C115" s="1813"/>
      <c r="D115" s="1813"/>
      <c r="E115" s="1814">
        <f>손익!AH50</f>
        <v>0.23</v>
      </c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8"/>
      <c r="U115" s="68"/>
      <c r="V115" s="68"/>
      <c r="W115" s="556"/>
      <c r="X115" s="556"/>
      <c r="Y115" s="556"/>
      <c r="Z115" s="556">
        <f t="shared" ref="Z115:BJ115" ca="1" si="61">SUM(Z8,Z12,Z16,Z20)*$E$115+Y115</f>
        <v>1744.8193357838102</v>
      </c>
      <c r="AA115" s="557">
        <f t="shared" ca="1" si="61"/>
        <v>2617.2290036757154</v>
      </c>
      <c r="AB115" s="556">
        <f t="shared" ca="1" si="61"/>
        <v>2908.0322263063504</v>
      </c>
      <c r="AC115" s="556">
        <f t="shared" ca="1" si="61"/>
        <v>3198.8354489369854</v>
      </c>
      <c r="AD115" s="557">
        <f t="shared" ca="1" si="61"/>
        <v>3489.6386715676203</v>
      </c>
      <c r="AE115" s="556">
        <f t="shared" ca="1" si="61"/>
        <v>7270.0805657658748</v>
      </c>
      <c r="AF115" s="556">
        <f t="shared" ca="1" si="61"/>
        <v>9359.3855531252575</v>
      </c>
      <c r="AG115" s="557">
        <f t="shared" ca="1" si="61"/>
        <v>10103.418860010433</v>
      </c>
      <c r="AH115" s="556">
        <f t="shared" ca="1" si="61"/>
        <v>10484.069727449431</v>
      </c>
      <c r="AI115" s="556">
        <f t="shared" ca="1" si="61"/>
        <v>10864.720594888428</v>
      </c>
      <c r="AJ115" s="557">
        <f t="shared" ca="1" si="61"/>
        <v>15366.595226800822</v>
      </c>
      <c r="AK115" s="556">
        <f t="shared" ca="1" si="61"/>
        <v>15747.246094239819</v>
      </c>
      <c r="AL115" s="556">
        <f t="shared" ca="1" si="61"/>
        <v>16275.51990102731</v>
      </c>
      <c r="AM115" s="557">
        <f t="shared" ca="1" si="61"/>
        <v>16583.49428057707</v>
      </c>
      <c r="AN115" s="556">
        <f t="shared" ca="1" si="61"/>
        <v>20779.660762200954</v>
      </c>
      <c r="AO115" s="556">
        <f t="shared" ca="1" si="61"/>
        <v>22098.188499276384</v>
      </c>
      <c r="AP115" s="557">
        <f t="shared" ca="1" si="61"/>
        <v>22360.033549226519</v>
      </c>
      <c r="AQ115" s="556">
        <f t="shared" ca="1" si="61"/>
        <v>22558.822411823017</v>
      </c>
      <c r="AR115" s="556">
        <f t="shared" ca="1" si="61"/>
        <v>27311.811765900926</v>
      </c>
      <c r="AS115" s="557">
        <f t="shared" ca="1" si="61"/>
        <v>27311.811765900926</v>
      </c>
      <c r="AT115" s="556">
        <f t="shared" ca="1" si="61"/>
        <v>27311.811765900926</v>
      </c>
      <c r="AU115" s="556">
        <f t="shared" ca="1" si="61"/>
        <v>28358.70336737121</v>
      </c>
      <c r="AV115" s="557">
        <f t="shared" ca="1" si="61"/>
        <v>31992.527761833007</v>
      </c>
      <c r="AW115" s="556">
        <f t="shared" ca="1" si="61"/>
        <v>31992.527761833007</v>
      </c>
      <c r="AX115" s="556">
        <f t="shared" ca="1" si="61"/>
        <v>32335.215759758365</v>
      </c>
      <c r="AY115" s="557">
        <f t="shared" ca="1" si="61"/>
        <v>32335.215759758365</v>
      </c>
      <c r="AZ115" s="556">
        <f t="shared" ca="1" si="61"/>
        <v>33382.107361228649</v>
      </c>
      <c r="BA115" s="556">
        <f t="shared" ca="1" si="61"/>
        <v>37015.93175569045</v>
      </c>
      <c r="BB115" s="557">
        <f t="shared" ca="1" si="61"/>
        <v>37015.93175569045</v>
      </c>
      <c r="BC115" s="556">
        <f t="shared" ca="1" si="61"/>
        <v>37015.93175569045</v>
      </c>
      <c r="BD115" s="68">
        <f t="shared" ca="1" si="61"/>
        <v>37358.619753615807</v>
      </c>
      <c r="BE115" s="558">
        <f t="shared" ca="1" si="61"/>
        <v>38405.511355086091</v>
      </c>
      <c r="BF115" s="68">
        <f t="shared" ca="1" si="61"/>
        <v>42039.335749547892</v>
      </c>
      <c r="BG115" s="68">
        <f t="shared" ca="1" si="61"/>
        <v>42039.335749547892</v>
      </c>
      <c r="BH115" s="558">
        <f t="shared" ca="1" si="61"/>
        <v>42039.335749547892</v>
      </c>
      <c r="BI115" s="68">
        <f t="shared" ca="1" si="61"/>
        <v>42039.335749547892</v>
      </c>
      <c r="BJ115" s="68">
        <f t="shared" ca="1" si="61"/>
        <v>42039.335749547892</v>
      </c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7"/>
      <c r="BZ115" s="67"/>
      <c r="CA115" s="68"/>
      <c r="CB115" s="68"/>
    </row>
    <row r="116" spans="1:80">
      <c r="A116" s="1813"/>
      <c r="B116" s="1813"/>
      <c r="C116" s="1813"/>
      <c r="D116" s="1813"/>
      <c r="E116" s="1814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8"/>
      <c r="R116" s="68"/>
      <c r="S116" s="68"/>
      <c r="T116" s="68"/>
      <c r="U116" s="68"/>
      <c r="V116" s="556"/>
      <c r="W116" s="556"/>
      <c r="X116" s="556"/>
      <c r="Y116" s="556"/>
      <c r="Z116" s="556">
        <f t="shared" ref="Z116:BJ116" ca="1" si="62">SUM(Z8,Z12,Z16,Z20)*$E$115-SUM(Z76,Z78,Z80)+Y116</f>
        <v>1744.8193357838102</v>
      </c>
      <c r="AA116" s="557">
        <f t="shared" ca="1" si="62"/>
        <v>2617.2290036757154</v>
      </c>
      <c r="AB116" s="556">
        <f t="shared" ca="1" si="62"/>
        <v>2908.0322263063504</v>
      </c>
      <c r="AC116" s="556">
        <f t="shared" ca="1" si="62"/>
        <v>3198.8354489369854</v>
      </c>
      <c r="AD116" s="557">
        <f t="shared" ca="1" si="62"/>
        <v>1389.6386715676203</v>
      </c>
      <c r="AE116" s="556">
        <f t="shared" ca="1" si="62"/>
        <v>5170.0805657658748</v>
      </c>
      <c r="AF116" s="556">
        <f t="shared" ca="1" si="62"/>
        <v>7259.3855531252575</v>
      </c>
      <c r="AG116" s="557">
        <f t="shared" ca="1" si="62"/>
        <v>3.4188600104344005</v>
      </c>
      <c r="AH116" s="556">
        <f t="shared" ca="1" si="62"/>
        <v>384.06972744943101</v>
      </c>
      <c r="AI116" s="556">
        <f t="shared" ca="1" si="62"/>
        <v>764.72059488842763</v>
      </c>
      <c r="AJ116" s="557">
        <f t="shared" ca="1" si="62"/>
        <v>66.595226800821479</v>
      </c>
      <c r="AK116" s="556">
        <f t="shared" ca="1" si="62"/>
        <v>447.24609423981809</v>
      </c>
      <c r="AL116" s="556">
        <f t="shared" ca="1" si="62"/>
        <v>975.51990102730952</v>
      </c>
      <c r="AM116" s="557">
        <f t="shared" ca="1" si="62"/>
        <v>83.494280577070185</v>
      </c>
      <c r="AN116" s="556">
        <f t="shared" ca="1" si="62"/>
        <v>4279.660762200956</v>
      </c>
      <c r="AO116" s="556">
        <f t="shared" ca="1" si="62"/>
        <v>5598.1884992763853</v>
      </c>
      <c r="AP116" s="557">
        <f t="shared" ca="1" si="62"/>
        <v>60.033549226517607</v>
      </c>
      <c r="AQ116" s="556">
        <f t="shared" ca="1" si="62"/>
        <v>258.82241182301789</v>
      </c>
      <c r="AR116" s="556">
        <f t="shared" ca="1" si="62"/>
        <v>5011.8117659009276</v>
      </c>
      <c r="AS116" s="557">
        <f t="shared" ca="1" si="62"/>
        <v>11.811765900927639</v>
      </c>
      <c r="AT116" s="556">
        <f t="shared" ca="1" si="62"/>
        <v>11.811765900927639</v>
      </c>
      <c r="AU116" s="556">
        <f t="shared" ca="1" si="62"/>
        <v>1058.7033673712133</v>
      </c>
      <c r="AV116" s="557">
        <f t="shared" ca="1" si="62"/>
        <v>92.527761833011255</v>
      </c>
      <c r="AW116" s="556">
        <f t="shared" ca="1" si="62"/>
        <v>92.527761833011255</v>
      </c>
      <c r="AX116" s="556">
        <f t="shared" ca="1" si="62"/>
        <v>435.21575975837021</v>
      </c>
      <c r="AY116" s="557">
        <f t="shared" ca="1" si="62"/>
        <v>35.215759758370211</v>
      </c>
      <c r="AZ116" s="556">
        <f t="shared" ca="1" si="62"/>
        <v>1082.1073612286559</v>
      </c>
      <c r="BA116" s="556">
        <f t="shared" ca="1" si="62"/>
        <v>4715.9317556904543</v>
      </c>
      <c r="BB116" s="557">
        <f t="shared" ca="1" si="62"/>
        <v>15.931755690454338</v>
      </c>
      <c r="BC116" s="556">
        <f t="shared" ca="1" si="62"/>
        <v>15.931755690454338</v>
      </c>
      <c r="BD116" s="68">
        <f t="shared" ca="1" si="62"/>
        <v>358.61975361581329</v>
      </c>
      <c r="BE116" s="558">
        <f t="shared" ca="1" si="62"/>
        <v>5.5113550860989449</v>
      </c>
      <c r="BF116" s="556">
        <f t="shared" ca="1" si="62"/>
        <v>3639.3357495478967</v>
      </c>
      <c r="BG116" s="68">
        <f t="shared" ca="1" si="62"/>
        <v>3639.3357495478967</v>
      </c>
      <c r="BH116" s="558">
        <f t="shared" ca="1" si="62"/>
        <v>39.335749547896739</v>
      </c>
      <c r="BI116" s="68">
        <f t="shared" ca="1" si="62"/>
        <v>39.335749547896739</v>
      </c>
      <c r="BJ116" s="68">
        <f t="shared" ca="1" si="62"/>
        <v>39.335749547896739</v>
      </c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7"/>
      <c r="BZ116" s="67"/>
      <c r="CA116" s="68"/>
      <c r="CB116" s="68"/>
    </row>
    <row r="117" spans="1:80">
      <c r="A117" s="58"/>
      <c r="B117" s="58"/>
      <c r="C117" s="58"/>
      <c r="D117" s="58"/>
      <c r="E117" s="559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8"/>
      <c r="R117" s="68"/>
      <c r="S117" s="68"/>
      <c r="T117" s="68"/>
      <c r="U117" s="68"/>
      <c r="V117" s="556"/>
      <c r="W117" s="556"/>
      <c r="X117" s="556"/>
      <c r="Y117" s="556"/>
      <c r="Z117" s="556"/>
      <c r="AA117" s="556"/>
      <c r="AB117" s="556"/>
      <c r="AC117" s="556"/>
      <c r="AD117" s="556"/>
      <c r="AE117" s="556"/>
      <c r="AF117" s="556"/>
      <c r="AG117" s="556"/>
      <c r="AH117" s="556"/>
      <c r="AI117" s="556"/>
      <c r="AJ117" s="556"/>
      <c r="AK117" s="556"/>
      <c r="AL117" s="556"/>
      <c r="AM117" s="556"/>
      <c r="AN117" s="556"/>
      <c r="AO117" s="556"/>
      <c r="AP117" s="556"/>
      <c r="AQ117" s="556"/>
      <c r="AR117" s="556"/>
      <c r="AS117" s="556"/>
      <c r="AT117" s="556"/>
      <c r="AU117" s="556"/>
      <c r="AV117" s="556"/>
      <c r="AW117" s="556"/>
      <c r="AX117" s="556"/>
      <c r="AY117" s="556"/>
      <c r="AZ117" s="556"/>
      <c r="BA117" s="556"/>
      <c r="BB117" s="556"/>
      <c r="BC117" s="556"/>
      <c r="BD117" s="556"/>
      <c r="BE117" s="556"/>
      <c r="BF117" s="556"/>
      <c r="BG117" s="556"/>
      <c r="BH117" s="556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7"/>
      <c r="BZ117" s="67"/>
      <c r="CA117" s="68"/>
      <c r="CB117" s="68"/>
    </row>
    <row r="118" spans="1:80">
      <c r="A118" s="1815" t="s">
        <v>338</v>
      </c>
      <c r="B118" s="1815"/>
      <c r="C118" s="1816"/>
      <c r="D118" s="1799" t="s">
        <v>339</v>
      </c>
      <c r="E118" s="1819"/>
      <c r="F118" s="560"/>
      <c r="G118" s="560"/>
      <c r="H118" s="560"/>
      <c r="I118" s="560"/>
      <c r="J118" s="560"/>
      <c r="K118" s="560"/>
      <c r="L118" s="560"/>
      <c r="M118" s="560"/>
      <c r="N118" s="560"/>
      <c r="O118" s="560"/>
      <c r="P118" s="561"/>
      <c r="Q118" s="561"/>
      <c r="R118" s="561"/>
      <c r="S118" s="561"/>
      <c r="T118" s="561"/>
      <c r="U118" s="562"/>
      <c r="V118" s="562"/>
      <c r="W118" s="562"/>
      <c r="X118" s="562"/>
      <c r="Y118" s="562"/>
      <c r="Z118" s="562">
        <f ca="1">SUM(수입!G238,수입!G241)/1000</f>
        <v>7586.1710251470004</v>
      </c>
      <c r="AA118" s="562">
        <f ca="1">Z118+SUM(수입!H238,수입!H241)/1000</f>
        <v>11379.256537720501</v>
      </c>
      <c r="AB118" s="562">
        <f ca="1">AA118+SUM(수입!I238,수입!I241)/1000</f>
        <v>12643.618375245002</v>
      </c>
      <c r="AC118" s="562">
        <f ca="1">AB118+SUM(수입!J238,수입!J241)/1000</f>
        <v>13907.980212769502</v>
      </c>
      <c r="AD118" s="562">
        <f ca="1">AC118+SUM(수입!K238,수입!K241)/1000</f>
        <v>15172.342050294003</v>
      </c>
      <c r="AE118" s="562">
        <f ca="1">AD118+SUM(수입!L238,수입!L241)/1000</f>
        <v>31609.0459381125</v>
      </c>
      <c r="AF118" s="562">
        <f ca="1">AE118+SUM(수입!M238,수입!M241)/1000</f>
        <v>40692.980665761992</v>
      </c>
      <c r="AG118" s="562">
        <f ca="1">AF118+SUM(수입!N238,수입!N241)/1000</f>
        <v>43927.908087001888</v>
      </c>
      <c r="AH118" s="562">
        <f ca="1">AG118+SUM(수입!O238,수입!O241)/1000</f>
        <v>45582.911858475789</v>
      </c>
      <c r="AI118" s="562">
        <f ca="1">AH118+SUM(수입!P238,수입!P241)/1000</f>
        <v>47237.91562994969</v>
      </c>
      <c r="AJ118" s="562">
        <f ca="1">AI118+SUM(수입!Q238,수입!Q241)/1000</f>
        <v>66811.283594786175</v>
      </c>
      <c r="AK118" s="562">
        <f ca="1">AJ118+SUM(수입!R238,수입!R241)/1000</f>
        <v>68466.287366260076</v>
      </c>
      <c r="AL118" s="562">
        <f ca="1">AK118+SUM(수입!S238,수입!S241)/1000</f>
        <v>70763.130004466555</v>
      </c>
      <c r="AM118" s="562">
        <f ca="1">AL118+SUM(수입!T238,수입!T241)/1000</f>
        <v>72102.149045987258</v>
      </c>
      <c r="AN118" s="562">
        <f ca="1">AM118+SUM(수입!U238,수입!U241)/1000</f>
        <v>90346.351140004146</v>
      </c>
      <c r="AO118" s="562">
        <f ca="1">AN118+SUM(수입!V238,수입!V241)/1000</f>
        <v>96079.080431636452</v>
      </c>
      <c r="AP118" s="562">
        <f ca="1">AO118+SUM(수입!W238,수입!W241)/1000</f>
        <v>97217.537170550073</v>
      </c>
      <c r="AQ118" s="562">
        <f ca="1">AP118+SUM(수입!X238,수입!X241)/1000</f>
        <v>98081.836573143548</v>
      </c>
      <c r="AR118" s="562">
        <f ca="1">AQ118+SUM(수입!Y238,수입!Y241)/1000</f>
        <v>118747.00767783012</v>
      </c>
      <c r="AS118" s="562">
        <f ca="1">AR118+SUM(수입!Z238,수입!Z241)/1000</f>
        <v>118747.00767783012</v>
      </c>
      <c r="AT118" s="562">
        <f ca="1">AS118+SUM(수입!AA238,수입!AA241)/1000</f>
        <v>118747.00767783012</v>
      </c>
      <c r="AU118" s="562">
        <f ca="1">AT118+SUM(수입!AB238,수입!AB241)/1000</f>
        <v>123298.71029291832</v>
      </c>
      <c r="AV118" s="562">
        <f ca="1">AU118+SUM(수입!AC238,수입!AC241)/1000</f>
        <v>139097.94679057831</v>
      </c>
      <c r="AW118" s="562">
        <f ca="1">AV118+SUM(수입!AD238,수입!AD241)/1000</f>
        <v>139097.94679057831</v>
      </c>
      <c r="AX118" s="562">
        <f ca="1">AW118+SUM(수입!AE238,수입!AE241)/1000</f>
        <v>140587.89460764508</v>
      </c>
      <c r="AY118" s="562">
        <f ca="1">AX118+SUM(수입!AF238,수입!AF241)/1000</f>
        <v>140587.89460764508</v>
      </c>
      <c r="AZ118" s="562">
        <f ca="1">AY118+SUM(수입!AG238,수입!AG241)/1000</f>
        <v>145139.59722273328</v>
      </c>
      <c r="BA118" s="562">
        <f ca="1">AZ118+SUM(수입!AH238,수입!AH241)/1000</f>
        <v>160938.83372039328</v>
      </c>
      <c r="BB118" s="562">
        <f ca="1">BA118+SUM(수입!AI238,수입!AI241)/1000</f>
        <v>160938.83372039328</v>
      </c>
      <c r="BC118" s="562">
        <f ca="1">BB118+SUM(수입!AJ238,수입!AJ241)/1000</f>
        <v>160938.83372039328</v>
      </c>
      <c r="BD118" s="562">
        <f ca="1">BC118+SUM(수입!AK238,수입!AK241)/1000</f>
        <v>162428.78153746005</v>
      </c>
      <c r="BE118" s="562">
        <f ca="1">BD118+SUM(수입!AL238,수입!AL241)/1000</f>
        <v>166980.48415254825</v>
      </c>
      <c r="BF118" s="562">
        <f ca="1">BE118+SUM(수입!AM238,수입!AM241)/1000</f>
        <v>182779.72065020824</v>
      </c>
      <c r="BG118" s="562">
        <f ca="1">BF118+SUM(수입!AN238,수입!AN241)/1000</f>
        <v>182779.72065020824</v>
      </c>
      <c r="BH118" s="562">
        <f ca="1">BG118+SUM(수입!AO238,수입!AO241)/1000</f>
        <v>182779.72065020824</v>
      </c>
      <c r="BI118" s="561">
        <f ca="1">BH118+SUM(수입!AP238,수입!AP241)/1000</f>
        <v>182779.72065020824</v>
      </c>
      <c r="BJ118" s="561">
        <f ca="1">BI118+SUM(수입!AQ238,수입!AQ241)/1000</f>
        <v>182779.72065020824</v>
      </c>
      <c r="BK118" s="561"/>
      <c r="BL118" s="561"/>
      <c r="BM118" s="561"/>
      <c r="BN118" s="561"/>
      <c r="BO118" s="561"/>
      <c r="BP118" s="561"/>
      <c r="BQ118" s="561"/>
      <c r="BR118" s="561"/>
      <c r="BS118" s="561"/>
      <c r="BT118" s="561"/>
      <c r="BU118" s="561"/>
      <c r="BV118" s="561"/>
      <c r="BW118" s="561"/>
      <c r="BX118" s="561"/>
      <c r="BY118" s="563"/>
      <c r="BZ118" s="67"/>
      <c r="CA118" s="68"/>
      <c r="CB118" s="68"/>
    </row>
    <row r="119" spans="1:80">
      <c r="A119" s="1817"/>
      <c r="B119" s="1817"/>
      <c r="C119" s="1818"/>
      <c r="D119" s="1820" t="s">
        <v>340</v>
      </c>
      <c r="E119" s="1821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5"/>
      <c r="Q119" s="565"/>
      <c r="R119" s="565"/>
      <c r="S119" s="565"/>
      <c r="T119" s="565"/>
      <c r="U119" s="566"/>
      <c r="V119" s="566"/>
      <c r="W119" s="567"/>
      <c r="X119" s="567"/>
      <c r="Y119" s="566"/>
      <c r="Z119" s="566"/>
      <c r="AA119" s="566">
        <f ca="1">AA118-SUM($M124:Z$129)</f>
        <v>11379.256537720501</v>
      </c>
      <c r="AB119" s="566"/>
      <c r="AC119" s="566"/>
      <c r="AD119" s="566">
        <f ca="1">AD118-SUM($M124:AC$129)</f>
        <v>3872.3420502940025</v>
      </c>
      <c r="AE119" s="566"/>
      <c r="AF119" s="566"/>
      <c r="AG119" s="566">
        <f ca="1">AG118-SUM($M124:AF$129)</f>
        <v>28827.908087001888</v>
      </c>
      <c r="AH119" s="566"/>
      <c r="AI119" s="566"/>
      <c r="AJ119" s="566">
        <f ca="1">AJ118-SUM($M124:AI$129)</f>
        <v>43711.283594786175</v>
      </c>
      <c r="AK119" s="566"/>
      <c r="AL119" s="566"/>
      <c r="AM119" s="566">
        <f ca="1">AM118-SUM($M124:AL$129)</f>
        <v>43802.149045987258</v>
      </c>
      <c r="AN119" s="566"/>
      <c r="AO119" s="566"/>
      <c r="AP119" s="566">
        <f ca="1">AP118-SUM($M124:AO$129)</f>
        <v>67717.537170550073</v>
      </c>
      <c r="AQ119" s="566"/>
      <c r="AR119" s="566"/>
      <c r="AS119" s="566">
        <f ca="1">AS118-SUM($M124:AR$129)</f>
        <v>83447.007677830115</v>
      </c>
      <c r="AT119" s="566"/>
      <c r="AU119" s="566"/>
      <c r="AV119" s="566">
        <f ca="1">AV118-SUM($M124:AU$129)</f>
        <v>98797.946790578309</v>
      </c>
      <c r="AW119" s="566"/>
      <c r="AX119" s="566"/>
      <c r="AY119" s="566">
        <f ca="1">AY118-SUM($M124:AX$129)</f>
        <v>95687.894607645081</v>
      </c>
      <c r="AZ119" s="566"/>
      <c r="BA119" s="566"/>
      <c r="BB119" s="566">
        <f ca="1">BB118-SUM($M124:BA$129)</f>
        <v>115638.83372039328</v>
      </c>
      <c r="BC119" s="566"/>
      <c r="BD119" s="565"/>
      <c r="BE119" s="566">
        <f ca="1">BE118-SUM($M124:BD$129)</f>
        <v>116980.48415254825</v>
      </c>
      <c r="BF119" s="566"/>
      <c r="BG119" s="565"/>
      <c r="BH119" s="566">
        <f ca="1">BH118-SUM($M124:BG$129)</f>
        <v>131379.72065020824</v>
      </c>
      <c r="BI119" s="566"/>
      <c r="BJ119" s="566"/>
      <c r="BK119" s="566"/>
      <c r="BL119" s="566"/>
      <c r="BM119" s="566"/>
      <c r="BN119" s="566"/>
      <c r="BO119" s="566"/>
      <c r="BP119" s="565"/>
      <c r="BQ119" s="566"/>
      <c r="BR119" s="566"/>
      <c r="BS119" s="565"/>
      <c r="BT119" s="568"/>
      <c r="BU119" s="568"/>
      <c r="BV119" s="568"/>
      <c r="BW119" s="568"/>
      <c r="BX119" s="568"/>
      <c r="BY119" s="567">
        <f ca="1">SUM(F119:BX119)</f>
        <v>841242.3640855432</v>
      </c>
      <c r="BZ119" s="67"/>
      <c r="CA119" s="68"/>
      <c r="CB119" s="68"/>
    </row>
    <row r="120" spans="1:80">
      <c r="A120" s="1817"/>
      <c r="B120" s="1817"/>
      <c r="C120" s="1818"/>
      <c r="D120" s="1822" t="s">
        <v>341</v>
      </c>
      <c r="E120" s="1823"/>
      <c r="F120" s="569"/>
      <c r="G120" s="569"/>
      <c r="H120" s="569"/>
      <c r="I120" s="569"/>
      <c r="J120" s="569"/>
      <c r="K120" s="569"/>
      <c r="L120" s="569"/>
      <c r="M120" s="569"/>
      <c r="N120" s="569"/>
      <c r="O120" s="569"/>
      <c r="P120" s="569"/>
      <c r="Q120" s="569"/>
      <c r="R120" s="569"/>
      <c r="S120" s="570"/>
      <c r="T120" s="570"/>
      <c r="U120" s="570"/>
      <c r="V120" s="570"/>
      <c r="W120" s="570"/>
      <c r="X120" s="570"/>
      <c r="Y120" s="570"/>
      <c r="Z120" s="570">
        <f>SUM($E$28:$E$30)-SUM($M28:Z$30)-SUM($M127:Z$129)</f>
        <v>13000</v>
      </c>
      <c r="AA120" s="570">
        <f ca="1">SUM($E$28:$E$30)-SUM($M28:AA$30)-SUM($M127:AA$129)</f>
        <v>1700</v>
      </c>
      <c r="AB120" s="570">
        <f ca="1">SUM($E$28:$E$30)-SUM($M28:AB$30)-SUM($M127:AB$129)</f>
        <v>1700</v>
      </c>
      <c r="AC120" s="570">
        <f ca="1">SUM($E$28:$E$30)-SUM($M28:AC$30)-SUM($M127:AC$129)</f>
        <v>1700</v>
      </c>
      <c r="AD120" s="570">
        <f ca="1">SUM($E$28:$E$30)-SUM($M28:AD$30)-SUM($M127:AD$129)</f>
        <v>0</v>
      </c>
      <c r="AE120" s="570">
        <f ca="1">SUM($E$28:$E$30)-SUM($M28:AE$30)-SUM($M127:AE$129)</f>
        <v>0</v>
      </c>
      <c r="AF120" s="570">
        <f ca="1">SUM($E$28:$E$30)-SUM($M28:AF$30)-SUM($M127:AF$129)</f>
        <v>0</v>
      </c>
      <c r="AG120" s="570">
        <f ca="1">SUM($E$28:$E$30)-SUM($M28:AG$30)-SUM($M127:AG$129)</f>
        <v>0</v>
      </c>
      <c r="AH120" s="570">
        <f ca="1">SUM($E$28:$E$30)-SUM($M28:AH$30)-SUM($M127:AH$129)</f>
        <v>0</v>
      </c>
      <c r="AI120" s="570">
        <f ca="1">SUM($E$28:$E$30)-SUM($M28:AI$30)-SUM($M127:AI$129)</f>
        <v>0</v>
      </c>
      <c r="AJ120" s="570">
        <f ca="1">SUM($E$28:$E$30)-SUM($M28:AJ$30)-SUM($M127:AJ$129)</f>
        <v>0</v>
      </c>
      <c r="AK120" s="570">
        <f ca="1">SUM($E$28:$E$30)-SUM($M28:AK$30)-SUM($M127:AK$129)</f>
        <v>0</v>
      </c>
      <c r="AL120" s="570">
        <f ca="1">SUM($E$28:$E$30)-SUM($M28:AL$30)-SUM($M127:AL$129)</f>
        <v>0</v>
      </c>
      <c r="AM120" s="570">
        <f ca="1">SUM($E$28:$E$30)-SUM($M28:AM$30)-SUM($M127:AM$129)</f>
        <v>0</v>
      </c>
      <c r="AN120" s="570">
        <f ca="1">SUM($E$28:$E$30)-SUM($M28:AN$30)-SUM($M127:AN$129)</f>
        <v>0</v>
      </c>
      <c r="AO120" s="570">
        <f ca="1">SUM($E$28:$E$30)-SUM($M28:AO$30)-SUM($M127:AO$129)</f>
        <v>0</v>
      </c>
      <c r="AP120" s="570">
        <f ca="1">SUM($E$28:$E$30)-SUM($M28:AP$30)-SUM($M127:AP$129)</f>
        <v>0</v>
      </c>
      <c r="AQ120" s="570">
        <f ca="1">SUM($E$28:$E$30)-SUM($M28:AQ$30)-SUM($M127:AQ$129)</f>
        <v>0</v>
      </c>
      <c r="AR120" s="570">
        <f ca="1">SUM($E$28:$E$30)-SUM($M28:AR$30)-SUM($M127:AR$129)</f>
        <v>0</v>
      </c>
      <c r="AS120" s="570">
        <f ca="1">SUM($E$28:$E$30)-SUM($M28:AS$30)-SUM($M127:AS$129)</f>
        <v>0</v>
      </c>
      <c r="AT120" s="570">
        <f ca="1">SUM($E$28:$E$30)-SUM($M28:AT$30)-SUM($M127:AT$129)</f>
        <v>0</v>
      </c>
      <c r="AU120" s="570">
        <f ca="1">SUM($E$28:$E$30)-SUM($M28:AU$30)-SUM($M127:AU$129)</f>
        <v>0</v>
      </c>
      <c r="AV120" s="570">
        <f ca="1">SUM($E$28:$E$30)-SUM($M28:AV$30)-SUM($M127:AV$129)</f>
        <v>0</v>
      </c>
      <c r="AW120" s="570">
        <f ca="1">SUM($E$28:$E$30)-SUM($M28:AW$30)-SUM($M127:AW$129)</f>
        <v>0</v>
      </c>
      <c r="AX120" s="570">
        <f ca="1">SUM($E$28:$E$30)-SUM($M28:AX$30)-SUM($M127:AX$129)</f>
        <v>0</v>
      </c>
      <c r="AY120" s="570">
        <f ca="1">SUM($E$28:$E$30)-SUM($M28:AY$30)-SUM($M127:AY$129)</f>
        <v>0</v>
      </c>
      <c r="AZ120" s="570">
        <f ca="1">SUM($E$28:$E$30)-SUM($M28:AZ$30)-SUM($M127:AZ$129)</f>
        <v>0</v>
      </c>
      <c r="BA120" s="570">
        <f ca="1">SUM($E$28:$E$30)-SUM($M28:BA$30)-SUM($M127:BA$129)</f>
        <v>0</v>
      </c>
      <c r="BB120" s="570">
        <f ca="1">SUM($E$28:$E$30)-SUM($M28:BB$30)-SUM($M127:BB$129)</f>
        <v>0</v>
      </c>
      <c r="BC120" s="570">
        <f ca="1">SUM($E$28:$E$30)-SUM($M28:BC$30)-SUM($M127:BC$129)</f>
        <v>0</v>
      </c>
      <c r="BD120" s="570">
        <f ca="1">SUM($E$28:$E$30)-SUM($M28:BD$30)-SUM($M127:BD$129)</f>
        <v>0</v>
      </c>
      <c r="BE120" s="570">
        <f ca="1">SUM($E$28:$E$30)-SUM($M28:BE$30)-SUM($M127:BE$129)</f>
        <v>0</v>
      </c>
      <c r="BF120" s="570">
        <f ca="1">SUM($E$28:$E$30)-SUM($M28:BF$30)-SUM($M127:BF$129)</f>
        <v>0</v>
      </c>
      <c r="BG120" s="570">
        <f ca="1">SUM($E$28:$E$30)-SUM($M28:BG$30)-SUM($M127:BG$129)</f>
        <v>0</v>
      </c>
      <c r="BH120" s="570">
        <f ca="1">SUM($E$28:$E$30)-SUM($M28:BH$30)-SUM($M127:BH$129)</f>
        <v>0</v>
      </c>
      <c r="BI120" s="570">
        <f ca="1">SUM($E$28:$E$30)-SUM($M28:BI$30)-SUM($M127:BI$129)</f>
        <v>0</v>
      </c>
      <c r="BJ120" s="570">
        <f ca="1">SUM($E$28:$E$30)-SUM($M28:BJ$30)-SUM($M127:BJ$129)</f>
        <v>0</v>
      </c>
      <c r="BK120" s="570"/>
      <c r="BL120" s="570"/>
      <c r="BM120" s="570"/>
      <c r="BN120" s="570"/>
      <c r="BO120" s="570"/>
      <c r="BP120" s="570"/>
      <c r="BQ120" s="570"/>
      <c r="BR120" s="570"/>
      <c r="BS120" s="570"/>
      <c r="BT120" s="570"/>
      <c r="BU120" s="570"/>
      <c r="BV120" s="570"/>
      <c r="BW120" s="570"/>
      <c r="BX120" s="570"/>
      <c r="BY120" s="569"/>
      <c r="BZ120" s="67"/>
      <c r="CA120" s="68"/>
      <c r="CB120" s="68"/>
    </row>
    <row r="121" spans="1:80" ht="17.5" thickBot="1">
      <c r="A121" s="1817"/>
      <c r="B121" s="1817"/>
      <c r="C121" s="1818"/>
      <c r="D121" s="1824" t="s">
        <v>342</v>
      </c>
      <c r="E121" s="1825"/>
      <c r="F121" s="571"/>
      <c r="G121" s="571"/>
      <c r="H121" s="571"/>
      <c r="I121" s="571"/>
      <c r="J121" s="571"/>
      <c r="K121" s="571"/>
      <c r="L121" s="571"/>
      <c r="M121" s="571"/>
      <c r="N121" s="571"/>
      <c r="O121" s="571"/>
      <c r="P121" s="572"/>
      <c r="Q121" s="572"/>
      <c r="R121" s="572"/>
      <c r="S121" s="572"/>
      <c r="T121" s="572"/>
      <c r="U121" s="573"/>
      <c r="V121" s="573"/>
      <c r="W121" s="573"/>
      <c r="X121" s="573"/>
      <c r="Y121" s="573"/>
      <c r="Z121" s="573">
        <f ca="1">Z118-SUM($W124:Z$129)</f>
        <v>7586.1710251470004</v>
      </c>
      <c r="AA121" s="573">
        <f ca="1">AA118-SUM($W124:AA$129)</f>
        <v>79.256537720501001</v>
      </c>
      <c r="AB121" s="573">
        <f ca="1">AB118-SUM($W124:AB$129)</f>
        <v>1343.6183752450015</v>
      </c>
      <c r="AC121" s="573">
        <f ca="1">AC118-SUM($W124:AC$129)</f>
        <v>2607.980212769502</v>
      </c>
      <c r="AD121" s="573">
        <f ca="1">AD118-SUM($W124:AD$129)</f>
        <v>72.342050294002547</v>
      </c>
      <c r="AE121" s="573">
        <f ca="1">AE118-SUM($W124:AE$129)</f>
        <v>16509.0459381125</v>
      </c>
      <c r="AF121" s="573">
        <f ca="1">AF118-SUM($W124:AF$129)</f>
        <v>25592.980665761992</v>
      </c>
      <c r="AG121" s="573">
        <f ca="1">AG118-SUM($W124:AG$129)</f>
        <v>20827.908087001888</v>
      </c>
      <c r="AH121" s="573">
        <f ca="1">AH118-SUM($W124:AH$129)</f>
        <v>22482.911858475789</v>
      </c>
      <c r="AI121" s="573">
        <f ca="1">AI118-SUM($W124:AI$129)</f>
        <v>24137.91562994969</v>
      </c>
      <c r="AJ121" s="573">
        <f ca="1">AJ118-SUM($W124:AJ$129)</f>
        <v>38511.283594786175</v>
      </c>
      <c r="AK121" s="573">
        <f ca="1">AK118-SUM($W124:AK$129)</f>
        <v>40166.287366260076</v>
      </c>
      <c r="AL121" s="573">
        <f ca="1">AL118-SUM($W124:AL$129)</f>
        <v>42463.130004466555</v>
      </c>
      <c r="AM121" s="573">
        <f ca="1">AM118-SUM($W124:AM$129)</f>
        <v>42602.149045987258</v>
      </c>
      <c r="AN121" s="573">
        <f ca="1">AN118-SUM($W124:AN$129)</f>
        <v>60846.351140004146</v>
      </c>
      <c r="AO121" s="573">
        <f ca="1">AO118-SUM($W124:AO$129)</f>
        <v>66579.080431636452</v>
      </c>
      <c r="AP121" s="573">
        <f ca="1">AP118-SUM($W124:AP$129)</f>
        <v>61917.537170550073</v>
      </c>
      <c r="AQ121" s="573">
        <f ca="1">AQ118-SUM($W124:AQ$129)</f>
        <v>62781.836573143548</v>
      </c>
      <c r="AR121" s="573">
        <f ca="1">AR118-SUM($W124:AR$129)</f>
        <v>83447.007677830115</v>
      </c>
      <c r="AS121" s="573">
        <f ca="1">AS118-SUM($W124:AS$129)</f>
        <v>78447.007677830115</v>
      </c>
      <c r="AT121" s="573">
        <f ca="1">AT118-SUM($W124:AT$129)</f>
        <v>78447.007677830115</v>
      </c>
      <c r="AU121" s="573">
        <f ca="1">AU118-SUM($W124:AU$129)</f>
        <v>82998.710292918317</v>
      </c>
      <c r="AV121" s="573">
        <f ca="1">AV118-SUM($W124:AV$129)</f>
        <v>94197.946790578309</v>
      </c>
      <c r="AW121" s="573">
        <f ca="1">AW118-SUM($W124:AW$129)</f>
        <v>94197.946790578309</v>
      </c>
      <c r="AX121" s="573">
        <f ca="1">AX118-SUM($W124:AX$129)</f>
        <v>95687.894607645081</v>
      </c>
      <c r="AY121" s="573">
        <f ca="1">AY118-SUM($W124:AY$129)</f>
        <v>95287.894607645081</v>
      </c>
      <c r="AZ121" s="573">
        <f ca="1">AZ118-SUM($W124:AZ$129)</f>
        <v>99839.597222733282</v>
      </c>
      <c r="BA121" s="573">
        <f ca="1">BA118-SUM($W124:BA$129)</f>
        <v>115638.83372039328</v>
      </c>
      <c r="BB121" s="573">
        <f ca="1">BB118-SUM($W124:BB$129)</f>
        <v>110938.83372039328</v>
      </c>
      <c r="BC121" s="573">
        <f ca="1">BC118-SUM($W124:BC$129)</f>
        <v>110938.83372039328</v>
      </c>
      <c r="BD121" s="573">
        <f ca="1">BD118-SUM($W124:BD$129)</f>
        <v>112428.78153746005</v>
      </c>
      <c r="BE121" s="573">
        <f ca="1">BE118-SUM($W124:BE$129)</f>
        <v>115580.48415254825</v>
      </c>
      <c r="BF121" s="573">
        <f ca="1">BF118-SUM($W124:BF$129)</f>
        <v>131379.72065020824</v>
      </c>
      <c r="BG121" s="573">
        <f ca="1">BG118-SUM($W124:BG$129)</f>
        <v>131379.72065020824</v>
      </c>
      <c r="BH121" s="573">
        <f ca="1">BH118-SUM($W124:BH$129)</f>
        <v>127779.72065020824</v>
      </c>
      <c r="BI121" s="572">
        <f ca="1">BI118-SUM($W124:BI$129)</f>
        <v>127779.72065020824</v>
      </c>
      <c r="BJ121" s="572">
        <f ca="1">BJ118-SUM($W124:BJ$129)</f>
        <v>127779.72065020824</v>
      </c>
      <c r="BK121" s="572"/>
      <c r="BL121" s="572"/>
      <c r="BM121" s="572"/>
      <c r="BN121" s="572"/>
      <c r="BO121" s="572"/>
      <c r="BP121" s="572"/>
      <c r="BQ121" s="572"/>
      <c r="BR121" s="574"/>
      <c r="BS121" s="574"/>
      <c r="BT121" s="574"/>
      <c r="BU121" s="574"/>
      <c r="BV121" s="574"/>
      <c r="BW121" s="574"/>
      <c r="BX121" s="574"/>
      <c r="BY121" s="575"/>
      <c r="BZ121" s="67"/>
      <c r="CA121" s="68"/>
      <c r="CB121" s="68"/>
    </row>
    <row r="122" spans="1:80" ht="17.5" thickBot="1">
      <c r="A122" s="1827" t="s">
        <v>343</v>
      </c>
      <c r="B122" s="1828"/>
      <c r="C122" s="1828"/>
      <c r="D122" s="1828"/>
      <c r="E122" s="1828"/>
      <c r="F122" s="576"/>
      <c r="G122" s="576"/>
      <c r="H122" s="576"/>
      <c r="I122" s="576"/>
      <c r="J122" s="576"/>
      <c r="K122" s="576"/>
      <c r="L122" s="576"/>
      <c r="M122" s="576"/>
      <c r="N122" s="576"/>
      <c r="O122" s="576"/>
      <c r="P122" s="576"/>
      <c r="Q122" s="576"/>
      <c r="R122" s="576"/>
      <c r="S122" s="577"/>
      <c r="T122" s="577"/>
      <c r="U122" s="577"/>
      <c r="V122" s="577"/>
      <c r="W122" s="576"/>
      <c r="X122" s="576"/>
      <c r="Y122" s="576"/>
      <c r="Z122" s="576">
        <f t="shared" ref="Z122:BI122" ca="1" si="63">Z111-Z121</f>
        <v>2234.3058316038178</v>
      </c>
      <c r="AA122" s="576">
        <f t="shared" ca="1" si="63"/>
        <v>8809.2832290764363</v>
      </c>
      <c r="AB122" s="576">
        <f t="shared" ca="1" si="63"/>
        <v>1940.8016475286477</v>
      </c>
      <c r="AC122" s="578">
        <f t="shared" ca="1" si="63"/>
        <v>660.63475952626777</v>
      </c>
      <c r="AD122" s="578">
        <f t="shared" ca="1" si="63"/>
        <v>-3565.348098911556</v>
      </c>
      <c r="AE122" s="578">
        <f t="shared" ca="1" si="63"/>
        <v>-6298.4450076483681</v>
      </c>
      <c r="AF122" s="578">
        <f t="shared" ca="1" si="63"/>
        <v>-13119.670674686193</v>
      </c>
      <c r="AG122" s="578">
        <f t="shared" ca="1" si="63"/>
        <v>-16251.244325234513</v>
      </c>
      <c r="AH122" s="578">
        <f t="shared" ca="1" si="63"/>
        <v>-24677.367665866135</v>
      </c>
      <c r="AI122" s="578">
        <f t="shared" ca="1" si="63"/>
        <v>-26170.156523305704</v>
      </c>
      <c r="AJ122" s="578">
        <f t="shared" ca="1" si="63"/>
        <v>-36218.939281598679</v>
      </c>
      <c r="AK122" s="578">
        <f t="shared" ca="1" si="63"/>
        <v>-37810.17350176668</v>
      </c>
      <c r="AL122" s="578">
        <f t="shared" ca="1" si="63"/>
        <v>-47403.790963059655</v>
      </c>
      <c r="AM122" s="578">
        <f t="shared" ca="1" si="63"/>
        <v>-49714.684795683053</v>
      </c>
      <c r="AN122" s="578">
        <f t="shared" ca="1" si="63"/>
        <v>-59564.521780691925</v>
      </c>
      <c r="AO122" s="578">
        <f t="shared" ca="1" si="63"/>
        <v>-60639.472904069691</v>
      </c>
      <c r="AP122" s="578">
        <f t="shared" ca="1" si="63"/>
        <v>-71511.782423806988</v>
      </c>
      <c r="AQ122" s="578">
        <f t="shared" ca="1" si="63"/>
        <v>-73036.109156467064</v>
      </c>
      <c r="AR122" s="578">
        <f t="shared" ca="1" si="63"/>
        <v>-84281.336592515727</v>
      </c>
      <c r="AS122" s="578">
        <f t="shared" ca="1" si="63"/>
        <v>-86329.690045636919</v>
      </c>
      <c r="AT122" s="578">
        <f t="shared" ca="1" si="63"/>
        <v>-98556.276400485571</v>
      </c>
      <c r="AU122" s="578">
        <f t="shared" ca="1" si="63"/>
        <v>-100112.96056295749</v>
      </c>
      <c r="AV122" s="578">
        <f t="shared" ca="1" si="63"/>
        <v>-114796.83136720615</v>
      </c>
      <c r="AW122" s="578">
        <f t="shared" ca="1" si="63"/>
        <v>-116503.31160901132</v>
      </c>
      <c r="AX122" s="578">
        <f t="shared" ca="1" si="63"/>
        <v>-131029.42556561131</v>
      </c>
      <c r="AY122" s="578">
        <f t="shared" ca="1" si="63"/>
        <v>-133255.26413164497</v>
      </c>
      <c r="AZ122" s="578">
        <f t="shared" ca="1" si="63"/>
        <v>-148772.88984271165</v>
      </c>
      <c r="BA122" s="578">
        <f t="shared" ca="1" si="63"/>
        <v>-150346.06435767509</v>
      </c>
      <c r="BB122" s="578">
        <f t="shared" ca="1" si="63"/>
        <v>-166394.3994066751</v>
      </c>
      <c r="BC122" s="578">
        <f t="shared" ca="1" si="63"/>
        <v>-167610.56505130517</v>
      </c>
      <c r="BD122" s="578">
        <f t="shared" ca="1" si="63"/>
        <v>-183721.47174190517</v>
      </c>
      <c r="BE122" s="578">
        <f t="shared" ca="1" si="63"/>
        <v>-186644.98329669301</v>
      </c>
      <c r="BF122" s="578">
        <f t="shared" ca="1" si="63"/>
        <v>-204152.14007189299</v>
      </c>
      <c r="BG122" s="578">
        <f t="shared" ca="1" si="63"/>
        <v>-206000.50563587368</v>
      </c>
      <c r="BH122" s="578">
        <f t="shared" ca="1" si="63"/>
        <v>-225205.16921707368</v>
      </c>
      <c r="BI122" s="578">
        <f t="shared" ca="1" si="63"/>
        <v>-226829.95588431746</v>
      </c>
      <c r="BJ122" s="578">
        <f ca="1">BJ111-BJ121</f>
        <v>-229721.26388431748</v>
      </c>
      <c r="BK122" s="578"/>
      <c r="BL122" s="578"/>
      <c r="BM122" s="578"/>
      <c r="BN122" s="578"/>
      <c r="BO122" s="578"/>
      <c r="BP122" s="578"/>
      <c r="BQ122" s="578"/>
      <c r="BR122" s="578"/>
      <c r="BS122" s="578"/>
      <c r="BT122" s="577"/>
      <c r="BU122" s="577"/>
      <c r="BV122" s="577"/>
      <c r="BW122" s="577"/>
      <c r="BX122" s="577"/>
      <c r="BY122" s="579"/>
      <c r="BZ122" s="67"/>
      <c r="CA122" s="68"/>
      <c r="CB122" s="68"/>
    </row>
    <row r="123" spans="1:80">
      <c r="A123" s="551"/>
      <c r="B123" s="551"/>
      <c r="C123" s="551"/>
      <c r="D123" s="58"/>
      <c r="E123" s="58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8"/>
      <c r="Q123" s="68"/>
      <c r="R123" s="68"/>
      <c r="S123" s="68"/>
      <c r="T123" s="68"/>
      <c r="U123" s="556"/>
      <c r="V123" s="556"/>
      <c r="W123" s="556"/>
      <c r="X123" s="556"/>
      <c r="Y123" s="556"/>
      <c r="Z123" s="556"/>
      <c r="AA123" s="556"/>
      <c r="AB123" s="556"/>
      <c r="AC123" s="556"/>
      <c r="AD123" s="556"/>
      <c r="AE123" s="556"/>
      <c r="AF123" s="556"/>
      <c r="AG123" s="556"/>
      <c r="AH123" s="556"/>
      <c r="AI123" s="556"/>
      <c r="AJ123" s="556"/>
      <c r="AK123" s="556"/>
      <c r="AL123" s="556"/>
      <c r="AM123" s="556"/>
      <c r="AN123" s="556"/>
      <c r="AO123" s="556"/>
      <c r="AP123" s="556"/>
      <c r="AQ123" s="556"/>
      <c r="AR123" s="556"/>
      <c r="AS123" s="556"/>
      <c r="AT123" s="556"/>
      <c r="AU123" s="556"/>
      <c r="AV123" s="556"/>
      <c r="AW123" s="556"/>
      <c r="AX123" s="556"/>
      <c r="AY123" s="556"/>
      <c r="AZ123" s="556"/>
      <c r="BA123" s="556"/>
      <c r="BB123" s="556"/>
      <c r="BC123" s="556"/>
      <c r="BD123" s="556"/>
      <c r="BE123" s="556"/>
      <c r="BF123" s="556"/>
      <c r="BG123" s="556"/>
      <c r="BH123" s="556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7"/>
      <c r="BZ123" s="67"/>
      <c r="CA123" s="68"/>
      <c r="CB123" s="68"/>
    </row>
    <row r="124" spans="1:80">
      <c r="A124" s="1829" t="s">
        <v>344</v>
      </c>
      <c r="B124" s="1830"/>
      <c r="C124" s="1831"/>
      <c r="D124" s="1838" t="str">
        <f>C28</f>
        <v xml:space="preserve"> Tranche A</v>
      </c>
      <c r="E124" s="1839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1"/>
      <c r="Q124" s="581"/>
      <c r="R124" s="581"/>
      <c r="S124" s="581"/>
      <c r="T124" s="581"/>
      <c r="U124" s="582"/>
      <c r="V124" s="582"/>
      <c r="W124" s="582"/>
      <c r="X124" s="582"/>
      <c r="Y124" s="582"/>
      <c r="Z124" s="582"/>
      <c r="AA124" s="582">
        <f ca="1">IF(SUM($M$28:Z28)-SUM($M$124:Z124)&lt;=0,0,IF(ROUNDDOWN(AA119,-2)-AA127-AA129&gt;=0,(IF(ROUNDDOWN(AA119,-2)-AA127-AA129&lt;ROUNDDOWN(AA115,2)-SUM($M$124:Z124),IF(ROUNDDOWN(AA119,-2)-AA127-AA129&lt;=SUM($M$28:Z28)-SUM($M$124:Z124),ROUNDDOWN(AA119,-2)-AA127-AA129,SUM($M$28:Z28)-SUM($M$124:Z124)),IF((ROUNDDOWN(AA115,-2)-SUM($M$124:Z124)-AA127-AA129&lt;=SUM($M$28:Z28)-SUM($M$124:Z124)),ROUNDDOWN(AA115,-2)-SUM($M$124:Z124)-AA127-AA129,SUM($M$28:Z28)-SUM($M$124:Z124)))),0))</f>
        <v>0</v>
      </c>
      <c r="AB124" s="582"/>
      <c r="AC124" s="582"/>
      <c r="AD124" s="582">
        <f ca="1">IF(SUM($M$28:AC28)-SUM($M$124:AC124)&lt;=0,0,IF(ROUNDDOWN(AD119,-2)-AD127-AD129&gt;=0,(IF(ROUNDDOWN(AD119,-2)-AD127-AD129&lt;ROUNDDOWN(AD115,2)-SUM($M$124:AC124),IF(ROUNDDOWN(AD119,-2)-AD127-AD129&lt;=SUM($M$28:AC28)-SUM($M$124:AC124),ROUNDDOWN(AD119,-2)-AD127-AD129,SUM($M$28:AC28)-SUM($M$124:AC124)),IF((ROUNDDOWN(AD115,-2)-SUM($M$124:AC124)-AD127-AD129&lt;=SUM($M$28:AC28)-SUM($M$124:AC124)),ROUNDDOWN(AD115,-2)-SUM($M$124:AC124)-AD127-AD129,SUM($M$28:AC28)-SUM($M$124:AC124)))),0))</f>
        <v>2100</v>
      </c>
      <c r="AE124" s="582"/>
      <c r="AF124" s="582"/>
      <c r="AG124" s="582">
        <f ca="1">IF(SUM($M$28:AF28)-SUM($M$124:AF124)&lt;=0,0,IF(ROUNDDOWN(AG119,-2)-AG127-AG129&gt;=0,(IF(ROUNDDOWN(AG119,-2)-AG127-AG129&lt;ROUNDDOWN(AG115,2)-SUM($M$124:AF124),IF(ROUNDDOWN(AG119,-2)-AG127-AG129&lt;=SUM($M$28:AF28)-SUM($M$124:AF124),ROUNDDOWN(AG119,-2)-AG127-AG129,SUM($M$28:AF28)-SUM($M$124:AF124)),IF((ROUNDDOWN(AG115,-2)-SUM($M$124:AF124)-AG127-AG129&lt;=SUM($M$28:AF28)-SUM($M$124:AF124)),ROUNDDOWN(AG115,-2)-SUM($M$124:AF124)-AG127-AG129,SUM($M$28:AF28)-SUM($M$124:AF124)))),0))</f>
        <v>8000</v>
      </c>
      <c r="AH124" s="582"/>
      <c r="AI124" s="582"/>
      <c r="AJ124" s="582">
        <f ca="1">IF(SUM($M$28:AI28)-SUM($M$124:AI124)&lt;=0,0,IF(ROUNDDOWN(AJ119,-2)-AJ127-AJ129&gt;=0,(IF(ROUNDDOWN(AJ119,-2)-AJ127-AJ129&lt;ROUNDDOWN(AJ115,2)-SUM($M$124:AI124),IF(ROUNDDOWN(AJ119,-2)-AJ127-AJ129&lt;=SUM($M$28:AI28)-SUM($M$124:AI124),ROUNDDOWN(AJ119,-2)-AJ127-AJ129,SUM($M$28:AI28)-SUM($M$124:AI124)),IF((ROUNDDOWN(AJ115,-2)-SUM($M$124:AI124)-AJ127-AJ129&lt;=SUM($M$28:AI28)-SUM($M$124:AI124)),ROUNDDOWN(AJ115,-2)-SUM($M$124:AI124)-AJ127-AJ129,SUM($M$28:AI28)-SUM($M$124:AI124)))),0))</f>
        <v>5200</v>
      </c>
      <c r="AK124" s="582"/>
      <c r="AL124" s="582"/>
      <c r="AM124" s="582">
        <f ca="1">IF(SUM($M$28:AL28)-SUM($M$124:AL124)&lt;=0,0,IF(ROUNDDOWN(AM119,-2)-AM127-AM129&gt;=0,(IF(ROUNDDOWN(AM119,-2)-AM127-AM129&lt;ROUNDDOWN(AM115,2)-SUM($M$124:AL124),IF(ROUNDDOWN(AM119,-2)-AM127-AM129&lt;=SUM($M$28:AL28)-SUM($M$124:AL124),ROUNDDOWN(AM119,-2)-AM127-AM129,SUM($M$28:AL28)-SUM($M$124:AL124)),IF((ROUNDDOWN(AM115,-2)-SUM($M$124:AL124)-AM127-AM129&lt;=SUM($M$28:AL28)-SUM($M$124:AL124)),ROUNDDOWN(AM115,-2)-SUM($M$124:AL124)-AM127-AM129,SUM($M$28:AL28)-SUM($M$124:AL124)))),0))</f>
        <v>1200</v>
      </c>
      <c r="AN124" s="582"/>
      <c r="AO124" s="582"/>
      <c r="AP124" s="582">
        <f ca="1">IF(SUM($M$28:AO28)-SUM($M$124:AO124)&lt;=0,0,IF(ROUNDDOWN(AP119,-2)-AP127-AP129&gt;=0,(IF(ROUNDDOWN(AP119,-2)-AP127-AP129&lt;ROUNDDOWN(AP115,2)-SUM($M$124:AO124),IF(ROUNDDOWN(AP119,-2)-AP127-AP129&lt;=SUM($M$28:AO28)-SUM($M$124:AO124),ROUNDDOWN(AP119,-2)-AP127-AP129,SUM($M$28:AO28)-SUM($M$124:AO124)),IF((ROUNDDOWN(AP115,-2)-SUM($M$124:AO124)-AP127-AP129&lt;=SUM($M$28:AO28)-SUM($M$124:AO124)),ROUNDDOWN(AP115,-2)-SUM($M$124:AO124)-AP127-AP129,SUM($M$28:AO28)-SUM($M$124:AO124)))),0))</f>
        <v>5800</v>
      </c>
      <c r="AQ124" s="582"/>
      <c r="AR124" s="582"/>
      <c r="AS124" s="582">
        <f ca="1">IF(SUM($M$28:AR28)-SUM($M$124:AR124)&lt;=0,0,IF(ROUNDDOWN(AS119,-2)-AS127-AS129&gt;=0,(IF(ROUNDDOWN(AS119,-2)-AS127-AS129&lt;ROUNDDOWN(AS115,2)-SUM($M$124:AR124),IF(ROUNDDOWN(AS119,-2)-AS127-AS129&lt;=SUM($M$28:AR28)-SUM($M$124:AR124),ROUNDDOWN(AS119,-2)-AS127-AS129,SUM($M$28:AR28)-SUM($M$124:AR124)),IF((ROUNDDOWN(AS115,-2)-SUM($M$124:AR124)-AS127-AS129&lt;=SUM($M$28:AR28)-SUM($M$124:AR124)),ROUNDDOWN(AS115,-2)-SUM($M$124:AR124)-AS127-AS129,SUM($M$28:AR28)-SUM($M$124:AR124)))),0))</f>
        <v>5000</v>
      </c>
      <c r="AT124" s="582"/>
      <c r="AU124" s="582"/>
      <c r="AV124" s="582">
        <f ca="1">IF(SUM($M$28:AU28)-SUM($M$124:AU124)&lt;=0,0,IF(ROUNDDOWN(AV119,-2)-AV127-AV129&gt;=0,(IF(ROUNDDOWN(AV119,-2)-AV127-AV129&lt;ROUNDDOWN(AV115,2)-SUM($M$124:AU124),IF(ROUNDDOWN(AV119,-2)-AV127-AV129&lt;=SUM($M$28:AU28)-SUM($M$124:AU124),ROUNDDOWN(AV119,-2)-AV127-AV129,SUM($M$28:AU28)-SUM($M$124:AU124)),IF((ROUNDDOWN(AV115,-2)-SUM($M$124:AU124)-AV127-AV129&lt;=SUM($M$28:AU28)-SUM($M$124:AU124)),ROUNDDOWN(AV115,-2)-SUM($M$124:AU124)-AV127-AV129,SUM($M$28:AU28)-SUM($M$124:AU124)))),0))</f>
        <v>4600</v>
      </c>
      <c r="AW124" s="582"/>
      <c r="AX124" s="582"/>
      <c r="AY124" s="582">
        <f ca="1">IF(SUM($M$28:AX28)-SUM($M$124:AX124)&lt;=0,0,IF(ROUNDDOWN(AY119,-2)-AY127-AY129&gt;=0,(IF(ROUNDDOWN(AY119,-2)-AY127-AY129&lt;ROUNDDOWN(AY115,2)-SUM($M$124:AX124),IF(ROUNDDOWN(AY119,-2)-AY127-AY129&lt;=SUM($M$28:AX28)-SUM($M$124:AX124),ROUNDDOWN(AY119,-2)-AY127-AY129,SUM($M$28:AX28)-SUM($M$124:AX124)),IF((ROUNDDOWN(AY115,-2)-SUM($M$124:AX124)-AY127-AY129&lt;=SUM($M$28:AX28)-SUM($M$124:AX124)),ROUNDDOWN(AY115,-2)-SUM($M$124:AX124)-AY127-AY129,SUM($M$28:AX28)-SUM($M$124:AX124)))),0))</f>
        <v>400</v>
      </c>
      <c r="AZ124" s="582"/>
      <c r="BA124" s="582"/>
      <c r="BB124" s="582">
        <f ca="1">IF(SUM($M$28:BA28)-SUM($M$124:BA124)&lt;=0,0,IF(ROUNDDOWN(BB119,-2)-BB127-BB129&gt;=0,(IF(ROUNDDOWN(BB119,-2)-BB127-BB129&lt;ROUNDDOWN(BB115,2)-SUM($M$124:BA124),IF(ROUNDDOWN(BB119,-2)-BB127-BB129&lt;=SUM($M$28:BA28)-SUM($M$124:BA124),ROUNDDOWN(BB119,-2)-BB127-BB129,SUM($M$28:BA28)-SUM($M$124:BA124)),IF((ROUNDDOWN(BB115,-2)-SUM($M$124:BA124)-BB127-BB129&lt;=SUM($M$28:BA28)-SUM($M$124:BA124)),ROUNDDOWN(BB115,-2)-SUM($M$124:BA124)-BB127-BB129,SUM($M$28:BA28)-SUM($M$124:BA124)))),0))</f>
        <v>4700</v>
      </c>
      <c r="BC124" s="582"/>
      <c r="BD124" s="582"/>
      <c r="BE124" s="582">
        <f ca="1">IF(SUM($M$28:BD28)-SUM($M$124:BD124)&lt;=0,0,IF(ROUNDDOWN(BE119,-2)-BE127-BE129&gt;=0,(IF(ROUNDDOWN(BE119,-2)-BE127-BE129&lt;ROUNDDOWN(BE115,2)-SUM($M$124:BD124),IF(ROUNDDOWN(BE119,-2)-BE127-BE129&lt;=SUM($M$28:BD28)-SUM($M$124:BD124),ROUNDDOWN(BE119,-2)-BE127-BE129,SUM($M$28:BD28)-SUM($M$124:BD124)),IF((ROUNDDOWN(BE115,-2)-SUM($M$124:BD124)-BE127-BE129&lt;=SUM($M$28:BD28)-SUM($M$124:BD124)),ROUNDDOWN(BE115,-2)-SUM($M$124:BD124)-BE127-BE129,SUM($M$28:BD28)-SUM($M$124:BD124)))),0))</f>
        <v>1400</v>
      </c>
      <c r="BF124" s="582"/>
      <c r="BG124" s="581"/>
      <c r="BH124" s="582">
        <f ca="1">IF(SUM($M$28:BG28)-SUM($M$124:BG124)&lt;=0,0,IF(ROUNDDOWN(BH119,-2)-BH127-BH129&gt;=0,(IF(ROUNDDOWN(BH119,-2)-BH127-BH129&lt;ROUNDDOWN(BH115,2)-SUM($M$124:BG124),IF(ROUNDDOWN(BH119,-2)-BH127-BH129&lt;=SUM($M$28:BG28)-SUM($M$124:BG124),ROUNDDOWN(BH119,-2)-BH127-BH129,SUM($M$28:BG28)-SUM($M$124:BG124)),IF((ROUNDDOWN(BH115,-2)-SUM($M$124:BG124)-BH127-BH129&lt;=SUM($M$28:BG28)-SUM($M$124:BG124)),ROUNDDOWN(BH115,-2)-SUM($M$124:BG124)-BH127-BH129,SUM($M$28:BG28)-SUM($M$124:BG124)))),0))</f>
        <v>3600</v>
      </c>
      <c r="BI124" s="581"/>
      <c r="BJ124" s="581"/>
      <c r="BK124" s="582"/>
      <c r="BL124" s="582"/>
      <c r="BM124" s="582"/>
      <c r="BN124" s="582"/>
      <c r="BO124" s="582"/>
      <c r="BP124" s="581"/>
      <c r="BQ124" s="582"/>
      <c r="BR124" s="582"/>
      <c r="BS124" s="581"/>
      <c r="BT124" s="581"/>
      <c r="BU124" s="581"/>
      <c r="BV124" s="581"/>
      <c r="BW124" s="581"/>
      <c r="BX124" s="581"/>
      <c r="BY124" s="582">
        <f t="shared" ref="BY124:BY129" ca="1" si="64">SUM(F124:BX124)</f>
        <v>42000</v>
      </c>
      <c r="BZ124" s="67"/>
      <c r="CA124" s="68"/>
      <c r="CB124" s="68"/>
    </row>
    <row r="125" spans="1:80">
      <c r="A125" s="1832"/>
      <c r="B125" s="1833"/>
      <c r="C125" s="1834"/>
      <c r="D125" s="1838" t="str">
        <f>C29</f>
        <v xml:space="preserve"> Tranche B</v>
      </c>
      <c r="E125" s="1839"/>
      <c r="F125" s="580"/>
      <c r="G125" s="580"/>
      <c r="H125" s="580"/>
      <c r="I125" s="580"/>
      <c r="J125" s="580"/>
      <c r="K125" s="580"/>
      <c r="L125" s="580"/>
      <c r="M125" s="580"/>
      <c r="N125" s="580"/>
      <c r="O125" s="580"/>
      <c r="P125" s="581"/>
      <c r="Q125" s="581"/>
      <c r="R125" s="581"/>
      <c r="S125" s="581"/>
      <c r="T125" s="581"/>
      <c r="U125" s="582"/>
      <c r="V125" s="582"/>
      <c r="W125" s="582"/>
      <c r="X125" s="582"/>
      <c r="Y125" s="582"/>
      <c r="Z125" s="582"/>
      <c r="AA125" s="582"/>
      <c r="AB125" s="582"/>
      <c r="AC125" s="582"/>
      <c r="AD125" s="582"/>
      <c r="AE125" s="582"/>
      <c r="AF125" s="582"/>
      <c r="AG125" s="582"/>
      <c r="AH125" s="582"/>
      <c r="AI125" s="582"/>
      <c r="AJ125" s="582"/>
      <c r="AK125" s="582"/>
      <c r="AL125" s="582"/>
      <c r="AM125" s="582"/>
      <c r="AN125" s="582"/>
      <c r="AO125" s="582"/>
      <c r="AP125" s="582"/>
      <c r="AQ125" s="582"/>
      <c r="AR125" s="582"/>
      <c r="AS125" s="582"/>
      <c r="AT125" s="582"/>
      <c r="AU125" s="582"/>
      <c r="AV125" s="582"/>
      <c r="AW125" s="582"/>
      <c r="AX125" s="582"/>
      <c r="AY125" s="582"/>
      <c r="AZ125" s="582"/>
      <c r="BA125" s="582"/>
      <c r="BB125" s="582"/>
      <c r="BC125" s="582"/>
      <c r="BD125" s="582"/>
      <c r="BE125" s="582"/>
      <c r="BF125" s="582"/>
      <c r="BG125" s="581"/>
      <c r="BH125" s="582"/>
      <c r="BI125" s="581"/>
      <c r="BJ125" s="581"/>
      <c r="BK125" s="582"/>
      <c r="BL125" s="582"/>
      <c r="BM125" s="582"/>
      <c r="BN125" s="582"/>
      <c r="BO125" s="582"/>
      <c r="BP125" s="581"/>
      <c r="BQ125" s="582"/>
      <c r="BR125" s="582"/>
      <c r="BS125" s="581"/>
      <c r="BT125" s="581"/>
      <c r="BU125" s="581"/>
      <c r="BV125" s="581"/>
      <c r="BW125" s="581"/>
      <c r="BX125" s="581"/>
      <c r="BY125" s="582">
        <f t="shared" si="64"/>
        <v>0</v>
      </c>
      <c r="BZ125" s="67"/>
      <c r="CA125" s="68"/>
      <c r="CB125" s="68"/>
    </row>
    <row r="126" spans="1:80">
      <c r="A126" s="1835"/>
      <c r="B126" s="1836"/>
      <c r="C126" s="1837"/>
      <c r="D126" s="1838" t="str">
        <f>C30</f>
        <v xml:space="preserve"> Tranche C</v>
      </c>
      <c r="E126" s="1839"/>
      <c r="F126" s="580"/>
      <c r="G126" s="580"/>
      <c r="H126" s="580"/>
      <c r="I126" s="580"/>
      <c r="J126" s="580"/>
      <c r="K126" s="580"/>
      <c r="L126" s="580"/>
      <c r="M126" s="580"/>
      <c r="N126" s="580"/>
      <c r="O126" s="580"/>
      <c r="P126" s="581"/>
      <c r="Q126" s="581"/>
      <c r="R126" s="581"/>
      <c r="S126" s="581"/>
      <c r="T126" s="581"/>
      <c r="U126" s="582"/>
      <c r="V126" s="582"/>
      <c r="W126" s="582"/>
      <c r="X126" s="582"/>
      <c r="Y126" s="582"/>
      <c r="Z126" s="582"/>
      <c r="AA126" s="582"/>
      <c r="AB126" s="582"/>
      <c r="AC126" s="582"/>
      <c r="AD126" s="582"/>
      <c r="AE126" s="582"/>
      <c r="AF126" s="582"/>
      <c r="AG126" s="582"/>
      <c r="AH126" s="582"/>
      <c r="AI126" s="582"/>
      <c r="AJ126" s="582"/>
      <c r="AK126" s="582"/>
      <c r="AL126" s="582"/>
      <c r="AM126" s="582"/>
      <c r="AN126" s="582"/>
      <c r="AO126" s="582"/>
      <c r="AP126" s="582"/>
      <c r="AQ126" s="582"/>
      <c r="AR126" s="582"/>
      <c r="AS126" s="582"/>
      <c r="AT126" s="582"/>
      <c r="AU126" s="582"/>
      <c r="AV126" s="582"/>
      <c r="AW126" s="582"/>
      <c r="AX126" s="582"/>
      <c r="AY126" s="582"/>
      <c r="AZ126" s="582"/>
      <c r="BA126" s="582"/>
      <c r="BB126" s="582"/>
      <c r="BC126" s="582"/>
      <c r="BD126" s="582"/>
      <c r="BE126" s="582"/>
      <c r="BF126" s="582"/>
      <c r="BG126" s="581"/>
      <c r="BH126" s="582"/>
      <c r="BI126" s="581"/>
      <c r="BJ126" s="581"/>
      <c r="BK126" s="582"/>
      <c r="BL126" s="582"/>
      <c r="BM126" s="582"/>
      <c r="BN126" s="582"/>
      <c r="BO126" s="582"/>
      <c r="BP126" s="581"/>
      <c r="BQ126" s="582"/>
      <c r="BR126" s="582"/>
      <c r="BS126" s="581"/>
      <c r="BT126" s="581"/>
      <c r="BU126" s="581"/>
      <c r="BV126" s="581"/>
      <c r="BW126" s="581"/>
      <c r="BX126" s="581"/>
      <c r="BY126" s="582">
        <f t="shared" si="64"/>
        <v>0</v>
      </c>
      <c r="BZ126" s="67"/>
      <c r="CA126" s="68"/>
      <c r="CB126" s="68"/>
    </row>
    <row r="127" spans="1:80">
      <c r="A127" s="1840" t="s">
        <v>345</v>
      </c>
      <c r="B127" s="1841"/>
      <c r="C127" s="1842"/>
      <c r="D127" s="1849" t="str">
        <f>D124</f>
        <v xml:space="preserve"> Tranche A</v>
      </c>
      <c r="E127" s="1850"/>
      <c r="F127" s="583"/>
      <c r="G127" s="583"/>
      <c r="H127" s="583"/>
      <c r="I127" s="583"/>
      <c r="J127" s="583"/>
      <c r="K127" s="583"/>
      <c r="L127" s="583"/>
      <c r="M127" s="583"/>
      <c r="N127" s="583"/>
      <c r="O127" s="583"/>
      <c r="P127" s="584"/>
      <c r="Q127" s="584"/>
      <c r="R127" s="584"/>
      <c r="S127" s="585"/>
      <c r="T127" s="585"/>
      <c r="U127" s="585"/>
      <c r="V127" s="585"/>
      <c r="W127" s="585"/>
      <c r="X127" s="585"/>
      <c r="Y127" s="585"/>
      <c r="Z127" s="585"/>
      <c r="AA127" s="585">
        <f ca="1">IF($E$28-SUM($M$28:AA28)&lt;=SUM($M127:Z$127),0,IF(ROUNDDOWN(AA119,-2)&gt;0,IF(ROUNDDOWN(AA119,-2)&lt;$E$28-SUM($M$28:AA28)-SUM($M$127:Z127),ROUNDDOWN(AA119,-2)-AA129,IF($E$28-SUM($M$28:AA28)-SUM($M$127:Z127)&gt;AA129,$E$28-SUM($M$28:AA28)-SUM($M$127:Z127)-AA129,0)),0))</f>
        <v>11300</v>
      </c>
      <c r="AB127" s="585"/>
      <c r="AC127" s="585"/>
      <c r="AD127" s="585">
        <f ca="1">IF($E$28-SUM($M$28:AD28)&lt;=SUM($M127:AC$127),0,IF(ROUNDDOWN(AD119,-2)&gt;0,IF(ROUNDDOWN(AD119,-2)&lt;$E$28-SUM($M$28:AD28)-SUM($M$127:AC127),ROUNDDOWN(AD119,-2)-AD129,IF($E$28-SUM($M$28:AD28)-SUM($M$127:AC127)&gt;AD129,$E$28-SUM($M$28:AD28)-SUM($M$127:AC127)-AD129,0)),0))</f>
        <v>1700</v>
      </c>
      <c r="AE127" s="585"/>
      <c r="AF127" s="585"/>
      <c r="AG127" s="585">
        <f ca="1">IF($E$28-SUM($M$28:AG28)&lt;=SUM($M127:AF$127),0,IF(ROUNDDOWN(AG119,-2)&gt;0,IF(ROUNDDOWN(AG119,-2)&lt;$E$28-SUM($M$28:AG28)-SUM($M$127:AF127),ROUNDDOWN(AG119,-2)-AG129,IF($E$28-SUM($M$28:AG28)-SUM($M$127:AF127)&gt;AG129,$E$28-SUM($M$28:AG28)-SUM($M$127:AF127)-AG129,0)),0))</f>
        <v>0</v>
      </c>
      <c r="AH127" s="585"/>
      <c r="AI127" s="585"/>
      <c r="AJ127" s="585">
        <f ca="1">IF($E$28-SUM($M$28:AJ28)&lt;=SUM($M127:AI$127),0,IF(ROUNDDOWN(AJ119,-2)&gt;0,IF(ROUNDDOWN(AJ119,-2)&lt;$E$28-SUM($M$28:AJ28)-SUM($M$127:AI127),ROUNDDOWN(AJ119,-2)-AJ129,IF($E$28-SUM($M$28:AJ28)-SUM($M$127:AI127)&gt;AJ129,$E$28-SUM($M$28:AJ28)-SUM($M$127:AI127)-AJ129,0)),0))</f>
        <v>0</v>
      </c>
      <c r="AK127" s="585"/>
      <c r="AL127" s="585"/>
      <c r="AM127" s="585">
        <f ca="1">IF($E$28-SUM($M$28:AM28)&lt;=SUM($M127:AL$127),0,IF(ROUNDDOWN(AM119,-2)&gt;0,IF(ROUNDDOWN(AM119,-2)&lt;$E$28-SUM($M$28:AM28)-SUM($M$127:AL127),ROUNDDOWN(AM119,-2)-AM129,IF($E$28-SUM($M$28:AM28)-SUM($M$127:AL127)&gt;AM129,$E$28-SUM($M$28:AM28)-SUM($M$127:AL127)-AM129,0)),0))</f>
        <v>0</v>
      </c>
      <c r="AN127" s="585"/>
      <c r="AO127" s="585"/>
      <c r="AP127" s="585">
        <f ca="1">IF($E$28-SUM($M$28:AP28)&lt;=SUM($M127:AO$127),0,IF(ROUNDDOWN(AP119,-2)&gt;0,IF(ROUNDDOWN(AP119,-2)&lt;$E$28-SUM($M$28:AP28)-SUM($M$127:AO127),ROUNDDOWN(AP119,-2)-AP129,IF($E$28-SUM($M$28:AP28)-SUM($M$127:AO127)&gt;AP129,$E$28-SUM($M$28:AP28)-SUM($M$127:AO127)-AP129,0)),0))</f>
        <v>0</v>
      </c>
      <c r="AQ127" s="585"/>
      <c r="AR127" s="585"/>
      <c r="AS127" s="585">
        <f ca="1">IF($E$28-SUM($M$28:AS28)&lt;=SUM($M127:AR$127),0,IF(ROUNDDOWN(AS119,-2)&gt;0,IF(ROUNDDOWN(AS119,-2)&lt;$E$28-SUM($M$28:AS28)-SUM($M$127:AR127),ROUNDDOWN(AS119,-2)-AS129,IF($E$28-SUM($M$28:AS28)-SUM($M$127:AR127)&gt;AS129,$E$28-SUM($M$28:AS28)-SUM($M$127:AR127)-AS129,0)),0))</f>
        <v>0</v>
      </c>
      <c r="AT127" s="585"/>
      <c r="AU127" s="585"/>
      <c r="AV127" s="585">
        <f ca="1">IF($E$28-SUM($M$28:AV28)&lt;=SUM($M127:AU$127),0,IF(ROUNDDOWN(AV119,-2)&gt;0,IF(ROUNDDOWN(AV119,-2)&lt;$E$28-SUM($M$28:AV28)-SUM($M$127:AU127),ROUNDDOWN(AV119,-2)-AV129,IF($E$28-SUM($M$28:AV28)-SUM($M$127:AU127)&gt;AV129,$E$28-SUM($M$28:AV28)-SUM($M$127:AU127)-AV129,0)),0))</f>
        <v>0</v>
      </c>
      <c r="AW127" s="585"/>
      <c r="AX127" s="585"/>
      <c r="AY127" s="585">
        <f ca="1">IF($E$28-SUM($M$28:AY28)&lt;=SUM($M127:AX$127),0,IF(ROUNDDOWN(AY119,-2)&gt;0,IF(ROUNDDOWN(AY119,-2)&lt;$E$28-SUM($M$28:AY28)-SUM($M$127:AX127),ROUNDDOWN(AY119,-2)-AY129,IF($E$28-SUM($M$28:AY28)-SUM($M$127:AX127)&gt;AY129,$E$28-SUM($M$28:AY28)-SUM($M$127:AX127)-AY129,0)),0))</f>
        <v>0</v>
      </c>
      <c r="AZ127" s="585"/>
      <c r="BA127" s="585"/>
      <c r="BB127" s="585">
        <f ca="1">IF($E$28-SUM($M$28:BB28)&lt;=SUM($M127:BA$127),0,IF(ROUNDDOWN(BB119,-2)&gt;0,IF(ROUNDDOWN(BB119,-2)&lt;$E$28-SUM($M$28:BB28)-SUM($M$127:BA127),ROUNDDOWN(BB119,-2)-BB129,IF($E$28-SUM($M$28:BB28)-SUM($M$127:BA127)&gt;BB129,$E$28-SUM($M$28:BB28)-SUM($M$127:BA127)-BB129,0)),0))</f>
        <v>0</v>
      </c>
      <c r="BC127" s="585"/>
      <c r="BD127" s="585"/>
      <c r="BE127" s="585">
        <f ca="1">IF($E$28-SUM($M$28:BE28)&lt;=SUM($M127:BD$127),0,IF(ROUNDDOWN(BE119,-2)&gt;0,IF(ROUNDDOWN(BE119,-2)&lt;$E$28-SUM($M$28:BE28)-SUM($M$127:BD127),ROUNDDOWN(BE119,-2)-BE129,IF($E$28-SUM($M$28:BE28)-SUM($M$127:BD127)&gt;BE129,$E$28-SUM($M$28:BE28)-SUM($M$127:BD127)-BE129,0)),0))</f>
        <v>0</v>
      </c>
      <c r="BF127" s="585"/>
      <c r="BG127" s="585"/>
      <c r="BH127" s="585">
        <f ca="1">IF($E$28-SUM($M$28:BH28)&lt;=SUM($M127:BG$127),0,IF(ROUNDDOWN(BH119,-2)&gt;0,IF(ROUNDDOWN(BH119,-2)&lt;$E$28-SUM($M$28:BH28)-SUM($M$127:BG127),ROUNDDOWN(BH119,-2)-BH129,IF($E$28-SUM($M$28:BH28)-SUM($M$127:BG127)&gt;BH129,$E$28-SUM($M$28:BH28)-SUM($M$127:BG127)-BH129,0)),0))</f>
        <v>0</v>
      </c>
      <c r="BI127" s="585"/>
      <c r="BJ127" s="585"/>
      <c r="BK127" s="585"/>
      <c r="BL127" s="585"/>
      <c r="BM127" s="585"/>
      <c r="BN127" s="585"/>
      <c r="BO127" s="585"/>
      <c r="BP127" s="585"/>
      <c r="BQ127" s="585"/>
      <c r="BR127" s="585"/>
      <c r="BS127" s="585"/>
      <c r="BT127" s="585"/>
      <c r="BU127" s="585"/>
      <c r="BV127" s="585"/>
      <c r="BW127" s="585"/>
      <c r="BX127" s="585"/>
      <c r="BY127" s="584">
        <f t="shared" ca="1" si="64"/>
        <v>13000</v>
      </c>
      <c r="BZ127" s="67"/>
      <c r="CA127" s="68"/>
      <c r="CB127" s="68"/>
    </row>
    <row r="128" spans="1:80">
      <c r="A128" s="1843"/>
      <c r="B128" s="1844"/>
      <c r="C128" s="1845"/>
      <c r="D128" s="1851" t="str">
        <f>D125</f>
        <v xml:space="preserve"> Tranche B</v>
      </c>
      <c r="E128" s="1851"/>
      <c r="F128" s="583"/>
      <c r="G128" s="583"/>
      <c r="H128" s="583"/>
      <c r="I128" s="583"/>
      <c r="J128" s="583"/>
      <c r="K128" s="583"/>
      <c r="L128" s="583"/>
      <c r="M128" s="583"/>
      <c r="N128" s="583"/>
      <c r="O128" s="583"/>
      <c r="P128" s="584"/>
      <c r="Q128" s="584"/>
      <c r="R128" s="584"/>
      <c r="S128" s="585"/>
      <c r="T128" s="585"/>
      <c r="U128" s="585"/>
      <c r="V128" s="585"/>
      <c r="W128" s="585"/>
      <c r="X128" s="585"/>
      <c r="Y128" s="585"/>
      <c r="Z128" s="585"/>
      <c r="AA128" s="585"/>
      <c r="AB128" s="585"/>
      <c r="AC128" s="585"/>
      <c r="AD128" s="585"/>
      <c r="AE128" s="585"/>
      <c r="AF128" s="585"/>
      <c r="AG128" s="585"/>
      <c r="AH128" s="585"/>
      <c r="AI128" s="585"/>
      <c r="AJ128" s="585"/>
      <c r="AK128" s="585"/>
      <c r="AL128" s="585"/>
      <c r="AM128" s="585"/>
      <c r="AN128" s="585"/>
      <c r="AO128" s="585"/>
      <c r="AP128" s="585"/>
      <c r="AQ128" s="585"/>
      <c r="AR128" s="585"/>
      <c r="AS128" s="585"/>
      <c r="AT128" s="585"/>
      <c r="AU128" s="585"/>
      <c r="AV128" s="585"/>
      <c r="AW128" s="585"/>
      <c r="AX128" s="585"/>
      <c r="AY128" s="585"/>
      <c r="AZ128" s="585"/>
      <c r="BA128" s="585"/>
      <c r="BB128" s="585"/>
      <c r="BC128" s="585"/>
      <c r="BD128" s="585"/>
      <c r="BE128" s="585"/>
      <c r="BF128" s="585"/>
      <c r="BG128" s="585"/>
      <c r="BH128" s="585"/>
      <c r="BI128" s="585"/>
      <c r="BJ128" s="585"/>
      <c r="BK128" s="585"/>
      <c r="BL128" s="585"/>
      <c r="BM128" s="585"/>
      <c r="BN128" s="585"/>
      <c r="BO128" s="585"/>
      <c r="BP128" s="585"/>
      <c r="BQ128" s="585"/>
      <c r="BR128" s="585"/>
      <c r="BS128" s="585"/>
      <c r="BT128" s="585"/>
      <c r="BU128" s="585"/>
      <c r="BV128" s="585"/>
      <c r="BW128" s="585"/>
      <c r="BX128" s="585"/>
      <c r="BY128" s="584">
        <f t="shared" si="64"/>
        <v>0</v>
      </c>
      <c r="BZ128" s="67"/>
      <c r="CA128" s="68"/>
      <c r="CB128" s="68"/>
    </row>
    <row r="129" spans="1:80">
      <c r="A129" s="1846"/>
      <c r="B129" s="1847"/>
      <c r="C129" s="1848"/>
      <c r="D129" s="1851" t="str">
        <f>D126</f>
        <v xml:space="preserve"> Tranche C</v>
      </c>
      <c r="E129" s="1851"/>
      <c r="F129" s="583"/>
      <c r="G129" s="583"/>
      <c r="H129" s="583"/>
      <c r="I129" s="583"/>
      <c r="J129" s="583"/>
      <c r="K129" s="583"/>
      <c r="L129" s="583"/>
      <c r="M129" s="583"/>
      <c r="N129" s="583"/>
      <c r="O129" s="583"/>
      <c r="P129" s="584"/>
      <c r="Q129" s="584"/>
      <c r="R129" s="584"/>
      <c r="S129" s="585"/>
      <c r="T129" s="585"/>
      <c r="U129" s="585"/>
      <c r="V129" s="585"/>
      <c r="W129" s="585"/>
      <c r="X129" s="585"/>
      <c r="Y129" s="585"/>
      <c r="Z129" s="585"/>
      <c r="AA129" s="585"/>
      <c r="AB129" s="585"/>
      <c r="AC129" s="585"/>
      <c r="AD129" s="585"/>
      <c r="AE129" s="585"/>
      <c r="AF129" s="585"/>
      <c r="AG129" s="585"/>
      <c r="AH129" s="585"/>
      <c r="AI129" s="585"/>
      <c r="AJ129" s="585"/>
      <c r="AK129" s="585"/>
      <c r="AL129" s="585"/>
      <c r="AM129" s="585"/>
      <c r="AN129" s="585"/>
      <c r="AO129" s="585"/>
      <c r="AP129" s="585"/>
      <c r="AQ129" s="585"/>
      <c r="AR129" s="585"/>
      <c r="AS129" s="585"/>
      <c r="AT129" s="585"/>
      <c r="AU129" s="585"/>
      <c r="AV129" s="585"/>
      <c r="AW129" s="585"/>
      <c r="AX129" s="585"/>
      <c r="AY129" s="585"/>
      <c r="AZ129" s="585"/>
      <c r="BA129" s="585"/>
      <c r="BB129" s="585"/>
      <c r="BC129" s="585"/>
      <c r="BD129" s="585"/>
      <c r="BE129" s="585"/>
      <c r="BF129" s="585"/>
      <c r="BG129" s="585"/>
      <c r="BH129" s="585"/>
      <c r="BI129" s="585"/>
      <c r="BJ129" s="585"/>
      <c r="BK129" s="585"/>
      <c r="BL129" s="585"/>
      <c r="BM129" s="585"/>
      <c r="BN129" s="585"/>
      <c r="BO129" s="585"/>
      <c r="BP129" s="585"/>
      <c r="BQ129" s="585"/>
      <c r="BR129" s="585"/>
      <c r="BS129" s="585"/>
      <c r="BT129" s="585"/>
      <c r="BU129" s="585"/>
      <c r="BV129" s="585"/>
      <c r="BW129" s="585"/>
      <c r="BX129" s="585"/>
      <c r="BY129" s="584">
        <f t="shared" si="64"/>
        <v>0</v>
      </c>
      <c r="BZ129" s="67"/>
      <c r="CA129" s="68"/>
      <c r="CB129" s="68"/>
    </row>
    <row r="130" spans="1:80">
      <c r="A130" s="1826" t="s">
        <v>346</v>
      </c>
      <c r="B130" s="1826"/>
      <c r="C130" s="1826"/>
      <c r="D130" s="1826"/>
      <c r="E130" s="1826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8"/>
      <c r="T130" s="68"/>
      <c r="U130" s="68"/>
      <c r="V130" s="68"/>
      <c r="W130" s="68"/>
      <c r="X130" s="68"/>
      <c r="Y130" s="68"/>
      <c r="Z130" s="68"/>
      <c r="AA130" s="68">
        <f ca="1">AA118-SUM($M124:AA$129)</f>
        <v>79.256537720501001</v>
      </c>
      <c r="AB130" s="68"/>
      <c r="AC130" s="68"/>
      <c r="AD130" s="68">
        <f ca="1">AD118-SUM($M124:AD$129)</f>
        <v>72.342050294002547</v>
      </c>
      <c r="AE130" s="68"/>
      <c r="AF130" s="68"/>
      <c r="AG130" s="68">
        <f ca="1">AG118-SUM($M124:AG$129)</f>
        <v>20827.908087001888</v>
      </c>
      <c r="AH130" s="68"/>
      <c r="AI130" s="68"/>
      <c r="AJ130" s="68">
        <f ca="1">AJ118-SUM($M124:AJ$129)</f>
        <v>38511.283594786175</v>
      </c>
      <c r="AK130" s="68"/>
      <c r="AL130" s="68"/>
      <c r="AM130" s="68">
        <f ca="1">AM118-SUM($M124:AM$129)</f>
        <v>42602.149045987258</v>
      </c>
      <c r="AN130" s="68"/>
      <c r="AO130" s="68"/>
      <c r="AP130" s="68">
        <f ca="1">AP118-SUM($M124:AP$129)</f>
        <v>61917.537170550073</v>
      </c>
      <c r="AQ130" s="554"/>
      <c r="AR130" s="68"/>
      <c r="AS130" s="68">
        <f ca="1">AS118-SUM($M124:AS$129)</f>
        <v>78447.007677830115</v>
      </c>
      <c r="AT130" s="554"/>
      <c r="AU130" s="68"/>
      <c r="AV130" s="68">
        <f ca="1">AV118-SUM($M124:AV$129)</f>
        <v>94197.946790578309</v>
      </c>
      <c r="AW130" s="68"/>
      <c r="AX130" s="68"/>
      <c r="AY130" s="68">
        <f ca="1">AY118-SUM($M124:AY$129)</f>
        <v>95287.894607645081</v>
      </c>
      <c r="AZ130" s="68"/>
      <c r="BA130" s="68"/>
      <c r="BB130" s="68">
        <f ca="1">BB118-SUM($M124:BB$129)</f>
        <v>110938.83372039328</v>
      </c>
      <c r="BC130" s="68"/>
      <c r="BD130" s="68"/>
      <c r="BE130" s="68">
        <f ca="1">BE118-SUM($M124:BE$129)</f>
        <v>115580.48415254825</v>
      </c>
      <c r="BF130" s="68"/>
      <c r="BG130" s="68"/>
      <c r="BH130" s="68">
        <f ca="1">BH118-SUM($M124:BH$129)</f>
        <v>127779.72065020824</v>
      </c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7"/>
      <c r="BZ130" s="67"/>
      <c r="CA130" s="68"/>
      <c r="CB130" s="68"/>
    </row>
    <row r="131" spans="1:80">
      <c r="E131" s="586"/>
    </row>
    <row r="132" spans="1:80">
      <c r="AG132" s="586"/>
    </row>
  </sheetData>
  <mergeCells count="119">
    <mergeCell ref="A130:E130"/>
    <mergeCell ref="A122:E122"/>
    <mergeCell ref="A124:C126"/>
    <mergeCell ref="D124:E124"/>
    <mergeCell ref="D125:E125"/>
    <mergeCell ref="D126:E126"/>
    <mergeCell ref="A127:C129"/>
    <mergeCell ref="D127:E127"/>
    <mergeCell ref="D128:E128"/>
    <mergeCell ref="D129:E129"/>
    <mergeCell ref="A110:A111"/>
    <mergeCell ref="B110:D110"/>
    <mergeCell ref="B111:D111"/>
    <mergeCell ref="A115:D116"/>
    <mergeCell ref="E115:E116"/>
    <mergeCell ref="A118:C121"/>
    <mergeCell ref="D118:E118"/>
    <mergeCell ref="D119:E119"/>
    <mergeCell ref="D120:E120"/>
    <mergeCell ref="D121:E121"/>
    <mergeCell ref="A105:A106"/>
    <mergeCell ref="B105:D105"/>
    <mergeCell ref="B106:D106"/>
    <mergeCell ref="A108:A109"/>
    <mergeCell ref="B108:D108"/>
    <mergeCell ref="B109:D109"/>
    <mergeCell ref="A91:A104"/>
    <mergeCell ref="B91:C92"/>
    <mergeCell ref="B93:B95"/>
    <mergeCell ref="B96:B98"/>
    <mergeCell ref="B99:C99"/>
    <mergeCell ref="B100:C100"/>
    <mergeCell ref="B101:C102"/>
    <mergeCell ref="B103:C103"/>
    <mergeCell ref="B104:C104"/>
    <mergeCell ref="B82:B85"/>
    <mergeCell ref="B86:C87"/>
    <mergeCell ref="B88:D88"/>
    <mergeCell ref="A89:A90"/>
    <mergeCell ref="B89:D89"/>
    <mergeCell ref="B90:D90"/>
    <mergeCell ref="B76:B77"/>
    <mergeCell ref="C76:C77"/>
    <mergeCell ref="B78:B79"/>
    <mergeCell ref="C78:C79"/>
    <mergeCell ref="B80:B81"/>
    <mergeCell ref="C80:C81"/>
    <mergeCell ref="B69:D69"/>
    <mergeCell ref="B70:B71"/>
    <mergeCell ref="C70:C71"/>
    <mergeCell ref="B72:B73"/>
    <mergeCell ref="C72:C73"/>
    <mergeCell ref="B74:B75"/>
    <mergeCell ref="C74:C75"/>
    <mergeCell ref="B63:D63"/>
    <mergeCell ref="B64:D64"/>
    <mergeCell ref="B65:D65"/>
    <mergeCell ref="B66:D66"/>
    <mergeCell ref="B67:D67"/>
    <mergeCell ref="B68:D68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4:B50"/>
    <mergeCell ref="C44:D44"/>
    <mergeCell ref="C45:D45"/>
    <mergeCell ref="C46:D46"/>
    <mergeCell ref="C47:D47"/>
    <mergeCell ref="C48:D48"/>
    <mergeCell ref="C49:D49"/>
    <mergeCell ref="C50:D50"/>
    <mergeCell ref="B57:D57"/>
    <mergeCell ref="B41:D41"/>
    <mergeCell ref="B42:D42"/>
    <mergeCell ref="B32:D32"/>
    <mergeCell ref="B33:D33"/>
    <mergeCell ref="A34:A35"/>
    <mergeCell ref="B34:D34"/>
    <mergeCell ref="B35:D35"/>
    <mergeCell ref="B36:D36"/>
    <mergeCell ref="B43:D43"/>
    <mergeCell ref="B25:B27"/>
    <mergeCell ref="B28:B30"/>
    <mergeCell ref="C28:D28"/>
    <mergeCell ref="C29:D29"/>
    <mergeCell ref="C30:D30"/>
    <mergeCell ref="B37:D37"/>
    <mergeCell ref="B38:D38"/>
    <mergeCell ref="B39:D39"/>
    <mergeCell ref="B40:D40"/>
    <mergeCell ref="B16:B19"/>
    <mergeCell ref="C16:D16"/>
    <mergeCell ref="C17:D17"/>
    <mergeCell ref="C18:D18"/>
    <mergeCell ref="A4:D7"/>
    <mergeCell ref="B20:B23"/>
    <mergeCell ref="C20:D20"/>
    <mergeCell ref="C21:D21"/>
    <mergeCell ref="C22:D22"/>
    <mergeCell ref="BY4:BY7"/>
    <mergeCell ref="CA4:CA7"/>
    <mergeCell ref="CB4:CB7"/>
    <mergeCell ref="A8:A9"/>
    <mergeCell ref="B8:B11"/>
    <mergeCell ref="C8:D8"/>
    <mergeCell ref="C9:D9"/>
    <mergeCell ref="C10:D10"/>
    <mergeCell ref="B12:B15"/>
    <mergeCell ref="C12:D12"/>
    <mergeCell ref="C13:D13"/>
    <mergeCell ref="C14:D14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B6A3-DC4F-4C7A-B1F7-36FF56C1479F}">
  <dimension ref="A1:BH249"/>
  <sheetViews>
    <sheetView tabSelected="1" zoomScale="55" zoomScaleNormal="55" workbookViewId="0">
      <pane xSplit="6" ySplit="9" topLeftCell="G10" activePane="bottomRight" state="frozen"/>
      <selection activeCell="G17" sqref="G17"/>
      <selection pane="topRight" activeCell="G17" sqref="G17"/>
      <selection pane="bottomLeft" activeCell="G17" sqref="G17"/>
      <selection pane="bottomRight" activeCell="L13" sqref="L13"/>
    </sheetView>
  </sheetViews>
  <sheetFormatPr defaultColWidth="9" defaultRowHeight="17"/>
  <cols>
    <col min="1" max="59" width="11.58203125" style="2" customWidth="1"/>
    <col min="60" max="16384" width="9" style="2"/>
  </cols>
  <sheetData>
    <row r="1" spans="1:60" ht="17" customHeight="1">
      <c r="A1" s="587" t="s">
        <v>347</v>
      </c>
      <c r="B1" s="588"/>
      <c r="C1" s="588"/>
      <c r="D1" s="589"/>
      <c r="E1" s="589"/>
      <c r="F1" s="590"/>
      <c r="G1" s="590"/>
      <c r="H1" s="590"/>
      <c r="I1" s="590"/>
      <c r="J1" s="590"/>
      <c r="K1" s="591"/>
      <c r="L1" s="590"/>
      <c r="M1" s="590"/>
      <c r="N1" s="590"/>
      <c r="O1" s="590"/>
      <c r="P1" s="590"/>
      <c r="Q1" s="590"/>
      <c r="R1" s="590"/>
      <c r="S1" s="590"/>
      <c r="T1" s="590"/>
      <c r="U1" s="590"/>
      <c r="V1" s="590"/>
      <c r="W1" s="590"/>
      <c r="X1" s="590"/>
      <c r="Y1" s="590"/>
      <c r="Z1" s="590"/>
      <c r="AA1" s="590"/>
      <c r="AB1" s="590"/>
      <c r="AC1" s="590"/>
      <c r="AD1" s="590"/>
      <c r="AE1" s="590"/>
      <c r="AF1" s="590"/>
      <c r="AG1" s="590"/>
      <c r="AH1" s="590"/>
      <c r="AI1" s="590"/>
      <c r="AJ1" s="590"/>
      <c r="AK1" s="590"/>
      <c r="AL1" s="590"/>
      <c r="AM1" s="590"/>
      <c r="AN1" s="590"/>
      <c r="AO1" s="590"/>
      <c r="AP1" s="590"/>
      <c r="AQ1" s="590"/>
      <c r="AR1" s="590"/>
      <c r="AS1" s="590"/>
      <c r="AT1" s="590"/>
      <c r="AU1" s="590"/>
      <c r="AV1" s="590"/>
      <c r="AW1" s="590"/>
      <c r="AX1" s="590"/>
      <c r="AY1" s="590"/>
      <c r="AZ1" s="590"/>
      <c r="BA1" s="590"/>
      <c r="BB1" s="590"/>
      <c r="BC1" s="590"/>
      <c r="BD1" s="590"/>
      <c r="BE1" s="590"/>
      <c r="BF1" s="590"/>
      <c r="BG1" s="590"/>
      <c r="BH1" s="590"/>
    </row>
    <row r="2" spans="1:60" ht="17" customHeight="1">
      <c r="A2" s="592"/>
      <c r="B2" s="593"/>
      <c r="C2" s="593"/>
      <c r="D2" s="594"/>
      <c r="E2" s="594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2"/>
      <c r="T2" s="592"/>
      <c r="U2" s="592"/>
      <c r="V2" s="592"/>
      <c r="W2" s="592"/>
      <c r="X2" s="592"/>
      <c r="Y2" s="592"/>
      <c r="Z2" s="592"/>
      <c r="AA2" s="592"/>
      <c r="AB2" s="592"/>
      <c r="AC2" s="592"/>
      <c r="AD2" s="592"/>
      <c r="AE2" s="592"/>
      <c r="AF2" s="592"/>
      <c r="AG2" s="592"/>
      <c r="AH2" s="592"/>
      <c r="AI2" s="592"/>
      <c r="AJ2" s="592"/>
      <c r="AK2" s="592"/>
      <c r="AL2" s="592"/>
      <c r="AM2" s="592"/>
      <c r="AN2" s="592"/>
      <c r="AO2" s="592"/>
      <c r="AP2" s="592"/>
      <c r="AQ2" s="592"/>
      <c r="AR2" s="592"/>
      <c r="AS2" s="592"/>
      <c r="AT2" s="592"/>
      <c r="AU2" s="592"/>
      <c r="AV2" s="592"/>
      <c r="AW2" s="592"/>
      <c r="AX2" s="592"/>
      <c r="AY2" s="592"/>
      <c r="AZ2" s="592"/>
      <c r="BA2" s="592"/>
      <c r="BB2" s="592"/>
      <c r="BC2" s="592"/>
      <c r="BD2" s="592"/>
      <c r="BE2" s="592"/>
      <c r="BF2" s="592"/>
      <c r="BG2" s="590"/>
      <c r="BH2" s="590"/>
    </row>
    <row r="3" spans="1:60" ht="17" customHeight="1">
      <c r="A3" s="588"/>
      <c r="B3" s="588"/>
      <c r="C3" s="588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588"/>
      <c r="Q3" s="588"/>
      <c r="R3" s="588"/>
      <c r="S3" s="588"/>
      <c r="T3" s="588"/>
      <c r="U3" s="588"/>
      <c r="V3" s="588"/>
      <c r="W3" s="588"/>
      <c r="X3" s="588"/>
      <c r="Y3" s="588"/>
      <c r="Z3" s="588"/>
      <c r="AA3" s="588"/>
      <c r="AB3" s="588"/>
      <c r="AC3" s="588"/>
      <c r="AD3" s="588"/>
      <c r="AE3" s="588"/>
      <c r="AF3" s="588"/>
      <c r="AG3" s="588"/>
      <c r="AH3" s="588"/>
      <c r="AI3" s="588"/>
      <c r="AJ3" s="588"/>
      <c r="AK3" s="588"/>
      <c r="AL3" s="588"/>
      <c r="AM3" s="588"/>
      <c r="AN3" s="588"/>
      <c r="AO3" s="588"/>
      <c r="AP3" s="588"/>
      <c r="AQ3" s="588"/>
      <c r="AR3" s="588"/>
      <c r="AS3" s="588"/>
      <c r="AT3" s="588"/>
      <c r="AU3" s="588"/>
      <c r="AV3" s="588"/>
      <c r="AW3" s="588"/>
      <c r="AX3" s="588"/>
      <c r="AY3" s="588"/>
      <c r="AZ3" s="588"/>
      <c r="BA3" s="588"/>
      <c r="BB3" s="588"/>
      <c r="BC3" s="588"/>
      <c r="BD3" s="588"/>
      <c r="BE3" s="588"/>
      <c r="BF3" s="588"/>
      <c r="BG3" s="588"/>
      <c r="BH3" s="588"/>
    </row>
    <row r="4" spans="1:60" ht="17" customHeight="1">
      <c r="A4" s="1503" t="s">
        <v>595</v>
      </c>
      <c r="B4" s="1503" t="s">
        <v>597</v>
      </c>
      <c r="C4" s="1503" t="s">
        <v>598</v>
      </c>
      <c r="D4" s="1503" t="s">
        <v>599</v>
      </c>
      <c r="E4" s="1879" t="s">
        <v>600</v>
      </c>
      <c r="F4" s="1880"/>
      <c r="G4" s="1880"/>
      <c r="H4" s="1880"/>
      <c r="I4" s="1880"/>
      <c r="J4" s="588"/>
      <c r="K4" s="588"/>
      <c r="L4" s="588"/>
      <c r="M4" s="588">
        <f>F10*60%</f>
        <v>45517026.150881998</v>
      </c>
      <c r="N4" s="588"/>
      <c r="O4" s="588"/>
      <c r="P4" s="588"/>
      <c r="Q4" s="588"/>
      <c r="R4" s="588"/>
      <c r="S4" s="588"/>
      <c r="T4" s="588"/>
      <c r="U4" s="588"/>
      <c r="V4" s="588"/>
      <c r="W4" s="588"/>
      <c r="X4" s="588"/>
      <c r="Y4" s="588"/>
      <c r="Z4" s="588"/>
      <c r="AA4" s="588"/>
      <c r="AB4" s="588"/>
      <c r="AC4" s="588"/>
      <c r="AD4" s="588"/>
      <c r="AE4" s="588"/>
      <c r="AF4" s="588"/>
      <c r="AG4" s="588"/>
      <c r="AH4" s="588"/>
      <c r="AI4" s="588"/>
      <c r="AJ4" s="588"/>
      <c r="AK4" s="588"/>
      <c r="AL4" s="588"/>
      <c r="AM4" s="588"/>
      <c r="AN4" s="588"/>
      <c r="AO4" s="588"/>
      <c r="AP4" s="588"/>
      <c r="AQ4" s="588"/>
      <c r="AR4" s="588">
        <f>$F$10*$D$5*E6</f>
        <v>6827553.9226323003</v>
      </c>
      <c r="AS4" s="588">
        <f t="shared" ref="AS4:AV4" si="0">$F$10*$D$5*F6</f>
        <v>4551702.6150882011</v>
      </c>
      <c r="AT4" s="588">
        <f t="shared" si="0"/>
        <v>4551702.6150882011</v>
      </c>
      <c r="AU4" s="588">
        <f t="shared" si="0"/>
        <v>4551702.6150882011</v>
      </c>
      <c r="AV4" s="588">
        <f t="shared" si="0"/>
        <v>2275851.3075441024</v>
      </c>
      <c r="AW4" s="588"/>
      <c r="AX4" s="588"/>
      <c r="AY4" s="588"/>
      <c r="AZ4" s="588"/>
      <c r="BA4" s="588"/>
      <c r="BB4" s="588"/>
      <c r="BC4" s="588"/>
      <c r="BD4" s="588"/>
      <c r="BE4" s="588"/>
      <c r="BF4" s="588"/>
      <c r="BG4" s="588"/>
      <c r="BH4" s="588"/>
    </row>
    <row r="5" spans="1:60" ht="17" customHeight="1">
      <c r="A5" s="1877" t="s">
        <v>596</v>
      </c>
      <c r="B5" s="1878">
        <v>0.1</v>
      </c>
      <c r="C5" s="1878">
        <v>0.6</v>
      </c>
      <c r="D5" s="1878">
        <f>1-B5-C5</f>
        <v>0.30000000000000004</v>
      </c>
      <c r="E5" s="1504" t="s">
        <v>601</v>
      </c>
      <c r="F5" s="1504" t="s">
        <v>602</v>
      </c>
      <c r="G5" s="1504" t="s">
        <v>603</v>
      </c>
      <c r="H5" s="1504" t="s">
        <v>604</v>
      </c>
      <c r="I5" s="1504" t="s">
        <v>605</v>
      </c>
      <c r="J5" s="588"/>
      <c r="K5" s="588"/>
      <c r="L5" s="588"/>
      <c r="M5" s="588"/>
      <c r="N5" s="588"/>
      <c r="O5" s="588"/>
      <c r="P5" s="588"/>
      <c r="Q5" s="588"/>
      <c r="R5" s="588"/>
      <c r="S5" s="588"/>
      <c r="T5" s="588"/>
      <c r="U5" s="588"/>
      <c r="V5" s="588"/>
      <c r="W5" s="588"/>
      <c r="X5" s="588"/>
      <c r="Y5" s="588"/>
      <c r="Z5" s="588"/>
      <c r="AA5" s="588"/>
      <c r="AB5" s="588"/>
      <c r="AC5" s="588"/>
      <c r="AD5" s="588"/>
      <c r="AE5" s="588"/>
      <c r="AF5" s="588"/>
      <c r="AG5" s="588"/>
      <c r="AH5" s="588"/>
      <c r="AI5" s="588"/>
      <c r="AJ5" s="588"/>
      <c r="AK5" s="588"/>
      <c r="AL5" s="588"/>
      <c r="AM5" s="588"/>
      <c r="AN5" s="588"/>
      <c r="AO5" s="588"/>
      <c r="AP5" s="588"/>
      <c r="AQ5" s="588"/>
      <c r="AR5" s="588"/>
      <c r="AS5" s="588"/>
      <c r="AT5" s="588"/>
      <c r="AU5" s="588"/>
      <c r="AV5" s="588"/>
      <c r="AW5" s="588"/>
      <c r="AX5" s="588"/>
      <c r="AY5" s="588"/>
      <c r="AZ5" s="588"/>
      <c r="BA5" s="588"/>
      <c r="BB5" s="588"/>
      <c r="BC5" s="588"/>
      <c r="BD5" s="588"/>
      <c r="BE5" s="588"/>
      <c r="BF5" s="588"/>
      <c r="BG5" s="588"/>
      <c r="BH5" s="588"/>
    </row>
    <row r="6" spans="1:60" ht="17" customHeight="1">
      <c r="A6" s="1877"/>
      <c r="B6" s="1878"/>
      <c r="C6" s="1878"/>
      <c r="D6" s="1878"/>
      <c r="E6" s="1505">
        <v>0.3</v>
      </c>
      <c r="F6" s="1505">
        <v>0.2</v>
      </c>
      <c r="G6" s="1505">
        <v>0.2</v>
      </c>
      <c r="H6" s="1505">
        <v>0.2</v>
      </c>
      <c r="I6" s="1505">
        <f>IF(H6&gt;0,1-SUM(E6:H6),0)</f>
        <v>0.10000000000000009</v>
      </c>
      <c r="J6" s="588"/>
      <c r="K6" s="588"/>
      <c r="L6" s="588"/>
      <c r="M6" s="588"/>
      <c r="N6" s="588"/>
      <c r="O6" s="588"/>
      <c r="P6" s="588"/>
      <c r="Q6" s="588"/>
      <c r="R6" s="588"/>
      <c r="S6" s="588"/>
      <c r="T6" s="588"/>
      <c r="U6" s="588"/>
      <c r="V6" s="588"/>
      <c r="W6" s="588"/>
      <c r="X6" s="588"/>
      <c r="Y6" s="588"/>
      <c r="Z6" s="588"/>
      <c r="AA6" s="588"/>
      <c r="AB6" s="588"/>
      <c r="AC6" s="588"/>
      <c r="AD6" s="588"/>
      <c r="AE6" s="588"/>
      <c r="AF6" s="588"/>
      <c r="AG6" s="588"/>
      <c r="AH6" s="588"/>
      <c r="AI6" s="588"/>
      <c r="AJ6" s="588"/>
      <c r="AK6" s="588"/>
      <c r="AL6" s="588"/>
      <c r="AM6" s="588"/>
      <c r="AN6" s="588"/>
      <c r="AO6" s="588"/>
      <c r="AP6" s="588"/>
      <c r="AQ6" s="588"/>
      <c r="AR6" s="588"/>
      <c r="AS6" s="588"/>
      <c r="AT6" s="588"/>
      <c r="AU6" s="588"/>
      <c r="AV6" s="588"/>
      <c r="AW6" s="588"/>
      <c r="AX6" s="588"/>
      <c r="AY6" s="588"/>
      <c r="AZ6" s="588"/>
      <c r="BA6" s="588"/>
      <c r="BB6" s="588"/>
      <c r="BC6" s="588"/>
      <c r="BD6" s="588"/>
      <c r="BE6" s="588"/>
      <c r="BF6" s="588"/>
      <c r="BG6" s="588"/>
      <c r="BH6" s="588"/>
    </row>
    <row r="7" spans="1:60" ht="17" customHeight="1">
      <c r="A7" s="588"/>
      <c r="B7" s="595"/>
      <c r="C7" s="596"/>
      <c r="D7" s="597"/>
      <c r="E7" s="588"/>
      <c r="F7" s="597"/>
      <c r="G7" s="598">
        <v>1</v>
      </c>
      <c r="H7" s="598">
        <f t="shared" ref="H7:BE7" si="1">G7+1</f>
        <v>2</v>
      </c>
      <c r="I7" s="598">
        <f t="shared" si="1"/>
        <v>3</v>
      </c>
      <c r="J7" s="598">
        <f t="shared" si="1"/>
        <v>4</v>
      </c>
      <c r="K7" s="598">
        <f t="shared" si="1"/>
        <v>5</v>
      </c>
      <c r="L7" s="598">
        <f t="shared" si="1"/>
        <v>6</v>
      </c>
      <c r="M7" s="598">
        <f t="shared" si="1"/>
        <v>7</v>
      </c>
      <c r="N7" s="598">
        <f t="shared" si="1"/>
        <v>8</v>
      </c>
      <c r="O7" s="598">
        <f t="shared" si="1"/>
        <v>9</v>
      </c>
      <c r="P7" s="598">
        <f t="shared" si="1"/>
        <v>10</v>
      </c>
      <c r="Q7" s="598">
        <f t="shared" si="1"/>
        <v>11</v>
      </c>
      <c r="R7" s="598">
        <f t="shared" si="1"/>
        <v>12</v>
      </c>
      <c r="S7" s="598">
        <f t="shared" si="1"/>
        <v>13</v>
      </c>
      <c r="T7" s="598">
        <f t="shared" si="1"/>
        <v>14</v>
      </c>
      <c r="U7" s="598">
        <f t="shared" si="1"/>
        <v>15</v>
      </c>
      <c r="V7" s="598">
        <f t="shared" si="1"/>
        <v>16</v>
      </c>
      <c r="W7" s="598">
        <f t="shared" si="1"/>
        <v>17</v>
      </c>
      <c r="X7" s="598">
        <f t="shared" si="1"/>
        <v>18</v>
      </c>
      <c r="Y7" s="598">
        <f t="shared" si="1"/>
        <v>19</v>
      </c>
      <c r="Z7" s="598">
        <f t="shared" si="1"/>
        <v>20</v>
      </c>
      <c r="AA7" s="598">
        <f t="shared" si="1"/>
        <v>21</v>
      </c>
      <c r="AB7" s="598">
        <f t="shared" si="1"/>
        <v>22</v>
      </c>
      <c r="AC7" s="598">
        <f t="shared" si="1"/>
        <v>23</v>
      </c>
      <c r="AD7" s="598">
        <f t="shared" si="1"/>
        <v>24</v>
      </c>
      <c r="AE7" s="598">
        <f t="shared" si="1"/>
        <v>25</v>
      </c>
      <c r="AF7" s="598">
        <f t="shared" si="1"/>
        <v>26</v>
      </c>
      <c r="AG7" s="598">
        <f t="shared" si="1"/>
        <v>27</v>
      </c>
      <c r="AH7" s="598">
        <f t="shared" si="1"/>
        <v>28</v>
      </c>
      <c r="AI7" s="598">
        <f t="shared" si="1"/>
        <v>29</v>
      </c>
      <c r="AJ7" s="598">
        <f t="shared" si="1"/>
        <v>30</v>
      </c>
      <c r="AK7" s="598">
        <f t="shared" si="1"/>
        <v>31</v>
      </c>
      <c r="AL7" s="598">
        <f t="shared" si="1"/>
        <v>32</v>
      </c>
      <c r="AM7" s="598">
        <f t="shared" si="1"/>
        <v>33</v>
      </c>
      <c r="AN7" s="598">
        <f t="shared" si="1"/>
        <v>34</v>
      </c>
      <c r="AO7" s="598">
        <f t="shared" si="1"/>
        <v>35</v>
      </c>
      <c r="AP7" s="598">
        <f t="shared" si="1"/>
        <v>36</v>
      </c>
      <c r="AQ7" s="598">
        <f t="shared" si="1"/>
        <v>37</v>
      </c>
      <c r="AR7" s="598">
        <f t="shared" si="1"/>
        <v>38</v>
      </c>
      <c r="AS7" s="598">
        <f t="shared" si="1"/>
        <v>39</v>
      </c>
      <c r="AT7" s="598">
        <f t="shared" si="1"/>
        <v>40</v>
      </c>
      <c r="AU7" s="598">
        <f t="shared" si="1"/>
        <v>41</v>
      </c>
      <c r="AV7" s="598">
        <f t="shared" si="1"/>
        <v>42</v>
      </c>
      <c r="AW7" s="598">
        <f t="shared" si="1"/>
        <v>43</v>
      </c>
      <c r="AX7" s="598">
        <f t="shared" si="1"/>
        <v>44</v>
      </c>
      <c r="AY7" s="598">
        <f t="shared" si="1"/>
        <v>45</v>
      </c>
      <c r="AZ7" s="598">
        <f t="shared" si="1"/>
        <v>46</v>
      </c>
      <c r="BA7" s="598">
        <f t="shared" si="1"/>
        <v>47</v>
      </c>
      <c r="BB7" s="598">
        <f t="shared" si="1"/>
        <v>48</v>
      </c>
      <c r="BC7" s="598">
        <f t="shared" si="1"/>
        <v>49</v>
      </c>
      <c r="BD7" s="598">
        <f t="shared" si="1"/>
        <v>50</v>
      </c>
      <c r="BE7" s="598">
        <f t="shared" si="1"/>
        <v>51</v>
      </c>
      <c r="BF7" s="599" t="s">
        <v>348</v>
      </c>
      <c r="BG7" s="588"/>
      <c r="BH7" s="588"/>
    </row>
    <row r="8" spans="1:60" ht="17" customHeight="1">
      <c r="A8" s="1863" t="s">
        <v>349</v>
      </c>
      <c r="B8" s="1863" t="s">
        <v>350</v>
      </c>
      <c r="C8" s="600" t="s">
        <v>351</v>
      </c>
      <c r="D8" s="1865" t="s">
        <v>352</v>
      </c>
      <c r="E8" s="1865"/>
      <c r="F8" s="1865"/>
      <c r="G8" s="601">
        <f>'CASH FLOW'!Z7</f>
        <v>44835</v>
      </c>
      <c r="H8" s="601">
        <f>'CASH FLOW'!AA7</f>
        <v>44866</v>
      </c>
      <c r="I8" s="601">
        <f>'CASH FLOW'!AB7</f>
        <v>44896</v>
      </c>
      <c r="J8" s="601">
        <f>'CASH FLOW'!AC7</f>
        <v>44927</v>
      </c>
      <c r="K8" s="601">
        <f>'CASH FLOW'!AD7</f>
        <v>44958</v>
      </c>
      <c r="L8" s="601">
        <f>'CASH FLOW'!AE7</f>
        <v>44986</v>
      </c>
      <c r="M8" s="601">
        <f>'CASH FLOW'!AF7</f>
        <v>45017</v>
      </c>
      <c r="N8" s="601">
        <f>'CASH FLOW'!AG7</f>
        <v>45047</v>
      </c>
      <c r="O8" s="601">
        <f>'CASH FLOW'!AH7</f>
        <v>45078</v>
      </c>
      <c r="P8" s="601">
        <f>'CASH FLOW'!AI7</f>
        <v>45108</v>
      </c>
      <c r="Q8" s="601">
        <f>'CASH FLOW'!AJ7</f>
        <v>45139</v>
      </c>
      <c r="R8" s="601">
        <f>'CASH FLOW'!AK7</f>
        <v>45170</v>
      </c>
      <c r="S8" s="601">
        <f>'CASH FLOW'!AL7</f>
        <v>45200</v>
      </c>
      <c r="T8" s="601">
        <f>'CASH FLOW'!AM7</f>
        <v>45231</v>
      </c>
      <c r="U8" s="601">
        <f>'CASH FLOW'!AN7</f>
        <v>45261</v>
      </c>
      <c r="V8" s="601">
        <f>'CASH FLOW'!AO7</f>
        <v>45292</v>
      </c>
      <c r="W8" s="601">
        <f>'CASH FLOW'!AP7</f>
        <v>45323</v>
      </c>
      <c r="X8" s="601">
        <f>'CASH FLOW'!AQ7</f>
        <v>45352</v>
      </c>
      <c r="Y8" s="601">
        <f>'CASH FLOW'!AR7</f>
        <v>45383</v>
      </c>
      <c r="Z8" s="601">
        <f>'CASH FLOW'!AS7</f>
        <v>45413</v>
      </c>
      <c r="AA8" s="601">
        <f>'CASH FLOW'!AT7</f>
        <v>45444</v>
      </c>
      <c r="AB8" s="601">
        <f>'CASH FLOW'!AU7</f>
        <v>45474</v>
      </c>
      <c r="AC8" s="601">
        <f>'CASH FLOW'!AV7</f>
        <v>45505</v>
      </c>
      <c r="AD8" s="601">
        <f>'CASH FLOW'!AW7</f>
        <v>45536</v>
      </c>
      <c r="AE8" s="601">
        <f>'CASH FLOW'!AX7</f>
        <v>45566</v>
      </c>
      <c r="AF8" s="601">
        <f>'CASH FLOW'!AY7</f>
        <v>45597</v>
      </c>
      <c r="AG8" s="601">
        <f>'CASH FLOW'!AZ7</f>
        <v>45627</v>
      </c>
      <c r="AH8" s="601">
        <f>'CASH FLOW'!BA7</f>
        <v>45658</v>
      </c>
      <c r="AI8" s="601">
        <f>'CASH FLOW'!BB7</f>
        <v>45689</v>
      </c>
      <c r="AJ8" s="601">
        <f>'CASH FLOW'!BC7</f>
        <v>45717</v>
      </c>
      <c r="AK8" s="601">
        <f>'CASH FLOW'!BD7</f>
        <v>45748</v>
      </c>
      <c r="AL8" s="601">
        <f>'CASH FLOW'!BE7</f>
        <v>45778</v>
      </c>
      <c r="AM8" s="601">
        <f>'CASH FLOW'!BF7</f>
        <v>45809</v>
      </c>
      <c r="AN8" s="601">
        <f>'CASH FLOW'!BG7</f>
        <v>45839</v>
      </c>
      <c r="AO8" s="601">
        <f>'CASH FLOW'!BH7</f>
        <v>45870</v>
      </c>
      <c r="AP8" s="601">
        <f>'CASH FLOW'!BI7</f>
        <v>45901</v>
      </c>
      <c r="AQ8" s="601">
        <f>'CASH FLOW'!BJ7</f>
        <v>45931</v>
      </c>
      <c r="AR8" s="601">
        <f>'CASH FLOW'!BK7</f>
        <v>45962</v>
      </c>
      <c r="AS8" s="601">
        <f>'CASH FLOW'!BL7</f>
        <v>45992</v>
      </c>
      <c r="AT8" s="601">
        <f>'CASH FLOW'!BM7</f>
        <v>46023</v>
      </c>
      <c r="AU8" s="601">
        <f>'CASH FLOW'!BN7</f>
        <v>46054</v>
      </c>
      <c r="AV8" s="601">
        <f>'CASH FLOW'!BO7</f>
        <v>46082</v>
      </c>
      <c r="AW8" s="601">
        <f>'CASH FLOW'!BP7</f>
        <v>46113</v>
      </c>
      <c r="AX8" s="601">
        <f>'CASH FLOW'!BQ7</f>
        <v>46143</v>
      </c>
      <c r="AY8" s="601">
        <f>'CASH FLOW'!BR7</f>
        <v>46174</v>
      </c>
      <c r="AZ8" s="601">
        <f>'CASH FLOW'!BS7</f>
        <v>46204</v>
      </c>
      <c r="BA8" s="601">
        <f>'CASH FLOW'!BT7</f>
        <v>46235</v>
      </c>
      <c r="BB8" s="601">
        <f>'CASH FLOW'!BU7</f>
        <v>46266</v>
      </c>
      <c r="BC8" s="601">
        <f>'CASH FLOW'!BV7</f>
        <v>46296</v>
      </c>
      <c r="BD8" s="601">
        <f>'CASH FLOW'!BW7</f>
        <v>46327</v>
      </c>
      <c r="BE8" s="601">
        <f>'CASH FLOW'!BX7</f>
        <v>46357</v>
      </c>
      <c r="BF8" s="1863" t="s">
        <v>353</v>
      </c>
      <c r="BG8" s="588" t="s">
        <v>354</v>
      </c>
      <c r="BH8" s="588"/>
    </row>
    <row r="9" spans="1:60" ht="17" customHeight="1">
      <c r="A9" s="1864"/>
      <c r="B9" s="1864"/>
      <c r="C9" s="602" t="s">
        <v>355</v>
      </c>
      <c r="D9" s="603" t="s">
        <v>356</v>
      </c>
      <c r="E9" s="603" t="s">
        <v>357</v>
      </c>
      <c r="F9" s="602" t="s">
        <v>355</v>
      </c>
      <c r="G9" s="1502" t="s">
        <v>358</v>
      </c>
      <c r="H9" s="1502"/>
      <c r="I9" s="1502"/>
      <c r="J9" s="1502"/>
      <c r="K9" s="1502"/>
      <c r="L9" s="1502" t="s">
        <v>359</v>
      </c>
      <c r="M9" s="1502"/>
      <c r="N9" s="1502"/>
      <c r="O9" s="1502"/>
      <c r="P9" s="1502"/>
      <c r="Q9" s="1502" t="s">
        <v>360</v>
      </c>
      <c r="R9" s="1502"/>
      <c r="S9" s="1502"/>
      <c r="T9" s="1502"/>
      <c r="U9" s="1502"/>
      <c r="V9" s="1502" t="s">
        <v>361</v>
      </c>
      <c r="W9" s="1502"/>
      <c r="X9" s="1502"/>
      <c r="Y9" s="1502"/>
      <c r="Z9" s="1502"/>
      <c r="AA9" s="1502"/>
      <c r="AB9" s="1502" t="s">
        <v>362</v>
      </c>
      <c r="AC9" s="1502"/>
      <c r="AD9" s="1502"/>
      <c r="AE9" s="1502"/>
      <c r="AF9" s="1502"/>
      <c r="AG9" s="1502" t="s">
        <v>363</v>
      </c>
      <c r="AH9" s="1502"/>
      <c r="AI9" s="1502"/>
      <c r="AJ9" s="1502"/>
      <c r="AK9" s="1502"/>
      <c r="AL9" s="1502" t="s">
        <v>364</v>
      </c>
      <c r="AM9" s="1502"/>
      <c r="AN9" s="1502"/>
      <c r="AO9" s="1502"/>
      <c r="AP9" s="1502"/>
      <c r="AQ9" s="1502"/>
      <c r="AR9" s="1502" t="s">
        <v>606</v>
      </c>
      <c r="AS9" s="1502" t="s">
        <v>602</v>
      </c>
      <c r="AT9" s="1502" t="s">
        <v>603</v>
      </c>
      <c r="AU9" s="1502" t="s">
        <v>604</v>
      </c>
      <c r="AV9" s="1502" t="s">
        <v>605</v>
      </c>
      <c r="AW9" s="1502"/>
      <c r="AX9" s="1502"/>
      <c r="AY9" s="1502"/>
      <c r="AZ9" s="1502"/>
      <c r="BA9" s="1502"/>
      <c r="BB9" s="1502"/>
      <c r="BC9" s="1502"/>
      <c r="BD9" s="1502"/>
      <c r="BE9" s="1502"/>
      <c r="BF9" s="1864"/>
      <c r="BG9" s="588"/>
      <c r="BH9" s="588"/>
    </row>
    <row r="10" spans="1:60" ht="17" customHeight="1">
      <c r="A10" s="1852" t="str">
        <f>'CASH FLOW'!B8</f>
        <v>공동주택</v>
      </c>
      <c r="B10" s="611">
        <f>손익!P8</f>
        <v>44835</v>
      </c>
      <c r="C10" s="605">
        <f>'CASH FLOW'!E8*1000</f>
        <v>252872367.50490001</v>
      </c>
      <c r="D10" s="1501">
        <v>0.3</v>
      </c>
      <c r="E10" s="607">
        <f>D10</f>
        <v>0.3</v>
      </c>
      <c r="F10" s="608">
        <f t="shared" ref="F10:F42" si="2">C10*D10</f>
        <v>75861710.25147</v>
      </c>
      <c r="G10" s="605">
        <f>IF(TEXT(G$8,"yyyy-mm")=TEXT($B10,"yyyy-mm"),$F10*$B$5,IF(AND(TEXT($B10,"yyyy-mm")&lt;=TEXT(G$8,"yyyy-mm"),G$9="1차중도금"),$F10*$C$5/6,0))</f>
        <v>7586171.0251470003</v>
      </c>
      <c r="H10" s="605">
        <f>_xlfn.LET(_xlpm.금액,$F10,_xlpm.계약금비율,$B$5,_xlpm.중도금비율,$C$5,_xlpm.잔금비율,$D$5,_xlpm.계약시기,TEXT($B10,"yyyy-mm"),_xlpm.현재월,TEXT(H$8,"yyyy-mm"),_xlpm.헤더범위,$G$9:H$9,_xlpm.헤더,H$9,_xlpm.잔금표,$E$6:$I$6,_xlpm.잔금회차,IF(ISNUMBER(SEARCH("입주",_xlpm.헤더)),VALUE(RIGHT(_xlpm.헤더,1)),0),_xlpm.열번호,COLUMN(H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10" s="605">
        <f>_xlfn.LET(_xlpm.금액,$F10,_xlpm.계약금비율,$B$5,_xlpm.중도금비율,$C$5,_xlpm.잔금비율,$D$5,_xlpm.계약시기,TEXT($B10,"yyyy-mm"),_xlpm.현재월,TEXT(I$8,"yyyy-mm"),_xlpm.헤더범위,$G$9:I$9,_xlpm.헤더,I$9,_xlpm.잔금표,$E$6:$I$6,_xlpm.잔금회차,IF(ISNUMBER(SEARCH("입주",_xlpm.헤더)),VALUE(RIGHT(_xlpm.헤더,1)),0),_xlpm.열번호,COLUMN(I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10" s="605">
        <f>_xlfn.LET(_xlpm.금액,$F10,_xlpm.계약금비율,$B$5,_xlpm.중도금비율,$C$5,_xlpm.잔금비율,$D$5,_xlpm.계약시기,TEXT($B10,"yyyy-mm"),_xlpm.현재월,TEXT(J$8,"yyyy-mm"),_xlpm.헤더범위,$G$9:J$9,_xlpm.헤더,J$9,_xlpm.잔금표,$E$6:$I$6,_xlpm.잔금회차,IF(ISNUMBER(SEARCH("입주",_xlpm.헤더)),VALUE(RIGHT(_xlpm.헤더,1)),0),_xlpm.열번호,COLUMN(J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10" s="605">
        <f>_xlfn.LET(_xlpm.금액,$F10,_xlpm.계약금비율,$B$5,_xlpm.중도금비율,$C$5,_xlpm.잔금비율,$D$5,_xlpm.계약시기,TEXT($B10,"yyyy-mm"),_xlpm.현재월,TEXT(K$8,"yyyy-mm"),_xlpm.헤더범위,$G$9:K$9,_xlpm.헤더,K$9,_xlpm.잔금표,$E$6:$I$6,_xlpm.잔금회차,IF(ISNUMBER(SEARCH("입주",_xlpm.헤더)),VALUE(RIGHT(_xlpm.헤더,1)),0),_xlpm.열번호,COLUMN(K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10" s="605">
        <f ca="1">_xlfn.LET(_xlpm.금액,$F10,_xlpm.계약금비율,$B$5,_xlpm.중도금비율,$C$5,_xlpm.잔금비율,$D$5,_xlpm.계약시기,TEXT($B10,"yyyy-mm"),_xlpm.현재월,TEXT(L$8,"yyyy-mm"),_xlpm.헤더범위,$G$9:L$9,_xlpm.헤더,L$9,_xlpm.잔금표,$E$6:$I$6,_xlpm.잔금회차,IF(ISNUMBER(SEARCH("입주",_xlpm.헤더)),VALUE(RIGHT(_xlpm.헤더,1)),0),_xlpm.열번호,COLUMN(L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7586171.0251470003</v>
      </c>
      <c r="M10" s="605">
        <f>_xlfn.LET(_xlpm.금액,$F10,_xlpm.계약금비율,$B$5,_xlpm.중도금비율,$C$5,_xlpm.잔금비율,$D$5,_xlpm.계약시기,TEXT($B10,"yyyy-mm"),_xlpm.현재월,TEXT(M$8,"yyyy-mm"),_xlpm.헤더범위,$G$9:M$9,_xlpm.헤더,M$9,_xlpm.잔금표,$E$6:$I$6,_xlpm.잔금회차,IF(ISNUMBER(SEARCH("입주",_xlpm.헤더)),VALUE(RIGHT(_xlpm.헤더,1)),0),_xlpm.열번호,COLUMN(M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10" s="605">
        <f>_xlfn.LET(_xlpm.금액,$F10,_xlpm.계약금비율,$B$5,_xlpm.중도금비율,$C$5,_xlpm.잔금비율,$D$5,_xlpm.계약시기,TEXT($B10,"yyyy-mm"),_xlpm.현재월,TEXT(N$8,"yyyy-mm"),_xlpm.헤더범위,$G$9:N$9,_xlpm.헤더,N$9,_xlpm.잔금표,$E$6:$I$6,_xlpm.잔금회차,IF(ISNUMBER(SEARCH("입주",_xlpm.헤더)),VALUE(RIGHT(_xlpm.헤더,1)),0),_xlpm.열번호,COLUMN(N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10" s="605">
        <f>_xlfn.LET(_xlpm.금액,$F10,_xlpm.계약금비율,$B$5,_xlpm.중도금비율,$C$5,_xlpm.잔금비율,$D$5,_xlpm.계약시기,TEXT($B10,"yyyy-mm"),_xlpm.현재월,TEXT(O$8,"yyyy-mm"),_xlpm.헤더범위,$G$9:O$9,_xlpm.헤더,O$9,_xlpm.잔금표,$E$6:$I$6,_xlpm.잔금회차,IF(ISNUMBER(SEARCH("입주",_xlpm.헤더)),VALUE(RIGHT(_xlpm.헤더,1)),0),_xlpm.열번호,COLUMN(O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10" s="605">
        <f>_xlfn.LET(_xlpm.금액,$F10,_xlpm.계약금비율,$B$5,_xlpm.중도금비율,$C$5,_xlpm.잔금비율,$D$5,_xlpm.계약시기,TEXT($B10,"yyyy-mm"),_xlpm.현재월,TEXT(P$8,"yyyy-mm"),_xlpm.헤더범위,$G$9:P$9,_xlpm.헤더,P$9,_xlpm.잔금표,$E$6:$I$6,_xlpm.잔금회차,IF(ISNUMBER(SEARCH("입주",_xlpm.헤더)),VALUE(RIGHT(_xlpm.헤더,1)),0),_xlpm.열번호,COLUMN(P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10" s="605">
        <f ca="1">_xlfn.LET(_xlpm.금액,$F10,_xlpm.계약금비율,$B$5,_xlpm.중도금비율,$C$5,_xlpm.잔금비율,$D$5,_xlpm.계약시기,TEXT($B10,"yyyy-mm"),_xlpm.현재월,TEXT(Q$8,"yyyy-mm"),_xlpm.헤더범위,$G$9:Q$9,_xlpm.헤더,Q$9,_xlpm.잔금표,$E$6:$I$6,_xlpm.잔금회차,IF(ISNUMBER(SEARCH("입주",_xlpm.헤더)),VALUE(RIGHT(_xlpm.헤더,1)),0),_xlpm.열번호,COLUMN(Q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7586171.0251470003</v>
      </c>
      <c r="R10" s="605">
        <f>_xlfn.LET(_xlpm.금액,$F10,_xlpm.계약금비율,$B$5,_xlpm.중도금비율,$C$5,_xlpm.잔금비율,$D$5,_xlpm.계약시기,TEXT($B10,"yyyy-mm"),_xlpm.현재월,TEXT(R$8,"yyyy-mm"),_xlpm.헤더범위,$G$9:R$9,_xlpm.헤더,R$9,_xlpm.잔금표,$E$6:$I$6,_xlpm.잔금회차,IF(ISNUMBER(SEARCH("입주",_xlpm.헤더)),VALUE(RIGHT(_xlpm.헤더,1)),0),_xlpm.열번호,COLUMN(R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0" s="605">
        <f>_xlfn.LET(_xlpm.금액,$F10,_xlpm.계약금비율,$B$5,_xlpm.중도금비율,$C$5,_xlpm.잔금비율,$D$5,_xlpm.계약시기,TEXT($B10,"yyyy-mm"),_xlpm.현재월,TEXT(S$8,"yyyy-mm"),_xlpm.헤더범위,$G$9:S$9,_xlpm.헤더,S$9,_xlpm.잔금표,$E$6:$I$6,_xlpm.잔금회차,IF(ISNUMBER(SEARCH("입주",_xlpm.헤더)),VALUE(RIGHT(_xlpm.헤더,1)),0),_xlpm.열번호,COLUMN(S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0" s="605">
        <f>_xlfn.LET(_xlpm.금액,$F10,_xlpm.계약금비율,$B$5,_xlpm.중도금비율,$C$5,_xlpm.잔금비율,$D$5,_xlpm.계약시기,TEXT($B10,"yyyy-mm"),_xlpm.현재월,TEXT(T$8,"yyyy-mm"),_xlpm.헤더범위,$G$9:T$9,_xlpm.헤더,T$9,_xlpm.잔금표,$E$6:$I$6,_xlpm.잔금회차,IF(ISNUMBER(SEARCH("입주",_xlpm.헤더)),VALUE(RIGHT(_xlpm.헤더,1)),0),_xlpm.열번호,COLUMN(T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0" s="605">
        <f>_xlfn.LET(_xlpm.금액,$F10,_xlpm.계약금비율,$B$5,_xlpm.중도금비율,$C$5,_xlpm.잔금비율,$D$5,_xlpm.계약시기,TEXT($B10,"yyyy-mm"),_xlpm.현재월,TEXT(U$8,"yyyy-mm"),_xlpm.헤더범위,$G$9:U$9,_xlpm.헤더,U$9,_xlpm.잔금표,$E$6:$I$6,_xlpm.잔금회차,IF(ISNUMBER(SEARCH("입주",_xlpm.헤더)),VALUE(RIGHT(_xlpm.헤더,1)),0),_xlpm.열번호,COLUMN(U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0" s="605">
        <f ca="1">_xlfn.LET(_xlpm.금액,$F10,_xlpm.계약금비율,$B$5,_xlpm.중도금비율,$C$5,_xlpm.잔금비율,$D$5,_xlpm.계약시기,TEXT($B10,"yyyy-mm"),_xlpm.현재월,TEXT(V$8,"yyyy-mm"),_xlpm.헤더범위,$G$9:V$9,_xlpm.헤더,V$9,_xlpm.잔금표,$E$6:$I$6,_xlpm.잔금회차,IF(ISNUMBER(SEARCH("입주",_xlpm.헤더)),VALUE(RIGHT(_xlpm.헤더,1)),0),_xlpm.열번호,COLUMN(V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7586171.0251470003</v>
      </c>
      <c r="W10" s="605">
        <f>_xlfn.LET(_xlpm.금액,$F10,_xlpm.계약금비율,$B$5,_xlpm.중도금비율,$C$5,_xlpm.잔금비율,$D$5,_xlpm.계약시기,TEXT($B10,"yyyy-mm"),_xlpm.현재월,TEXT(W$8,"yyyy-mm"),_xlpm.헤더범위,$G$9:W$9,_xlpm.헤더,W$9,_xlpm.잔금표,$E$6:$I$6,_xlpm.잔금회차,IF(ISNUMBER(SEARCH("입주",_xlpm.헤더)),VALUE(RIGHT(_xlpm.헤더,1)),0),_xlpm.열번호,COLUMN(W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0" s="605">
        <f>_xlfn.LET(_xlpm.금액,$F10,_xlpm.계약금비율,$B$5,_xlpm.중도금비율,$C$5,_xlpm.잔금비율,$D$5,_xlpm.계약시기,TEXT($B10,"yyyy-mm"),_xlpm.현재월,TEXT(X$8,"yyyy-mm"),_xlpm.헤더범위,$G$9:X$9,_xlpm.헤더,X$9,_xlpm.잔금표,$E$6:$I$6,_xlpm.잔금회차,IF(ISNUMBER(SEARCH("입주",_xlpm.헤더)),VALUE(RIGHT(_xlpm.헤더,1)),0),_xlpm.열번호,COLUMN(X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0" s="605">
        <f>_xlfn.LET(_xlpm.금액,$F10,_xlpm.계약금비율,$B$5,_xlpm.중도금비율,$C$5,_xlpm.잔금비율,$D$5,_xlpm.계약시기,TEXT($B10,"yyyy-mm"),_xlpm.현재월,TEXT(Y$8,"yyyy-mm"),_xlpm.헤더범위,$G$9:Y$9,_xlpm.헤더,Y$9,_xlpm.잔금표,$E$6:$I$6,_xlpm.잔금회차,IF(ISNUMBER(SEARCH("입주",_xlpm.헤더)),VALUE(RIGHT(_xlpm.헤더,1)),0),_xlpm.열번호,COLUMN(Y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0" s="605">
        <f>_xlfn.LET(_xlpm.금액,$F10,_xlpm.계약금비율,$B$5,_xlpm.중도금비율,$C$5,_xlpm.잔금비율,$D$5,_xlpm.계약시기,TEXT($B10,"yyyy-mm"),_xlpm.현재월,TEXT(Z$8,"yyyy-mm"),_xlpm.헤더범위,$G$9:Z$9,_xlpm.헤더,Z$9,_xlpm.잔금표,$E$6:$I$6,_xlpm.잔금회차,IF(ISNUMBER(SEARCH("입주",_xlpm.헤더)),VALUE(RIGHT(_xlpm.헤더,1)),0),_xlpm.열번호,COLUMN(Z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0" s="605">
        <f>_xlfn.LET(_xlpm.금액,$F10,_xlpm.계약금비율,$B$5,_xlpm.중도금비율,$C$5,_xlpm.잔금비율,$D$5,_xlpm.계약시기,TEXT($B10,"yyyy-mm"),_xlpm.현재월,TEXT(AA$8,"yyyy-mm"),_xlpm.헤더범위,$G$9:AA$9,_xlpm.헤더,AA$9,_xlpm.잔금표,$E$6:$I$6,_xlpm.잔금회차,IF(ISNUMBER(SEARCH("입주",_xlpm.헤더)),VALUE(RIGHT(_xlpm.헤더,1)),0),_xlpm.열번호,COLUMN(AA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0" s="605">
        <f ca="1">_xlfn.LET(_xlpm.금액,$F10,_xlpm.계약금비율,$B$5,_xlpm.중도금비율,$C$5,_xlpm.잔금비율,$D$5,_xlpm.계약시기,TEXT($B10,"yyyy-mm"),_xlpm.현재월,TEXT(AB$8,"yyyy-mm"),_xlpm.헤더범위,$G$9:AB$9,_xlpm.헤더,AB$9,_xlpm.잔금표,$E$6:$I$6,_xlpm.잔금회차,IF(ISNUMBER(SEARCH("입주",_xlpm.헤더)),VALUE(RIGHT(_xlpm.헤더,1)),0),_xlpm.열번호,COLUMN(AB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7586171.0251470003</v>
      </c>
      <c r="AC10" s="605">
        <f>_xlfn.LET(_xlpm.금액,$F10,_xlpm.계약금비율,$B$5,_xlpm.중도금비율,$C$5,_xlpm.잔금비율,$D$5,_xlpm.계약시기,TEXT($B10,"yyyy-mm"),_xlpm.현재월,TEXT(AC$8,"yyyy-mm"),_xlpm.헤더범위,$G$9:AC$9,_xlpm.헤더,AC$9,_xlpm.잔금표,$E$6:$I$6,_xlpm.잔금회차,IF(ISNUMBER(SEARCH("입주",_xlpm.헤더)),VALUE(RIGHT(_xlpm.헤더,1)),0),_xlpm.열번호,COLUMN(AC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0" s="605">
        <f>_xlfn.LET(_xlpm.금액,$F10,_xlpm.계약금비율,$B$5,_xlpm.중도금비율,$C$5,_xlpm.잔금비율,$D$5,_xlpm.계약시기,TEXT($B10,"yyyy-mm"),_xlpm.현재월,TEXT(AD$8,"yyyy-mm"),_xlpm.헤더범위,$G$9:AD$9,_xlpm.헤더,AD$9,_xlpm.잔금표,$E$6:$I$6,_xlpm.잔금회차,IF(ISNUMBER(SEARCH("입주",_xlpm.헤더)),VALUE(RIGHT(_xlpm.헤더,1)),0),_xlpm.열번호,COLUMN(AD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0" s="605">
        <f>_xlfn.LET(_xlpm.금액,$F10,_xlpm.계약금비율,$B$5,_xlpm.중도금비율,$C$5,_xlpm.잔금비율,$D$5,_xlpm.계약시기,TEXT($B10,"yyyy-mm"),_xlpm.현재월,TEXT(AE$8,"yyyy-mm"),_xlpm.헤더범위,$G$9:AE$9,_xlpm.헤더,AE$9,_xlpm.잔금표,$E$6:$I$6,_xlpm.잔금회차,IF(ISNUMBER(SEARCH("입주",_xlpm.헤더)),VALUE(RIGHT(_xlpm.헤더,1)),0),_xlpm.열번호,COLUMN(AE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0" s="605">
        <f>_xlfn.LET(_xlpm.금액,$F10,_xlpm.계약금비율,$B$5,_xlpm.중도금비율,$C$5,_xlpm.잔금비율,$D$5,_xlpm.계약시기,TEXT($B10,"yyyy-mm"),_xlpm.현재월,TEXT(AF$8,"yyyy-mm"),_xlpm.헤더범위,$G$9:AF$9,_xlpm.헤더,AF$9,_xlpm.잔금표,$E$6:$I$6,_xlpm.잔금회차,IF(ISNUMBER(SEARCH("입주",_xlpm.헤더)),VALUE(RIGHT(_xlpm.헤더,1)),0),_xlpm.열번호,COLUMN(AF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0" s="605">
        <f ca="1">_xlfn.LET(_xlpm.금액,$F10,_xlpm.계약금비율,$B$5,_xlpm.중도금비율,$C$5,_xlpm.잔금비율,$D$5,_xlpm.계약시기,TEXT($B10,"yyyy-mm"),_xlpm.현재월,TEXT(AG$8,"yyyy-mm"),_xlpm.헤더범위,$G$9:AG$9,_xlpm.헤더,AG$9,_xlpm.잔금표,$E$6:$I$6,_xlpm.잔금회차,IF(ISNUMBER(SEARCH("입주",_xlpm.헤더)),VALUE(RIGHT(_xlpm.헤더,1)),0),_xlpm.열번호,COLUMN(AG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7586171.0251470003</v>
      </c>
      <c r="AH10" s="605">
        <f>_xlfn.LET(_xlpm.금액,$F10,_xlpm.계약금비율,$B$5,_xlpm.중도금비율,$C$5,_xlpm.잔금비율,$D$5,_xlpm.계약시기,TEXT($B10,"yyyy-mm"),_xlpm.현재월,TEXT(AH$8,"yyyy-mm"),_xlpm.헤더범위,$G$9:AH$9,_xlpm.헤더,AH$9,_xlpm.잔금표,$E$6:$I$6,_xlpm.잔금회차,IF(ISNUMBER(SEARCH("입주",_xlpm.헤더)),VALUE(RIGHT(_xlpm.헤더,1)),0),_xlpm.열번호,COLUMN(AH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0" s="605">
        <f>_xlfn.LET(_xlpm.금액,$F10,_xlpm.계약금비율,$B$5,_xlpm.중도금비율,$C$5,_xlpm.잔금비율,$D$5,_xlpm.계약시기,TEXT($B10,"yyyy-mm"),_xlpm.현재월,TEXT(AI$8,"yyyy-mm"),_xlpm.헤더범위,$G$9:AI$9,_xlpm.헤더,AI$9,_xlpm.잔금표,$E$6:$I$6,_xlpm.잔금회차,IF(ISNUMBER(SEARCH("입주",_xlpm.헤더)),VALUE(RIGHT(_xlpm.헤더,1)),0),_xlpm.열번호,COLUMN(AI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0" s="605">
        <f>_xlfn.LET(_xlpm.금액,$F10,_xlpm.계약금비율,$B$5,_xlpm.중도금비율,$C$5,_xlpm.잔금비율,$D$5,_xlpm.계약시기,TEXT($B10,"yyyy-mm"),_xlpm.현재월,TEXT(AJ$8,"yyyy-mm"),_xlpm.헤더범위,$G$9:AJ$9,_xlpm.헤더,AJ$9,_xlpm.잔금표,$E$6:$I$6,_xlpm.잔금회차,IF(ISNUMBER(SEARCH("입주",_xlpm.헤더)),VALUE(RIGHT(_xlpm.헤더,1)),0),_xlpm.열번호,COLUMN(AJ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0" s="605">
        <f>_xlfn.LET(_xlpm.금액,$F10,_xlpm.계약금비율,$B$5,_xlpm.중도금비율,$C$5,_xlpm.잔금비율,$D$5,_xlpm.계약시기,TEXT($B10,"yyyy-mm"),_xlpm.현재월,TEXT(AK$8,"yyyy-mm"),_xlpm.헤더범위,$G$9:AK$9,_xlpm.헤더,AK$9,_xlpm.잔금표,$E$6:$I$6,_xlpm.잔금회차,IF(ISNUMBER(SEARCH("입주",_xlpm.헤더)),VALUE(RIGHT(_xlpm.헤더,1)),0),_xlpm.열번호,COLUMN(AK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0" s="605">
        <f ca="1">_xlfn.LET(_xlpm.금액,$F10,_xlpm.계약금비율,$B$5,_xlpm.중도금비율,$C$5,_xlpm.잔금비율,$D$5,_xlpm.계약시기,TEXT($B10,"yyyy-mm"),_xlpm.현재월,TEXT(AL$8,"yyyy-mm"),_xlpm.헤더범위,$G$9:AL$9,_xlpm.헤더,AL$9,_xlpm.잔금표,$E$6:$I$6,_xlpm.잔금회차,IF(ISNUMBER(SEARCH("입주",_xlpm.헤더)),VALUE(RIGHT(_xlpm.헤더,1)),0),_xlpm.열번호,COLUMN(AL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7586171.0251470003</v>
      </c>
      <c r="AM10" s="605">
        <f>_xlfn.LET(_xlpm.금액,$F10,_xlpm.계약금비율,$B$5,_xlpm.중도금비율,$C$5,_xlpm.잔금비율,$D$5,_xlpm.계약시기,TEXT($B10,"yyyy-mm"),_xlpm.현재월,TEXT(AM$8,"yyyy-mm"),_xlpm.헤더범위,$G$9:AM$9,_xlpm.헤더,AM$9,_xlpm.잔금표,$E$6:$I$6,_xlpm.잔금회차,IF(ISNUMBER(SEARCH("입주",_xlpm.헤더)),VALUE(RIGHT(_xlpm.헤더,1)),0),_xlpm.열번호,COLUMN(AM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0" s="605">
        <f>_xlfn.LET(_xlpm.금액,$F10,_xlpm.계약금비율,$B$5,_xlpm.중도금비율,$C$5,_xlpm.잔금비율,$D$5,_xlpm.계약시기,TEXT($B10,"yyyy-mm"),_xlpm.현재월,TEXT(AN$8,"yyyy-mm"),_xlpm.헤더범위,$G$9:AN$9,_xlpm.헤더,AN$9,_xlpm.잔금표,$E$6:$I$6,_xlpm.잔금회차,IF(ISNUMBER(SEARCH("입주",_xlpm.헤더)),VALUE(RIGHT(_xlpm.헤더,1)),0),_xlpm.열번호,COLUMN(AN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0" s="605">
        <f>_xlfn.LET(_xlpm.금액,$F10,_xlpm.계약금비율,$B$5,_xlpm.중도금비율,$C$5,_xlpm.잔금비율,$D$5,_xlpm.계약시기,TEXT($B10,"yyyy-mm"),_xlpm.현재월,TEXT(AO$8,"yyyy-mm"),_xlpm.헤더범위,$G$9:AO$9,_xlpm.헤더,AO$9,_xlpm.잔금표,$E$6:$I$6,_xlpm.잔금회차,IF(ISNUMBER(SEARCH("입주",_xlpm.헤더)),VALUE(RIGHT(_xlpm.헤더,1)),0),_xlpm.열번호,COLUMN(AO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0" s="605">
        <f>_xlfn.LET(_xlpm.금액,$F10,_xlpm.계약금비율,$B$5,_xlpm.중도금비율,$C$5,_xlpm.잔금비율,$D$5,_xlpm.계약시기,TEXT($B10,"yyyy-mm"),_xlpm.현재월,TEXT(AP$8,"yyyy-mm"),_xlpm.헤더범위,$G$9:AP$9,_xlpm.헤더,AP$9,_xlpm.잔금표,$E$6:$I$6,_xlpm.잔금회차,IF(ISNUMBER(SEARCH("입주",_xlpm.헤더)),VALUE(RIGHT(_xlpm.헤더,1)),0),_xlpm.열번호,COLUMN(AP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0" s="605">
        <f>_xlfn.LET(_xlpm.금액,$F10,_xlpm.계약금비율,$B$5,_xlpm.중도금비율,$C$5,_xlpm.잔금비율,$D$5,_xlpm.계약시기,TEXT($B10,"yyyy-mm"),_xlpm.현재월,TEXT(AQ$8,"yyyy-mm"),_xlpm.헤더범위,$G$9:AQ$9,_xlpm.헤더,AQ$9,_xlpm.잔금표,$E$6:$I$6,_xlpm.잔금회차,IF(ISNUMBER(SEARCH("입주",_xlpm.헤더)),VALUE(RIGHT(_xlpm.헤더,1)),0),_xlpm.열번호,COLUMN(AQ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0" s="605" t="e" vm="2">
        <f>_xlfn.LET(_xlpm.금액,$F10,_xlpm.계약금비율,$B$5,_xlpm.중도금비율,$C$5,_xlpm.잔금비율,$D$5,_xlpm.계약시기,TEXT($B10,"yyyy-mm"),_xlpm.현재월,TEXT(AR$8,"yyyy-mm"),_xlpm.헤더범위,$G$9:AR$9,_xlpm.헤더,AR$9,_xlpm.잔금표,$E$6:$I$6,_xlpm.잔금회차,IF(ISNUMBER(SEARCH("입주",_xlpm.헤더)),VALUE(RIGHT(_xlpm.헤더,1)),0),_xlpm.열번호,COLUMN(AR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0" s="605" t="e" vm="2">
        <f>_xlfn.LET(_xlpm.금액,$F10,_xlpm.계약금비율,$B$5,_xlpm.중도금비율,$C$5,_xlpm.잔금비율,$D$5,_xlpm.계약시기,TEXT($B10,"yyyy-mm"),_xlpm.현재월,TEXT(AS$8,"yyyy-mm"),_xlpm.헤더범위,$G$9:AS$9,_xlpm.헤더,AS$9,_xlpm.잔금표,$E$6:$I$6,_xlpm.잔금회차,IF(ISNUMBER(SEARCH("입주",_xlpm.헤더)),VALUE(RIGHT(_xlpm.헤더,1)),0),_xlpm.열번호,COLUMN(AS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0" s="605" t="e" vm="2">
        <f>_xlfn.LET(_xlpm.금액,$F10,_xlpm.계약금비율,$B$5,_xlpm.중도금비율,$C$5,_xlpm.잔금비율,$D$5,_xlpm.계약시기,TEXT($B10,"yyyy-mm"),_xlpm.현재월,TEXT(AT$8,"yyyy-mm"),_xlpm.헤더범위,$G$9:AT$9,_xlpm.헤더,AT$9,_xlpm.잔금표,$E$6:$I$6,_xlpm.잔금회차,IF(ISNUMBER(SEARCH("입주",_xlpm.헤더)),VALUE(RIGHT(_xlpm.헤더,1)),0),_xlpm.열번호,COLUMN(AT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0" s="605" t="e" vm="2">
        <f>_xlfn.LET(_xlpm.금액,$F10,_xlpm.계약금비율,$B$5,_xlpm.중도금비율,$C$5,_xlpm.잔금비율,$D$5,_xlpm.계약시기,TEXT($B10,"yyyy-mm"),_xlpm.현재월,TEXT(AU$8,"yyyy-mm"),_xlpm.헤더범위,$G$9:AU$9,_xlpm.헤더,AU$9,_xlpm.잔금표,$E$6:$I$6,_xlpm.잔금회차,IF(ISNUMBER(SEARCH("입주",_xlpm.헤더)),VALUE(RIGHT(_xlpm.헤더,1)),0),_xlpm.열번호,COLUMN(AU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0" s="605" t="e" vm="2">
        <f>_xlfn.LET(_xlpm.금액,$F10,_xlpm.계약금비율,$B$5,_xlpm.중도금비율,$C$5,_xlpm.잔금비율,$D$5,_xlpm.계약시기,TEXT($B10,"yyyy-mm"),_xlpm.현재월,TEXT(AV$8,"yyyy-mm"),_xlpm.헤더범위,$G$9:AV$9,_xlpm.헤더,AV$9,_xlpm.잔금표,$E$6:$I$6,_xlpm.잔금회차,IF(ISNUMBER(SEARCH("입주",_xlpm.헤더)),VALUE(RIGHT(_xlpm.헤더,1)),0),_xlpm.열번호,COLUMN(AV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0" s="605">
        <f>_xlfn.LET(_xlpm.금액,$F10,_xlpm.계약금비율,$B$5,_xlpm.중도금비율,$C$5,_xlpm.잔금비율,$D$5,_xlpm.계약시기,TEXT($B10,"yyyy-mm"),_xlpm.현재월,TEXT(AW$8,"yyyy-mm"),_xlpm.헤더범위,$G$9:AW$9,_xlpm.헤더,AW$9,_xlpm.잔금표,$E$6:$I$6,_xlpm.잔금회차,IF(ISNUMBER(SEARCH("입주",_xlpm.헤더)),VALUE(RIGHT(_xlpm.헤더,1)),0),_xlpm.열번호,COLUMN(AW$9),_xlpm.행번호,ROW($G10),_xlpm.전체헤더,$G$9:$BF$9,_xlpm.전체데이터,$G10:$BF10,_xlpm.전체열번호,_xlfn.SEQUENCE(1,COLUMNS(_xlpm.전체헤더),COLUMN($G10)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0" s="605">
        <f t="shared" ref="H10:AY16" ca="1" si="3">IF(TEXT(AX$8,"yyyy-mm")=TEXT($B10,"yyyy-mm"),$F10*$B$5,IF(AND(TEXT($B10,"yyyy-mm")&lt;=TEXT(AX$8,"yyyy-mm"),ISNUMBER(SEARCH("입주",AX$9))),($F10-SUM(INDIRECT("$L$10:"&amp;ADDRESS(ROW(),COLUMN()-1))))*INDEX($E$6:$I$6,VALUE(RIGHT(AX$9,1))),IF(AND(TEXT($B10,"yyyy-mm")&lt;=TEXT(AX$8,"yyyy-mm"),ISNUMBER(SEARCH("중도금",AX$9))),IF(AX$9="1차중도금",$F10*$C$5/6,MAX(0,$F10*$C$5*IF(AX$9="2차중도금",0.3,IF(AX$9="3차중도금",0.4,IF(AX$9="4차중도금",0.5,IF(AX$9="5차중도금",0.6,0.7))))-SUM(INDIRECT("$L$10:"&amp;ADDRESS(ROW(),COLUMN()-1))))),0)))</f>
        <v>0</v>
      </c>
      <c r="AY10" s="605">
        <f t="shared" ca="1" si="3"/>
        <v>0</v>
      </c>
      <c r="AZ10" s="605">
        <f t="shared" ref="H10:BB15" ca="1" si="4">IF(TEXT(AZ$8,"yyyy-mm")=TEXT($B10,"yyyy-mm"),$F10*$B$5,IF(AND(TEXT(AZ$8,"yyyy-mm")&gt;=TEXT($B10,"yyyy-mm"),ISNUMBER(SEARCH("입주",AZ$9))),($F10-SUM(INDIRECT("$G$10:"&amp;ADDRESS(ROW(),COLUMN()-1))))*INDEX($E$6:$I$6,VALUE(RIGHT(AZ$9,1))),IF(AND(TEXT(AZ$8,"yyyy-mm")&gt;=TEXT($B10,"yyyy-mm"),AZ$9="1차중도금"),$F10*$C$5/6,IF(AND(TEXT(AZ$8,"yyyy-mm")&gt;=TEXT($B10,"yyyy-mm"),AZ$9="2차중도금"),MAX(0,$F10*$C$5*0.3-SUM(INDIRECT("$G$10:"&amp;ADDRESS(ROW(),COLUMN()-1)))),0))))</f>
        <v>0</v>
      </c>
      <c r="BA10" s="605">
        <f t="shared" ca="1" si="4"/>
        <v>0</v>
      </c>
      <c r="BB10" s="605">
        <f t="shared" ca="1" si="4"/>
        <v>0</v>
      </c>
      <c r="BC10" s="605">
        <f ca="1">IF(TEXT(BC$8,"yyyy-mm")=TEXT($B10,"yyyy-mm"),$F10*$B$5,IF(AND(ISNUMBER(SEARCH("중도금",BC$9)),TEXT(BC$8,"yyyy-mm")&gt;=TEXT($B10,"yyyy-mm")),IF(BC$9="1차중도금",$F10*$C$5/6,IF(BC$9="2차중도금",MAX(0,$F10*$C$5*0.3-IF(COLUMN()&gt;7,SUM($G10:OFFSET(BC10,0,COLUMN()-8)),0)),IF(BC$9="3차중도금",MAX(0,$F10*$C$5*0.4-IF(COLUMN()&gt;7,SUM($G10:OFFSET(BC10,0,COLUMN()-8)),0)),IF(BC$9="4차중도금",MAX(0,$F10*$C$5*0.5-IF(COLUMN()&gt;7,SUM($G10:OFFSET(BC10,0,COLUMN()-8)),0)),IF(BC$9="5차중도금",MAX(0,$F10*$C$5*0.6-IF(COLUMN()&gt;7,SUM($G10:OFFSET(BC10,0,COLUMN()-8)),0)),IF(BC$9="6차중도금",MAX(0,$F10*$C$5*0.7-IF(COLUMN()&gt;7,SUM($G10:OFFSET(BC10,0,COLUMN()-8)),0)),0)))))),IF(AND(ISNUMBER(SEARCH("입주",BC$9)),TEXT(BC$8,"yyyy-mm")&gt;=TEXT($B10,"yyyy-mm")),$F10*$D$5*INDEX($E$6:$I$6,VALUE(RIGHT(BC$9,1))),0)))</f>
        <v>0</v>
      </c>
      <c r="BD10" s="605">
        <f ca="1">IF(TEXT(BD$8,"yyyy-mm")=TEXT($B10,"yyyy-mm"),$F10*$B$5,IF(AND(ISNUMBER(SEARCH("중도금",BD$9)),TEXT(BD$8,"yyyy-mm")&gt;=TEXT($B10,"yyyy-mm")),IF(BD$9="1차중도금",$F10*$C$5/6,IF(BD$9="2차중도금",MAX(0,$F10*$C$5*0.3-IF(COLUMN()&gt;7,SUM($G10:OFFSET(BD10,0,COLUMN()-8)),0)),IF(BD$9="3차중도금",MAX(0,$F10*$C$5*0.4-IF(COLUMN()&gt;7,SUM($G10:OFFSET(BD10,0,COLUMN()-8)),0)),IF(BD$9="4차중도금",MAX(0,$F10*$C$5*0.5-IF(COLUMN()&gt;7,SUM($G10:OFFSET(BD10,0,COLUMN()-8)),0)),IF(BD$9="5차중도금",MAX(0,$F10*$C$5*0.6-IF(COLUMN()&gt;7,SUM($G10:OFFSET(BD10,0,COLUMN()-8)),0)),IF(BD$9="6차중도금",MAX(0,$F10*$C$5*0.7-IF(COLUMN()&gt;7,SUM($G10:OFFSET(BD10,0,COLUMN()-8)),0)),0)))))),IF(AND(ISNUMBER(SEARCH("입주",BD$9)),TEXT(BD$8,"yyyy-mm")&gt;=TEXT($B10,"yyyy-mm")),$F10*$D$5*INDEX($E$6:$I$6,VALUE(RIGHT(BD$9,1))),0)))</f>
        <v>0</v>
      </c>
      <c r="BE10" s="605">
        <f ca="1">IF(TEXT(BE$8,"yyyy-mm")=TEXT($B10,"yyyy-mm"),$F10*$B$5,IF(AND(ISNUMBER(SEARCH("중도금",BE$9)),TEXT(BE$8,"yyyy-mm")&gt;=TEXT($B10,"yyyy-mm")),IF(BE$9="1차중도금",$F10*$C$5/6,IF(BE$9="2차중도금",MAX(0,$F10*$C$5*0.3-IF(COLUMN()&gt;7,SUM($G10:OFFSET(BE10,0,COLUMN()-8)),0)),IF(BE$9="3차중도금",MAX(0,$F10*$C$5*0.4-IF(COLUMN()&gt;7,SUM($G10:OFFSET(BE10,0,COLUMN()-8)),0)),IF(BE$9="4차중도금",MAX(0,$F10*$C$5*0.5-IF(COLUMN()&gt;7,SUM($G10:OFFSET(BE10,0,COLUMN()-8)),0)),IF(BE$9="5차중도금",MAX(0,$F10*$C$5*0.6-IF(COLUMN()&gt;7,SUM($G10:OFFSET(BE10,0,COLUMN()-8)),0)),IF(BE$9="6차중도금",MAX(0,$F10*$C$5*0.7-IF(COLUMN()&gt;7,SUM($G10:OFFSET(BE10,0,COLUMN()-8)),0)),0)))))),IF(AND(ISNUMBER(SEARCH("입주",BE$9)),TEXT(BE$8,"yyyy-mm")&gt;=TEXT($B10,"yyyy-mm")),$F10*$D$5*INDEX($E$6:$I$6,VALUE(RIGHT(BE$9,1))),0)))</f>
        <v>0</v>
      </c>
      <c r="BF10" s="609">
        <f ca="1">SUM(G10:BE10)</f>
        <v>69255308.386562794</v>
      </c>
      <c r="BG10" s="556">
        <f t="shared" ref="BG10:BG61" ca="1" si="5">+F10-BF10</f>
        <v>6606401.8649072051</v>
      </c>
      <c r="BH10" s="610"/>
    </row>
    <row r="11" spans="1:60" ht="17" customHeight="1">
      <c r="A11" s="1853"/>
      <c r="B11" s="611">
        <f t="shared" ref="B11:B60" si="6">DATE(YEAR(B10),MONTH(B10)+1,DAY(B10))</f>
        <v>44866</v>
      </c>
      <c r="C11" s="605">
        <f t="shared" ref="C11:D33" si="7">C10</f>
        <v>252872367.50490001</v>
      </c>
      <c r="D11" s="1501">
        <v>0.15</v>
      </c>
      <c r="E11" s="607">
        <f>E10+D11</f>
        <v>0.44999999999999996</v>
      </c>
      <c r="F11" s="608">
        <f t="shared" si="2"/>
        <v>37930855.125735</v>
      </c>
      <c r="G11" s="605">
        <f>_xlfn.LET(_xlpm.금액,$F11,_xlpm.계약금비율,$B$5,_xlpm.중도금비율,$C$5,_xlpm.잔금비율,$D$5,_xlpm.계약시기,TEXT($B11,"yyyy-mm"),_xlpm.현재월,TEXT(G$8,"yyyy-mm"),_xlpm.헤더범위,$G$9:G$9,_xlpm.헤더,G$9,_xlpm.잔금표,$E$6:$I$6,_xlpm.잔금회차,IF(ISNUMBER(SEARCH("입주",_xlpm.헤더)),VALUE(RIGHT(_xlpm.헤더,1)),0),_xlpm.열번호,COLUMN(G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11" s="605">
        <f>_xlfn.LET(_xlpm.금액,$F11,_xlpm.계약금비율,$B$5,_xlpm.중도금비율,$C$5,_xlpm.잔금비율,$D$5,_xlpm.계약시기,TEXT($B11,"yyyy-mm"),_xlpm.현재월,TEXT(H$8,"yyyy-mm"),_xlpm.헤더범위,$G$9:H$9,_xlpm.헤더,H$9,_xlpm.잔금표,$E$6:$I$6,_xlpm.잔금회차,IF(ISNUMBER(SEARCH("입주",_xlpm.헤더)),VALUE(RIGHT(_xlpm.헤더,1)),0),_xlpm.열번호,COLUMN(H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3793085.5125735002</v>
      </c>
      <c r="I11" s="605">
        <f>_xlfn.LET(_xlpm.금액,$F11,_xlpm.계약금비율,$B$5,_xlpm.중도금비율,$C$5,_xlpm.잔금비율,$D$5,_xlpm.계약시기,TEXT($B11,"yyyy-mm"),_xlpm.현재월,TEXT(I$8,"yyyy-mm"),_xlpm.헤더범위,$G$9:I$9,_xlpm.헤더,I$9,_xlpm.잔금표,$E$6:$I$6,_xlpm.잔금회차,IF(ISNUMBER(SEARCH("입주",_xlpm.헤더)),VALUE(RIGHT(_xlpm.헤더,1)),0),_xlpm.열번호,COLUMN(I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11" s="605">
        <f>_xlfn.LET(_xlpm.금액,$F11,_xlpm.계약금비율,$B$5,_xlpm.중도금비율,$C$5,_xlpm.잔금비율,$D$5,_xlpm.계약시기,TEXT($B11,"yyyy-mm"),_xlpm.현재월,TEXT(J$8,"yyyy-mm"),_xlpm.헤더범위,$G$9:J$9,_xlpm.헤더,J$9,_xlpm.잔금표,$E$6:$I$6,_xlpm.잔금회차,IF(ISNUMBER(SEARCH("입주",_xlpm.헤더)),VALUE(RIGHT(_xlpm.헤더,1)),0),_xlpm.열번호,COLUMN(J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11" s="605">
        <f>_xlfn.LET(_xlpm.금액,$F11,_xlpm.계약금비율,$B$5,_xlpm.중도금비율,$C$5,_xlpm.잔금비율,$D$5,_xlpm.계약시기,TEXT($B11,"yyyy-mm"),_xlpm.현재월,TEXT(K$8,"yyyy-mm"),_xlpm.헤더범위,$G$9:K$9,_xlpm.헤더,K$9,_xlpm.잔금표,$E$6:$I$6,_xlpm.잔금회차,IF(ISNUMBER(SEARCH("입주",_xlpm.헤더)),VALUE(RIGHT(_xlpm.헤더,1)),0),_xlpm.열번호,COLUMN(K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11" s="605">
        <f ca="1">_xlfn.LET(_xlpm.금액,$F11,_xlpm.계약금비율,$B$5,_xlpm.중도금비율,$C$5,_xlpm.잔금비율,$D$5,_xlpm.계약시기,TEXT($B11,"yyyy-mm"),_xlpm.현재월,TEXT(L$8,"yyyy-mm"),_xlpm.헤더범위,$G$9:L$9,_xlpm.헤더,L$9,_xlpm.잔금표,$E$6:$I$6,_xlpm.잔금회차,IF(ISNUMBER(SEARCH("입주",_xlpm.헤더)),VALUE(RIGHT(_xlpm.헤더,1)),0),_xlpm.열번호,COLUMN(L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11" s="605">
        <f>_xlfn.LET(_xlpm.금액,$F11,_xlpm.계약금비율,$B$5,_xlpm.중도금비율,$C$5,_xlpm.잔금비율,$D$5,_xlpm.계약시기,TEXT($B11,"yyyy-mm"),_xlpm.현재월,TEXT(M$8,"yyyy-mm"),_xlpm.헤더범위,$G$9:M$9,_xlpm.헤더,M$9,_xlpm.잔금표,$E$6:$I$6,_xlpm.잔금회차,IF(ISNUMBER(SEARCH("입주",_xlpm.헤더)),VALUE(RIGHT(_xlpm.헤더,1)),0),_xlpm.열번호,COLUMN(M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11" s="605">
        <f>_xlfn.LET(_xlpm.금액,$F11,_xlpm.계약금비율,$B$5,_xlpm.중도금비율,$C$5,_xlpm.잔금비율,$D$5,_xlpm.계약시기,TEXT($B11,"yyyy-mm"),_xlpm.현재월,TEXT(N$8,"yyyy-mm"),_xlpm.헤더범위,$G$9:N$9,_xlpm.헤더,N$9,_xlpm.잔금표,$E$6:$I$6,_xlpm.잔금회차,IF(ISNUMBER(SEARCH("입주",_xlpm.헤더)),VALUE(RIGHT(_xlpm.헤더,1)),0),_xlpm.열번호,COLUMN(N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11" s="605">
        <f>_xlfn.LET(_xlpm.금액,$F11,_xlpm.계약금비율,$B$5,_xlpm.중도금비율,$C$5,_xlpm.잔금비율,$D$5,_xlpm.계약시기,TEXT($B11,"yyyy-mm"),_xlpm.현재월,TEXT(O$8,"yyyy-mm"),_xlpm.헤더범위,$G$9:O$9,_xlpm.헤더,O$9,_xlpm.잔금표,$E$6:$I$6,_xlpm.잔금회차,IF(ISNUMBER(SEARCH("입주",_xlpm.헤더)),VALUE(RIGHT(_xlpm.헤더,1)),0),_xlpm.열번호,COLUMN(O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11" s="605">
        <f>_xlfn.LET(_xlpm.금액,$F11,_xlpm.계약금비율,$B$5,_xlpm.중도금비율,$C$5,_xlpm.잔금비율,$D$5,_xlpm.계약시기,TEXT($B11,"yyyy-mm"),_xlpm.현재월,TEXT(P$8,"yyyy-mm"),_xlpm.헤더범위,$G$9:P$9,_xlpm.헤더,P$9,_xlpm.잔금표,$E$6:$I$6,_xlpm.잔금회차,IF(ISNUMBER(SEARCH("입주",_xlpm.헤더)),VALUE(RIGHT(_xlpm.헤더,1)),0),_xlpm.열번호,COLUMN(P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11" s="605">
        <f ca="1">_xlfn.LET(_xlpm.금액,$F11,_xlpm.계약금비율,$B$5,_xlpm.중도금비율,$C$5,_xlpm.잔금비율,$D$5,_xlpm.계약시기,TEXT($B11,"yyyy-mm"),_xlpm.현재월,TEXT(Q$8,"yyyy-mm"),_xlpm.헤더범위,$G$9:Q$9,_xlpm.헤더,Q$9,_xlpm.잔금표,$E$6:$I$6,_xlpm.잔금회차,IF(ISNUMBER(SEARCH("입주",_xlpm.헤더)),VALUE(RIGHT(_xlpm.헤더,1)),0),_xlpm.열번호,COLUMN(Q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11" s="605">
        <f>_xlfn.LET(_xlpm.금액,$F11,_xlpm.계약금비율,$B$5,_xlpm.중도금비율,$C$5,_xlpm.잔금비율,$D$5,_xlpm.계약시기,TEXT($B11,"yyyy-mm"),_xlpm.현재월,TEXT(R$8,"yyyy-mm"),_xlpm.헤더범위,$G$9:R$9,_xlpm.헤더,R$9,_xlpm.잔금표,$E$6:$I$6,_xlpm.잔금회차,IF(ISNUMBER(SEARCH("입주",_xlpm.헤더)),VALUE(RIGHT(_xlpm.헤더,1)),0),_xlpm.열번호,COLUMN(R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1" s="605">
        <f>_xlfn.LET(_xlpm.금액,$F11,_xlpm.계약금비율,$B$5,_xlpm.중도금비율,$C$5,_xlpm.잔금비율,$D$5,_xlpm.계약시기,TEXT($B11,"yyyy-mm"),_xlpm.현재월,TEXT(S$8,"yyyy-mm"),_xlpm.헤더범위,$G$9:S$9,_xlpm.헤더,S$9,_xlpm.잔금표,$E$6:$I$6,_xlpm.잔금회차,IF(ISNUMBER(SEARCH("입주",_xlpm.헤더)),VALUE(RIGHT(_xlpm.헤더,1)),0),_xlpm.열번호,COLUMN(S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1" s="605">
        <f>_xlfn.LET(_xlpm.금액,$F11,_xlpm.계약금비율,$B$5,_xlpm.중도금비율,$C$5,_xlpm.잔금비율,$D$5,_xlpm.계약시기,TEXT($B11,"yyyy-mm"),_xlpm.현재월,TEXT(T$8,"yyyy-mm"),_xlpm.헤더범위,$G$9:T$9,_xlpm.헤더,T$9,_xlpm.잔금표,$E$6:$I$6,_xlpm.잔금회차,IF(ISNUMBER(SEARCH("입주",_xlpm.헤더)),VALUE(RIGHT(_xlpm.헤더,1)),0),_xlpm.열번호,COLUMN(T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1" s="605">
        <f>_xlfn.LET(_xlpm.금액,$F11,_xlpm.계약금비율,$B$5,_xlpm.중도금비율,$C$5,_xlpm.잔금비율,$D$5,_xlpm.계약시기,TEXT($B11,"yyyy-mm"),_xlpm.현재월,TEXT(U$8,"yyyy-mm"),_xlpm.헤더범위,$G$9:U$9,_xlpm.헤더,U$9,_xlpm.잔금표,$E$6:$I$6,_xlpm.잔금회차,IF(ISNUMBER(SEARCH("입주",_xlpm.헤더)),VALUE(RIGHT(_xlpm.헤더,1)),0),_xlpm.열번호,COLUMN(U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1" s="605">
        <f ca="1">_xlfn.LET(_xlpm.금액,$F11,_xlpm.계약금비율,$B$5,_xlpm.중도금비율,$C$5,_xlpm.잔금비율,$D$5,_xlpm.계약시기,TEXT($B11,"yyyy-mm"),_xlpm.현재월,TEXT(V$8,"yyyy-mm"),_xlpm.헤더범위,$G$9:V$9,_xlpm.헤더,V$9,_xlpm.잔금표,$E$6:$I$6,_xlpm.잔금회차,IF(ISNUMBER(SEARCH("입주",_xlpm.헤더)),VALUE(RIGHT(_xlpm.헤더,1)),0),_xlpm.열번호,COLUMN(V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11" s="605">
        <f>_xlfn.LET(_xlpm.금액,$F11,_xlpm.계약금비율,$B$5,_xlpm.중도금비율,$C$5,_xlpm.잔금비율,$D$5,_xlpm.계약시기,TEXT($B11,"yyyy-mm"),_xlpm.현재월,TEXT(W$8,"yyyy-mm"),_xlpm.헤더범위,$G$9:W$9,_xlpm.헤더,W$9,_xlpm.잔금표,$E$6:$I$6,_xlpm.잔금회차,IF(ISNUMBER(SEARCH("입주",_xlpm.헤더)),VALUE(RIGHT(_xlpm.헤더,1)),0),_xlpm.열번호,COLUMN(W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1" s="605">
        <f>_xlfn.LET(_xlpm.금액,$F11,_xlpm.계약금비율,$B$5,_xlpm.중도금비율,$C$5,_xlpm.잔금비율,$D$5,_xlpm.계약시기,TEXT($B11,"yyyy-mm"),_xlpm.현재월,TEXT(X$8,"yyyy-mm"),_xlpm.헤더범위,$G$9:X$9,_xlpm.헤더,X$9,_xlpm.잔금표,$E$6:$I$6,_xlpm.잔금회차,IF(ISNUMBER(SEARCH("입주",_xlpm.헤더)),VALUE(RIGHT(_xlpm.헤더,1)),0),_xlpm.열번호,COLUMN(X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1" s="605">
        <f>_xlfn.LET(_xlpm.금액,$F11,_xlpm.계약금비율,$B$5,_xlpm.중도금비율,$C$5,_xlpm.잔금비율,$D$5,_xlpm.계약시기,TEXT($B11,"yyyy-mm"),_xlpm.현재월,TEXT(Y$8,"yyyy-mm"),_xlpm.헤더범위,$G$9:Y$9,_xlpm.헤더,Y$9,_xlpm.잔금표,$E$6:$I$6,_xlpm.잔금회차,IF(ISNUMBER(SEARCH("입주",_xlpm.헤더)),VALUE(RIGHT(_xlpm.헤더,1)),0),_xlpm.열번호,COLUMN(Y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1" s="605">
        <f>_xlfn.LET(_xlpm.금액,$F11,_xlpm.계약금비율,$B$5,_xlpm.중도금비율,$C$5,_xlpm.잔금비율,$D$5,_xlpm.계약시기,TEXT($B11,"yyyy-mm"),_xlpm.현재월,TEXT(Z$8,"yyyy-mm"),_xlpm.헤더범위,$G$9:Z$9,_xlpm.헤더,Z$9,_xlpm.잔금표,$E$6:$I$6,_xlpm.잔금회차,IF(ISNUMBER(SEARCH("입주",_xlpm.헤더)),VALUE(RIGHT(_xlpm.헤더,1)),0),_xlpm.열번호,COLUMN(Z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1" s="605">
        <f>_xlfn.LET(_xlpm.금액,$F11,_xlpm.계약금비율,$B$5,_xlpm.중도금비율,$C$5,_xlpm.잔금비율,$D$5,_xlpm.계약시기,TEXT($B11,"yyyy-mm"),_xlpm.현재월,TEXT(AA$8,"yyyy-mm"),_xlpm.헤더범위,$G$9:AA$9,_xlpm.헤더,AA$9,_xlpm.잔금표,$E$6:$I$6,_xlpm.잔금회차,IF(ISNUMBER(SEARCH("입주",_xlpm.헤더)),VALUE(RIGHT(_xlpm.헤더,1)),0),_xlpm.열번호,COLUMN(AA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1" s="605">
        <f ca="1">_xlfn.LET(_xlpm.금액,$F11,_xlpm.계약금비율,$B$5,_xlpm.중도금비율,$C$5,_xlpm.잔금비율,$D$5,_xlpm.계약시기,TEXT($B11,"yyyy-mm"),_xlpm.현재월,TEXT(AB$8,"yyyy-mm"),_xlpm.헤더범위,$G$9:AB$9,_xlpm.헤더,AB$9,_xlpm.잔금표,$E$6:$I$6,_xlpm.잔금회차,IF(ISNUMBER(SEARCH("입주",_xlpm.헤더)),VALUE(RIGHT(_xlpm.헤더,1)),0),_xlpm.열번호,COLUMN(AB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11" s="605">
        <f>_xlfn.LET(_xlpm.금액,$F11,_xlpm.계약금비율,$B$5,_xlpm.중도금비율,$C$5,_xlpm.잔금비율,$D$5,_xlpm.계약시기,TEXT($B11,"yyyy-mm"),_xlpm.현재월,TEXT(AC$8,"yyyy-mm"),_xlpm.헤더범위,$G$9:AC$9,_xlpm.헤더,AC$9,_xlpm.잔금표,$E$6:$I$6,_xlpm.잔금회차,IF(ISNUMBER(SEARCH("입주",_xlpm.헤더)),VALUE(RIGHT(_xlpm.헤더,1)),0),_xlpm.열번호,COLUMN(AC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1" s="605">
        <f>_xlfn.LET(_xlpm.금액,$F11,_xlpm.계약금비율,$B$5,_xlpm.중도금비율,$C$5,_xlpm.잔금비율,$D$5,_xlpm.계약시기,TEXT($B11,"yyyy-mm"),_xlpm.현재월,TEXT(AD$8,"yyyy-mm"),_xlpm.헤더범위,$G$9:AD$9,_xlpm.헤더,AD$9,_xlpm.잔금표,$E$6:$I$6,_xlpm.잔금회차,IF(ISNUMBER(SEARCH("입주",_xlpm.헤더)),VALUE(RIGHT(_xlpm.헤더,1)),0),_xlpm.열번호,COLUMN(AD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1" s="605">
        <f>_xlfn.LET(_xlpm.금액,$F11,_xlpm.계약금비율,$B$5,_xlpm.중도금비율,$C$5,_xlpm.잔금비율,$D$5,_xlpm.계약시기,TEXT($B11,"yyyy-mm"),_xlpm.현재월,TEXT(AE$8,"yyyy-mm"),_xlpm.헤더범위,$G$9:AE$9,_xlpm.헤더,AE$9,_xlpm.잔금표,$E$6:$I$6,_xlpm.잔금회차,IF(ISNUMBER(SEARCH("입주",_xlpm.헤더)),VALUE(RIGHT(_xlpm.헤더,1)),0),_xlpm.열번호,COLUMN(AE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1" s="605">
        <f>_xlfn.LET(_xlpm.금액,$F11,_xlpm.계약금비율,$B$5,_xlpm.중도금비율,$C$5,_xlpm.잔금비율,$D$5,_xlpm.계약시기,TEXT($B11,"yyyy-mm"),_xlpm.현재월,TEXT(AF$8,"yyyy-mm"),_xlpm.헤더범위,$G$9:AF$9,_xlpm.헤더,AF$9,_xlpm.잔금표,$E$6:$I$6,_xlpm.잔금회차,IF(ISNUMBER(SEARCH("입주",_xlpm.헤더)),VALUE(RIGHT(_xlpm.헤더,1)),0),_xlpm.열번호,COLUMN(AF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1" s="605">
        <f ca="1">_xlfn.LET(_xlpm.금액,$F11,_xlpm.계약금비율,$B$5,_xlpm.중도금비율,$C$5,_xlpm.잔금비율,$D$5,_xlpm.계약시기,TEXT($B11,"yyyy-mm"),_xlpm.현재월,TEXT(AG$8,"yyyy-mm"),_xlpm.헤더범위,$G$9:AG$9,_xlpm.헤더,AG$9,_xlpm.잔금표,$E$6:$I$6,_xlpm.잔금회차,IF(ISNUMBER(SEARCH("입주",_xlpm.헤더)),VALUE(RIGHT(_xlpm.헤더,1)),0),_xlpm.열번호,COLUMN(AG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11" s="605">
        <f>_xlfn.LET(_xlpm.금액,$F11,_xlpm.계약금비율,$B$5,_xlpm.중도금비율,$C$5,_xlpm.잔금비율,$D$5,_xlpm.계약시기,TEXT($B11,"yyyy-mm"),_xlpm.현재월,TEXT(AH$8,"yyyy-mm"),_xlpm.헤더범위,$G$9:AH$9,_xlpm.헤더,AH$9,_xlpm.잔금표,$E$6:$I$6,_xlpm.잔금회차,IF(ISNUMBER(SEARCH("입주",_xlpm.헤더)),VALUE(RIGHT(_xlpm.헤더,1)),0),_xlpm.열번호,COLUMN(AH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1" s="605">
        <f>_xlfn.LET(_xlpm.금액,$F11,_xlpm.계약금비율,$B$5,_xlpm.중도금비율,$C$5,_xlpm.잔금비율,$D$5,_xlpm.계약시기,TEXT($B11,"yyyy-mm"),_xlpm.현재월,TEXT(AI$8,"yyyy-mm"),_xlpm.헤더범위,$G$9:AI$9,_xlpm.헤더,AI$9,_xlpm.잔금표,$E$6:$I$6,_xlpm.잔금회차,IF(ISNUMBER(SEARCH("입주",_xlpm.헤더)),VALUE(RIGHT(_xlpm.헤더,1)),0),_xlpm.열번호,COLUMN(AI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1" s="605">
        <f>_xlfn.LET(_xlpm.금액,$F11,_xlpm.계약금비율,$B$5,_xlpm.중도금비율,$C$5,_xlpm.잔금비율,$D$5,_xlpm.계약시기,TEXT($B11,"yyyy-mm"),_xlpm.현재월,TEXT(AJ$8,"yyyy-mm"),_xlpm.헤더범위,$G$9:AJ$9,_xlpm.헤더,AJ$9,_xlpm.잔금표,$E$6:$I$6,_xlpm.잔금회차,IF(ISNUMBER(SEARCH("입주",_xlpm.헤더)),VALUE(RIGHT(_xlpm.헤더,1)),0),_xlpm.열번호,COLUMN(AJ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1" s="605">
        <f>_xlfn.LET(_xlpm.금액,$F11,_xlpm.계약금비율,$B$5,_xlpm.중도금비율,$C$5,_xlpm.잔금비율,$D$5,_xlpm.계약시기,TEXT($B11,"yyyy-mm"),_xlpm.현재월,TEXT(AK$8,"yyyy-mm"),_xlpm.헤더범위,$G$9:AK$9,_xlpm.헤더,AK$9,_xlpm.잔금표,$E$6:$I$6,_xlpm.잔금회차,IF(ISNUMBER(SEARCH("입주",_xlpm.헤더)),VALUE(RIGHT(_xlpm.헤더,1)),0),_xlpm.열번호,COLUMN(AK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1" s="605">
        <f ca="1">_xlfn.LET(_xlpm.금액,$F11,_xlpm.계약금비율,$B$5,_xlpm.중도금비율,$C$5,_xlpm.잔금비율,$D$5,_xlpm.계약시기,TEXT($B11,"yyyy-mm"),_xlpm.현재월,TEXT(AL$8,"yyyy-mm"),_xlpm.헤더범위,$G$9:AL$9,_xlpm.헤더,AL$9,_xlpm.잔금표,$E$6:$I$6,_xlpm.잔금회차,IF(ISNUMBER(SEARCH("입주",_xlpm.헤더)),VALUE(RIGHT(_xlpm.헤더,1)),0),_xlpm.열번호,COLUMN(AL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11" s="605">
        <f>_xlfn.LET(_xlpm.금액,$F11,_xlpm.계약금비율,$B$5,_xlpm.중도금비율,$C$5,_xlpm.잔금비율,$D$5,_xlpm.계약시기,TEXT($B11,"yyyy-mm"),_xlpm.현재월,TEXT(AM$8,"yyyy-mm"),_xlpm.헤더범위,$G$9:AM$9,_xlpm.헤더,AM$9,_xlpm.잔금표,$E$6:$I$6,_xlpm.잔금회차,IF(ISNUMBER(SEARCH("입주",_xlpm.헤더)),VALUE(RIGHT(_xlpm.헤더,1)),0),_xlpm.열번호,COLUMN(AM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1" s="605">
        <f>_xlfn.LET(_xlpm.금액,$F11,_xlpm.계약금비율,$B$5,_xlpm.중도금비율,$C$5,_xlpm.잔금비율,$D$5,_xlpm.계약시기,TEXT($B11,"yyyy-mm"),_xlpm.현재월,TEXT(AN$8,"yyyy-mm"),_xlpm.헤더범위,$G$9:AN$9,_xlpm.헤더,AN$9,_xlpm.잔금표,$E$6:$I$6,_xlpm.잔금회차,IF(ISNUMBER(SEARCH("입주",_xlpm.헤더)),VALUE(RIGHT(_xlpm.헤더,1)),0),_xlpm.열번호,COLUMN(AN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1" s="605">
        <f>_xlfn.LET(_xlpm.금액,$F11,_xlpm.계약금비율,$B$5,_xlpm.중도금비율,$C$5,_xlpm.잔금비율,$D$5,_xlpm.계약시기,TEXT($B11,"yyyy-mm"),_xlpm.현재월,TEXT(AO$8,"yyyy-mm"),_xlpm.헤더범위,$G$9:AO$9,_xlpm.헤더,AO$9,_xlpm.잔금표,$E$6:$I$6,_xlpm.잔금회차,IF(ISNUMBER(SEARCH("입주",_xlpm.헤더)),VALUE(RIGHT(_xlpm.헤더,1)),0),_xlpm.열번호,COLUMN(AO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1" s="605">
        <f>_xlfn.LET(_xlpm.금액,$F11,_xlpm.계약금비율,$B$5,_xlpm.중도금비율,$C$5,_xlpm.잔금비율,$D$5,_xlpm.계약시기,TEXT($B11,"yyyy-mm"),_xlpm.현재월,TEXT(AP$8,"yyyy-mm"),_xlpm.헤더범위,$G$9:AP$9,_xlpm.헤더,AP$9,_xlpm.잔금표,$E$6:$I$6,_xlpm.잔금회차,IF(ISNUMBER(SEARCH("입주",_xlpm.헤더)),VALUE(RIGHT(_xlpm.헤더,1)),0),_xlpm.열번호,COLUMN(AP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1" s="605">
        <f>_xlfn.LET(_xlpm.금액,$F11,_xlpm.계약금비율,$B$5,_xlpm.중도금비율,$C$5,_xlpm.잔금비율,$D$5,_xlpm.계약시기,TEXT($B11,"yyyy-mm"),_xlpm.현재월,TEXT(AQ$8,"yyyy-mm"),_xlpm.헤더범위,$G$9:AQ$9,_xlpm.헤더,AQ$9,_xlpm.잔금표,$E$6:$I$6,_xlpm.잔금회차,IF(ISNUMBER(SEARCH("입주",_xlpm.헤더)),VALUE(RIGHT(_xlpm.헤더,1)),0),_xlpm.열번호,COLUMN(AQ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1" s="605" t="e" vm="2">
        <f>_xlfn.LET(_xlpm.금액,$F11,_xlpm.계약금비율,$B$5,_xlpm.중도금비율,$C$5,_xlpm.잔금비율,$D$5,_xlpm.계약시기,TEXT($B11,"yyyy-mm"),_xlpm.현재월,TEXT(AR$8,"yyyy-mm"),_xlpm.헤더범위,$G$9:AR$9,_xlpm.헤더,AR$9,_xlpm.잔금표,$E$6:$I$6,_xlpm.잔금회차,IF(ISNUMBER(SEARCH("입주",_xlpm.헤더)),VALUE(RIGHT(_xlpm.헤더,1)),0),_xlpm.열번호,COLUMN(AR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1" s="605" t="e" vm="2">
        <f>_xlfn.LET(_xlpm.금액,$F11,_xlpm.계약금비율,$B$5,_xlpm.중도금비율,$C$5,_xlpm.잔금비율,$D$5,_xlpm.계약시기,TEXT($B11,"yyyy-mm"),_xlpm.현재월,TEXT(AS$8,"yyyy-mm"),_xlpm.헤더범위,$G$9:AS$9,_xlpm.헤더,AS$9,_xlpm.잔금표,$E$6:$I$6,_xlpm.잔금회차,IF(ISNUMBER(SEARCH("입주",_xlpm.헤더)),VALUE(RIGHT(_xlpm.헤더,1)),0),_xlpm.열번호,COLUMN(AS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1" s="605" t="e" vm="2">
        <f>_xlfn.LET(_xlpm.금액,$F11,_xlpm.계약금비율,$B$5,_xlpm.중도금비율,$C$5,_xlpm.잔금비율,$D$5,_xlpm.계약시기,TEXT($B11,"yyyy-mm"),_xlpm.현재월,TEXT(AT$8,"yyyy-mm"),_xlpm.헤더범위,$G$9:AT$9,_xlpm.헤더,AT$9,_xlpm.잔금표,$E$6:$I$6,_xlpm.잔금회차,IF(ISNUMBER(SEARCH("입주",_xlpm.헤더)),VALUE(RIGHT(_xlpm.헤더,1)),0),_xlpm.열번호,COLUMN(AT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1" s="605" t="e" vm="2">
        <f>_xlfn.LET(_xlpm.금액,$F11,_xlpm.계약금비율,$B$5,_xlpm.중도금비율,$C$5,_xlpm.잔금비율,$D$5,_xlpm.계약시기,TEXT($B11,"yyyy-mm"),_xlpm.현재월,TEXT(AU$8,"yyyy-mm"),_xlpm.헤더범위,$G$9:AU$9,_xlpm.헤더,AU$9,_xlpm.잔금표,$E$6:$I$6,_xlpm.잔금회차,IF(ISNUMBER(SEARCH("입주",_xlpm.헤더)),VALUE(RIGHT(_xlpm.헤더,1)),0),_xlpm.열번호,COLUMN(AU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1" s="605" t="e" vm="2">
        <f>_xlfn.LET(_xlpm.금액,$F11,_xlpm.계약금비율,$B$5,_xlpm.중도금비율,$C$5,_xlpm.잔금비율,$D$5,_xlpm.계약시기,TEXT($B11,"yyyy-mm"),_xlpm.현재월,TEXT(AV$8,"yyyy-mm"),_xlpm.헤더범위,$G$9:AV$9,_xlpm.헤더,AV$9,_xlpm.잔금표,$E$6:$I$6,_xlpm.잔금회차,IF(ISNUMBER(SEARCH("입주",_xlpm.헤더)),VALUE(RIGHT(_xlpm.헤더,1)),0),_xlpm.열번호,COLUMN(AV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1" s="605">
        <f>_xlfn.LET(_xlpm.금액,$F11,_xlpm.계약금비율,$B$5,_xlpm.중도금비율,$C$5,_xlpm.잔금비율,$D$5,_xlpm.계약시기,TEXT($B11,"yyyy-mm"),_xlpm.현재월,TEXT(AW$8,"yyyy-mm"),_xlpm.헤더범위,$G$9:AW$9,_xlpm.헤더,AW$9,_xlpm.잔금표,$E$6:$I$6,_xlpm.잔금회차,IF(ISNUMBER(SEARCH("입주",_xlpm.헤더)),VALUE(RIGHT(_xlpm.헤더,1)),0),_xlpm.열번호,COLUMN(AW$9),_xlpm.행번호,ROW($G11),_xlpm.전체헤더,$G$9:$BF$9,_xlpm.전체데이터,$G11:$BF11,_xlpm.전체열번호,_xlfn.SEQUENCE(1,COLUMNS(_xlpm.전체헤더),COLUMN($G11)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1" s="605">
        <f t="shared" ca="1" si="3"/>
        <v>0</v>
      </c>
      <c r="AY11" s="605">
        <f t="shared" ca="1" si="3"/>
        <v>0</v>
      </c>
      <c r="AZ11" s="605">
        <f t="shared" ca="1" si="4"/>
        <v>0</v>
      </c>
      <c r="BA11" s="605">
        <f t="shared" ca="1" si="4"/>
        <v>0</v>
      </c>
      <c r="BB11" s="605">
        <f t="shared" ca="1" si="4"/>
        <v>0</v>
      </c>
      <c r="BC11" s="605">
        <f ca="1">IF(TEXT(BC$8,"yyyy-mm")=TEXT($B11,"yyyy-mm"),$F11*$B$5,IF(AND(ISNUMBER(SEARCH("중도금",BC$9)),TEXT(BC$8,"yyyy-mm")&gt;=TEXT($B11,"yyyy-mm")),IF(BC$9="1차중도금",$F11*$C$5/6,IF(BC$9="2차중도금",MAX(0,$F11*$C$5*0.3-IF(COLUMN()&gt;7,SUM($G11:OFFSET(BC11,0,COLUMN()-8)),0)),IF(BC$9="3차중도금",MAX(0,$F11*$C$5*0.4-IF(COLUMN()&gt;7,SUM($G11:OFFSET(BC11,0,COLUMN()-8)),0)),IF(BC$9="4차중도금",MAX(0,$F11*$C$5*0.5-IF(COLUMN()&gt;7,SUM($G11:OFFSET(BC11,0,COLUMN()-8)),0)),IF(BC$9="5차중도금",MAX(0,$F11*$C$5*0.6-IF(COLUMN()&gt;7,SUM($G11:OFFSET(BC11,0,COLUMN()-8)),0)),IF(BC$9="6차중도금",MAX(0,$F11*$C$5*0.7-IF(COLUMN()&gt;7,SUM($G11:OFFSET(BC11,0,COLUMN()-8)),0)),0)))))),IF(AND(ISNUMBER(SEARCH("입주",BC$9)),TEXT(BC$8,"yyyy-mm")&gt;=TEXT($B11,"yyyy-mm")),$F11*$D$5*INDEX($E$6:$I$6,VALUE(RIGHT(BC$9,1))),0)))</f>
        <v>0</v>
      </c>
      <c r="BD11" s="605">
        <f ca="1">IF(TEXT(BD$8,"yyyy-mm")=TEXT($B11,"yyyy-mm"),$F11*$B$5,IF(AND(ISNUMBER(SEARCH("중도금",BD$9)),TEXT(BD$8,"yyyy-mm")&gt;=TEXT($B11,"yyyy-mm")),IF(BD$9="1차중도금",$F11*$C$5/6,IF(BD$9="2차중도금",MAX(0,$F11*$C$5*0.3-IF(COLUMN()&gt;7,SUM($G11:OFFSET(BD11,0,COLUMN()-8)),0)),IF(BD$9="3차중도금",MAX(0,$F11*$C$5*0.4-IF(COLUMN()&gt;7,SUM($G11:OFFSET(BD11,0,COLUMN()-8)),0)),IF(BD$9="4차중도금",MAX(0,$F11*$C$5*0.5-IF(COLUMN()&gt;7,SUM($G11:OFFSET(BD11,0,COLUMN()-8)),0)),IF(BD$9="5차중도금",MAX(0,$F11*$C$5*0.6-IF(COLUMN()&gt;7,SUM($G11:OFFSET(BD11,0,COLUMN()-8)),0)),IF(BD$9="6차중도금",MAX(0,$F11*$C$5*0.7-IF(COLUMN()&gt;7,SUM($G11:OFFSET(BD11,0,COLUMN()-8)),0)),0)))))),IF(AND(ISNUMBER(SEARCH("입주",BD$9)),TEXT(BD$8,"yyyy-mm")&gt;=TEXT($B11,"yyyy-mm")),$F11*$D$5*INDEX($E$6:$I$6,VALUE(RIGHT(BD$9,1))),0)))</f>
        <v>0</v>
      </c>
      <c r="BE11" s="605">
        <f ca="1">IF(TEXT(BE$8,"yyyy-mm")=TEXT($B11,"yyyy-mm"),$F11*$B$5,IF(AND(ISNUMBER(SEARCH("중도금",BE$9)),TEXT(BE$8,"yyyy-mm")&gt;=TEXT($B11,"yyyy-mm")),IF(BE$9="1차중도금",$F11*$C$5/6,IF(BE$9="2차중도금",MAX(0,$F11*$C$5*0.3-IF(COLUMN()&gt;7,SUM($G11:OFFSET(BE11,0,COLUMN()-8)),0)),IF(BE$9="3차중도금",MAX(0,$F11*$C$5*0.4-IF(COLUMN()&gt;7,SUM($G11:OFFSET(BE11,0,COLUMN()-8)),0)),IF(BE$9="4차중도금",MAX(0,$F11*$C$5*0.5-IF(COLUMN()&gt;7,SUM($G11:OFFSET(BE11,0,COLUMN()-8)),0)),IF(BE$9="5차중도금",MAX(0,$F11*$C$5*0.6-IF(COLUMN()&gt;7,SUM($G11:OFFSET(BE11,0,COLUMN()-8)),0)),IF(BE$9="6차중도금",MAX(0,$F11*$C$5*0.7-IF(COLUMN()&gt;7,SUM($G11:OFFSET(BE11,0,COLUMN()-8)),0)),0)))))),IF(AND(ISNUMBER(SEARCH("입주",BE$9)),TEXT(BE$8,"yyyy-mm")&gt;=TEXT($B11,"yyyy-mm")),$F11*$D$5*INDEX($E$6:$I$6,VALUE(RIGHT(BE$9,1))),0)))</f>
        <v>0</v>
      </c>
      <c r="BF11" s="609">
        <f t="shared" ref="BF10:BF61" ca="1" si="8">SUM(G11:BE11)</f>
        <v>-2375381.8713940326</v>
      </c>
      <c r="BG11" s="556">
        <f t="shared" ca="1" si="5"/>
        <v>40306236.997129031</v>
      </c>
      <c r="BH11" s="610"/>
    </row>
    <row r="12" spans="1:60" ht="17" customHeight="1">
      <c r="A12" s="1853"/>
      <c r="B12" s="611">
        <f t="shared" si="6"/>
        <v>44896</v>
      </c>
      <c r="C12" s="605">
        <f t="shared" si="7"/>
        <v>252872367.50490001</v>
      </c>
      <c r="D12" s="1501">
        <v>0.05</v>
      </c>
      <c r="E12" s="612">
        <f t="shared" ref="E12:E42" si="9">E11+D12</f>
        <v>0.49999999999999994</v>
      </c>
      <c r="F12" s="608">
        <f t="shared" si="2"/>
        <v>12643618.375245001</v>
      </c>
      <c r="G12" s="605">
        <f>_xlfn.LET(_xlpm.금액,$F12,_xlpm.계약금비율,$B$5,_xlpm.중도금비율,$C$5,_xlpm.잔금비율,$D$5,_xlpm.계약시기,TEXT($B12,"yyyy-mm"),_xlpm.현재월,TEXT(G$8,"yyyy-mm"),_xlpm.헤더범위,$G$9:G$9,_xlpm.헤더,G$9,_xlpm.잔금표,$E$6:$I$6,_xlpm.잔금회차,IF(ISNUMBER(SEARCH("입주",_xlpm.헤더)),VALUE(RIGHT(_xlpm.헤더,1)),0),_xlpm.열번호,COLUMN(G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12" s="605">
        <f>_xlfn.LET(_xlpm.금액,$F12,_xlpm.계약금비율,$B$5,_xlpm.중도금비율,$C$5,_xlpm.잔금비율,$D$5,_xlpm.계약시기,TEXT($B12,"yyyy-mm"),_xlpm.현재월,TEXT(H$8,"yyyy-mm"),_xlpm.헤더범위,$G$9:H$9,_xlpm.헤더,H$9,_xlpm.잔금표,$E$6:$I$6,_xlpm.잔금회차,IF(ISNUMBER(SEARCH("입주",_xlpm.헤더)),VALUE(RIGHT(_xlpm.헤더,1)),0),_xlpm.열번호,COLUMN(H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12" s="605">
        <f>_xlfn.LET(_xlpm.금액,$F12,_xlpm.계약금비율,$B$5,_xlpm.중도금비율,$C$5,_xlpm.잔금비율,$D$5,_xlpm.계약시기,TEXT($B12,"yyyy-mm"),_xlpm.현재월,TEXT(I$8,"yyyy-mm"),_xlpm.헤더범위,$G$9:I$9,_xlpm.헤더,I$9,_xlpm.잔금표,$E$6:$I$6,_xlpm.잔금회차,IF(ISNUMBER(SEARCH("입주",_xlpm.헤더)),VALUE(RIGHT(_xlpm.헤더,1)),0),_xlpm.열번호,COLUMN(I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1264361.8375245002</v>
      </c>
      <c r="J12" s="605">
        <f>_xlfn.LET(_xlpm.금액,$F12,_xlpm.계약금비율,$B$5,_xlpm.중도금비율,$C$5,_xlpm.잔금비율,$D$5,_xlpm.계약시기,TEXT($B12,"yyyy-mm"),_xlpm.현재월,TEXT(J$8,"yyyy-mm"),_xlpm.헤더범위,$G$9:J$9,_xlpm.헤더,J$9,_xlpm.잔금표,$E$6:$I$6,_xlpm.잔금회차,IF(ISNUMBER(SEARCH("입주",_xlpm.헤더)),VALUE(RIGHT(_xlpm.헤더,1)),0),_xlpm.열번호,COLUMN(J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12" s="605">
        <f>_xlfn.LET(_xlpm.금액,$F12,_xlpm.계약금비율,$B$5,_xlpm.중도금비율,$C$5,_xlpm.잔금비율,$D$5,_xlpm.계약시기,TEXT($B12,"yyyy-mm"),_xlpm.현재월,TEXT(K$8,"yyyy-mm"),_xlpm.헤더범위,$G$9:K$9,_xlpm.헤더,K$9,_xlpm.잔금표,$E$6:$I$6,_xlpm.잔금회차,IF(ISNUMBER(SEARCH("입주",_xlpm.헤더)),VALUE(RIGHT(_xlpm.헤더,1)),0),_xlpm.열번호,COLUMN(K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12" s="605">
        <f ca="1">_xlfn.LET(_xlpm.금액,$F12,_xlpm.계약금비율,$B$5,_xlpm.중도금비율,$C$5,_xlpm.잔금비율,$D$5,_xlpm.계약시기,TEXT($B12,"yyyy-mm"),_xlpm.현재월,TEXT(L$8,"yyyy-mm"),_xlpm.헤더범위,$G$9:L$9,_xlpm.헤더,L$9,_xlpm.잔금표,$E$6:$I$6,_xlpm.잔금회차,IF(ISNUMBER(SEARCH("입주",_xlpm.헤더)),VALUE(RIGHT(_xlpm.헤더,1)),0),_xlpm.열번호,COLUMN(L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12" s="605">
        <f>_xlfn.LET(_xlpm.금액,$F12,_xlpm.계약금비율,$B$5,_xlpm.중도금비율,$C$5,_xlpm.잔금비율,$D$5,_xlpm.계약시기,TEXT($B12,"yyyy-mm"),_xlpm.현재월,TEXT(M$8,"yyyy-mm"),_xlpm.헤더범위,$G$9:M$9,_xlpm.헤더,M$9,_xlpm.잔금표,$E$6:$I$6,_xlpm.잔금회차,IF(ISNUMBER(SEARCH("입주",_xlpm.헤더)),VALUE(RIGHT(_xlpm.헤더,1)),0),_xlpm.열번호,COLUMN(M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12" s="605">
        <f>_xlfn.LET(_xlpm.금액,$F12,_xlpm.계약금비율,$B$5,_xlpm.중도금비율,$C$5,_xlpm.잔금비율,$D$5,_xlpm.계약시기,TEXT($B12,"yyyy-mm"),_xlpm.현재월,TEXT(N$8,"yyyy-mm"),_xlpm.헤더범위,$G$9:N$9,_xlpm.헤더,N$9,_xlpm.잔금표,$E$6:$I$6,_xlpm.잔금회차,IF(ISNUMBER(SEARCH("입주",_xlpm.헤더)),VALUE(RIGHT(_xlpm.헤더,1)),0),_xlpm.열번호,COLUMN(N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12" s="605">
        <f>_xlfn.LET(_xlpm.금액,$F12,_xlpm.계약금비율,$B$5,_xlpm.중도금비율,$C$5,_xlpm.잔금비율,$D$5,_xlpm.계약시기,TEXT($B12,"yyyy-mm"),_xlpm.현재월,TEXT(O$8,"yyyy-mm"),_xlpm.헤더범위,$G$9:O$9,_xlpm.헤더,O$9,_xlpm.잔금표,$E$6:$I$6,_xlpm.잔금회차,IF(ISNUMBER(SEARCH("입주",_xlpm.헤더)),VALUE(RIGHT(_xlpm.헤더,1)),0),_xlpm.열번호,COLUMN(O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12" s="605">
        <f>_xlfn.LET(_xlpm.금액,$F12,_xlpm.계약금비율,$B$5,_xlpm.중도금비율,$C$5,_xlpm.잔금비율,$D$5,_xlpm.계약시기,TEXT($B12,"yyyy-mm"),_xlpm.현재월,TEXT(P$8,"yyyy-mm"),_xlpm.헤더범위,$G$9:P$9,_xlpm.헤더,P$9,_xlpm.잔금표,$E$6:$I$6,_xlpm.잔금회차,IF(ISNUMBER(SEARCH("입주",_xlpm.헤더)),VALUE(RIGHT(_xlpm.헤더,1)),0),_xlpm.열번호,COLUMN(P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12" s="605">
        <f ca="1">_xlfn.LET(_xlpm.금액,$F12,_xlpm.계약금비율,$B$5,_xlpm.중도금비율,$C$5,_xlpm.잔금비율,$D$5,_xlpm.계약시기,TEXT($B12,"yyyy-mm"),_xlpm.현재월,TEXT(Q$8,"yyyy-mm"),_xlpm.헤더범위,$G$9:Q$9,_xlpm.헤더,Q$9,_xlpm.잔금표,$E$6:$I$6,_xlpm.잔금회차,IF(ISNUMBER(SEARCH("입주",_xlpm.헤더)),VALUE(RIGHT(_xlpm.헤더,1)),0),_xlpm.열번호,COLUMN(Q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12" s="605">
        <f>_xlfn.LET(_xlpm.금액,$F12,_xlpm.계약금비율,$B$5,_xlpm.중도금비율,$C$5,_xlpm.잔금비율,$D$5,_xlpm.계약시기,TEXT($B12,"yyyy-mm"),_xlpm.현재월,TEXT(R$8,"yyyy-mm"),_xlpm.헤더범위,$G$9:R$9,_xlpm.헤더,R$9,_xlpm.잔금표,$E$6:$I$6,_xlpm.잔금회차,IF(ISNUMBER(SEARCH("입주",_xlpm.헤더)),VALUE(RIGHT(_xlpm.헤더,1)),0),_xlpm.열번호,COLUMN(R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2" s="605">
        <f>_xlfn.LET(_xlpm.금액,$F12,_xlpm.계약금비율,$B$5,_xlpm.중도금비율,$C$5,_xlpm.잔금비율,$D$5,_xlpm.계약시기,TEXT($B12,"yyyy-mm"),_xlpm.현재월,TEXT(S$8,"yyyy-mm"),_xlpm.헤더범위,$G$9:S$9,_xlpm.헤더,S$9,_xlpm.잔금표,$E$6:$I$6,_xlpm.잔금회차,IF(ISNUMBER(SEARCH("입주",_xlpm.헤더)),VALUE(RIGHT(_xlpm.헤더,1)),0),_xlpm.열번호,COLUMN(S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2" s="605">
        <f>_xlfn.LET(_xlpm.금액,$F12,_xlpm.계약금비율,$B$5,_xlpm.중도금비율,$C$5,_xlpm.잔금비율,$D$5,_xlpm.계약시기,TEXT($B12,"yyyy-mm"),_xlpm.현재월,TEXT(T$8,"yyyy-mm"),_xlpm.헤더범위,$G$9:T$9,_xlpm.헤더,T$9,_xlpm.잔금표,$E$6:$I$6,_xlpm.잔금회차,IF(ISNUMBER(SEARCH("입주",_xlpm.헤더)),VALUE(RIGHT(_xlpm.헤더,1)),0),_xlpm.열번호,COLUMN(T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2" s="605">
        <f>_xlfn.LET(_xlpm.금액,$F12,_xlpm.계약금비율,$B$5,_xlpm.중도금비율,$C$5,_xlpm.잔금비율,$D$5,_xlpm.계약시기,TEXT($B12,"yyyy-mm"),_xlpm.현재월,TEXT(U$8,"yyyy-mm"),_xlpm.헤더범위,$G$9:U$9,_xlpm.헤더,U$9,_xlpm.잔금표,$E$6:$I$6,_xlpm.잔금회차,IF(ISNUMBER(SEARCH("입주",_xlpm.헤더)),VALUE(RIGHT(_xlpm.헤더,1)),0),_xlpm.열번호,COLUMN(U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2" s="605">
        <f ca="1">_xlfn.LET(_xlpm.금액,$F12,_xlpm.계약금비율,$B$5,_xlpm.중도금비율,$C$5,_xlpm.잔금비율,$D$5,_xlpm.계약시기,TEXT($B12,"yyyy-mm"),_xlpm.현재월,TEXT(V$8,"yyyy-mm"),_xlpm.헤더범위,$G$9:V$9,_xlpm.헤더,V$9,_xlpm.잔금표,$E$6:$I$6,_xlpm.잔금회차,IF(ISNUMBER(SEARCH("입주",_xlpm.헤더)),VALUE(RIGHT(_xlpm.헤더,1)),0),_xlpm.열번호,COLUMN(V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12" s="605">
        <f>_xlfn.LET(_xlpm.금액,$F12,_xlpm.계약금비율,$B$5,_xlpm.중도금비율,$C$5,_xlpm.잔금비율,$D$5,_xlpm.계약시기,TEXT($B12,"yyyy-mm"),_xlpm.현재월,TEXT(W$8,"yyyy-mm"),_xlpm.헤더범위,$G$9:W$9,_xlpm.헤더,W$9,_xlpm.잔금표,$E$6:$I$6,_xlpm.잔금회차,IF(ISNUMBER(SEARCH("입주",_xlpm.헤더)),VALUE(RIGHT(_xlpm.헤더,1)),0),_xlpm.열번호,COLUMN(W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2" s="605">
        <f>_xlfn.LET(_xlpm.금액,$F12,_xlpm.계약금비율,$B$5,_xlpm.중도금비율,$C$5,_xlpm.잔금비율,$D$5,_xlpm.계약시기,TEXT($B12,"yyyy-mm"),_xlpm.현재월,TEXT(X$8,"yyyy-mm"),_xlpm.헤더범위,$G$9:X$9,_xlpm.헤더,X$9,_xlpm.잔금표,$E$6:$I$6,_xlpm.잔금회차,IF(ISNUMBER(SEARCH("입주",_xlpm.헤더)),VALUE(RIGHT(_xlpm.헤더,1)),0),_xlpm.열번호,COLUMN(X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2" s="605">
        <f>_xlfn.LET(_xlpm.금액,$F12,_xlpm.계약금비율,$B$5,_xlpm.중도금비율,$C$5,_xlpm.잔금비율,$D$5,_xlpm.계약시기,TEXT($B12,"yyyy-mm"),_xlpm.현재월,TEXT(Y$8,"yyyy-mm"),_xlpm.헤더범위,$G$9:Y$9,_xlpm.헤더,Y$9,_xlpm.잔금표,$E$6:$I$6,_xlpm.잔금회차,IF(ISNUMBER(SEARCH("입주",_xlpm.헤더)),VALUE(RIGHT(_xlpm.헤더,1)),0),_xlpm.열번호,COLUMN(Y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2" s="605">
        <f>_xlfn.LET(_xlpm.금액,$F12,_xlpm.계약금비율,$B$5,_xlpm.중도금비율,$C$5,_xlpm.잔금비율,$D$5,_xlpm.계약시기,TEXT($B12,"yyyy-mm"),_xlpm.현재월,TEXT(Z$8,"yyyy-mm"),_xlpm.헤더범위,$G$9:Z$9,_xlpm.헤더,Z$9,_xlpm.잔금표,$E$6:$I$6,_xlpm.잔금회차,IF(ISNUMBER(SEARCH("입주",_xlpm.헤더)),VALUE(RIGHT(_xlpm.헤더,1)),0),_xlpm.열번호,COLUMN(Z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2" s="605">
        <f>_xlfn.LET(_xlpm.금액,$F12,_xlpm.계약금비율,$B$5,_xlpm.중도금비율,$C$5,_xlpm.잔금비율,$D$5,_xlpm.계약시기,TEXT($B12,"yyyy-mm"),_xlpm.현재월,TEXT(AA$8,"yyyy-mm"),_xlpm.헤더범위,$G$9:AA$9,_xlpm.헤더,AA$9,_xlpm.잔금표,$E$6:$I$6,_xlpm.잔금회차,IF(ISNUMBER(SEARCH("입주",_xlpm.헤더)),VALUE(RIGHT(_xlpm.헤더,1)),0),_xlpm.열번호,COLUMN(AA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2" s="605">
        <f ca="1">_xlfn.LET(_xlpm.금액,$F12,_xlpm.계약금비율,$B$5,_xlpm.중도금비율,$C$5,_xlpm.잔금비율,$D$5,_xlpm.계약시기,TEXT($B12,"yyyy-mm"),_xlpm.현재월,TEXT(AB$8,"yyyy-mm"),_xlpm.헤더범위,$G$9:AB$9,_xlpm.헤더,AB$9,_xlpm.잔금표,$E$6:$I$6,_xlpm.잔금회차,IF(ISNUMBER(SEARCH("입주",_xlpm.헤더)),VALUE(RIGHT(_xlpm.헤더,1)),0),_xlpm.열번호,COLUMN(AB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12" s="605">
        <f>_xlfn.LET(_xlpm.금액,$F12,_xlpm.계약금비율,$B$5,_xlpm.중도금비율,$C$5,_xlpm.잔금비율,$D$5,_xlpm.계약시기,TEXT($B12,"yyyy-mm"),_xlpm.현재월,TEXT(AC$8,"yyyy-mm"),_xlpm.헤더범위,$G$9:AC$9,_xlpm.헤더,AC$9,_xlpm.잔금표,$E$6:$I$6,_xlpm.잔금회차,IF(ISNUMBER(SEARCH("입주",_xlpm.헤더)),VALUE(RIGHT(_xlpm.헤더,1)),0),_xlpm.열번호,COLUMN(AC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2" s="605">
        <f>_xlfn.LET(_xlpm.금액,$F12,_xlpm.계약금비율,$B$5,_xlpm.중도금비율,$C$5,_xlpm.잔금비율,$D$5,_xlpm.계약시기,TEXT($B12,"yyyy-mm"),_xlpm.현재월,TEXT(AD$8,"yyyy-mm"),_xlpm.헤더범위,$G$9:AD$9,_xlpm.헤더,AD$9,_xlpm.잔금표,$E$6:$I$6,_xlpm.잔금회차,IF(ISNUMBER(SEARCH("입주",_xlpm.헤더)),VALUE(RIGHT(_xlpm.헤더,1)),0),_xlpm.열번호,COLUMN(AD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2" s="605">
        <f>_xlfn.LET(_xlpm.금액,$F12,_xlpm.계약금비율,$B$5,_xlpm.중도금비율,$C$5,_xlpm.잔금비율,$D$5,_xlpm.계약시기,TEXT($B12,"yyyy-mm"),_xlpm.현재월,TEXT(AE$8,"yyyy-mm"),_xlpm.헤더범위,$G$9:AE$9,_xlpm.헤더,AE$9,_xlpm.잔금표,$E$6:$I$6,_xlpm.잔금회차,IF(ISNUMBER(SEARCH("입주",_xlpm.헤더)),VALUE(RIGHT(_xlpm.헤더,1)),0),_xlpm.열번호,COLUMN(AE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2" s="605">
        <f>_xlfn.LET(_xlpm.금액,$F12,_xlpm.계약금비율,$B$5,_xlpm.중도금비율,$C$5,_xlpm.잔금비율,$D$5,_xlpm.계약시기,TEXT($B12,"yyyy-mm"),_xlpm.현재월,TEXT(AF$8,"yyyy-mm"),_xlpm.헤더범위,$G$9:AF$9,_xlpm.헤더,AF$9,_xlpm.잔금표,$E$6:$I$6,_xlpm.잔금회차,IF(ISNUMBER(SEARCH("입주",_xlpm.헤더)),VALUE(RIGHT(_xlpm.헤더,1)),0),_xlpm.열번호,COLUMN(AF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2" s="605">
        <f ca="1">_xlfn.LET(_xlpm.금액,$F12,_xlpm.계약금비율,$B$5,_xlpm.중도금비율,$C$5,_xlpm.잔금비율,$D$5,_xlpm.계약시기,TEXT($B12,"yyyy-mm"),_xlpm.현재월,TEXT(AG$8,"yyyy-mm"),_xlpm.헤더범위,$G$9:AG$9,_xlpm.헤더,AG$9,_xlpm.잔금표,$E$6:$I$6,_xlpm.잔금회차,IF(ISNUMBER(SEARCH("입주",_xlpm.헤더)),VALUE(RIGHT(_xlpm.헤더,1)),0),_xlpm.열번호,COLUMN(AG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12" s="605">
        <f>_xlfn.LET(_xlpm.금액,$F12,_xlpm.계약금비율,$B$5,_xlpm.중도금비율,$C$5,_xlpm.잔금비율,$D$5,_xlpm.계약시기,TEXT($B12,"yyyy-mm"),_xlpm.현재월,TEXT(AH$8,"yyyy-mm"),_xlpm.헤더범위,$G$9:AH$9,_xlpm.헤더,AH$9,_xlpm.잔금표,$E$6:$I$6,_xlpm.잔금회차,IF(ISNUMBER(SEARCH("입주",_xlpm.헤더)),VALUE(RIGHT(_xlpm.헤더,1)),0),_xlpm.열번호,COLUMN(AH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2" s="605">
        <f>_xlfn.LET(_xlpm.금액,$F12,_xlpm.계약금비율,$B$5,_xlpm.중도금비율,$C$5,_xlpm.잔금비율,$D$5,_xlpm.계약시기,TEXT($B12,"yyyy-mm"),_xlpm.현재월,TEXT(AI$8,"yyyy-mm"),_xlpm.헤더범위,$G$9:AI$9,_xlpm.헤더,AI$9,_xlpm.잔금표,$E$6:$I$6,_xlpm.잔금회차,IF(ISNUMBER(SEARCH("입주",_xlpm.헤더)),VALUE(RIGHT(_xlpm.헤더,1)),0),_xlpm.열번호,COLUMN(AI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2" s="605">
        <f>_xlfn.LET(_xlpm.금액,$F12,_xlpm.계약금비율,$B$5,_xlpm.중도금비율,$C$5,_xlpm.잔금비율,$D$5,_xlpm.계약시기,TEXT($B12,"yyyy-mm"),_xlpm.현재월,TEXT(AJ$8,"yyyy-mm"),_xlpm.헤더범위,$G$9:AJ$9,_xlpm.헤더,AJ$9,_xlpm.잔금표,$E$6:$I$6,_xlpm.잔금회차,IF(ISNUMBER(SEARCH("입주",_xlpm.헤더)),VALUE(RIGHT(_xlpm.헤더,1)),0),_xlpm.열번호,COLUMN(AJ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2" s="605">
        <f>_xlfn.LET(_xlpm.금액,$F12,_xlpm.계약금비율,$B$5,_xlpm.중도금비율,$C$5,_xlpm.잔금비율,$D$5,_xlpm.계약시기,TEXT($B12,"yyyy-mm"),_xlpm.현재월,TEXT(AK$8,"yyyy-mm"),_xlpm.헤더범위,$G$9:AK$9,_xlpm.헤더,AK$9,_xlpm.잔금표,$E$6:$I$6,_xlpm.잔금회차,IF(ISNUMBER(SEARCH("입주",_xlpm.헤더)),VALUE(RIGHT(_xlpm.헤더,1)),0),_xlpm.열번호,COLUMN(AK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2" s="605">
        <f ca="1">_xlfn.LET(_xlpm.금액,$F12,_xlpm.계약금비율,$B$5,_xlpm.중도금비율,$C$5,_xlpm.잔금비율,$D$5,_xlpm.계약시기,TEXT($B12,"yyyy-mm"),_xlpm.현재월,TEXT(AL$8,"yyyy-mm"),_xlpm.헤더범위,$G$9:AL$9,_xlpm.헤더,AL$9,_xlpm.잔금표,$E$6:$I$6,_xlpm.잔금회차,IF(ISNUMBER(SEARCH("입주",_xlpm.헤더)),VALUE(RIGHT(_xlpm.헤더,1)),0),_xlpm.열번호,COLUMN(AL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12" s="605">
        <f>_xlfn.LET(_xlpm.금액,$F12,_xlpm.계약금비율,$B$5,_xlpm.중도금비율,$C$5,_xlpm.잔금비율,$D$5,_xlpm.계약시기,TEXT($B12,"yyyy-mm"),_xlpm.현재월,TEXT(AM$8,"yyyy-mm"),_xlpm.헤더범위,$G$9:AM$9,_xlpm.헤더,AM$9,_xlpm.잔금표,$E$6:$I$6,_xlpm.잔금회차,IF(ISNUMBER(SEARCH("입주",_xlpm.헤더)),VALUE(RIGHT(_xlpm.헤더,1)),0),_xlpm.열번호,COLUMN(AM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2" s="605">
        <f>_xlfn.LET(_xlpm.금액,$F12,_xlpm.계약금비율,$B$5,_xlpm.중도금비율,$C$5,_xlpm.잔금비율,$D$5,_xlpm.계약시기,TEXT($B12,"yyyy-mm"),_xlpm.현재월,TEXT(AN$8,"yyyy-mm"),_xlpm.헤더범위,$G$9:AN$9,_xlpm.헤더,AN$9,_xlpm.잔금표,$E$6:$I$6,_xlpm.잔금회차,IF(ISNUMBER(SEARCH("입주",_xlpm.헤더)),VALUE(RIGHT(_xlpm.헤더,1)),0),_xlpm.열번호,COLUMN(AN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2" s="605">
        <f>_xlfn.LET(_xlpm.금액,$F12,_xlpm.계약금비율,$B$5,_xlpm.중도금비율,$C$5,_xlpm.잔금비율,$D$5,_xlpm.계약시기,TEXT($B12,"yyyy-mm"),_xlpm.현재월,TEXT(AO$8,"yyyy-mm"),_xlpm.헤더범위,$G$9:AO$9,_xlpm.헤더,AO$9,_xlpm.잔금표,$E$6:$I$6,_xlpm.잔금회차,IF(ISNUMBER(SEARCH("입주",_xlpm.헤더)),VALUE(RIGHT(_xlpm.헤더,1)),0),_xlpm.열번호,COLUMN(AO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2" s="605">
        <f>_xlfn.LET(_xlpm.금액,$F12,_xlpm.계약금비율,$B$5,_xlpm.중도금비율,$C$5,_xlpm.잔금비율,$D$5,_xlpm.계약시기,TEXT($B12,"yyyy-mm"),_xlpm.현재월,TEXT(AP$8,"yyyy-mm"),_xlpm.헤더범위,$G$9:AP$9,_xlpm.헤더,AP$9,_xlpm.잔금표,$E$6:$I$6,_xlpm.잔금회차,IF(ISNUMBER(SEARCH("입주",_xlpm.헤더)),VALUE(RIGHT(_xlpm.헤더,1)),0),_xlpm.열번호,COLUMN(AP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2" s="605">
        <f>_xlfn.LET(_xlpm.금액,$F12,_xlpm.계약금비율,$B$5,_xlpm.중도금비율,$C$5,_xlpm.잔금비율,$D$5,_xlpm.계약시기,TEXT($B12,"yyyy-mm"),_xlpm.현재월,TEXT(AQ$8,"yyyy-mm"),_xlpm.헤더범위,$G$9:AQ$9,_xlpm.헤더,AQ$9,_xlpm.잔금표,$E$6:$I$6,_xlpm.잔금회차,IF(ISNUMBER(SEARCH("입주",_xlpm.헤더)),VALUE(RIGHT(_xlpm.헤더,1)),0),_xlpm.열번호,COLUMN(AQ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2" s="605" t="e" vm="2">
        <f>_xlfn.LET(_xlpm.금액,$F12,_xlpm.계약금비율,$B$5,_xlpm.중도금비율,$C$5,_xlpm.잔금비율,$D$5,_xlpm.계약시기,TEXT($B12,"yyyy-mm"),_xlpm.현재월,TEXT(AR$8,"yyyy-mm"),_xlpm.헤더범위,$G$9:AR$9,_xlpm.헤더,AR$9,_xlpm.잔금표,$E$6:$I$6,_xlpm.잔금회차,IF(ISNUMBER(SEARCH("입주",_xlpm.헤더)),VALUE(RIGHT(_xlpm.헤더,1)),0),_xlpm.열번호,COLUMN(AR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2" s="605" t="e" vm="2">
        <f>_xlfn.LET(_xlpm.금액,$F12,_xlpm.계약금비율,$B$5,_xlpm.중도금비율,$C$5,_xlpm.잔금비율,$D$5,_xlpm.계약시기,TEXT($B12,"yyyy-mm"),_xlpm.현재월,TEXT(AS$8,"yyyy-mm"),_xlpm.헤더범위,$G$9:AS$9,_xlpm.헤더,AS$9,_xlpm.잔금표,$E$6:$I$6,_xlpm.잔금회차,IF(ISNUMBER(SEARCH("입주",_xlpm.헤더)),VALUE(RIGHT(_xlpm.헤더,1)),0),_xlpm.열번호,COLUMN(AS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2" s="605" t="e" vm="2">
        <f>_xlfn.LET(_xlpm.금액,$F12,_xlpm.계약금비율,$B$5,_xlpm.중도금비율,$C$5,_xlpm.잔금비율,$D$5,_xlpm.계약시기,TEXT($B12,"yyyy-mm"),_xlpm.현재월,TEXT(AT$8,"yyyy-mm"),_xlpm.헤더범위,$G$9:AT$9,_xlpm.헤더,AT$9,_xlpm.잔금표,$E$6:$I$6,_xlpm.잔금회차,IF(ISNUMBER(SEARCH("입주",_xlpm.헤더)),VALUE(RIGHT(_xlpm.헤더,1)),0),_xlpm.열번호,COLUMN(AT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2" s="605" t="e" vm="2">
        <f>_xlfn.LET(_xlpm.금액,$F12,_xlpm.계약금비율,$B$5,_xlpm.중도금비율,$C$5,_xlpm.잔금비율,$D$5,_xlpm.계약시기,TEXT($B12,"yyyy-mm"),_xlpm.현재월,TEXT(AU$8,"yyyy-mm"),_xlpm.헤더범위,$G$9:AU$9,_xlpm.헤더,AU$9,_xlpm.잔금표,$E$6:$I$6,_xlpm.잔금회차,IF(ISNUMBER(SEARCH("입주",_xlpm.헤더)),VALUE(RIGHT(_xlpm.헤더,1)),0),_xlpm.열번호,COLUMN(AU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2" s="605" t="e" vm="2">
        <f>_xlfn.LET(_xlpm.금액,$F12,_xlpm.계약금비율,$B$5,_xlpm.중도금비율,$C$5,_xlpm.잔금비율,$D$5,_xlpm.계약시기,TEXT($B12,"yyyy-mm"),_xlpm.현재월,TEXT(AV$8,"yyyy-mm"),_xlpm.헤더범위,$G$9:AV$9,_xlpm.헤더,AV$9,_xlpm.잔금표,$E$6:$I$6,_xlpm.잔금회차,IF(ISNUMBER(SEARCH("입주",_xlpm.헤더)),VALUE(RIGHT(_xlpm.헤더,1)),0),_xlpm.열번호,COLUMN(AV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2" s="605">
        <f>_xlfn.LET(_xlpm.금액,$F12,_xlpm.계약금비율,$B$5,_xlpm.중도금비율,$C$5,_xlpm.잔금비율,$D$5,_xlpm.계약시기,TEXT($B12,"yyyy-mm"),_xlpm.현재월,TEXT(AW$8,"yyyy-mm"),_xlpm.헤더범위,$G$9:AW$9,_xlpm.헤더,AW$9,_xlpm.잔금표,$E$6:$I$6,_xlpm.잔금회차,IF(ISNUMBER(SEARCH("입주",_xlpm.헤더)),VALUE(RIGHT(_xlpm.헤더,1)),0),_xlpm.열번호,COLUMN(AW$9),_xlpm.행번호,ROW($G12),_xlpm.전체헤더,$G$9:$BF$9,_xlpm.전체데이터,$G12:$BF12,_xlpm.전체열번호,_xlfn.SEQUENCE(1,COLUMNS(_xlpm.전체헤더),COLUMN($G12)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2" s="605">
        <f t="shared" ca="1" si="3"/>
        <v>0</v>
      </c>
      <c r="AY12" s="605">
        <f t="shared" ca="1" si="3"/>
        <v>0</v>
      </c>
      <c r="AZ12" s="605">
        <f t="shared" ca="1" si="4"/>
        <v>0</v>
      </c>
      <c r="BA12" s="605">
        <f t="shared" ca="1" si="4"/>
        <v>0</v>
      </c>
      <c r="BB12" s="605">
        <f t="shared" ca="1" si="4"/>
        <v>0</v>
      </c>
      <c r="BC12" s="605">
        <f ca="1">IF(TEXT(BC$8,"yyyy-mm")=TEXT($B12,"yyyy-mm"),$F12*$B$5,IF(AND(ISNUMBER(SEARCH("중도금",BC$9)),TEXT(BC$8,"yyyy-mm")&gt;=TEXT($B12,"yyyy-mm")),IF(BC$9="1차중도금",$F12*$C$5/6,IF(BC$9="2차중도금",MAX(0,$F12*$C$5*0.3-IF(COLUMN()&gt;7,SUM($G12:OFFSET(BC12,0,COLUMN()-8)),0)),IF(BC$9="3차중도금",MAX(0,$F12*$C$5*0.4-IF(COLUMN()&gt;7,SUM($G12:OFFSET(BC12,0,COLUMN()-8)),0)),IF(BC$9="4차중도금",MAX(0,$F12*$C$5*0.5-IF(COLUMN()&gt;7,SUM($G12:OFFSET(BC12,0,COLUMN()-8)),0)),IF(BC$9="5차중도금",MAX(0,$F12*$C$5*0.6-IF(COLUMN()&gt;7,SUM($G12:OFFSET(BC12,0,COLUMN()-8)),0)),IF(BC$9="6차중도금",MAX(0,$F12*$C$5*0.7-IF(COLUMN()&gt;7,SUM($G12:OFFSET(BC12,0,COLUMN()-8)),0)),0)))))),IF(AND(ISNUMBER(SEARCH("입주",BC$9)),TEXT(BC$8,"yyyy-mm")&gt;=TEXT($B12,"yyyy-mm")),$F12*$D$5*INDEX($E$6:$I$6,VALUE(RIGHT(BC$9,1))),0)))</f>
        <v>0</v>
      </c>
      <c r="BD12" s="605">
        <f ca="1">IF(TEXT(BD$8,"yyyy-mm")=TEXT($B12,"yyyy-mm"),$F12*$B$5,IF(AND(ISNUMBER(SEARCH("중도금",BD$9)),TEXT(BD$8,"yyyy-mm")&gt;=TEXT($B12,"yyyy-mm")),IF(BD$9="1차중도금",$F12*$C$5/6,IF(BD$9="2차중도금",MAX(0,$F12*$C$5*0.3-IF(COLUMN()&gt;7,SUM($G12:OFFSET(BD12,0,COLUMN()-8)),0)),IF(BD$9="3차중도금",MAX(0,$F12*$C$5*0.4-IF(COLUMN()&gt;7,SUM($G12:OFFSET(BD12,0,COLUMN()-8)),0)),IF(BD$9="4차중도금",MAX(0,$F12*$C$5*0.5-IF(COLUMN()&gt;7,SUM($G12:OFFSET(BD12,0,COLUMN()-8)),0)),IF(BD$9="5차중도금",MAX(0,$F12*$C$5*0.6-IF(COLUMN()&gt;7,SUM($G12:OFFSET(BD12,0,COLUMN()-8)),0)),IF(BD$9="6차중도금",MAX(0,$F12*$C$5*0.7-IF(COLUMN()&gt;7,SUM($G12:OFFSET(BD12,0,COLUMN()-8)),0)),0)))))),IF(AND(ISNUMBER(SEARCH("입주",BD$9)),TEXT(BD$8,"yyyy-mm")&gt;=TEXT($B12,"yyyy-mm")),$F12*$D$5*INDEX($E$6:$I$6,VALUE(RIGHT(BD$9,1))),0)))</f>
        <v>0</v>
      </c>
      <c r="BE12" s="605">
        <f ca="1">IF(TEXT(BE$8,"yyyy-mm")=TEXT($B12,"yyyy-mm"),$F12*$B$5,IF(AND(ISNUMBER(SEARCH("중도금",BE$9)),TEXT(BE$8,"yyyy-mm")&gt;=TEXT($B12,"yyyy-mm")),IF(BE$9="1차중도금",$F12*$C$5/6,IF(BE$9="2차중도금",MAX(0,$F12*$C$5*0.3-IF(COLUMN()&gt;7,SUM($G12:OFFSET(BE12,0,COLUMN()-8)),0)),IF(BE$9="3차중도금",MAX(0,$F12*$C$5*0.4-IF(COLUMN()&gt;7,SUM($G12:OFFSET(BE12,0,COLUMN()-8)),0)),IF(BE$9="4차중도금",MAX(0,$F12*$C$5*0.5-IF(COLUMN()&gt;7,SUM($G12:OFFSET(BE12,0,COLUMN()-8)),0)),IF(BE$9="5차중도금",MAX(0,$F12*$C$5*0.6-IF(COLUMN()&gt;7,SUM($G12:OFFSET(BE12,0,COLUMN()-8)),0)),IF(BE$9="6차중도금",MAX(0,$F12*$C$5*0.7-IF(COLUMN()&gt;7,SUM($G12:OFFSET(BE12,0,COLUMN()-8)),0)),0)))))),IF(AND(ISNUMBER(SEARCH("입주",BE$9)),TEXT(BE$8,"yyyy-mm")&gt;=TEXT($B12,"yyyy-mm")),$F12*$D$5*INDEX($E$6:$I$6,VALUE(RIGHT(BE$9,1))),0)))</f>
        <v>0</v>
      </c>
      <c r="BF12" s="609">
        <f t="shared" ca="1" si="8"/>
        <v>-23593194.186101183</v>
      </c>
      <c r="BG12" s="556">
        <f t="shared" ca="1" si="5"/>
        <v>36236812.561346188</v>
      </c>
      <c r="BH12" s="610"/>
    </row>
    <row r="13" spans="1:60" ht="17" customHeight="1">
      <c r="A13" s="1853"/>
      <c r="B13" s="611">
        <f t="shared" si="6"/>
        <v>44927</v>
      </c>
      <c r="C13" s="605">
        <f t="shared" si="7"/>
        <v>252872367.50490001</v>
      </c>
      <c r="D13" s="1501">
        <v>0.05</v>
      </c>
      <c r="E13" s="607">
        <f t="shared" si="9"/>
        <v>0.54999999999999993</v>
      </c>
      <c r="F13" s="608">
        <f t="shared" si="2"/>
        <v>12643618.375245001</v>
      </c>
      <c r="G13" s="605">
        <f>_xlfn.LET(_xlpm.금액,$F13,_xlpm.계약금비율,$B$5,_xlpm.중도금비율,$C$5,_xlpm.잔금비율,$D$5,_xlpm.계약시기,TEXT($B13,"yyyy-mm"),_xlpm.현재월,TEXT(G$8,"yyyy-mm"),_xlpm.헤더범위,$G$9:G$9,_xlpm.헤더,G$9,_xlpm.잔금표,$E$6:$I$6,_xlpm.잔금회차,IF(ISNUMBER(SEARCH("입주",_xlpm.헤더)),VALUE(RIGHT(_xlpm.헤더,1)),0),_xlpm.열번호,COLUMN(G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13" s="605">
        <f>_xlfn.LET(_xlpm.금액,$F13,_xlpm.계약금비율,$B$5,_xlpm.중도금비율,$C$5,_xlpm.잔금비율,$D$5,_xlpm.계약시기,TEXT($B13,"yyyy-mm"),_xlpm.현재월,TEXT(H$8,"yyyy-mm"),_xlpm.헤더범위,$G$9:H$9,_xlpm.헤더,H$9,_xlpm.잔금표,$E$6:$I$6,_xlpm.잔금회차,IF(ISNUMBER(SEARCH("입주",_xlpm.헤더)),VALUE(RIGHT(_xlpm.헤더,1)),0),_xlpm.열번호,COLUMN(H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13" s="605">
        <f>_xlfn.LET(_xlpm.금액,$F13,_xlpm.계약금비율,$B$5,_xlpm.중도금비율,$C$5,_xlpm.잔금비율,$D$5,_xlpm.계약시기,TEXT($B13,"yyyy-mm"),_xlpm.현재월,TEXT(I$8,"yyyy-mm"),_xlpm.헤더범위,$G$9:I$9,_xlpm.헤더,I$9,_xlpm.잔금표,$E$6:$I$6,_xlpm.잔금회차,IF(ISNUMBER(SEARCH("입주",_xlpm.헤더)),VALUE(RIGHT(_xlpm.헤더,1)),0),_xlpm.열번호,COLUMN(I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13" s="605">
        <f>_xlfn.LET(_xlpm.금액,$F13,_xlpm.계약금비율,$B$5,_xlpm.중도금비율,$C$5,_xlpm.잔금비율,$D$5,_xlpm.계약시기,TEXT($B13,"yyyy-mm"),_xlpm.현재월,TEXT(J$8,"yyyy-mm"),_xlpm.헤더범위,$G$9:J$9,_xlpm.헤더,J$9,_xlpm.잔금표,$E$6:$I$6,_xlpm.잔금회차,IF(ISNUMBER(SEARCH("입주",_xlpm.헤더)),VALUE(RIGHT(_xlpm.헤더,1)),0),_xlpm.열번호,COLUMN(J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1264361.8375245002</v>
      </c>
      <c r="K13" s="605">
        <f>_xlfn.LET(_xlpm.금액,$F13,_xlpm.계약금비율,$B$5,_xlpm.중도금비율,$C$5,_xlpm.잔금비율,$D$5,_xlpm.계약시기,TEXT($B13,"yyyy-mm"),_xlpm.현재월,TEXT(K$8,"yyyy-mm"),_xlpm.헤더범위,$G$9:K$9,_xlpm.헤더,K$9,_xlpm.잔금표,$E$6:$I$6,_xlpm.잔금회차,IF(ISNUMBER(SEARCH("입주",_xlpm.헤더)),VALUE(RIGHT(_xlpm.헤더,1)),0),_xlpm.열번호,COLUMN(K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13" s="605">
        <f ca="1">_xlfn.LET(_xlpm.금액,$F13,_xlpm.계약금비율,$B$5,_xlpm.중도금비율,$C$5,_xlpm.잔금비율,$D$5,_xlpm.계약시기,TEXT($B13,"yyyy-mm"),_xlpm.현재월,TEXT(L$8,"yyyy-mm"),_xlpm.헤더범위,$G$9:L$9,_xlpm.헤더,L$9,_xlpm.잔금표,$E$6:$I$6,_xlpm.잔금회차,IF(ISNUMBER(SEARCH("입주",_xlpm.헤더)),VALUE(RIGHT(_xlpm.헤더,1)),0),_xlpm.열번호,COLUMN(L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13" s="605">
        <f>_xlfn.LET(_xlpm.금액,$F13,_xlpm.계약금비율,$B$5,_xlpm.중도금비율,$C$5,_xlpm.잔금비율,$D$5,_xlpm.계약시기,TEXT($B13,"yyyy-mm"),_xlpm.현재월,TEXT(M$8,"yyyy-mm"),_xlpm.헤더범위,$G$9:M$9,_xlpm.헤더,M$9,_xlpm.잔금표,$E$6:$I$6,_xlpm.잔금회차,IF(ISNUMBER(SEARCH("입주",_xlpm.헤더)),VALUE(RIGHT(_xlpm.헤더,1)),0),_xlpm.열번호,COLUMN(M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13" s="605">
        <f>_xlfn.LET(_xlpm.금액,$F13,_xlpm.계약금비율,$B$5,_xlpm.중도금비율,$C$5,_xlpm.잔금비율,$D$5,_xlpm.계약시기,TEXT($B13,"yyyy-mm"),_xlpm.현재월,TEXT(N$8,"yyyy-mm"),_xlpm.헤더범위,$G$9:N$9,_xlpm.헤더,N$9,_xlpm.잔금표,$E$6:$I$6,_xlpm.잔금회차,IF(ISNUMBER(SEARCH("입주",_xlpm.헤더)),VALUE(RIGHT(_xlpm.헤더,1)),0),_xlpm.열번호,COLUMN(N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13" s="605">
        <f>_xlfn.LET(_xlpm.금액,$F13,_xlpm.계약금비율,$B$5,_xlpm.중도금비율,$C$5,_xlpm.잔금비율,$D$5,_xlpm.계약시기,TEXT($B13,"yyyy-mm"),_xlpm.현재월,TEXT(O$8,"yyyy-mm"),_xlpm.헤더범위,$G$9:O$9,_xlpm.헤더,O$9,_xlpm.잔금표,$E$6:$I$6,_xlpm.잔금회차,IF(ISNUMBER(SEARCH("입주",_xlpm.헤더)),VALUE(RIGHT(_xlpm.헤더,1)),0),_xlpm.열번호,COLUMN(O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13" s="605">
        <f>_xlfn.LET(_xlpm.금액,$F13,_xlpm.계약금비율,$B$5,_xlpm.중도금비율,$C$5,_xlpm.잔금비율,$D$5,_xlpm.계약시기,TEXT($B13,"yyyy-mm"),_xlpm.현재월,TEXT(P$8,"yyyy-mm"),_xlpm.헤더범위,$G$9:P$9,_xlpm.헤더,P$9,_xlpm.잔금표,$E$6:$I$6,_xlpm.잔금회차,IF(ISNUMBER(SEARCH("입주",_xlpm.헤더)),VALUE(RIGHT(_xlpm.헤더,1)),0),_xlpm.열번호,COLUMN(P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13" s="605">
        <f ca="1">_xlfn.LET(_xlpm.금액,$F13,_xlpm.계약금비율,$B$5,_xlpm.중도금비율,$C$5,_xlpm.잔금비율,$D$5,_xlpm.계약시기,TEXT($B13,"yyyy-mm"),_xlpm.현재월,TEXT(Q$8,"yyyy-mm"),_xlpm.헤더범위,$G$9:Q$9,_xlpm.헤더,Q$9,_xlpm.잔금표,$E$6:$I$6,_xlpm.잔금회차,IF(ISNUMBER(SEARCH("입주",_xlpm.헤더)),VALUE(RIGHT(_xlpm.헤더,1)),0),_xlpm.열번호,COLUMN(Q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13" s="605">
        <f>_xlfn.LET(_xlpm.금액,$F13,_xlpm.계약금비율,$B$5,_xlpm.중도금비율,$C$5,_xlpm.잔금비율,$D$5,_xlpm.계약시기,TEXT($B13,"yyyy-mm"),_xlpm.현재월,TEXT(R$8,"yyyy-mm"),_xlpm.헤더범위,$G$9:R$9,_xlpm.헤더,R$9,_xlpm.잔금표,$E$6:$I$6,_xlpm.잔금회차,IF(ISNUMBER(SEARCH("입주",_xlpm.헤더)),VALUE(RIGHT(_xlpm.헤더,1)),0),_xlpm.열번호,COLUMN(R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3" s="605">
        <f>_xlfn.LET(_xlpm.금액,$F13,_xlpm.계약금비율,$B$5,_xlpm.중도금비율,$C$5,_xlpm.잔금비율,$D$5,_xlpm.계약시기,TEXT($B13,"yyyy-mm"),_xlpm.현재월,TEXT(S$8,"yyyy-mm"),_xlpm.헤더범위,$G$9:S$9,_xlpm.헤더,S$9,_xlpm.잔금표,$E$6:$I$6,_xlpm.잔금회차,IF(ISNUMBER(SEARCH("입주",_xlpm.헤더)),VALUE(RIGHT(_xlpm.헤더,1)),0),_xlpm.열번호,COLUMN(S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3" s="605">
        <f>_xlfn.LET(_xlpm.금액,$F13,_xlpm.계약금비율,$B$5,_xlpm.중도금비율,$C$5,_xlpm.잔금비율,$D$5,_xlpm.계약시기,TEXT($B13,"yyyy-mm"),_xlpm.현재월,TEXT(T$8,"yyyy-mm"),_xlpm.헤더범위,$G$9:T$9,_xlpm.헤더,T$9,_xlpm.잔금표,$E$6:$I$6,_xlpm.잔금회차,IF(ISNUMBER(SEARCH("입주",_xlpm.헤더)),VALUE(RIGHT(_xlpm.헤더,1)),0),_xlpm.열번호,COLUMN(T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3" s="605">
        <f>_xlfn.LET(_xlpm.금액,$F13,_xlpm.계약금비율,$B$5,_xlpm.중도금비율,$C$5,_xlpm.잔금비율,$D$5,_xlpm.계약시기,TEXT($B13,"yyyy-mm"),_xlpm.현재월,TEXT(U$8,"yyyy-mm"),_xlpm.헤더범위,$G$9:U$9,_xlpm.헤더,U$9,_xlpm.잔금표,$E$6:$I$6,_xlpm.잔금회차,IF(ISNUMBER(SEARCH("입주",_xlpm.헤더)),VALUE(RIGHT(_xlpm.헤더,1)),0),_xlpm.열번호,COLUMN(U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3" s="605">
        <f ca="1">_xlfn.LET(_xlpm.금액,$F13,_xlpm.계약금비율,$B$5,_xlpm.중도금비율,$C$5,_xlpm.잔금비율,$D$5,_xlpm.계약시기,TEXT($B13,"yyyy-mm"),_xlpm.현재월,TEXT(V$8,"yyyy-mm"),_xlpm.헤더범위,$G$9:V$9,_xlpm.헤더,V$9,_xlpm.잔금표,$E$6:$I$6,_xlpm.잔금회차,IF(ISNUMBER(SEARCH("입주",_xlpm.헤더)),VALUE(RIGHT(_xlpm.헤더,1)),0),_xlpm.열번호,COLUMN(V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13" s="605">
        <f>_xlfn.LET(_xlpm.금액,$F13,_xlpm.계약금비율,$B$5,_xlpm.중도금비율,$C$5,_xlpm.잔금비율,$D$5,_xlpm.계약시기,TEXT($B13,"yyyy-mm"),_xlpm.현재월,TEXT(W$8,"yyyy-mm"),_xlpm.헤더범위,$G$9:W$9,_xlpm.헤더,W$9,_xlpm.잔금표,$E$6:$I$6,_xlpm.잔금회차,IF(ISNUMBER(SEARCH("입주",_xlpm.헤더)),VALUE(RIGHT(_xlpm.헤더,1)),0),_xlpm.열번호,COLUMN(W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3" s="605">
        <f>_xlfn.LET(_xlpm.금액,$F13,_xlpm.계약금비율,$B$5,_xlpm.중도금비율,$C$5,_xlpm.잔금비율,$D$5,_xlpm.계약시기,TEXT($B13,"yyyy-mm"),_xlpm.현재월,TEXT(X$8,"yyyy-mm"),_xlpm.헤더범위,$G$9:X$9,_xlpm.헤더,X$9,_xlpm.잔금표,$E$6:$I$6,_xlpm.잔금회차,IF(ISNUMBER(SEARCH("입주",_xlpm.헤더)),VALUE(RIGHT(_xlpm.헤더,1)),0),_xlpm.열번호,COLUMN(X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3" s="605">
        <f>_xlfn.LET(_xlpm.금액,$F13,_xlpm.계약금비율,$B$5,_xlpm.중도금비율,$C$5,_xlpm.잔금비율,$D$5,_xlpm.계약시기,TEXT($B13,"yyyy-mm"),_xlpm.현재월,TEXT(Y$8,"yyyy-mm"),_xlpm.헤더범위,$G$9:Y$9,_xlpm.헤더,Y$9,_xlpm.잔금표,$E$6:$I$6,_xlpm.잔금회차,IF(ISNUMBER(SEARCH("입주",_xlpm.헤더)),VALUE(RIGHT(_xlpm.헤더,1)),0),_xlpm.열번호,COLUMN(Y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3" s="605">
        <f>_xlfn.LET(_xlpm.금액,$F13,_xlpm.계약금비율,$B$5,_xlpm.중도금비율,$C$5,_xlpm.잔금비율,$D$5,_xlpm.계약시기,TEXT($B13,"yyyy-mm"),_xlpm.현재월,TEXT(Z$8,"yyyy-mm"),_xlpm.헤더범위,$G$9:Z$9,_xlpm.헤더,Z$9,_xlpm.잔금표,$E$6:$I$6,_xlpm.잔금회차,IF(ISNUMBER(SEARCH("입주",_xlpm.헤더)),VALUE(RIGHT(_xlpm.헤더,1)),0),_xlpm.열번호,COLUMN(Z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3" s="605">
        <f>_xlfn.LET(_xlpm.금액,$F13,_xlpm.계약금비율,$B$5,_xlpm.중도금비율,$C$5,_xlpm.잔금비율,$D$5,_xlpm.계약시기,TEXT($B13,"yyyy-mm"),_xlpm.현재월,TEXT(AA$8,"yyyy-mm"),_xlpm.헤더범위,$G$9:AA$9,_xlpm.헤더,AA$9,_xlpm.잔금표,$E$6:$I$6,_xlpm.잔금회차,IF(ISNUMBER(SEARCH("입주",_xlpm.헤더)),VALUE(RIGHT(_xlpm.헤더,1)),0),_xlpm.열번호,COLUMN(AA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3" s="605">
        <f ca="1">_xlfn.LET(_xlpm.금액,$F13,_xlpm.계약금비율,$B$5,_xlpm.중도금비율,$C$5,_xlpm.잔금비율,$D$5,_xlpm.계약시기,TEXT($B13,"yyyy-mm"),_xlpm.현재월,TEXT(AB$8,"yyyy-mm"),_xlpm.헤더범위,$G$9:AB$9,_xlpm.헤더,AB$9,_xlpm.잔금표,$E$6:$I$6,_xlpm.잔금회차,IF(ISNUMBER(SEARCH("입주",_xlpm.헤더)),VALUE(RIGHT(_xlpm.헤더,1)),0),_xlpm.열번호,COLUMN(AB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13" s="605">
        <f>_xlfn.LET(_xlpm.금액,$F13,_xlpm.계약금비율,$B$5,_xlpm.중도금비율,$C$5,_xlpm.잔금비율,$D$5,_xlpm.계약시기,TEXT($B13,"yyyy-mm"),_xlpm.현재월,TEXT(AC$8,"yyyy-mm"),_xlpm.헤더범위,$G$9:AC$9,_xlpm.헤더,AC$9,_xlpm.잔금표,$E$6:$I$6,_xlpm.잔금회차,IF(ISNUMBER(SEARCH("입주",_xlpm.헤더)),VALUE(RIGHT(_xlpm.헤더,1)),0),_xlpm.열번호,COLUMN(AC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3" s="605">
        <f>_xlfn.LET(_xlpm.금액,$F13,_xlpm.계약금비율,$B$5,_xlpm.중도금비율,$C$5,_xlpm.잔금비율,$D$5,_xlpm.계약시기,TEXT($B13,"yyyy-mm"),_xlpm.현재월,TEXT(AD$8,"yyyy-mm"),_xlpm.헤더범위,$G$9:AD$9,_xlpm.헤더,AD$9,_xlpm.잔금표,$E$6:$I$6,_xlpm.잔금회차,IF(ISNUMBER(SEARCH("입주",_xlpm.헤더)),VALUE(RIGHT(_xlpm.헤더,1)),0),_xlpm.열번호,COLUMN(AD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3" s="605">
        <f>_xlfn.LET(_xlpm.금액,$F13,_xlpm.계약금비율,$B$5,_xlpm.중도금비율,$C$5,_xlpm.잔금비율,$D$5,_xlpm.계약시기,TEXT($B13,"yyyy-mm"),_xlpm.현재월,TEXT(AE$8,"yyyy-mm"),_xlpm.헤더범위,$G$9:AE$9,_xlpm.헤더,AE$9,_xlpm.잔금표,$E$6:$I$6,_xlpm.잔금회차,IF(ISNUMBER(SEARCH("입주",_xlpm.헤더)),VALUE(RIGHT(_xlpm.헤더,1)),0),_xlpm.열번호,COLUMN(AE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3" s="605">
        <f>_xlfn.LET(_xlpm.금액,$F13,_xlpm.계약금비율,$B$5,_xlpm.중도금비율,$C$5,_xlpm.잔금비율,$D$5,_xlpm.계약시기,TEXT($B13,"yyyy-mm"),_xlpm.현재월,TEXT(AF$8,"yyyy-mm"),_xlpm.헤더범위,$G$9:AF$9,_xlpm.헤더,AF$9,_xlpm.잔금표,$E$6:$I$6,_xlpm.잔금회차,IF(ISNUMBER(SEARCH("입주",_xlpm.헤더)),VALUE(RIGHT(_xlpm.헤더,1)),0),_xlpm.열번호,COLUMN(AF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3" s="605">
        <f ca="1">_xlfn.LET(_xlpm.금액,$F13,_xlpm.계약금비율,$B$5,_xlpm.중도금비율,$C$5,_xlpm.잔금비율,$D$5,_xlpm.계약시기,TEXT($B13,"yyyy-mm"),_xlpm.현재월,TEXT(AG$8,"yyyy-mm"),_xlpm.헤더범위,$G$9:AG$9,_xlpm.헤더,AG$9,_xlpm.잔금표,$E$6:$I$6,_xlpm.잔금회차,IF(ISNUMBER(SEARCH("입주",_xlpm.헤더)),VALUE(RIGHT(_xlpm.헤더,1)),0),_xlpm.열번호,COLUMN(AG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13" s="605">
        <f>_xlfn.LET(_xlpm.금액,$F13,_xlpm.계약금비율,$B$5,_xlpm.중도금비율,$C$5,_xlpm.잔금비율,$D$5,_xlpm.계약시기,TEXT($B13,"yyyy-mm"),_xlpm.현재월,TEXT(AH$8,"yyyy-mm"),_xlpm.헤더범위,$G$9:AH$9,_xlpm.헤더,AH$9,_xlpm.잔금표,$E$6:$I$6,_xlpm.잔금회차,IF(ISNUMBER(SEARCH("입주",_xlpm.헤더)),VALUE(RIGHT(_xlpm.헤더,1)),0),_xlpm.열번호,COLUMN(AH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3" s="605">
        <f>_xlfn.LET(_xlpm.금액,$F13,_xlpm.계약금비율,$B$5,_xlpm.중도금비율,$C$5,_xlpm.잔금비율,$D$5,_xlpm.계약시기,TEXT($B13,"yyyy-mm"),_xlpm.현재월,TEXT(AI$8,"yyyy-mm"),_xlpm.헤더범위,$G$9:AI$9,_xlpm.헤더,AI$9,_xlpm.잔금표,$E$6:$I$6,_xlpm.잔금회차,IF(ISNUMBER(SEARCH("입주",_xlpm.헤더)),VALUE(RIGHT(_xlpm.헤더,1)),0),_xlpm.열번호,COLUMN(AI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3" s="605">
        <f>_xlfn.LET(_xlpm.금액,$F13,_xlpm.계약금비율,$B$5,_xlpm.중도금비율,$C$5,_xlpm.잔금비율,$D$5,_xlpm.계약시기,TEXT($B13,"yyyy-mm"),_xlpm.현재월,TEXT(AJ$8,"yyyy-mm"),_xlpm.헤더범위,$G$9:AJ$9,_xlpm.헤더,AJ$9,_xlpm.잔금표,$E$6:$I$6,_xlpm.잔금회차,IF(ISNUMBER(SEARCH("입주",_xlpm.헤더)),VALUE(RIGHT(_xlpm.헤더,1)),0),_xlpm.열번호,COLUMN(AJ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3" s="605">
        <f>_xlfn.LET(_xlpm.금액,$F13,_xlpm.계약금비율,$B$5,_xlpm.중도금비율,$C$5,_xlpm.잔금비율,$D$5,_xlpm.계약시기,TEXT($B13,"yyyy-mm"),_xlpm.현재월,TEXT(AK$8,"yyyy-mm"),_xlpm.헤더범위,$G$9:AK$9,_xlpm.헤더,AK$9,_xlpm.잔금표,$E$6:$I$6,_xlpm.잔금회차,IF(ISNUMBER(SEARCH("입주",_xlpm.헤더)),VALUE(RIGHT(_xlpm.헤더,1)),0),_xlpm.열번호,COLUMN(AK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3" s="605">
        <f ca="1">_xlfn.LET(_xlpm.금액,$F13,_xlpm.계약금비율,$B$5,_xlpm.중도금비율,$C$5,_xlpm.잔금비율,$D$5,_xlpm.계약시기,TEXT($B13,"yyyy-mm"),_xlpm.현재월,TEXT(AL$8,"yyyy-mm"),_xlpm.헤더범위,$G$9:AL$9,_xlpm.헤더,AL$9,_xlpm.잔금표,$E$6:$I$6,_xlpm.잔금회차,IF(ISNUMBER(SEARCH("입주",_xlpm.헤더)),VALUE(RIGHT(_xlpm.헤더,1)),0),_xlpm.열번호,COLUMN(AL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13" s="605">
        <f>_xlfn.LET(_xlpm.금액,$F13,_xlpm.계약금비율,$B$5,_xlpm.중도금비율,$C$5,_xlpm.잔금비율,$D$5,_xlpm.계약시기,TEXT($B13,"yyyy-mm"),_xlpm.현재월,TEXT(AM$8,"yyyy-mm"),_xlpm.헤더범위,$G$9:AM$9,_xlpm.헤더,AM$9,_xlpm.잔금표,$E$6:$I$6,_xlpm.잔금회차,IF(ISNUMBER(SEARCH("입주",_xlpm.헤더)),VALUE(RIGHT(_xlpm.헤더,1)),0),_xlpm.열번호,COLUMN(AM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3" s="605">
        <f>_xlfn.LET(_xlpm.금액,$F13,_xlpm.계약금비율,$B$5,_xlpm.중도금비율,$C$5,_xlpm.잔금비율,$D$5,_xlpm.계약시기,TEXT($B13,"yyyy-mm"),_xlpm.현재월,TEXT(AN$8,"yyyy-mm"),_xlpm.헤더범위,$G$9:AN$9,_xlpm.헤더,AN$9,_xlpm.잔금표,$E$6:$I$6,_xlpm.잔금회차,IF(ISNUMBER(SEARCH("입주",_xlpm.헤더)),VALUE(RIGHT(_xlpm.헤더,1)),0),_xlpm.열번호,COLUMN(AN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3" s="605">
        <f>_xlfn.LET(_xlpm.금액,$F13,_xlpm.계약금비율,$B$5,_xlpm.중도금비율,$C$5,_xlpm.잔금비율,$D$5,_xlpm.계약시기,TEXT($B13,"yyyy-mm"),_xlpm.현재월,TEXT(AO$8,"yyyy-mm"),_xlpm.헤더범위,$G$9:AO$9,_xlpm.헤더,AO$9,_xlpm.잔금표,$E$6:$I$6,_xlpm.잔금회차,IF(ISNUMBER(SEARCH("입주",_xlpm.헤더)),VALUE(RIGHT(_xlpm.헤더,1)),0),_xlpm.열번호,COLUMN(AO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3" s="605">
        <f>_xlfn.LET(_xlpm.금액,$F13,_xlpm.계약금비율,$B$5,_xlpm.중도금비율,$C$5,_xlpm.잔금비율,$D$5,_xlpm.계약시기,TEXT($B13,"yyyy-mm"),_xlpm.현재월,TEXT(AP$8,"yyyy-mm"),_xlpm.헤더범위,$G$9:AP$9,_xlpm.헤더,AP$9,_xlpm.잔금표,$E$6:$I$6,_xlpm.잔금회차,IF(ISNUMBER(SEARCH("입주",_xlpm.헤더)),VALUE(RIGHT(_xlpm.헤더,1)),0),_xlpm.열번호,COLUMN(AP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3" s="605">
        <f>_xlfn.LET(_xlpm.금액,$F13,_xlpm.계약금비율,$B$5,_xlpm.중도금비율,$C$5,_xlpm.잔금비율,$D$5,_xlpm.계약시기,TEXT($B13,"yyyy-mm"),_xlpm.현재월,TEXT(AQ$8,"yyyy-mm"),_xlpm.헤더범위,$G$9:AQ$9,_xlpm.헤더,AQ$9,_xlpm.잔금표,$E$6:$I$6,_xlpm.잔금회차,IF(ISNUMBER(SEARCH("입주",_xlpm.헤더)),VALUE(RIGHT(_xlpm.헤더,1)),0),_xlpm.열번호,COLUMN(AQ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3" s="605" t="e" vm="2">
        <f>_xlfn.LET(_xlpm.금액,$F13,_xlpm.계약금비율,$B$5,_xlpm.중도금비율,$C$5,_xlpm.잔금비율,$D$5,_xlpm.계약시기,TEXT($B13,"yyyy-mm"),_xlpm.현재월,TEXT(AR$8,"yyyy-mm"),_xlpm.헤더범위,$G$9:AR$9,_xlpm.헤더,AR$9,_xlpm.잔금표,$E$6:$I$6,_xlpm.잔금회차,IF(ISNUMBER(SEARCH("입주",_xlpm.헤더)),VALUE(RIGHT(_xlpm.헤더,1)),0),_xlpm.열번호,COLUMN(AR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3" s="605" t="e" vm="2">
        <f>_xlfn.LET(_xlpm.금액,$F13,_xlpm.계약금비율,$B$5,_xlpm.중도금비율,$C$5,_xlpm.잔금비율,$D$5,_xlpm.계약시기,TEXT($B13,"yyyy-mm"),_xlpm.현재월,TEXT(AS$8,"yyyy-mm"),_xlpm.헤더범위,$G$9:AS$9,_xlpm.헤더,AS$9,_xlpm.잔금표,$E$6:$I$6,_xlpm.잔금회차,IF(ISNUMBER(SEARCH("입주",_xlpm.헤더)),VALUE(RIGHT(_xlpm.헤더,1)),0),_xlpm.열번호,COLUMN(AS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3" s="605" t="e" vm="2">
        <f>_xlfn.LET(_xlpm.금액,$F13,_xlpm.계약금비율,$B$5,_xlpm.중도금비율,$C$5,_xlpm.잔금비율,$D$5,_xlpm.계약시기,TEXT($B13,"yyyy-mm"),_xlpm.현재월,TEXT(AT$8,"yyyy-mm"),_xlpm.헤더범위,$G$9:AT$9,_xlpm.헤더,AT$9,_xlpm.잔금표,$E$6:$I$6,_xlpm.잔금회차,IF(ISNUMBER(SEARCH("입주",_xlpm.헤더)),VALUE(RIGHT(_xlpm.헤더,1)),0),_xlpm.열번호,COLUMN(AT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3" s="605" t="e" vm="2">
        <f>_xlfn.LET(_xlpm.금액,$F13,_xlpm.계약금비율,$B$5,_xlpm.중도금비율,$C$5,_xlpm.잔금비율,$D$5,_xlpm.계약시기,TEXT($B13,"yyyy-mm"),_xlpm.현재월,TEXT(AU$8,"yyyy-mm"),_xlpm.헤더범위,$G$9:AU$9,_xlpm.헤더,AU$9,_xlpm.잔금표,$E$6:$I$6,_xlpm.잔금회차,IF(ISNUMBER(SEARCH("입주",_xlpm.헤더)),VALUE(RIGHT(_xlpm.헤더,1)),0),_xlpm.열번호,COLUMN(AU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3" s="605" t="e" vm="2">
        <f>_xlfn.LET(_xlpm.금액,$F13,_xlpm.계약금비율,$B$5,_xlpm.중도금비율,$C$5,_xlpm.잔금비율,$D$5,_xlpm.계약시기,TEXT($B13,"yyyy-mm"),_xlpm.현재월,TEXT(AV$8,"yyyy-mm"),_xlpm.헤더범위,$G$9:AV$9,_xlpm.헤더,AV$9,_xlpm.잔금표,$E$6:$I$6,_xlpm.잔금회차,IF(ISNUMBER(SEARCH("입주",_xlpm.헤더)),VALUE(RIGHT(_xlpm.헤더,1)),0),_xlpm.열번호,COLUMN(AV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3" s="605">
        <f>_xlfn.LET(_xlpm.금액,$F13,_xlpm.계약금비율,$B$5,_xlpm.중도금비율,$C$5,_xlpm.잔금비율,$D$5,_xlpm.계약시기,TEXT($B13,"yyyy-mm"),_xlpm.현재월,TEXT(AW$8,"yyyy-mm"),_xlpm.헤더범위,$G$9:AW$9,_xlpm.헤더,AW$9,_xlpm.잔금표,$E$6:$I$6,_xlpm.잔금회차,IF(ISNUMBER(SEARCH("입주",_xlpm.헤더)),VALUE(RIGHT(_xlpm.헤더,1)),0),_xlpm.열번호,COLUMN(AW$9),_xlpm.행번호,ROW($G13),_xlpm.전체헤더,$G$9:$BF$9,_xlpm.전체데이터,$G13:$BF13,_xlpm.전체열번호,_xlfn.SEQUENCE(1,COLUMNS(_xlpm.전체헤더),COLUMN($G13)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3" s="605">
        <f t="shared" ca="1" si="3"/>
        <v>0</v>
      </c>
      <c r="AY13" s="605">
        <f t="shared" ca="1" si="3"/>
        <v>0</v>
      </c>
      <c r="AZ13" s="605">
        <f t="shared" ca="1" si="4"/>
        <v>0</v>
      </c>
      <c r="BA13" s="605">
        <f t="shared" ca="1" si="4"/>
        <v>0</v>
      </c>
      <c r="BB13" s="605">
        <f t="shared" ca="1" si="4"/>
        <v>0</v>
      </c>
      <c r="BC13" s="605">
        <f ca="1">IF(TEXT(BC$8,"yyyy-mm")=TEXT($B13,"yyyy-mm"),$F13*$B$5,IF(AND(ISNUMBER(SEARCH("중도금",BC$9)),TEXT(BC$8,"yyyy-mm")&gt;=TEXT($B13,"yyyy-mm")),IF(BC$9="1차중도금",$F13*$C$5/6,IF(BC$9="2차중도금",MAX(0,$F13*$C$5*0.3-IF(COLUMN()&gt;7,SUM($G13:OFFSET(BC13,0,COLUMN()-8)),0)),IF(BC$9="3차중도금",MAX(0,$F13*$C$5*0.4-IF(COLUMN()&gt;7,SUM($G13:OFFSET(BC13,0,COLUMN()-8)),0)),IF(BC$9="4차중도금",MAX(0,$F13*$C$5*0.5-IF(COLUMN()&gt;7,SUM($G13:OFFSET(BC13,0,COLUMN()-8)),0)),IF(BC$9="5차중도금",MAX(0,$F13*$C$5*0.6-IF(COLUMN()&gt;7,SUM($G13:OFFSET(BC13,0,COLUMN()-8)),0)),IF(BC$9="6차중도금",MAX(0,$F13*$C$5*0.7-IF(COLUMN()&gt;7,SUM($G13:OFFSET(BC13,0,COLUMN()-8)),0)),0)))))),IF(AND(ISNUMBER(SEARCH("입주",BC$9)),TEXT(BC$8,"yyyy-mm")&gt;=TEXT($B13,"yyyy-mm")),$F13*$D$5*INDEX($E$6:$I$6,VALUE(RIGHT(BC$9,1))),0)))</f>
        <v>0</v>
      </c>
      <c r="BD13" s="605">
        <f ca="1">IF(TEXT(BD$8,"yyyy-mm")=TEXT($B13,"yyyy-mm"),$F13*$B$5,IF(AND(ISNUMBER(SEARCH("중도금",BD$9)),TEXT(BD$8,"yyyy-mm")&gt;=TEXT($B13,"yyyy-mm")),IF(BD$9="1차중도금",$F13*$C$5/6,IF(BD$9="2차중도금",MAX(0,$F13*$C$5*0.3-IF(COLUMN()&gt;7,SUM($G13:OFFSET(BD13,0,COLUMN()-8)),0)),IF(BD$9="3차중도금",MAX(0,$F13*$C$5*0.4-IF(COLUMN()&gt;7,SUM($G13:OFFSET(BD13,0,COLUMN()-8)),0)),IF(BD$9="4차중도금",MAX(0,$F13*$C$5*0.5-IF(COLUMN()&gt;7,SUM($G13:OFFSET(BD13,0,COLUMN()-8)),0)),IF(BD$9="5차중도금",MAX(0,$F13*$C$5*0.6-IF(COLUMN()&gt;7,SUM($G13:OFFSET(BD13,0,COLUMN()-8)),0)),IF(BD$9="6차중도금",MAX(0,$F13*$C$5*0.7-IF(COLUMN()&gt;7,SUM($G13:OFFSET(BD13,0,COLUMN()-8)),0)),0)))))),IF(AND(ISNUMBER(SEARCH("입주",BD$9)),TEXT(BD$8,"yyyy-mm")&gt;=TEXT($B13,"yyyy-mm")),$F13*$D$5*INDEX($E$6:$I$6,VALUE(RIGHT(BD$9,1))),0)))</f>
        <v>0</v>
      </c>
      <c r="BE13" s="605">
        <f ca="1">IF(TEXT(BE$8,"yyyy-mm")=TEXT($B13,"yyyy-mm"),$F13*$B$5,IF(AND(ISNUMBER(SEARCH("중도금",BE$9)),TEXT(BE$8,"yyyy-mm")&gt;=TEXT($B13,"yyyy-mm")),IF(BE$9="1차중도금",$F13*$C$5/6,IF(BE$9="2차중도금",MAX(0,$F13*$C$5*0.3-IF(COLUMN()&gt;7,SUM($G13:OFFSET(BE13,0,COLUMN()-8)),0)),IF(BE$9="3차중도금",MAX(0,$F13*$C$5*0.4-IF(COLUMN()&gt;7,SUM($G13:OFFSET(BE13,0,COLUMN()-8)),0)),IF(BE$9="4차중도금",MAX(0,$F13*$C$5*0.5-IF(COLUMN()&gt;7,SUM($G13:OFFSET(BE13,0,COLUMN()-8)),0)),IF(BE$9="5차중도금",MAX(0,$F13*$C$5*0.6-IF(COLUMN()&gt;7,SUM($G13:OFFSET(BE13,0,COLUMN()-8)),0)),IF(BE$9="6차중도금",MAX(0,$F13*$C$5*0.7-IF(COLUMN()&gt;7,SUM($G13:OFFSET(BE13,0,COLUMN()-8)),0)),0)))))),IF(AND(ISNUMBER(SEARCH("입주",BE$9)),TEXT(BE$8,"yyyy-mm")&gt;=TEXT($B13,"yyyy-mm")),$F13*$D$5*INDEX($E$6:$I$6,VALUE(RIGHT(BE$9,1))),0)))</f>
        <v>0</v>
      </c>
      <c r="BF13" s="609">
        <f t="shared" ca="1" si="8"/>
        <v>-15813019.480604418</v>
      </c>
      <c r="BG13" s="556">
        <f t="shared" ca="1" si="5"/>
        <v>28456637.855849419</v>
      </c>
      <c r="BH13" s="610"/>
    </row>
    <row r="14" spans="1:60">
      <c r="A14" s="1853"/>
      <c r="B14" s="611">
        <f t="shared" si="6"/>
        <v>44958</v>
      </c>
      <c r="C14" s="605">
        <f t="shared" si="7"/>
        <v>252872367.50490001</v>
      </c>
      <c r="D14" s="1501">
        <v>0.05</v>
      </c>
      <c r="E14" s="607">
        <f t="shared" si="9"/>
        <v>0.6</v>
      </c>
      <c r="F14" s="608">
        <f t="shared" si="2"/>
        <v>12643618.375245001</v>
      </c>
      <c r="G14" s="605">
        <f>_xlfn.LET(_xlpm.금액,$F14,_xlpm.계약금비율,$B$5,_xlpm.중도금비율,$C$5,_xlpm.잔금비율,$D$5,_xlpm.계약시기,TEXT($B14,"yyyy-mm"),_xlpm.현재월,TEXT(G$8,"yyyy-mm"),_xlpm.헤더범위,$G$9:G$9,_xlpm.헤더,G$9,_xlpm.잔금표,$E$6:$I$6,_xlpm.잔금회차,IF(ISNUMBER(SEARCH("입주",_xlpm.헤더)),VALUE(RIGHT(_xlpm.헤더,1)),0),_xlpm.열번호,COLUMN(G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14" s="605">
        <f>_xlfn.LET(_xlpm.금액,$F14,_xlpm.계약금비율,$B$5,_xlpm.중도금비율,$C$5,_xlpm.잔금비율,$D$5,_xlpm.계약시기,TEXT($B14,"yyyy-mm"),_xlpm.현재월,TEXT(H$8,"yyyy-mm"),_xlpm.헤더범위,$G$9:H$9,_xlpm.헤더,H$9,_xlpm.잔금표,$E$6:$I$6,_xlpm.잔금회차,IF(ISNUMBER(SEARCH("입주",_xlpm.헤더)),VALUE(RIGHT(_xlpm.헤더,1)),0),_xlpm.열번호,COLUMN(H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14" s="605">
        <f>_xlfn.LET(_xlpm.금액,$F14,_xlpm.계약금비율,$B$5,_xlpm.중도금비율,$C$5,_xlpm.잔금비율,$D$5,_xlpm.계약시기,TEXT($B14,"yyyy-mm"),_xlpm.현재월,TEXT(I$8,"yyyy-mm"),_xlpm.헤더범위,$G$9:I$9,_xlpm.헤더,I$9,_xlpm.잔금표,$E$6:$I$6,_xlpm.잔금회차,IF(ISNUMBER(SEARCH("입주",_xlpm.헤더)),VALUE(RIGHT(_xlpm.헤더,1)),0),_xlpm.열번호,COLUMN(I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14" s="605">
        <f>_xlfn.LET(_xlpm.금액,$F14,_xlpm.계약금비율,$B$5,_xlpm.중도금비율,$C$5,_xlpm.잔금비율,$D$5,_xlpm.계약시기,TEXT($B14,"yyyy-mm"),_xlpm.현재월,TEXT(J$8,"yyyy-mm"),_xlpm.헤더범위,$G$9:J$9,_xlpm.헤더,J$9,_xlpm.잔금표,$E$6:$I$6,_xlpm.잔금회차,IF(ISNUMBER(SEARCH("입주",_xlpm.헤더)),VALUE(RIGHT(_xlpm.헤더,1)),0),_xlpm.열번호,COLUMN(J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14" s="605">
        <f>_xlfn.LET(_xlpm.금액,$F14,_xlpm.계약금비율,$B$5,_xlpm.중도금비율,$C$5,_xlpm.잔금비율,$D$5,_xlpm.계약시기,TEXT($B14,"yyyy-mm"),_xlpm.현재월,TEXT(K$8,"yyyy-mm"),_xlpm.헤더범위,$G$9:K$9,_xlpm.헤더,K$9,_xlpm.잔금표,$E$6:$I$6,_xlpm.잔금회차,IF(ISNUMBER(SEARCH("입주",_xlpm.헤더)),VALUE(RIGHT(_xlpm.헤더,1)),0),_xlpm.열번호,COLUMN(K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1264361.8375245002</v>
      </c>
      <c r="L14" s="605">
        <f ca="1">_xlfn.LET(_xlpm.금액,$F14,_xlpm.계약금비율,$B$5,_xlpm.중도금비율,$C$5,_xlpm.잔금비율,$D$5,_xlpm.계약시기,TEXT($B14,"yyyy-mm"),_xlpm.현재월,TEXT(L$8,"yyyy-mm"),_xlpm.헤더범위,$G$9:L$9,_xlpm.헤더,L$9,_xlpm.잔금표,$E$6:$I$6,_xlpm.잔금회차,IF(ISNUMBER(SEARCH("입주",_xlpm.헤더)),VALUE(RIGHT(_xlpm.헤더,1)),0),_xlpm.열번호,COLUMN(L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14" s="605">
        <f>_xlfn.LET(_xlpm.금액,$F14,_xlpm.계약금비율,$B$5,_xlpm.중도금비율,$C$5,_xlpm.잔금비율,$D$5,_xlpm.계약시기,TEXT($B14,"yyyy-mm"),_xlpm.현재월,TEXT(M$8,"yyyy-mm"),_xlpm.헤더범위,$G$9:M$9,_xlpm.헤더,M$9,_xlpm.잔금표,$E$6:$I$6,_xlpm.잔금회차,IF(ISNUMBER(SEARCH("입주",_xlpm.헤더)),VALUE(RIGHT(_xlpm.헤더,1)),0),_xlpm.열번호,COLUMN(M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14" s="605">
        <f>_xlfn.LET(_xlpm.금액,$F14,_xlpm.계약금비율,$B$5,_xlpm.중도금비율,$C$5,_xlpm.잔금비율,$D$5,_xlpm.계약시기,TEXT($B14,"yyyy-mm"),_xlpm.현재월,TEXT(N$8,"yyyy-mm"),_xlpm.헤더범위,$G$9:N$9,_xlpm.헤더,N$9,_xlpm.잔금표,$E$6:$I$6,_xlpm.잔금회차,IF(ISNUMBER(SEARCH("입주",_xlpm.헤더)),VALUE(RIGHT(_xlpm.헤더,1)),0),_xlpm.열번호,COLUMN(N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14" s="605">
        <f>_xlfn.LET(_xlpm.금액,$F14,_xlpm.계약금비율,$B$5,_xlpm.중도금비율,$C$5,_xlpm.잔금비율,$D$5,_xlpm.계약시기,TEXT($B14,"yyyy-mm"),_xlpm.현재월,TEXT(O$8,"yyyy-mm"),_xlpm.헤더범위,$G$9:O$9,_xlpm.헤더,O$9,_xlpm.잔금표,$E$6:$I$6,_xlpm.잔금회차,IF(ISNUMBER(SEARCH("입주",_xlpm.헤더)),VALUE(RIGHT(_xlpm.헤더,1)),0),_xlpm.열번호,COLUMN(O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14" s="605">
        <f>_xlfn.LET(_xlpm.금액,$F14,_xlpm.계약금비율,$B$5,_xlpm.중도금비율,$C$5,_xlpm.잔금비율,$D$5,_xlpm.계약시기,TEXT($B14,"yyyy-mm"),_xlpm.현재월,TEXT(P$8,"yyyy-mm"),_xlpm.헤더범위,$G$9:P$9,_xlpm.헤더,P$9,_xlpm.잔금표,$E$6:$I$6,_xlpm.잔금회차,IF(ISNUMBER(SEARCH("입주",_xlpm.헤더)),VALUE(RIGHT(_xlpm.헤더,1)),0),_xlpm.열번호,COLUMN(P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14" s="605">
        <f ca="1">_xlfn.LET(_xlpm.금액,$F14,_xlpm.계약금비율,$B$5,_xlpm.중도금비율,$C$5,_xlpm.잔금비율,$D$5,_xlpm.계약시기,TEXT($B14,"yyyy-mm"),_xlpm.현재월,TEXT(Q$8,"yyyy-mm"),_xlpm.헤더범위,$G$9:Q$9,_xlpm.헤더,Q$9,_xlpm.잔금표,$E$6:$I$6,_xlpm.잔금회차,IF(ISNUMBER(SEARCH("입주",_xlpm.헤더)),VALUE(RIGHT(_xlpm.헤더,1)),0),_xlpm.열번호,COLUMN(Q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14" s="605">
        <f>_xlfn.LET(_xlpm.금액,$F14,_xlpm.계약금비율,$B$5,_xlpm.중도금비율,$C$5,_xlpm.잔금비율,$D$5,_xlpm.계약시기,TEXT($B14,"yyyy-mm"),_xlpm.현재월,TEXT(R$8,"yyyy-mm"),_xlpm.헤더범위,$G$9:R$9,_xlpm.헤더,R$9,_xlpm.잔금표,$E$6:$I$6,_xlpm.잔금회차,IF(ISNUMBER(SEARCH("입주",_xlpm.헤더)),VALUE(RIGHT(_xlpm.헤더,1)),0),_xlpm.열번호,COLUMN(R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4" s="605">
        <f>_xlfn.LET(_xlpm.금액,$F14,_xlpm.계약금비율,$B$5,_xlpm.중도금비율,$C$5,_xlpm.잔금비율,$D$5,_xlpm.계약시기,TEXT($B14,"yyyy-mm"),_xlpm.현재월,TEXT(S$8,"yyyy-mm"),_xlpm.헤더범위,$G$9:S$9,_xlpm.헤더,S$9,_xlpm.잔금표,$E$6:$I$6,_xlpm.잔금회차,IF(ISNUMBER(SEARCH("입주",_xlpm.헤더)),VALUE(RIGHT(_xlpm.헤더,1)),0),_xlpm.열번호,COLUMN(S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4" s="605">
        <f>_xlfn.LET(_xlpm.금액,$F14,_xlpm.계약금비율,$B$5,_xlpm.중도금비율,$C$5,_xlpm.잔금비율,$D$5,_xlpm.계약시기,TEXT($B14,"yyyy-mm"),_xlpm.현재월,TEXT(T$8,"yyyy-mm"),_xlpm.헤더범위,$G$9:T$9,_xlpm.헤더,T$9,_xlpm.잔금표,$E$6:$I$6,_xlpm.잔금회차,IF(ISNUMBER(SEARCH("입주",_xlpm.헤더)),VALUE(RIGHT(_xlpm.헤더,1)),0),_xlpm.열번호,COLUMN(T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4" s="605">
        <f>_xlfn.LET(_xlpm.금액,$F14,_xlpm.계약금비율,$B$5,_xlpm.중도금비율,$C$5,_xlpm.잔금비율,$D$5,_xlpm.계약시기,TEXT($B14,"yyyy-mm"),_xlpm.현재월,TEXT(U$8,"yyyy-mm"),_xlpm.헤더범위,$G$9:U$9,_xlpm.헤더,U$9,_xlpm.잔금표,$E$6:$I$6,_xlpm.잔금회차,IF(ISNUMBER(SEARCH("입주",_xlpm.헤더)),VALUE(RIGHT(_xlpm.헤더,1)),0),_xlpm.열번호,COLUMN(U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4" s="605">
        <f ca="1">_xlfn.LET(_xlpm.금액,$F14,_xlpm.계약금비율,$B$5,_xlpm.중도금비율,$C$5,_xlpm.잔금비율,$D$5,_xlpm.계약시기,TEXT($B14,"yyyy-mm"),_xlpm.현재월,TEXT(V$8,"yyyy-mm"),_xlpm.헤더범위,$G$9:V$9,_xlpm.헤더,V$9,_xlpm.잔금표,$E$6:$I$6,_xlpm.잔금회차,IF(ISNUMBER(SEARCH("입주",_xlpm.헤더)),VALUE(RIGHT(_xlpm.헤더,1)),0),_xlpm.열번호,COLUMN(V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14" s="605">
        <f>_xlfn.LET(_xlpm.금액,$F14,_xlpm.계약금비율,$B$5,_xlpm.중도금비율,$C$5,_xlpm.잔금비율,$D$5,_xlpm.계약시기,TEXT($B14,"yyyy-mm"),_xlpm.현재월,TEXT(W$8,"yyyy-mm"),_xlpm.헤더범위,$G$9:W$9,_xlpm.헤더,W$9,_xlpm.잔금표,$E$6:$I$6,_xlpm.잔금회차,IF(ISNUMBER(SEARCH("입주",_xlpm.헤더)),VALUE(RIGHT(_xlpm.헤더,1)),0),_xlpm.열번호,COLUMN(W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4" s="605">
        <f>_xlfn.LET(_xlpm.금액,$F14,_xlpm.계약금비율,$B$5,_xlpm.중도금비율,$C$5,_xlpm.잔금비율,$D$5,_xlpm.계약시기,TEXT($B14,"yyyy-mm"),_xlpm.현재월,TEXT(X$8,"yyyy-mm"),_xlpm.헤더범위,$G$9:X$9,_xlpm.헤더,X$9,_xlpm.잔금표,$E$6:$I$6,_xlpm.잔금회차,IF(ISNUMBER(SEARCH("입주",_xlpm.헤더)),VALUE(RIGHT(_xlpm.헤더,1)),0),_xlpm.열번호,COLUMN(X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4" s="605">
        <f>_xlfn.LET(_xlpm.금액,$F14,_xlpm.계약금비율,$B$5,_xlpm.중도금비율,$C$5,_xlpm.잔금비율,$D$5,_xlpm.계약시기,TEXT($B14,"yyyy-mm"),_xlpm.현재월,TEXT(Y$8,"yyyy-mm"),_xlpm.헤더범위,$G$9:Y$9,_xlpm.헤더,Y$9,_xlpm.잔금표,$E$6:$I$6,_xlpm.잔금회차,IF(ISNUMBER(SEARCH("입주",_xlpm.헤더)),VALUE(RIGHT(_xlpm.헤더,1)),0),_xlpm.열번호,COLUMN(Y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4" s="605">
        <f>_xlfn.LET(_xlpm.금액,$F14,_xlpm.계약금비율,$B$5,_xlpm.중도금비율,$C$5,_xlpm.잔금비율,$D$5,_xlpm.계약시기,TEXT($B14,"yyyy-mm"),_xlpm.현재월,TEXT(Z$8,"yyyy-mm"),_xlpm.헤더범위,$G$9:Z$9,_xlpm.헤더,Z$9,_xlpm.잔금표,$E$6:$I$6,_xlpm.잔금회차,IF(ISNUMBER(SEARCH("입주",_xlpm.헤더)),VALUE(RIGHT(_xlpm.헤더,1)),0),_xlpm.열번호,COLUMN(Z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4" s="605">
        <f>_xlfn.LET(_xlpm.금액,$F14,_xlpm.계약금비율,$B$5,_xlpm.중도금비율,$C$5,_xlpm.잔금비율,$D$5,_xlpm.계약시기,TEXT($B14,"yyyy-mm"),_xlpm.현재월,TEXT(AA$8,"yyyy-mm"),_xlpm.헤더범위,$G$9:AA$9,_xlpm.헤더,AA$9,_xlpm.잔금표,$E$6:$I$6,_xlpm.잔금회차,IF(ISNUMBER(SEARCH("입주",_xlpm.헤더)),VALUE(RIGHT(_xlpm.헤더,1)),0),_xlpm.열번호,COLUMN(AA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4" s="605">
        <f ca="1">_xlfn.LET(_xlpm.금액,$F14,_xlpm.계약금비율,$B$5,_xlpm.중도금비율,$C$5,_xlpm.잔금비율,$D$5,_xlpm.계약시기,TEXT($B14,"yyyy-mm"),_xlpm.현재월,TEXT(AB$8,"yyyy-mm"),_xlpm.헤더범위,$G$9:AB$9,_xlpm.헤더,AB$9,_xlpm.잔금표,$E$6:$I$6,_xlpm.잔금회차,IF(ISNUMBER(SEARCH("입주",_xlpm.헤더)),VALUE(RIGHT(_xlpm.헤더,1)),0),_xlpm.열번호,COLUMN(AB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14" s="605">
        <f>_xlfn.LET(_xlpm.금액,$F14,_xlpm.계약금비율,$B$5,_xlpm.중도금비율,$C$5,_xlpm.잔금비율,$D$5,_xlpm.계약시기,TEXT($B14,"yyyy-mm"),_xlpm.현재월,TEXT(AC$8,"yyyy-mm"),_xlpm.헤더범위,$G$9:AC$9,_xlpm.헤더,AC$9,_xlpm.잔금표,$E$6:$I$6,_xlpm.잔금회차,IF(ISNUMBER(SEARCH("입주",_xlpm.헤더)),VALUE(RIGHT(_xlpm.헤더,1)),0),_xlpm.열번호,COLUMN(AC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4" s="605">
        <f>_xlfn.LET(_xlpm.금액,$F14,_xlpm.계약금비율,$B$5,_xlpm.중도금비율,$C$5,_xlpm.잔금비율,$D$5,_xlpm.계약시기,TEXT($B14,"yyyy-mm"),_xlpm.현재월,TEXT(AD$8,"yyyy-mm"),_xlpm.헤더범위,$G$9:AD$9,_xlpm.헤더,AD$9,_xlpm.잔금표,$E$6:$I$6,_xlpm.잔금회차,IF(ISNUMBER(SEARCH("입주",_xlpm.헤더)),VALUE(RIGHT(_xlpm.헤더,1)),0),_xlpm.열번호,COLUMN(AD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4" s="605">
        <f>_xlfn.LET(_xlpm.금액,$F14,_xlpm.계약금비율,$B$5,_xlpm.중도금비율,$C$5,_xlpm.잔금비율,$D$5,_xlpm.계약시기,TEXT($B14,"yyyy-mm"),_xlpm.현재월,TEXT(AE$8,"yyyy-mm"),_xlpm.헤더범위,$G$9:AE$9,_xlpm.헤더,AE$9,_xlpm.잔금표,$E$6:$I$6,_xlpm.잔금회차,IF(ISNUMBER(SEARCH("입주",_xlpm.헤더)),VALUE(RIGHT(_xlpm.헤더,1)),0),_xlpm.열번호,COLUMN(AE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4" s="605">
        <f>_xlfn.LET(_xlpm.금액,$F14,_xlpm.계약금비율,$B$5,_xlpm.중도금비율,$C$5,_xlpm.잔금비율,$D$5,_xlpm.계약시기,TEXT($B14,"yyyy-mm"),_xlpm.현재월,TEXT(AF$8,"yyyy-mm"),_xlpm.헤더범위,$G$9:AF$9,_xlpm.헤더,AF$9,_xlpm.잔금표,$E$6:$I$6,_xlpm.잔금회차,IF(ISNUMBER(SEARCH("입주",_xlpm.헤더)),VALUE(RIGHT(_xlpm.헤더,1)),0),_xlpm.열번호,COLUMN(AF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4" s="605">
        <f ca="1">_xlfn.LET(_xlpm.금액,$F14,_xlpm.계약금비율,$B$5,_xlpm.중도금비율,$C$5,_xlpm.잔금비율,$D$5,_xlpm.계약시기,TEXT($B14,"yyyy-mm"),_xlpm.현재월,TEXT(AG$8,"yyyy-mm"),_xlpm.헤더범위,$G$9:AG$9,_xlpm.헤더,AG$9,_xlpm.잔금표,$E$6:$I$6,_xlpm.잔금회차,IF(ISNUMBER(SEARCH("입주",_xlpm.헤더)),VALUE(RIGHT(_xlpm.헤더,1)),0),_xlpm.열번호,COLUMN(AG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14" s="605">
        <f>_xlfn.LET(_xlpm.금액,$F14,_xlpm.계약금비율,$B$5,_xlpm.중도금비율,$C$5,_xlpm.잔금비율,$D$5,_xlpm.계약시기,TEXT($B14,"yyyy-mm"),_xlpm.현재월,TEXT(AH$8,"yyyy-mm"),_xlpm.헤더범위,$G$9:AH$9,_xlpm.헤더,AH$9,_xlpm.잔금표,$E$6:$I$6,_xlpm.잔금회차,IF(ISNUMBER(SEARCH("입주",_xlpm.헤더)),VALUE(RIGHT(_xlpm.헤더,1)),0),_xlpm.열번호,COLUMN(AH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4" s="605">
        <f>_xlfn.LET(_xlpm.금액,$F14,_xlpm.계약금비율,$B$5,_xlpm.중도금비율,$C$5,_xlpm.잔금비율,$D$5,_xlpm.계약시기,TEXT($B14,"yyyy-mm"),_xlpm.현재월,TEXT(AI$8,"yyyy-mm"),_xlpm.헤더범위,$G$9:AI$9,_xlpm.헤더,AI$9,_xlpm.잔금표,$E$6:$I$6,_xlpm.잔금회차,IF(ISNUMBER(SEARCH("입주",_xlpm.헤더)),VALUE(RIGHT(_xlpm.헤더,1)),0),_xlpm.열번호,COLUMN(AI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4" s="605">
        <f>_xlfn.LET(_xlpm.금액,$F14,_xlpm.계약금비율,$B$5,_xlpm.중도금비율,$C$5,_xlpm.잔금비율,$D$5,_xlpm.계약시기,TEXT($B14,"yyyy-mm"),_xlpm.현재월,TEXT(AJ$8,"yyyy-mm"),_xlpm.헤더범위,$G$9:AJ$9,_xlpm.헤더,AJ$9,_xlpm.잔금표,$E$6:$I$6,_xlpm.잔금회차,IF(ISNUMBER(SEARCH("입주",_xlpm.헤더)),VALUE(RIGHT(_xlpm.헤더,1)),0),_xlpm.열번호,COLUMN(AJ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4" s="605">
        <f>_xlfn.LET(_xlpm.금액,$F14,_xlpm.계약금비율,$B$5,_xlpm.중도금비율,$C$5,_xlpm.잔금비율,$D$5,_xlpm.계약시기,TEXT($B14,"yyyy-mm"),_xlpm.현재월,TEXT(AK$8,"yyyy-mm"),_xlpm.헤더범위,$G$9:AK$9,_xlpm.헤더,AK$9,_xlpm.잔금표,$E$6:$I$6,_xlpm.잔금회차,IF(ISNUMBER(SEARCH("입주",_xlpm.헤더)),VALUE(RIGHT(_xlpm.헤더,1)),0),_xlpm.열번호,COLUMN(AK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4" s="605">
        <f ca="1">_xlfn.LET(_xlpm.금액,$F14,_xlpm.계약금비율,$B$5,_xlpm.중도금비율,$C$5,_xlpm.잔금비율,$D$5,_xlpm.계약시기,TEXT($B14,"yyyy-mm"),_xlpm.현재월,TEXT(AL$8,"yyyy-mm"),_xlpm.헤더범위,$G$9:AL$9,_xlpm.헤더,AL$9,_xlpm.잔금표,$E$6:$I$6,_xlpm.잔금회차,IF(ISNUMBER(SEARCH("입주",_xlpm.헤더)),VALUE(RIGHT(_xlpm.헤더,1)),0),_xlpm.열번호,COLUMN(AL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14" s="605">
        <f>_xlfn.LET(_xlpm.금액,$F14,_xlpm.계약금비율,$B$5,_xlpm.중도금비율,$C$5,_xlpm.잔금비율,$D$5,_xlpm.계약시기,TEXT($B14,"yyyy-mm"),_xlpm.현재월,TEXT(AM$8,"yyyy-mm"),_xlpm.헤더범위,$G$9:AM$9,_xlpm.헤더,AM$9,_xlpm.잔금표,$E$6:$I$6,_xlpm.잔금회차,IF(ISNUMBER(SEARCH("입주",_xlpm.헤더)),VALUE(RIGHT(_xlpm.헤더,1)),0),_xlpm.열번호,COLUMN(AM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4" s="605">
        <f>_xlfn.LET(_xlpm.금액,$F14,_xlpm.계약금비율,$B$5,_xlpm.중도금비율,$C$5,_xlpm.잔금비율,$D$5,_xlpm.계약시기,TEXT($B14,"yyyy-mm"),_xlpm.현재월,TEXT(AN$8,"yyyy-mm"),_xlpm.헤더범위,$G$9:AN$9,_xlpm.헤더,AN$9,_xlpm.잔금표,$E$6:$I$6,_xlpm.잔금회차,IF(ISNUMBER(SEARCH("입주",_xlpm.헤더)),VALUE(RIGHT(_xlpm.헤더,1)),0),_xlpm.열번호,COLUMN(AN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4" s="605">
        <f>_xlfn.LET(_xlpm.금액,$F14,_xlpm.계약금비율,$B$5,_xlpm.중도금비율,$C$5,_xlpm.잔금비율,$D$5,_xlpm.계약시기,TEXT($B14,"yyyy-mm"),_xlpm.현재월,TEXT(AO$8,"yyyy-mm"),_xlpm.헤더범위,$G$9:AO$9,_xlpm.헤더,AO$9,_xlpm.잔금표,$E$6:$I$6,_xlpm.잔금회차,IF(ISNUMBER(SEARCH("입주",_xlpm.헤더)),VALUE(RIGHT(_xlpm.헤더,1)),0),_xlpm.열번호,COLUMN(AO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4" s="605">
        <f>_xlfn.LET(_xlpm.금액,$F14,_xlpm.계약금비율,$B$5,_xlpm.중도금비율,$C$5,_xlpm.잔금비율,$D$5,_xlpm.계약시기,TEXT($B14,"yyyy-mm"),_xlpm.현재월,TEXT(AP$8,"yyyy-mm"),_xlpm.헤더범위,$G$9:AP$9,_xlpm.헤더,AP$9,_xlpm.잔금표,$E$6:$I$6,_xlpm.잔금회차,IF(ISNUMBER(SEARCH("입주",_xlpm.헤더)),VALUE(RIGHT(_xlpm.헤더,1)),0),_xlpm.열번호,COLUMN(AP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4" s="605">
        <f>_xlfn.LET(_xlpm.금액,$F14,_xlpm.계약금비율,$B$5,_xlpm.중도금비율,$C$5,_xlpm.잔금비율,$D$5,_xlpm.계약시기,TEXT($B14,"yyyy-mm"),_xlpm.현재월,TEXT(AQ$8,"yyyy-mm"),_xlpm.헤더범위,$G$9:AQ$9,_xlpm.헤더,AQ$9,_xlpm.잔금표,$E$6:$I$6,_xlpm.잔금회차,IF(ISNUMBER(SEARCH("입주",_xlpm.헤더)),VALUE(RIGHT(_xlpm.헤더,1)),0),_xlpm.열번호,COLUMN(AQ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4" s="605" t="e" vm="2">
        <f>_xlfn.LET(_xlpm.금액,$F14,_xlpm.계약금비율,$B$5,_xlpm.중도금비율,$C$5,_xlpm.잔금비율,$D$5,_xlpm.계약시기,TEXT($B14,"yyyy-mm"),_xlpm.현재월,TEXT(AR$8,"yyyy-mm"),_xlpm.헤더범위,$G$9:AR$9,_xlpm.헤더,AR$9,_xlpm.잔금표,$E$6:$I$6,_xlpm.잔금회차,IF(ISNUMBER(SEARCH("입주",_xlpm.헤더)),VALUE(RIGHT(_xlpm.헤더,1)),0),_xlpm.열번호,COLUMN(AR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4" s="605" t="e" vm="2">
        <f>_xlfn.LET(_xlpm.금액,$F14,_xlpm.계약금비율,$B$5,_xlpm.중도금비율,$C$5,_xlpm.잔금비율,$D$5,_xlpm.계약시기,TEXT($B14,"yyyy-mm"),_xlpm.현재월,TEXT(AS$8,"yyyy-mm"),_xlpm.헤더범위,$G$9:AS$9,_xlpm.헤더,AS$9,_xlpm.잔금표,$E$6:$I$6,_xlpm.잔금회차,IF(ISNUMBER(SEARCH("입주",_xlpm.헤더)),VALUE(RIGHT(_xlpm.헤더,1)),0),_xlpm.열번호,COLUMN(AS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4" s="605" t="e" vm="2">
        <f>_xlfn.LET(_xlpm.금액,$F14,_xlpm.계약금비율,$B$5,_xlpm.중도금비율,$C$5,_xlpm.잔금비율,$D$5,_xlpm.계약시기,TEXT($B14,"yyyy-mm"),_xlpm.현재월,TEXT(AT$8,"yyyy-mm"),_xlpm.헤더범위,$G$9:AT$9,_xlpm.헤더,AT$9,_xlpm.잔금표,$E$6:$I$6,_xlpm.잔금회차,IF(ISNUMBER(SEARCH("입주",_xlpm.헤더)),VALUE(RIGHT(_xlpm.헤더,1)),0),_xlpm.열번호,COLUMN(AT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4" s="605" t="e" vm="2">
        <f>_xlfn.LET(_xlpm.금액,$F14,_xlpm.계약금비율,$B$5,_xlpm.중도금비율,$C$5,_xlpm.잔금비율,$D$5,_xlpm.계약시기,TEXT($B14,"yyyy-mm"),_xlpm.현재월,TEXT(AU$8,"yyyy-mm"),_xlpm.헤더범위,$G$9:AU$9,_xlpm.헤더,AU$9,_xlpm.잔금표,$E$6:$I$6,_xlpm.잔금회차,IF(ISNUMBER(SEARCH("입주",_xlpm.헤더)),VALUE(RIGHT(_xlpm.헤더,1)),0),_xlpm.열번호,COLUMN(AU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4" s="605" t="e" vm="2">
        <f>_xlfn.LET(_xlpm.금액,$F14,_xlpm.계약금비율,$B$5,_xlpm.중도금비율,$C$5,_xlpm.잔금비율,$D$5,_xlpm.계약시기,TEXT($B14,"yyyy-mm"),_xlpm.현재월,TEXT(AV$8,"yyyy-mm"),_xlpm.헤더범위,$G$9:AV$9,_xlpm.헤더,AV$9,_xlpm.잔금표,$E$6:$I$6,_xlpm.잔금회차,IF(ISNUMBER(SEARCH("입주",_xlpm.헤더)),VALUE(RIGHT(_xlpm.헤더,1)),0),_xlpm.열번호,COLUMN(AV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4" s="605">
        <f>_xlfn.LET(_xlpm.금액,$F14,_xlpm.계약금비율,$B$5,_xlpm.중도금비율,$C$5,_xlpm.잔금비율,$D$5,_xlpm.계약시기,TEXT($B14,"yyyy-mm"),_xlpm.현재월,TEXT(AW$8,"yyyy-mm"),_xlpm.헤더범위,$G$9:AW$9,_xlpm.헤더,AW$9,_xlpm.잔금표,$E$6:$I$6,_xlpm.잔금회차,IF(ISNUMBER(SEARCH("입주",_xlpm.헤더)),VALUE(RIGHT(_xlpm.헤더,1)),0),_xlpm.열번호,COLUMN(AW$9),_xlpm.행번호,ROW($G14),_xlpm.전체헤더,$G$9:$BF$9,_xlpm.전체데이터,$G14:$BF14,_xlpm.전체열번호,_xlfn.SEQUENCE(1,COLUMNS(_xlpm.전체헤더),COLUMN($G14)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4" s="605">
        <f t="shared" ca="1" si="3"/>
        <v>0</v>
      </c>
      <c r="AY14" s="605">
        <f t="shared" ca="1" si="3"/>
        <v>0</v>
      </c>
      <c r="AZ14" s="605">
        <f t="shared" ca="1" si="4"/>
        <v>0</v>
      </c>
      <c r="BA14" s="605">
        <f t="shared" ca="1" si="4"/>
        <v>0</v>
      </c>
      <c r="BB14" s="605">
        <f t="shared" ca="1" si="4"/>
        <v>0</v>
      </c>
      <c r="BC14" s="605">
        <f ca="1">IF(TEXT(BC$8,"yyyy-mm")=TEXT($B14,"yyyy-mm"),$F14*$B$5,IF(AND(ISNUMBER(SEARCH("중도금",BC$9)),TEXT(BC$8,"yyyy-mm")&gt;=TEXT($B14,"yyyy-mm")),IF(BC$9="1차중도금",$F14*$C$5/6,IF(BC$9="2차중도금",MAX(0,$F14*$C$5*0.3-IF(COLUMN()&gt;7,SUM($G14:OFFSET(BC14,0,COLUMN()-8)),0)),IF(BC$9="3차중도금",MAX(0,$F14*$C$5*0.4-IF(COLUMN()&gt;7,SUM($G14:OFFSET(BC14,0,COLUMN()-8)),0)),IF(BC$9="4차중도금",MAX(0,$F14*$C$5*0.5-IF(COLUMN()&gt;7,SUM($G14:OFFSET(BC14,0,COLUMN()-8)),0)),IF(BC$9="5차중도금",MAX(0,$F14*$C$5*0.6-IF(COLUMN()&gt;7,SUM($G14:OFFSET(BC14,0,COLUMN()-8)),0)),IF(BC$9="6차중도금",MAX(0,$F14*$C$5*0.7-IF(COLUMN()&gt;7,SUM($G14:OFFSET(BC14,0,COLUMN()-8)),0)),0)))))),IF(AND(ISNUMBER(SEARCH("입주",BC$9)),TEXT(BC$8,"yyyy-mm")&gt;=TEXT($B14,"yyyy-mm")),$F14*$D$5*INDEX($E$6:$I$6,VALUE(RIGHT(BC$9,1))),0)))</f>
        <v>0</v>
      </c>
      <c r="BD14" s="605">
        <f ca="1">IF(TEXT(BD$8,"yyyy-mm")=TEXT($B14,"yyyy-mm"),$F14*$B$5,IF(AND(ISNUMBER(SEARCH("중도금",BD$9)),TEXT(BD$8,"yyyy-mm")&gt;=TEXT($B14,"yyyy-mm")),IF(BD$9="1차중도금",$F14*$C$5/6,IF(BD$9="2차중도금",MAX(0,$F14*$C$5*0.3-IF(COLUMN()&gt;7,SUM($G14:OFFSET(BD14,0,COLUMN()-8)),0)),IF(BD$9="3차중도금",MAX(0,$F14*$C$5*0.4-IF(COLUMN()&gt;7,SUM($G14:OFFSET(BD14,0,COLUMN()-8)),0)),IF(BD$9="4차중도금",MAX(0,$F14*$C$5*0.5-IF(COLUMN()&gt;7,SUM($G14:OFFSET(BD14,0,COLUMN()-8)),0)),IF(BD$9="5차중도금",MAX(0,$F14*$C$5*0.6-IF(COLUMN()&gt;7,SUM($G14:OFFSET(BD14,0,COLUMN()-8)),0)),IF(BD$9="6차중도금",MAX(0,$F14*$C$5*0.7-IF(COLUMN()&gt;7,SUM($G14:OFFSET(BD14,0,COLUMN()-8)),0)),0)))))),IF(AND(ISNUMBER(SEARCH("입주",BD$9)),TEXT(BD$8,"yyyy-mm")&gt;=TEXT($B14,"yyyy-mm")),$F14*$D$5*INDEX($E$6:$I$6,VALUE(RIGHT(BD$9,1))),0)))</f>
        <v>0</v>
      </c>
      <c r="BE14" s="605">
        <f ca="1">IF(TEXT(BE$8,"yyyy-mm")=TEXT($B14,"yyyy-mm"),$F14*$B$5,IF(AND(ISNUMBER(SEARCH("중도금",BE$9)),TEXT(BE$8,"yyyy-mm")&gt;=TEXT($B14,"yyyy-mm")),IF(BE$9="1차중도금",$F14*$C$5/6,IF(BE$9="2차중도금",MAX(0,$F14*$C$5*0.3-IF(COLUMN()&gt;7,SUM($G14:OFFSET(BE14,0,COLUMN()-8)),0)),IF(BE$9="3차중도금",MAX(0,$F14*$C$5*0.4-IF(COLUMN()&gt;7,SUM($G14:OFFSET(BE14,0,COLUMN()-8)),0)),IF(BE$9="4차중도금",MAX(0,$F14*$C$5*0.5-IF(COLUMN()&gt;7,SUM($G14:OFFSET(BE14,0,COLUMN()-8)),0)),IF(BE$9="5차중도금",MAX(0,$F14*$C$5*0.6-IF(COLUMN()&gt;7,SUM($G14:OFFSET(BE14,0,COLUMN()-8)),0)),IF(BE$9="6차중도금",MAX(0,$F14*$C$5*0.7-IF(COLUMN()&gt;7,SUM($G14:OFFSET(BE14,0,COLUMN()-8)),0)),0)))))),IF(AND(ISNUMBER(SEARCH("입주",BE$9)),TEXT(BE$8,"yyyy-mm")&gt;=TEXT($B14,"yyyy-mm")),$F14*$D$5*INDEX($E$6:$I$6,VALUE(RIGHT(BE$9,1))),0)))</f>
        <v>0</v>
      </c>
      <c r="BF14" s="609">
        <f t="shared" ca="1" si="8"/>
        <v>-9298116.9531551767</v>
      </c>
      <c r="BG14" s="556">
        <f t="shared" ca="1" si="5"/>
        <v>21941735.32840018</v>
      </c>
      <c r="BH14" s="610"/>
    </row>
    <row r="15" spans="1:60">
      <c r="A15" s="1853"/>
      <c r="B15" s="611">
        <f t="shared" si="6"/>
        <v>44986</v>
      </c>
      <c r="C15" s="605">
        <f t="shared" si="7"/>
        <v>252872367.50490001</v>
      </c>
      <c r="D15" s="1501">
        <v>0.05</v>
      </c>
      <c r="E15" s="612">
        <f t="shared" si="9"/>
        <v>0.65</v>
      </c>
      <c r="F15" s="608">
        <f t="shared" si="2"/>
        <v>12643618.375245001</v>
      </c>
      <c r="G15" s="605">
        <f>_xlfn.LET(_xlpm.금액,$F15,_xlpm.계약금비율,$B$5,_xlpm.중도금비율,$C$5,_xlpm.잔금비율,$D$5,_xlpm.계약시기,TEXT($B15,"yyyy-mm"),_xlpm.현재월,TEXT(G$8,"yyyy-mm"),_xlpm.헤더범위,$G$9:G$9,_xlpm.헤더,G$9,_xlpm.잔금표,$E$6:$I$6,_xlpm.잔금회차,IF(ISNUMBER(SEARCH("입주",_xlpm.헤더)),VALUE(RIGHT(_xlpm.헤더,1)),0),_xlpm.열번호,COLUMN(G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15" s="605">
        <f>_xlfn.LET(_xlpm.금액,$F15,_xlpm.계약금비율,$B$5,_xlpm.중도금비율,$C$5,_xlpm.잔금비율,$D$5,_xlpm.계약시기,TEXT($B15,"yyyy-mm"),_xlpm.현재월,TEXT(H$8,"yyyy-mm"),_xlpm.헤더범위,$G$9:H$9,_xlpm.헤더,H$9,_xlpm.잔금표,$E$6:$I$6,_xlpm.잔금회차,IF(ISNUMBER(SEARCH("입주",_xlpm.헤더)),VALUE(RIGHT(_xlpm.헤더,1)),0),_xlpm.열번호,COLUMN(H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15" s="605">
        <f>_xlfn.LET(_xlpm.금액,$F15,_xlpm.계약금비율,$B$5,_xlpm.중도금비율,$C$5,_xlpm.잔금비율,$D$5,_xlpm.계약시기,TEXT($B15,"yyyy-mm"),_xlpm.현재월,TEXT(I$8,"yyyy-mm"),_xlpm.헤더범위,$G$9:I$9,_xlpm.헤더,I$9,_xlpm.잔금표,$E$6:$I$6,_xlpm.잔금회차,IF(ISNUMBER(SEARCH("입주",_xlpm.헤더)),VALUE(RIGHT(_xlpm.헤더,1)),0),_xlpm.열번호,COLUMN(I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15" s="605">
        <f>_xlfn.LET(_xlpm.금액,$F15,_xlpm.계약금비율,$B$5,_xlpm.중도금비율,$C$5,_xlpm.잔금비율,$D$5,_xlpm.계약시기,TEXT($B15,"yyyy-mm"),_xlpm.현재월,TEXT(J$8,"yyyy-mm"),_xlpm.헤더범위,$G$9:J$9,_xlpm.헤더,J$9,_xlpm.잔금표,$E$6:$I$6,_xlpm.잔금회차,IF(ISNUMBER(SEARCH("입주",_xlpm.헤더)),VALUE(RIGHT(_xlpm.헤더,1)),0),_xlpm.열번호,COLUMN(J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15" s="605">
        <f>_xlfn.LET(_xlpm.금액,$F15,_xlpm.계약금비율,$B$5,_xlpm.중도금비율,$C$5,_xlpm.잔금비율,$D$5,_xlpm.계약시기,TEXT($B15,"yyyy-mm"),_xlpm.현재월,TEXT(K$8,"yyyy-mm"),_xlpm.헤더범위,$G$9:K$9,_xlpm.헤더,K$9,_xlpm.잔금표,$E$6:$I$6,_xlpm.잔금회차,IF(ISNUMBER(SEARCH("입주",_xlpm.헤더)),VALUE(RIGHT(_xlpm.헤더,1)),0),_xlpm.열번호,COLUMN(K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15" s="605">
        <f ca="1">_xlfn.LET(_xlpm.금액,$F15,_xlpm.계약금비율,$B$5,_xlpm.중도금비율,$C$5,_xlpm.잔금비율,$D$5,_xlpm.계약시기,TEXT($B15,"yyyy-mm"),_xlpm.현재월,TEXT(L$8,"yyyy-mm"),_xlpm.헤더범위,$G$9:L$9,_xlpm.헤더,L$9,_xlpm.잔금표,$E$6:$I$6,_xlpm.잔금회차,IF(ISNUMBER(SEARCH("입주",_xlpm.헤더)),VALUE(RIGHT(_xlpm.헤더,1)),0),_xlpm.열번호,COLUMN(L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15" s="605">
        <f>_xlfn.LET(_xlpm.금액,$F15,_xlpm.계약금비율,$B$5,_xlpm.중도금비율,$C$5,_xlpm.잔금비율,$D$5,_xlpm.계약시기,TEXT($B15,"yyyy-mm"),_xlpm.현재월,TEXT(M$8,"yyyy-mm"),_xlpm.헤더범위,$G$9:M$9,_xlpm.헤더,M$9,_xlpm.잔금표,$E$6:$I$6,_xlpm.잔금회차,IF(ISNUMBER(SEARCH("입주",_xlpm.헤더)),VALUE(RIGHT(_xlpm.헤더,1)),0),_xlpm.열번호,COLUMN(M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15" s="605">
        <f>_xlfn.LET(_xlpm.금액,$F15,_xlpm.계약금비율,$B$5,_xlpm.중도금비율,$C$5,_xlpm.잔금비율,$D$5,_xlpm.계약시기,TEXT($B15,"yyyy-mm"),_xlpm.현재월,TEXT(N$8,"yyyy-mm"),_xlpm.헤더범위,$G$9:N$9,_xlpm.헤더,N$9,_xlpm.잔금표,$E$6:$I$6,_xlpm.잔금회차,IF(ISNUMBER(SEARCH("입주",_xlpm.헤더)),VALUE(RIGHT(_xlpm.헤더,1)),0),_xlpm.열번호,COLUMN(N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15" s="605">
        <f>_xlfn.LET(_xlpm.금액,$F15,_xlpm.계약금비율,$B$5,_xlpm.중도금비율,$C$5,_xlpm.잔금비율,$D$5,_xlpm.계약시기,TEXT($B15,"yyyy-mm"),_xlpm.현재월,TEXT(O$8,"yyyy-mm"),_xlpm.헤더범위,$G$9:O$9,_xlpm.헤더,O$9,_xlpm.잔금표,$E$6:$I$6,_xlpm.잔금회차,IF(ISNUMBER(SEARCH("입주",_xlpm.헤더)),VALUE(RIGHT(_xlpm.헤더,1)),0),_xlpm.열번호,COLUMN(O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15" s="605">
        <f>_xlfn.LET(_xlpm.금액,$F15,_xlpm.계약금비율,$B$5,_xlpm.중도금비율,$C$5,_xlpm.잔금비율,$D$5,_xlpm.계약시기,TEXT($B15,"yyyy-mm"),_xlpm.현재월,TEXT(P$8,"yyyy-mm"),_xlpm.헤더범위,$G$9:P$9,_xlpm.헤더,P$9,_xlpm.잔금표,$E$6:$I$6,_xlpm.잔금회차,IF(ISNUMBER(SEARCH("입주",_xlpm.헤더)),VALUE(RIGHT(_xlpm.헤더,1)),0),_xlpm.열번호,COLUMN(P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15" s="605">
        <f ca="1">_xlfn.LET(_xlpm.금액,$F15,_xlpm.계약금비율,$B$5,_xlpm.중도금비율,$C$5,_xlpm.잔금비율,$D$5,_xlpm.계약시기,TEXT($B15,"yyyy-mm"),_xlpm.현재월,TEXT(Q$8,"yyyy-mm"),_xlpm.헤더범위,$G$9:Q$9,_xlpm.헤더,Q$9,_xlpm.잔금표,$E$6:$I$6,_xlpm.잔금회차,IF(ISNUMBER(SEARCH("입주",_xlpm.헤더)),VALUE(RIGHT(_xlpm.헤더,1)),0),_xlpm.열번호,COLUMN(Q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15" s="605">
        <f>_xlfn.LET(_xlpm.금액,$F15,_xlpm.계약금비율,$B$5,_xlpm.중도금비율,$C$5,_xlpm.잔금비율,$D$5,_xlpm.계약시기,TEXT($B15,"yyyy-mm"),_xlpm.현재월,TEXT(R$8,"yyyy-mm"),_xlpm.헤더범위,$G$9:R$9,_xlpm.헤더,R$9,_xlpm.잔금표,$E$6:$I$6,_xlpm.잔금회차,IF(ISNUMBER(SEARCH("입주",_xlpm.헤더)),VALUE(RIGHT(_xlpm.헤더,1)),0),_xlpm.열번호,COLUMN(R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5" s="605">
        <f>_xlfn.LET(_xlpm.금액,$F15,_xlpm.계약금비율,$B$5,_xlpm.중도금비율,$C$5,_xlpm.잔금비율,$D$5,_xlpm.계약시기,TEXT($B15,"yyyy-mm"),_xlpm.현재월,TEXT(S$8,"yyyy-mm"),_xlpm.헤더범위,$G$9:S$9,_xlpm.헤더,S$9,_xlpm.잔금표,$E$6:$I$6,_xlpm.잔금회차,IF(ISNUMBER(SEARCH("입주",_xlpm.헤더)),VALUE(RIGHT(_xlpm.헤더,1)),0),_xlpm.열번호,COLUMN(S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5" s="605">
        <f>_xlfn.LET(_xlpm.금액,$F15,_xlpm.계약금비율,$B$5,_xlpm.중도금비율,$C$5,_xlpm.잔금비율,$D$5,_xlpm.계약시기,TEXT($B15,"yyyy-mm"),_xlpm.현재월,TEXT(T$8,"yyyy-mm"),_xlpm.헤더범위,$G$9:T$9,_xlpm.헤더,T$9,_xlpm.잔금표,$E$6:$I$6,_xlpm.잔금회차,IF(ISNUMBER(SEARCH("입주",_xlpm.헤더)),VALUE(RIGHT(_xlpm.헤더,1)),0),_xlpm.열번호,COLUMN(T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5" s="605">
        <f>_xlfn.LET(_xlpm.금액,$F15,_xlpm.계약금비율,$B$5,_xlpm.중도금비율,$C$5,_xlpm.잔금비율,$D$5,_xlpm.계약시기,TEXT($B15,"yyyy-mm"),_xlpm.현재월,TEXT(U$8,"yyyy-mm"),_xlpm.헤더범위,$G$9:U$9,_xlpm.헤더,U$9,_xlpm.잔금표,$E$6:$I$6,_xlpm.잔금회차,IF(ISNUMBER(SEARCH("입주",_xlpm.헤더)),VALUE(RIGHT(_xlpm.헤더,1)),0),_xlpm.열번호,COLUMN(U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5" s="605">
        <f ca="1">_xlfn.LET(_xlpm.금액,$F15,_xlpm.계약금비율,$B$5,_xlpm.중도금비율,$C$5,_xlpm.잔금비율,$D$5,_xlpm.계약시기,TEXT($B15,"yyyy-mm"),_xlpm.현재월,TEXT(V$8,"yyyy-mm"),_xlpm.헤더범위,$G$9:V$9,_xlpm.헤더,V$9,_xlpm.잔금표,$E$6:$I$6,_xlpm.잔금회차,IF(ISNUMBER(SEARCH("입주",_xlpm.헤더)),VALUE(RIGHT(_xlpm.헤더,1)),0),_xlpm.열번호,COLUMN(V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15" s="605">
        <f>_xlfn.LET(_xlpm.금액,$F15,_xlpm.계약금비율,$B$5,_xlpm.중도금비율,$C$5,_xlpm.잔금비율,$D$5,_xlpm.계약시기,TEXT($B15,"yyyy-mm"),_xlpm.현재월,TEXT(W$8,"yyyy-mm"),_xlpm.헤더범위,$G$9:W$9,_xlpm.헤더,W$9,_xlpm.잔금표,$E$6:$I$6,_xlpm.잔금회차,IF(ISNUMBER(SEARCH("입주",_xlpm.헤더)),VALUE(RIGHT(_xlpm.헤더,1)),0),_xlpm.열번호,COLUMN(W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5" s="605">
        <f>_xlfn.LET(_xlpm.금액,$F15,_xlpm.계약금비율,$B$5,_xlpm.중도금비율,$C$5,_xlpm.잔금비율,$D$5,_xlpm.계약시기,TEXT($B15,"yyyy-mm"),_xlpm.현재월,TEXT(X$8,"yyyy-mm"),_xlpm.헤더범위,$G$9:X$9,_xlpm.헤더,X$9,_xlpm.잔금표,$E$6:$I$6,_xlpm.잔금회차,IF(ISNUMBER(SEARCH("입주",_xlpm.헤더)),VALUE(RIGHT(_xlpm.헤더,1)),0),_xlpm.열번호,COLUMN(X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5" s="605">
        <f>_xlfn.LET(_xlpm.금액,$F15,_xlpm.계약금비율,$B$5,_xlpm.중도금비율,$C$5,_xlpm.잔금비율,$D$5,_xlpm.계약시기,TEXT($B15,"yyyy-mm"),_xlpm.현재월,TEXT(Y$8,"yyyy-mm"),_xlpm.헤더범위,$G$9:Y$9,_xlpm.헤더,Y$9,_xlpm.잔금표,$E$6:$I$6,_xlpm.잔금회차,IF(ISNUMBER(SEARCH("입주",_xlpm.헤더)),VALUE(RIGHT(_xlpm.헤더,1)),0),_xlpm.열번호,COLUMN(Y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5" s="605">
        <f>_xlfn.LET(_xlpm.금액,$F15,_xlpm.계약금비율,$B$5,_xlpm.중도금비율,$C$5,_xlpm.잔금비율,$D$5,_xlpm.계약시기,TEXT($B15,"yyyy-mm"),_xlpm.현재월,TEXT(Z$8,"yyyy-mm"),_xlpm.헤더범위,$G$9:Z$9,_xlpm.헤더,Z$9,_xlpm.잔금표,$E$6:$I$6,_xlpm.잔금회차,IF(ISNUMBER(SEARCH("입주",_xlpm.헤더)),VALUE(RIGHT(_xlpm.헤더,1)),0),_xlpm.열번호,COLUMN(Z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5" s="605">
        <f>_xlfn.LET(_xlpm.금액,$F15,_xlpm.계약금비율,$B$5,_xlpm.중도금비율,$C$5,_xlpm.잔금비율,$D$5,_xlpm.계약시기,TEXT($B15,"yyyy-mm"),_xlpm.현재월,TEXT(AA$8,"yyyy-mm"),_xlpm.헤더범위,$G$9:AA$9,_xlpm.헤더,AA$9,_xlpm.잔금표,$E$6:$I$6,_xlpm.잔금회차,IF(ISNUMBER(SEARCH("입주",_xlpm.헤더)),VALUE(RIGHT(_xlpm.헤더,1)),0),_xlpm.열번호,COLUMN(AA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5" s="605">
        <f ca="1">_xlfn.LET(_xlpm.금액,$F15,_xlpm.계약금비율,$B$5,_xlpm.중도금비율,$C$5,_xlpm.잔금비율,$D$5,_xlpm.계약시기,TEXT($B15,"yyyy-mm"),_xlpm.현재월,TEXT(AB$8,"yyyy-mm"),_xlpm.헤더범위,$G$9:AB$9,_xlpm.헤더,AB$9,_xlpm.잔금표,$E$6:$I$6,_xlpm.잔금회차,IF(ISNUMBER(SEARCH("입주",_xlpm.헤더)),VALUE(RIGHT(_xlpm.헤더,1)),0),_xlpm.열번호,COLUMN(AB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15" s="605">
        <f>_xlfn.LET(_xlpm.금액,$F15,_xlpm.계약금비율,$B$5,_xlpm.중도금비율,$C$5,_xlpm.잔금비율,$D$5,_xlpm.계약시기,TEXT($B15,"yyyy-mm"),_xlpm.현재월,TEXT(AC$8,"yyyy-mm"),_xlpm.헤더범위,$G$9:AC$9,_xlpm.헤더,AC$9,_xlpm.잔금표,$E$6:$I$6,_xlpm.잔금회차,IF(ISNUMBER(SEARCH("입주",_xlpm.헤더)),VALUE(RIGHT(_xlpm.헤더,1)),0),_xlpm.열번호,COLUMN(AC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5" s="605">
        <f>_xlfn.LET(_xlpm.금액,$F15,_xlpm.계약금비율,$B$5,_xlpm.중도금비율,$C$5,_xlpm.잔금비율,$D$5,_xlpm.계약시기,TEXT($B15,"yyyy-mm"),_xlpm.현재월,TEXT(AD$8,"yyyy-mm"),_xlpm.헤더범위,$G$9:AD$9,_xlpm.헤더,AD$9,_xlpm.잔금표,$E$6:$I$6,_xlpm.잔금회차,IF(ISNUMBER(SEARCH("입주",_xlpm.헤더)),VALUE(RIGHT(_xlpm.헤더,1)),0),_xlpm.열번호,COLUMN(AD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5" s="605">
        <f>_xlfn.LET(_xlpm.금액,$F15,_xlpm.계약금비율,$B$5,_xlpm.중도금비율,$C$5,_xlpm.잔금비율,$D$5,_xlpm.계약시기,TEXT($B15,"yyyy-mm"),_xlpm.현재월,TEXT(AE$8,"yyyy-mm"),_xlpm.헤더범위,$G$9:AE$9,_xlpm.헤더,AE$9,_xlpm.잔금표,$E$6:$I$6,_xlpm.잔금회차,IF(ISNUMBER(SEARCH("입주",_xlpm.헤더)),VALUE(RIGHT(_xlpm.헤더,1)),0),_xlpm.열번호,COLUMN(AE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5" s="605">
        <f>_xlfn.LET(_xlpm.금액,$F15,_xlpm.계약금비율,$B$5,_xlpm.중도금비율,$C$5,_xlpm.잔금비율,$D$5,_xlpm.계약시기,TEXT($B15,"yyyy-mm"),_xlpm.현재월,TEXT(AF$8,"yyyy-mm"),_xlpm.헤더범위,$G$9:AF$9,_xlpm.헤더,AF$9,_xlpm.잔금표,$E$6:$I$6,_xlpm.잔금회차,IF(ISNUMBER(SEARCH("입주",_xlpm.헤더)),VALUE(RIGHT(_xlpm.헤더,1)),0),_xlpm.열번호,COLUMN(AF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5" s="605">
        <f ca="1">_xlfn.LET(_xlpm.금액,$F15,_xlpm.계약금비율,$B$5,_xlpm.중도금비율,$C$5,_xlpm.잔금비율,$D$5,_xlpm.계약시기,TEXT($B15,"yyyy-mm"),_xlpm.현재월,TEXT(AG$8,"yyyy-mm"),_xlpm.헤더범위,$G$9:AG$9,_xlpm.헤더,AG$9,_xlpm.잔금표,$E$6:$I$6,_xlpm.잔금회차,IF(ISNUMBER(SEARCH("입주",_xlpm.헤더)),VALUE(RIGHT(_xlpm.헤더,1)),0),_xlpm.열번호,COLUMN(AG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15" s="605">
        <f>_xlfn.LET(_xlpm.금액,$F15,_xlpm.계약금비율,$B$5,_xlpm.중도금비율,$C$5,_xlpm.잔금비율,$D$5,_xlpm.계약시기,TEXT($B15,"yyyy-mm"),_xlpm.현재월,TEXT(AH$8,"yyyy-mm"),_xlpm.헤더범위,$G$9:AH$9,_xlpm.헤더,AH$9,_xlpm.잔금표,$E$6:$I$6,_xlpm.잔금회차,IF(ISNUMBER(SEARCH("입주",_xlpm.헤더)),VALUE(RIGHT(_xlpm.헤더,1)),0),_xlpm.열번호,COLUMN(AH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5" s="605">
        <f>_xlfn.LET(_xlpm.금액,$F15,_xlpm.계약금비율,$B$5,_xlpm.중도금비율,$C$5,_xlpm.잔금비율,$D$5,_xlpm.계약시기,TEXT($B15,"yyyy-mm"),_xlpm.현재월,TEXT(AI$8,"yyyy-mm"),_xlpm.헤더범위,$G$9:AI$9,_xlpm.헤더,AI$9,_xlpm.잔금표,$E$6:$I$6,_xlpm.잔금회차,IF(ISNUMBER(SEARCH("입주",_xlpm.헤더)),VALUE(RIGHT(_xlpm.헤더,1)),0),_xlpm.열번호,COLUMN(AI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5" s="605">
        <f>_xlfn.LET(_xlpm.금액,$F15,_xlpm.계약금비율,$B$5,_xlpm.중도금비율,$C$5,_xlpm.잔금비율,$D$5,_xlpm.계약시기,TEXT($B15,"yyyy-mm"),_xlpm.현재월,TEXT(AJ$8,"yyyy-mm"),_xlpm.헤더범위,$G$9:AJ$9,_xlpm.헤더,AJ$9,_xlpm.잔금표,$E$6:$I$6,_xlpm.잔금회차,IF(ISNUMBER(SEARCH("입주",_xlpm.헤더)),VALUE(RIGHT(_xlpm.헤더,1)),0),_xlpm.열번호,COLUMN(AJ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5" s="605">
        <f>_xlfn.LET(_xlpm.금액,$F15,_xlpm.계약금비율,$B$5,_xlpm.중도금비율,$C$5,_xlpm.잔금비율,$D$5,_xlpm.계약시기,TEXT($B15,"yyyy-mm"),_xlpm.현재월,TEXT(AK$8,"yyyy-mm"),_xlpm.헤더범위,$G$9:AK$9,_xlpm.헤더,AK$9,_xlpm.잔금표,$E$6:$I$6,_xlpm.잔금회차,IF(ISNUMBER(SEARCH("입주",_xlpm.헤더)),VALUE(RIGHT(_xlpm.헤더,1)),0),_xlpm.열번호,COLUMN(AK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5" s="605">
        <f ca="1">_xlfn.LET(_xlpm.금액,$F15,_xlpm.계약금비율,$B$5,_xlpm.중도금비율,$C$5,_xlpm.잔금비율,$D$5,_xlpm.계약시기,TEXT($B15,"yyyy-mm"),_xlpm.현재월,TEXT(AL$8,"yyyy-mm"),_xlpm.헤더범위,$G$9:AL$9,_xlpm.헤더,AL$9,_xlpm.잔금표,$E$6:$I$6,_xlpm.잔금회차,IF(ISNUMBER(SEARCH("입주",_xlpm.헤더)),VALUE(RIGHT(_xlpm.헤더,1)),0),_xlpm.열번호,COLUMN(AL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15" s="605">
        <f>_xlfn.LET(_xlpm.금액,$F15,_xlpm.계약금비율,$B$5,_xlpm.중도금비율,$C$5,_xlpm.잔금비율,$D$5,_xlpm.계약시기,TEXT($B15,"yyyy-mm"),_xlpm.현재월,TEXT(AM$8,"yyyy-mm"),_xlpm.헤더범위,$G$9:AM$9,_xlpm.헤더,AM$9,_xlpm.잔금표,$E$6:$I$6,_xlpm.잔금회차,IF(ISNUMBER(SEARCH("입주",_xlpm.헤더)),VALUE(RIGHT(_xlpm.헤더,1)),0),_xlpm.열번호,COLUMN(AM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5" s="605">
        <f>_xlfn.LET(_xlpm.금액,$F15,_xlpm.계약금비율,$B$5,_xlpm.중도금비율,$C$5,_xlpm.잔금비율,$D$5,_xlpm.계약시기,TEXT($B15,"yyyy-mm"),_xlpm.현재월,TEXT(AN$8,"yyyy-mm"),_xlpm.헤더범위,$G$9:AN$9,_xlpm.헤더,AN$9,_xlpm.잔금표,$E$6:$I$6,_xlpm.잔금회차,IF(ISNUMBER(SEARCH("입주",_xlpm.헤더)),VALUE(RIGHT(_xlpm.헤더,1)),0),_xlpm.열번호,COLUMN(AN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5" s="605">
        <f>_xlfn.LET(_xlpm.금액,$F15,_xlpm.계약금비율,$B$5,_xlpm.중도금비율,$C$5,_xlpm.잔금비율,$D$5,_xlpm.계약시기,TEXT($B15,"yyyy-mm"),_xlpm.현재월,TEXT(AO$8,"yyyy-mm"),_xlpm.헤더범위,$G$9:AO$9,_xlpm.헤더,AO$9,_xlpm.잔금표,$E$6:$I$6,_xlpm.잔금회차,IF(ISNUMBER(SEARCH("입주",_xlpm.헤더)),VALUE(RIGHT(_xlpm.헤더,1)),0),_xlpm.열번호,COLUMN(AO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5" s="605">
        <f>_xlfn.LET(_xlpm.금액,$F15,_xlpm.계약금비율,$B$5,_xlpm.중도금비율,$C$5,_xlpm.잔금비율,$D$5,_xlpm.계약시기,TEXT($B15,"yyyy-mm"),_xlpm.현재월,TEXT(AP$8,"yyyy-mm"),_xlpm.헤더범위,$G$9:AP$9,_xlpm.헤더,AP$9,_xlpm.잔금표,$E$6:$I$6,_xlpm.잔금회차,IF(ISNUMBER(SEARCH("입주",_xlpm.헤더)),VALUE(RIGHT(_xlpm.헤더,1)),0),_xlpm.열번호,COLUMN(AP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5" s="605">
        <f>_xlfn.LET(_xlpm.금액,$F15,_xlpm.계약금비율,$B$5,_xlpm.중도금비율,$C$5,_xlpm.잔금비율,$D$5,_xlpm.계약시기,TEXT($B15,"yyyy-mm"),_xlpm.현재월,TEXT(AQ$8,"yyyy-mm"),_xlpm.헤더범위,$G$9:AQ$9,_xlpm.헤더,AQ$9,_xlpm.잔금표,$E$6:$I$6,_xlpm.잔금회차,IF(ISNUMBER(SEARCH("입주",_xlpm.헤더)),VALUE(RIGHT(_xlpm.헤더,1)),0),_xlpm.열번호,COLUMN(AQ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5" s="605" t="e" vm="2">
        <f>_xlfn.LET(_xlpm.금액,$F15,_xlpm.계약금비율,$B$5,_xlpm.중도금비율,$C$5,_xlpm.잔금비율,$D$5,_xlpm.계약시기,TEXT($B15,"yyyy-mm"),_xlpm.현재월,TEXT(AR$8,"yyyy-mm"),_xlpm.헤더범위,$G$9:AR$9,_xlpm.헤더,AR$9,_xlpm.잔금표,$E$6:$I$6,_xlpm.잔금회차,IF(ISNUMBER(SEARCH("입주",_xlpm.헤더)),VALUE(RIGHT(_xlpm.헤더,1)),0),_xlpm.열번호,COLUMN(AR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5" s="605" t="e" vm="2">
        <f>_xlfn.LET(_xlpm.금액,$F15,_xlpm.계약금비율,$B$5,_xlpm.중도금비율,$C$5,_xlpm.잔금비율,$D$5,_xlpm.계약시기,TEXT($B15,"yyyy-mm"),_xlpm.현재월,TEXT(AS$8,"yyyy-mm"),_xlpm.헤더범위,$G$9:AS$9,_xlpm.헤더,AS$9,_xlpm.잔금표,$E$6:$I$6,_xlpm.잔금회차,IF(ISNUMBER(SEARCH("입주",_xlpm.헤더)),VALUE(RIGHT(_xlpm.헤더,1)),0),_xlpm.열번호,COLUMN(AS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5" s="605" t="e" vm="2">
        <f>_xlfn.LET(_xlpm.금액,$F15,_xlpm.계약금비율,$B$5,_xlpm.중도금비율,$C$5,_xlpm.잔금비율,$D$5,_xlpm.계약시기,TEXT($B15,"yyyy-mm"),_xlpm.현재월,TEXT(AT$8,"yyyy-mm"),_xlpm.헤더범위,$G$9:AT$9,_xlpm.헤더,AT$9,_xlpm.잔금표,$E$6:$I$6,_xlpm.잔금회차,IF(ISNUMBER(SEARCH("입주",_xlpm.헤더)),VALUE(RIGHT(_xlpm.헤더,1)),0),_xlpm.열번호,COLUMN(AT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5" s="605" t="e" vm="2">
        <f>_xlfn.LET(_xlpm.금액,$F15,_xlpm.계약금비율,$B$5,_xlpm.중도금비율,$C$5,_xlpm.잔금비율,$D$5,_xlpm.계약시기,TEXT($B15,"yyyy-mm"),_xlpm.현재월,TEXT(AU$8,"yyyy-mm"),_xlpm.헤더범위,$G$9:AU$9,_xlpm.헤더,AU$9,_xlpm.잔금표,$E$6:$I$6,_xlpm.잔금회차,IF(ISNUMBER(SEARCH("입주",_xlpm.헤더)),VALUE(RIGHT(_xlpm.헤더,1)),0),_xlpm.열번호,COLUMN(AU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5" s="605" t="e" vm="2">
        <f>_xlfn.LET(_xlpm.금액,$F15,_xlpm.계약금비율,$B$5,_xlpm.중도금비율,$C$5,_xlpm.잔금비율,$D$5,_xlpm.계약시기,TEXT($B15,"yyyy-mm"),_xlpm.현재월,TEXT(AV$8,"yyyy-mm"),_xlpm.헤더범위,$G$9:AV$9,_xlpm.헤더,AV$9,_xlpm.잔금표,$E$6:$I$6,_xlpm.잔금회차,IF(ISNUMBER(SEARCH("입주",_xlpm.헤더)),VALUE(RIGHT(_xlpm.헤더,1)),0),_xlpm.열번호,COLUMN(AV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5" s="605">
        <f>_xlfn.LET(_xlpm.금액,$F15,_xlpm.계약금비율,$B$5,_xlpm.중도금비율,$C$5,_xlpm.잔금비율,$D$5,_xlpm.계약시기,TEXT($B15,"yyyy-mm"),_xlpm.현재월,TEXT(AW$8,"yyyy-mm"),_xlpm.헤더범위,$G$9:AW$9,_xlpm.헤더,AW$9,_xlpm.잔금표,$E$6:$I$6,_xlpm.잔금회차,IF(ISNUMBER(SEARCH("입주",_xlpm.헤더)),VALUE(RIGHT(_xlpm.헤더,1)),0),_xlpm.열번호,COLUMN(AW$9),_xlpm.행번호,ROW($G15),_xlpm.전체헤더,$G$9:$BF$9,_xlpm.전체데이터,$G15:$BF15,_xlpm.전체열번호,_xlfn.SEQUENCE(1,COLUMNS(_xlpm.전체헤더),COLUMN($G15)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5" s="605">
        <f t="shared" ca="1" si="3"/>
        <v>0</v>
      </c>
      <c r="AY15" s="605">
        <f t="shared" ca="1" si="3"/>
        <v>0</v>
      </c>
      <c r="AZ15" s="605">
        <f t="shared" ref="H15:BB21" ca="1" si="10">IF(TEXT(AZ$8,"yyyy-mm")=TEXT($B15,"yyyy-mm"),$F15*$B$5,IF(AND(TEXT(AZ$8,"yyyy-mm")&gt;=TEXT($B15,"yyyy-mm"),ISNUMBER(SEARCH("입주",AZ$9))),($F15-SUM(INDIRECT("$G$10:"&amp;ADDRESS(ROW(),COLUMN()-1))))*INDEX($E$6:$I$6,VALUE(RIGHT(AZ$9,1))),IF(AND(TEXT(AZ$8,"yyyy-mm")&gt;=TEXT($B15,"yyyy-mm"),AZ$9="1차중도금"),$F15*$C$5/6,IF(AND(TEXT(AZ$8,"yyyy-mm")&gt;=TEXT($B15,"yyyy-mm"),AZ$9="2차중도금"),MAX(0,$F15*$C$5*0.3-SUM(INDIRECT("$G$10:"&amp;ADDRESS(ROW(),COLUMN()-1)))),0))))</f>
        <v>0</v>
      </c>
      <c r="BA15" s="605">
        <f t="shared" ca="1" si="10"/>
        <v>0</v>
      </c>
      <c r="BB15" s="605">
        <f t="shared" ca="1" si="10"/>
        <v>0</v>
      </c>
      <c r="BC15" s="605">
        <f ca="1">IF(TEXT(BC$8,"yyyy-mm")=TEXT($B15,"yyyy-mm"),$F15*$B$5,IF(AND(ISNUMBER(SEARCH("중도금",BC$9)),TEXT(BC$8,"yyyy-mm")&gt;=TEXT($B15,"yyyy-mm")),IF(BC$9="1차중도금",$F15*$C$5/6,IF(BC$9="2차중도금",MAX(0,$F15*$C$5*0.3-IF(COLUMN()&gt;7,SUM($G15:OFFSET(BC15,0,COLUMN()-8)),0)),IF(BC$9="3차중도금",MAX(0,$F15*$C$5*0.4-IF(COLUMN()&gt;7,SUM($G15:OFFSET(BC15,0,COLUMN()-8)),0)),IF(BC$9="4차중도금",MAX(0,$F15*$C$5*0.5-IF(COLUMN()&gt;7,SUM($G15:OFFSET(BC15,0,COLUMN()-8)),0)),IF(BC$9="5차중도금",MAX(0,$F15*$C$5*0.6-IF(COLUMN()&gt;7,SUM($G15:OFFSET(BC15,0,COLUMN()-8)),0)),IF(BC$9="6차중도금",MAX(0,$F15*$C$5*0.7-IF(COLUMN()&gt;7,SUM($G15:OFFSET(BC15,0,COLUMN()-8)),0)),0)))))),IF(AND(ISNUMBER(SEARCH("입주",BC$9)),TEXT(BC$8,"yyyy-mm")&gt;=TEXT($B15,"yyyy-mm")),$F15*$D$5*INDEX($E$6:$I$6,VALUE(RIGHT(BC$9,1))),0)))</f>
        <v>0</v>
      </c>
      <c r="BD15" s="605">
        <f ca="1">IF(TEXT(BD$8,"yyyy-mm")=TEXT($B15,"yyyy-mm"),$F15*$B$5,IF(AND(ISNUMBER(SEARCH("중도금",BD$9)),TEXT(BD$8,"yyyy-mm")&gt;=TEXT($B15,"yyyy-mm")),IF(BD$9="1차중도금",$F15*$C$5/6,IF(BD$9="2차중도금",MAX(0,$F15*$C$5*0.3-IF(COLUMN()&gt;7,SUM($G15:OFFSET(BD15,0,COLUMN()-8)),0)),IF(BD$9="3차중도금",MAX(0,$F15*$C$5*0.4-IF(COLUMN()&gt;7,SUM($G15:OFFSET(BD15,0,COLUMN()-8)),0)),IF(BD$9="4차중도금",MAX(0,$F15*$C$5*0.5-IF(COLUMN()&gt;7,SUM($G15:OFFSET(BD15,0,COLUMN()-8)),0)),IF(BD$9="5차중도금",MAX(0,$F15*$C$5*0.6-IF(COLUMN()&gt;7,SUM($G15:OFFSET(BD15,0,COLUMN()-8)),0)),IF(BD$9="6차중도금",MAX(0,$F15*$C$5*0.7-IF(COLUMN()&gt;7,SUM($G15:OFFSET(BD15,0,COLUMN()-8)),0)),0)))))),IF(AND(ISNUMBER(SEARCH("입주",BD$9)),TEXT(BD$8,"yyyy-mm")&gt;=TEXT($B15,"yyyy-mm")),$F15*$D$5*INDEX($E$6:$I$6,VALUE(RIGHT(BD$9,1))),0)))</f>
        <v>0</v>
      </c>
      <c r="BE15" s="605">
        <f ca="1">IF(TEXT(BE$8,"yyyy-mm")=TEXT($B15,"yyyy-mm"),$F15*$B$5,IF(AND(ISNUMBER(SEARCH("중도금",BE$9)),TEXT(BE$8,"yyyy-mm")&gt;=TEXT($B15,"yyyy-mm")),IF(BE$9="1차중도금",$F15*$C$5/6,IF(BE$9="2차중도금",MAX(0,$F15*$C$5*0.3-IF(COLUMN()&gt;7,SUM($G15:OFFSET(BE15,0,COLUMN()-8)),0)),IF(BE$9="3차중도금",MAX(0,$F15*$C$5*0.4-IF(COLUMN()&gt;7,SUM($G15:OFFSET(BE15,0,COLUMN()-8)),0)),IF(BE$9="4차중도금",MAX(0,$F15*$C$5*0.5-IF(COLUMN()&gt;7,SUM($G15:OFFSET(BE15,0,COLUMN()-8)),0)),IF(BE$9="5차중도금",MAX(0,$F15*$C$5*0.6-IF(COLUMN()&gt;7,SUM($G15:OFFSET(BE15,0,COLUMN()-8)),0)),IF(BE$9="6차중도금",MAX(0,$F15*$C$5*0.7-IF(COLUMN()&gt;7,SUM($G15:OFFSET(BE15,0,COLUMN()-8)),0)),0)))))),IF(AND(ISNUMBER(SEARCH("입주",BE$9)),TEXT(BE$8,"yyyy-mm")&gt;=TEXT($B15,"yyyy-mm")),$F15*$D$5*INDEX($E$6:$I$6,VALUE(RIGHT(BE$9,1))),0)))</f>
        <v>0</v>
      </c>
      <c r="BF15" s="609">
        <f t="shared" ca="1" si="8"/>
        <v>-5229562.398316538</v>
      </c>
      <c r="BG15" s="556">
        <f t="shared" ca="1" si="5"/>
        <v>17873180.773561537</v>
      </c>
      <c r="BH15" s="610"/>
    </row>
    <row r="16" spans="1:60">
      <c r="A16" s="1853"/>
      <c r="B16" s="611">
        <f t="shared" si="6"/>
        <v>45017</v>
      </c>
      <c r="C16" s="605">
        <f t="shared" si="7"/>
        <v>252872367.50490001</v>
      </c>
      <c r="D16" s="1501">
        <v>0.03</v>
      </c>
      <c r="E16" s="607">
        <f t="shared" si="9"/>
        <v>0.68</v>
      </c>
      <c r="F16" s="608">
        <f t="shared" si="2"/>
        <v>7586171.0251470003</v>
      </c>
      <c r="G16" s="605">
        <f>_xlfn.LET(_xlpm.금액,$F16,_xlpm.계약금비율,$B$5,_xlpm.중도금비율,$C$5,_xlpm.잔금비율,$D$5,_xlpm.계약시기,TEXT($B16,"yyyy-mm"),_xlpm.현재월,TEXT(G$8,"yyyy-mm"),_xlpm.헤더범위,$G$9:G$9,_xlpm.헤더,G$9,_xlpm.잔금표,$E$6:$I$6,_xlpm.잔금회차,IF(ISNUMBER(SEARCH("입주",_xlpm.헤더)),VALUE(RIGHT(_xlpm.헤더,1)),0),_xlpm.열번호,COLUMN(G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16" s="605">
        <f>_xlfn.LET(_xlpm.금액,$F16,_xlpm.계약금비율,$B$5,_xlpm.중도금비율,$C$5,_xlpm.잔금비율,$D$5,_xlpm.계약시기,TEXT($B16,"yyyy-mm"),_xlpm.현재월,TEXT(H$8,"yyyy-mm"),_xlpm.헤더범위,$G$9:H$9,_xlpm.헤더,H$9,_xlpm.잔금표,$E$6:$I$6,_xlpm.잔금회차,IF(ISNUMBER(SEARCH("입주",_xlpm.헤더)),VALUE(RIGHT(_xlpm.헤더,1)),0),_xlpm.열번호,COLUMN(H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16" s="605">
        <f>_xlfn.LET(_xlpm.금액,$F16,_xlpm.계약금비율,$B$5,_xlpm.중도금비율,$C$5,_xlpm.잔금비율,$D$5,_xlpm.계약시기,TEXT($B16,"yyyy-mm"),_xlpm.현재월,TEXT(I$8,"yyyy-mm"),_xlpm.헤더범위,$G$9:I$9,_xlpm.헤더,I$9,_xlpm.잔금표,$E$6:$I$6,_xlpm.잔금회차,IF(ISNUMBER(SEARCH("입주",_xlpm.헤더)),VALUE(RIGHT(_xlpm.헤더,1)),0),_xlpm.열번호,COLUMN(I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16" s="605">
        <f>_xlfn.LET(_xlpm.금액,$F16,_xlpm.계약금비율,$B$5,_xlpm.중도금비율,$C$5,_xlpm.잔금비율,$D$5,_xlpm.계약시기,TEXT($B16,"yyyy-mm"),_xlpm.현재월,TEXT(J$8,"yyyy-mm"),_xlpm.헤더범위,$G$9:J$9,_xlpm.헤더,J$9,_xlpm.잔금표,$E$6:$I$6,_xlpm.잔금회차,IF(ISNUMBER(SEARCH("입주",_xlpm.헤더)),VALUE(RIGHT(_xlpm.헤더,1)),0),_xlpm.열번호,COLUMN(J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16" s="605">
        <f>_xlfn.LET(_xlpm.금액,$F16,_xlpm.계약금비율,$B$5,_xlpm.중도금비율,$C$5,_xlpm.잔금비율,$D$5,_xlpm.계약시기,TEXT($B16,"yyyy-mm"),_xlpm.현재월,TEXT(K$8,"yyyy-mm"),_xlpm.헤더범위,$G$9:K$9,_xlpm.헤더,K$9,_xlpm.잔금표,$E$6:$I$6,_xlpm.잔금회차,IF(ISNUMBER(SEARCH("입주",_xlpm.헤더)),VALUE(RIGHT(_xlpm.헤더,1)),0),_xlpm.열번호,COLUMN(K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16" s="605">
        <f ca="1">_xlfn.LET(_xlpm.금액,$F16,_xlpm.계약금비율,$B$5,_xlpm.중도금비율,$C$5,_xlpm.잔금비율,$D$5,_xlpm.계약시기,TEXT($B16,"yyyy-mm"),_xlpm.현재월,TEXT(L$8,"yyyy-mm"),_xlpm.헤더범위,$G$9:L$9,_xlpm.헤더,L$9,_xlpm.잔금표,$E$6:$I$6,_xlpm.잔금회차,IF(ISNUMBER(SEARCH("입주",_xlpm.헤더)),VALUE(RIGHT(_xlpm.헤더,1)),0),_xlpm.열번호,COLUMN(L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16" s="605">
        <f>_xlfn.LET(_xlpm.금액,$F16,_xlpm.계약금비율,$B$5,_xlpm.중도금비율,$C$5,_xlpm.잔금비율,$D$5,_xlpm.계약시기,TEXT($B16,"yyyy-mm"),_xlpm.현재월,TEXT(M$8,"yyyy-mm"),_xlpm.헤더범위,$G$9:M$9,_xlpm.헤더,M$9,_xlpm.잔금표,$E$6:$I$6,_xlpm.잔금회차,IF(ISNUMBER(SEARCH("입주",_xlpm.헤더)),VALUE(RIGHT(_xlpm.헤더,1)),0),_xlpm.열번호,COLUMN(M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758617.10251470003</v>
      </c>
      <c r="N16" s="605">
        <f>_xlfn.LET(_xlpm.금액,$F16,_xlpm.계약금비율,$B$5,_xlpm.중도금비율,$C$5,_xlpm.잔금비율,$D$5,_xlpm.계약시기,TEXT($B16,"yyyy-mm"),_xlpm.현재월,TEXT(N$8,"yyyy-mm"),_xlpm.헤더범위,$G$9:N$9,_xlpm.헤더,N$9,_xlpm.잔금표,$E$6:$I$6,_xlpm.잔금회차,IF(ISNUMBER(SEARCH("입주",_xlpm.헤더)),VALUE(RIGHT(_xlpm.헤더,1)),0),_xlpm.열번호,COLUMN(N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16" s="605">
        <f>_xlfn.LET(_xlpm.금액,$F16,_xlpm.계약금비율,$B$5,_xlpm.중도금비율,$C$5,_xlpm.잔금비율,$D$5,_xlpm.계약시기,TEXT($B16,"yyyy-mm"),_xlpm.현재월,TEXT(O$8,"yyyy-mm"),_xlpm.헤더범위,$G$9:O$9,_xlpm.헤더,O$9,_xlpm.잔금표,$E$6:$I$6,_xlpm.잔금회차,IF(ISNUMBER(SEARCH("입주",_xlpm.헤더)),VALUE(RIGHT(_xlpm.헤더,1)),0),_xlpm.열번호,COLUMN(O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16" s="605">
        <f>_xlfn.LET(_xlpm.금액,$F16,_xlpm.계약금비율,$B$5,_xlpm.중도금비율,$C$5,_xlpm.잔금비율,$D$5,_xlpm.계약시기,TEXT($B16,"yyyy-mm"),_xlpm.현재월,TEXT(P$8,"yyyy-mm"),_xlpm.헤더범위,$G$9:P$9,_xlpm.헤더,P$9,_xlpm.잔금표,$E$6:$I$6,_xlpm.잔금회차,IF(ISNUMBER(SEARCH("입주",_xlpm.헤더)),VALUE(RIGHT(_xlpm.헤더,1)),0),_xlpm.열번호,COLUMN(P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16" s="605">
        <f ca="1">_xlfn.LET(_xlpm.금액,$F16,_xlpm.계약금비율,$B$5,_xlpm.중도금비율,$C$5,_xlpm.잔금비율,$D$5,_xlpm.계약시기,TEXT($B16,"yyyy-mm"),_xlpm.현재월,TEXT(Q$8,"yyyy-mm"),_xlpm.헤더범위,$G$9:Q$9,_xlpm.헤더,Q$9,_xlpm.잔금표,$E$6:$I$6,_xlpm.잔금회차,IF(ISNUMBER(SEARCH("입주",_xlpm.헤더)),VALUE(RIGHT(_xlpm.헤더,1)),0),_xlpm.열번호,COLUMN(Q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16" s="605">
        <f>_xlfn.LET(_xlpm.금액,$F16,_xlpm.계약금비율,$B$5,_xlpm.중도금비율,$C$5,_xlpm.잔금비율,$D$5,_xlpm.계약시기,TEXT($B16,"yyyy-mm"),_xlpm.현재월,TEXT(R$8,"yyyy-mm"),_xlpm.헤더범위,$G$9:R$9,_xlpm.헤더,R$9,_xlpm.잔금표,$E$6:$I$6,_xlpm.잔금회차,IF(ISNUMBER(SEARCH("입주",_xlpm.헤더)),VALUE(RIGHT(_xlpm.헤더,1)),0),_xlpm.열번호,COLUMN(R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6" s="605">
        <f>_xlfn.LET(_xlpm.금액,$F16,_xlpm.계약금비율,$B$5,_xlpm.중도금비율,$C$5,_xlpm.잔금비율,$D$5,_xlpm.계약시기,TEXT($B16,"yyyy-mm"),_xlpm.현재월,TEXT(S$8,"yyyy-mm"),_xlpm.헤더범위,$G$9:S$9,_xlpm.헤더,S$9,_xlpm.잔금표,$E$6:$I$6,_xlpm.잔금회차,IF(ISNUMBER(SEARCH("입주",_xlpm.헤더)),VALUE(RIGHT(_xlpm.헤더,1)),0),_xlpm.열번호,COLUMN(S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6" s="605">
        <f>_xlfn.LET(_xlpm.금액,$F16,_xlpm.계약금비율,$B$5,_xlpm.중도금비율,$C$5,_xlpm.잔금비율,$D$5,_xlpm.계약시기,TEXT($B16,"yyyy-mm"),_xlpm.현재월,TEXT(T$8,"yyyy-mm"),_xlpm.헤더범위,$G$9:T$9,_xlpm.헤더,T$9,_xlpm.잔금표,$E$6:$I$6,_xlpm.잔금회차,IF(ISNUMBER(SEARCH("입주",_xlpm.헤더)),VALUE(RIGHT(_xlpm.헤더,1)),0),_xlpm.열번호,COLUMN(T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6" s="605">
        <f>_xlfn.LET(_xlpm.금액,$F16,_xlpm.계약금비율,$B$5,_xlpm.중도금비율,$C$5,_xlpm.잔금비율,$D$5,_xlpm.계약시기,TEXT($B16,"yyyy-mm"),_xlpm.현재월,TEXT(U$8,"yyyy-mm"),_xlpm.헤더범위,$G$9:U$9,_xlpm.헤더,U$9,_xlpm.잔금표,$E$6:$I$6,_xlpm.잔금회차,IF(ISNUMBER(SEARCH("입주",_xlpm.헤더)),VALUE(RIGHT(_xlpm.헤더,1)),0),_xlpm.열번호,COLUMN(U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6" s="605">
        <f ca="1">_xlfn.LET(_xlpm.금액,$F16,_xlpm.계약금비율,$B$5,_xlpm.중도금비율,$C$5,_xlpm.잔금비율,$D$5,_xlpm.계약시기,TEXT($B16,"yyyy-mm"),_xlpm.현재월,TEXT(V$8,"yyyy-mm"),_xlpm.헤더범위,$G$9:V$9,_xlpm.헤더,V$9,_xlpm.잔금표,$E$6:$I$6,_xlpm.잔금회차,IF(ISNUMBER(SEARCH("입주",_xlpm.헤더)),VALUE(RIGHT(_xlpm.헤더,1)),0),_xlpm.열번호,COLUMN(V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16" s="605">
        <f>_xlfn.LET(_xlpm.금액,$F16,_xlpm.계약금비율,$B$5,_xlpm.중도금비율,$C$5,_xlpm.잔금비율,$D$5,_xlpm.계약시기,TEXT($B16,"yyyy-mm"),_xlpm.현재월,TEXT(W$8,"yyyy-mm"),_xlpm.헤더범위,$G$9:W$9,_xlpm.헤더,W$9,_xlpm.잔금표,$E$6:$I$6,_xlpm.잔금회차,IF(ISNUMBER(SEARCH("입주",_xlpm.헤더)),VALUE(RIGHT(_xlpm.헤더,1)),0),_xlpm.열번호,COLUMN(W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6" s="605">
        <f>_xlfn.LET(_xlpm.금액,$F16,_xlpm.계약금비율,$B$5,_xlpm.중도금비율,$C$5,_xlpm.잔금비율,$D$5,_xlpm.계약시기,TEXT($B16,"yyyy-mm"),_xlpm.현재월,TEXT(X$8,"yyyy-mm"),_xlpm.헤더범위,$G$9:X$9,_xlpm.헤더,X$9,_xlpm.잔금표,$E$6:$I$6,_xlpm.잔금회차,IF(ISNUMBER(SEARCH("입주",_xlpm.헤더)),VALUE(RIGHT(_xlpm.헤더,1)),0),_xlpm.열번호,COLUMN(X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6" s="605">
        <f>_xlfn.LET(_xlpm.금액,$F16,_xlpm.계약금비율,$B$5,_xlpm.중도금비율,$C$5,_xlpm.잔금비율,$D$5,_xlpm.계약시기,TEXT($B16,"yyyy-mm"),_xlpm.현재월,TEXT(Y$8,"yyyy-mm"),_xlpm.헤더범위,$G$9:Y$9,_xlpm.헤더,Y$9,_xlpm.잔금표,$E$6:$I$6,_xlpm.잔금회차,IF(ISNUMBER(SEARCH("입주",_xlpm.헤더)),VALUE(RIGHT(_xlpm.헤더,1)),0),_xlpm.열번호,COLUMN(Y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6" s="605">
        <f>_xlfn.LET(_xlpm.금액,$F16,_xlpm.계약금비율,$B$5,_xlpm.중도금비율,$C$5,_xlpm.잔금비율,$D$5,_xlpm.계약시기,TEXT($B16,"yyyy-mm"),_xlpm.현재월,TEXT(Z$8,"yyyy-mm"),_xlpm.헤더범위,$G$9:Z$9,_xlpm.헤더,Z$9,_xlpm.잔금표,$E$6:$I$6,_xlpm.잔금회차,IF(ISNUMBER(SEARCH("입주",_xlpm.헤더)),VALUE(RIGHT(_xlpm.헤더,1)),0),_xlpm.열번호,COLUMN(Z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6" s="605">
        <f>_xlfn.LET(_xlpm.금액,$F16,_xlpm.계약금비율,$B$5,_xlpm.중도금비율,$C$5,_xlpm.잔금비율,$D$5,_xlpm.계약시기,TEXT($B16,"yyyy-mm"),_xlpm.현재월,TEXT(AA$8,"yyyy-mm"),_xlpm.헤더범위,$G$9:AA$9,_xlpm.헤더,AA$9,_xlpm.잔금표,$E$6:$I$6,_xlpm.잔금회차,IF(ISNUMBER(SEARCH("입주",_xlpm.헤더)),VALUE(RIGHT(_xlpm.헤더,1)),0),_xlpm.열번호,COLUMN(AA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6" s="605">
        <f ca="1">_xlfn.LET(_xlpm.금액,$F16,_xlpm.계약금비율,$B$5,_xlpm.중도금비율,$C$5,_xlpm.잔금비율,$D$5,_xlpm.계약시기,TEXT($B16,"yyyy-mm"),_xlpm.현재월,TEXT(AB$8,"yyyy-mm"),_xlpm.헤더범위,$G$9:AB$9,_xlpm.헤더,AB$9,_xlpm.잔금표,$E$6:$I$6,_xlpm.잔금회차,IF(ISNUMBER(SEARCH("입주",_xlpm.헤더)),VALUE(RIGHT(_xlpm.헤더,1)),0),_xlpm.열번호,COLUMN(AB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16" s="605">
        <f>_xlfn.LET(_xlpm.금액,$F16,_xlpm.계약금비율,$B$5,_xlpm.중도금비율,$C$5,_xlpm.잔금비율,$D$5,_xlpm.계약시기,TEXT($B16,"yyyy-mm"),_xlpm.현재월,TEXT(AC$8,"yyyy-mm"),_xlpm.헤더범위,$G$9:AC$9,_xlpm.헤더,AC$9,_xlpm.잔금표,$E$6:$I$6,_xlpm.잔금회차,IF(ISNUMBER(SEARCH("입주",_xlpm.헤더)),VALUE(RIGHT(_xlpm.헤더,1)),0),_xlpm.열번호,COLUMN(AC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6" s="605">
        <f>_xlfn.LET(_xlpm.금액,$F16,_xlpm.계약금비율,$B$5,_xlpm.중도금비율,$C$5,_xlpm.잔금비율,$D$5,_xlpm.계약시기,TEXT($B16,"yyyy-mm"),_xlpm.현재월,TEXT(AD$8,"yyyy-mm"),_xlpm.헤더범위,$G$9:AD$9,_xlpm.헤더,AD$9,_xlpm.잔금표,$E$6:$I$6,_xlpm.잔금회차,IF(ISNUMBER(SEARCH("입주",_xlpm.헤더)),VALUE(RIGHT(_xlpm.헤더,1)),0),_xlpm.열번호,COLUMN(AD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6" s="605">
        <f>_xlfn.LET(_xlpm.금액,$F16,_xlpm.계약금비율,$B$5,_xlpm.중도금비율,$C$5,_xlpm.잔금비율,$D$5,_xlpm.계약시기,TEXT($B16,"yyyy-mm"),_xlpm.현재월,TEXT(AE$8,"yyyy-mm"),_xlpm.헤더범위,$G$9:AE$9,_xlpm.헤더,AE$9,_xlpm.잔금표,$E$6:$I$6,_xlpm.잔금회차,IF(ISNUMBER(SEARCH("입주",_xlpm.헤더)),VALUE(RIGHT(_xlpm.헤더,1)),0),_xlpm.열번호,COLUMN(AE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6" s="605">
        <f>_xlfn.LET(_xlpm.금액,$F16,_xlpm.계약금비율,$B$5,_xlpm.중도금비율,$C$5,_xlpm.잔금비율,$D$5,_xlpm.계약시기,TEXT($B16,"yyyy-mm"),_xlpm.현재월,TEXT(AF$8,"yyyy-mm"),_xlpm.헤더범위,$G$9:AF$9,_xlpm.헤더,AF$9,_xlpm.잔금표,$E$6:$I$6,_xlpm.잔금회차,IF(ISNUMBER(SEARCH("입주",_xlpm.헤더)),VALUE(RIGHT(_xlpm.헤더,1)),0),_xlpm.열번호,COLUMN(AF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6" s="605">
        <f ca="1">_xlfn.LET(_xlpm.금액,$F16,_xlpm.계약금비율,$B$5,_xlpm.중도금비율,$C$5,_xlpm.잔금비율,$D$5,_xlpm.계약시기,TEXT($B16,"yyyy-mm"),_xlpm.현재월,TEXT(AG$8,"yyyy-mm"),_xlpm.헤더범위,$G$9:AG$9,_xlpm.헤더,AG$9,_xlpm.잔금표,$E$6:$I$6,_xlpm.잔금회차,IF(ISNUMBER(SEARCH("입주",_xlpm.헤더)),VALUE(RIGHT(_xlpm.헤더,1)),0),_xlpm.열번호,COLUMN(AG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16" s="605">
        <f>_xlfn.LET(_xlpm.금액,$F16,_xlpm.계약금비율,$B$5,_xlpm.중도금비율,$C$5,_xlpm.잔금비율,$D$5,_xlpm.계약시기,TEXT($B16,"yyyy-mm"),_xlpm.현재월,TEXT(AH$8,"yyyy-mm"),_xlpm.헤더범위,$G$9:AH$9,_xlpm.헤더,AH$9,_xlpm.잔금표,$E$6:$I$6,_xlpm.잔금회차,IF(ISNUMBER(SEARCH("입주",_xlpm.헤더)),VALUE(RIGHT(_xlpm.헤더,1)),0),_xlpm.열번호,COLUMN(AH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6" s="605">
        <f>_xlfn.LET(_xlpm.금액,$F16,_xlpm.계약금비율,$B$5,_xlpm.중도금비율,$C$5,_xlpm.잔금비율,$D$5,_xlpm.계약시기,TEXT($B16,"yyyy-mm"),_xlpm.현재월,TEXT(AI$8,"yyyy-mm"),_xlpm.헤더범위,$G$9:AI$9,_xlpm.헤더,AI$9,_xlpm.잔금표,$E$6:$I$6,_xlpm.잔금회차,IF(ISNUMBER(SEARCH("입주",_xlpm.헤더)),VALUE(RIGHT(_xlpm.헤더,1)),0),_xlpm.열번호,COLUMN(AI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6" s="605">
        <f>_xlfn.LET(_xlpm.금액,$F16,_xlpm.계약금비율,$B$5,_xlpm.중도금비율,$C$5,_xlpm.잔금비율,$D$5,_xlpm.계약시기,TEXT($B16,"yyyy-mm"),_xlpm.현재월,TEXT(AJ$8,"yyyy-mm"),_xlpm.헤더범위,$G$9:AJ$9,_xlpm.헤더,AJ$9,_xlpm.잔금표,$E$6:$I$6,_xlpm.잔금회차,IF(ISNUMBER(SEARCH("입주",_xlpm.헤더)),VALUE(RIGHT(_xlpm.헤더,1)),0),_xlpm.열번호,COLUMN(AJ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6" s="605">
        <f>_xlfn.LET(_xlpm.금액,$F16,_xlpm.계약금비율,$B$5,_xlpm.중도금비율,$C$5,_xlpm.잔금비율,$D$5,_xlpm.계약시기,TEXT($B16,"yyyy-mm"),_xlpm.현재월,TEXT(AK$8,"yyyy-mm"),_xlpm.헤더범위,$G$9:AK$9,_xlpm.헤더,AK$9,_xlpm.잔금표,$E$6:$I$6,_xlpm.잔금회차,IF(ISNUMBER(SEARCH("입주",_xlpm.헤더)),VALUE(RIGHT(_xlpm.헤더,1)),0),_xlpm.열번호,COLUMN(AK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6" s="605">
        <f ca="1">_xlfn.LET(_xlpm.금액,$F16,_xlpm.계약금비율,$B$5,_xlpm.중도금비율,$C$5,_xlpm.잔금비율,$D$5,_xlpm.계약시기,TEXT($B16,"yyyy-mm"),_xlpm.현재월,TEXT(AL$8,"yyyy-mm"),_xlpm.헤더범위,$G$9:AL$9,_xlpm.헤더,AL$9,_xlpm.잔금표,$E$6:$I$6,_xlpm.잔금회차,IF(ISNUMBER(SEARCH("입주",_xlpm.헤더)),VALUE(RIGHT(_xlpm.헤더,1)),0),_xlpm.열번호,COLUMN(AL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16" s="605">
        <f>_xlfn.LET(_xlpm.금액,$F16,_xlpm.계약금비율,$B$5,_xlpm.중도금비율,$C$5,_xlpm.잔금비율,$D$5,_xlpm.계약시기,TEXT($B16,"yyyy-mm"),_xlpm.현재월,TEXT(AM$8,"yyyy-mm"),_xlpm.헤더범위,$G$9:AM$9,_xlpm.헤더,AM$9,_xlpm.잔금표,$E$6:$I$6,_xlpm.잔금회차,IF(ISNUMBER(SEARCH("입주",_xlpm.헤더)),VALUE(RIGHT(_xlpm.헤더,1)),0),_xlpm.열번호,COLUMN(AM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6" s="605">
        <f>_xlfn.LET(_xlpm.금액,$F16,_xlpm.계약금비율,$B$5,_xlpm.중도금비율,$C$5,_xlpm.잔금비율,$D$5,_xlpm.계약시기,TEXT($B16,"yyyy-mm"),_xlpm.현재월,TEXT(AN$8,"yyyy-mm"),_xlpm.헤더범위,$G$9:AN$9,_xlpm.헤더,AN$9,_xlpm.잔금표,$E$6:$I$6,_xlpm.잔금회차,IF(ISNUMBER(SEARCH("입주",_xlpm.헤더)),VALUE(RIGHT(_xlpm.헤더,1)),0),_xlpm.열번호,COLUMN(AN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6" s="605">
        <f>_xlfn.LET(_xlpm.금액,$F16,_xlpm.계약금비율,$B$5,_xlpm.중도금비율,$C$5,_xlpm.잔금비율,$D$5,_xlpm.계약시기,TEXT($B16,"yyyy-mm"),_xlpm.현재월,TEXT(AO$8,"yyyy-mm"),_xlpm.헤더범위,$G$9:AO$9,_xlpm.헤더,AO$9,_xlpm.잔금표,$E$6:$I$6,_xlpm.잔금회차,IF(ISNUMBER(SEARCH("입주",_xlpm.헤더)),VALUE(RIGHT(_xlpm.헤더,1)),0),_xlpm.열번호,COLUMN(AO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6" s="605">
        <f>_xlfn.LET(_xlpm.금액,$F16,_xlpm.계약금비율,$B$5,_xlpm.중도금비율,$C$5,_xlpm.잔금비율,$D$5,_xlpm.계약시기,TEXT($B16,"yyyy-mm"),_xlpm.현재월,TEXT(AP$8,"yyyy-mm"),_xlpm.헤더범위,$G$9:AP$9,_xlpm.헤더,AP$9,_xlpm.잔금표,$E$6:$I$6,_xlpm.잔금회차,IF(ISNUMBER(SEARCH("입주",_xlpm.헤더)),VALUE(RIGHT(_xlpm.헤더,1)),0),_xlpm.열번호,COLUMN(AP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6" s="605">
        <f>_xlfn.LET(_xlpm.금액,$F16,_xlpm.계약금비율,$B$5,_xlpm.중도금비율,$C$5,_xlpm.잔금비율,$D$5,_xlpm.계약시기,TEXT($B16,"yyyy-mm"),_xlpm.현재월,TEXT(AQ$8,"yyyy-mm"),_xlpm.헤더범위,$G$9:AQ$9,_xlpm.헤더,AQ$9,_xlpm.잔금표,$E$6:$I$6,_xlpm.잔금회차,IF(ISNUMBER(SEARCH("입주",_xlpm.헤더)),VALUE(RIGHT(_xlpm.헤더,1)),0),_xlpm.열번호,COLUMN(AQ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6" s="605" t="e" vm="2">
        <f>_xlfn.LET(_xlpm.금액,$F16,_xlpm.계약금비율,$B$5,_xlpm.중도금비율,$C$5,_xlpm.잔금비율,$D$5,_xlpm.계약시기,TEXT($B16,"yyyy-mm"),_xlpm.현재월,TEXT(AR$8,"yyyy-mm"),_xlpm.헤더범위,$G$9:AR$9,_xlpm.헤더,AR$9,_xlpm.잔금표,$E$6:$I$6,_xlpm.잔금회차,IF(ISNUMBER(SEARCH("입주",_xlpm.헤더)),VALUE(RIGHT(_xlpm.헤더,1)),0),_xlpm.열번호,COLUMN(AR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6" s="605" t="e" vm="2">
        <f>_xlfn.LET(_xlpm.금액,$F16,_xlpm.계약금비율,$B$5,_xlpm.중도금비율,$C$5,_xlpm.잔금비율,$D$5,_xlpm.계약시기,TEXT($B16,"yyyy-mm"),_xlpm.현재월,TEXT(AS$8,"yyyy-mm"),_xlpm.헤더범위,$G$9:AS$9,_xlpm.헤더,AS$9,_xlpm.잔금표,$E$6:$I$6,_xlpm.잔금회차,IF(ISNUMBER(SEARCH("입주",_xlpm.헤더)),VALUE(RIGHT(_xlpm.헤더,1)),0),_xlpm.열번호,COLUMN(AS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6" s="605" t="e" vm="2">
        <f>_xlfn.LET(_xlpm.금액,$F16,_xlpm.계약금비율,$B$5,_xlpm.중도금비율,$C$5,_xlpm.잔금비율,$D$5,_xlpm.계약시기,TEXT($B16,"yyyy-mm"),_xlpm.현재월,TEXT(AT$8,"yyyy-mm"),_xlpm.헤더범위,$G$9:AT$9,_xlpm.헤더,AT$9,_xlpm.잔금표,$E$6:$I$6,_xlpm.잔금회차,IF(ISNUMBER(SEARCH("입주",_xlpm.헤더)),VALUE(RIGHT(_xlpm.헤더,1)),0),_xlpm.열번호,COLUMN(AT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6" s="605" t="e" vm="2">
        <f>_xlfn.LET(_xlpm.금액,$F16,_xlpm.계약금비율,$B$5,_xlpm.중도금비율,$C$5,_xlpm.잔금비율,$D$5,_xlpm.계약시기,TEXT($B16,"yyyy-mm"),_xlpm.현재월,TEXT(AU$8,"yyyy-mm"),_xlpm.헤더범위,$G$9:AU$9,_xlpm.헤더,AU$9,_xlpm.잔금표,$E$6:$I$6,_xlpm.잔금회차,IF(ISNUMBER(SEARCH("입주",_xlpm.헤더)),VALUE(RIGHT(_xlpm.헤더,1)),0),_xlpm.열번호,COLUMN(AU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6" s="605" t="e" vm="2">
        <f>_xlfn.LET(_xlpm.금액,$F16,_xlpm.계약금비율,$B$5,_xlpm.중도금비율,$C$5,_xlpm.잔금비율,$D$5,_xlpm.계약시기,TEXT($B16,"yyyy-mm"),_xlpm.현재월,TEXT(AV$8,"yyyy-mm"),_xlpm.헤더범위,$G$9:AV$9,_xlpm.헤더,AV$9,_xlpm.잔금표,$E$6:$I$6,_xlpm.잔금회차,IF(ISNUMBER(SEARCH("입주",_xlpm.헤더)),VALUE(RIGHT(_xlpm.헤더,1)),0),_xlpm.열번호,COLUMN(AV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6" s="605">
        <f>_xlfn.LET(_xlpm.금액,$F16,_xlpm.계약금비율,$B$5,_xlpm.중도금비율,$C$5,_xlpm.잔금비율,$D$5,_xlpm.계약시기,TEXT($B16,"yyyy-mm"),_xlpm.현재월,TEXT(AW$8,"yyyy-mm"),_xlpm.헤더범위,$G$9:AW$9,_xlpm.헤더,AW$9,_xlpm.잔금표,$E$6:$I$6,_xlpm.잔금회차,IF(ISNUMBER(SEARCH("입주",_xlpm.헤더)),VALUE(RIGHT(_xlpm.헤더,1)),0),_xlpm.열번호,COLUMN(AW$9),_xlpm.행번호,ROW($G16),_xlpm.전체헤더,$G$9:$BF$9,_xlpm.전체데이터,$G16:$BF16,_xlpm.전체열번호,_xlfn.SEQUENCE(1,COLUMNS(_xlpm.전체헤더),COLUMN($G16)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6" s="605">
        <f t="shared" ref="H16:AY21" ca="1" si="11">IF(TEXT(AX$8,"yyyy-mm")=TEXT($B16,"yyyy-mm"),$F16*$B$5,IF(AND(TEXT($B16,"yyyy-mm")&lt;=TEXT(AX$8,"yyyy-mm"),ISNUMBER(SEARCH("입주",AX$9))),($F16-SUM(INDIRECT("$L$10:"&amp;ADDRESS(ROW(),COLUMN()-1))))*INDEX($E$6:$I$6,VALUE(RIGHT(AX$9,1))),IF(AND(TEXT($B16,"yyyy-mm")&lt;=TEXT(AX$8,"yyyy-mm"),ISNUMBER(SEARCH("중도금",AX$9))),IF(AX$9="1차중도금",$F16*$C$5/6,MAX(0,$F16*$C$5*IF(AX$9="2차중도금",0.3,IF(AX$9="3차중도금",0.4,IF(AX$9="4차중도금",0.5,IF(AX$9="5차중도금",0.6,0.7))))-SUM(INDIRECT("$L$10:"&amp;ADDRESS(ROW(),COLUMN()-1))))),0)))</f>
        <v>0</v>
      </c>
      <c r="AY16" s="605">
        <f t="shared" ca="1" si="11"/>
        <v>0</v>
      </c>
      <c r="AZ16" s="605">
        <f t="shared" ca="1" si="10"/>
        <v>0</v>
      </c>
      <c r="BA16" s="605">
        <f t="shared" ca="1" si="10"/>
        <v>0</v>
      </c>
      <c r="BB16" s="605">
        <f t="shared" ca="1" si="10"/>
        <v>0</v>
      </c>
      <c r="BC16" s="605">
        <f ca="1">IF(TEXT(BC$8,"yyyy-mm")=TEXT($B16,"yyyy-mm"),$F16*$B$5,IF(AND(ISNUMBER(SEARCH("중도금",BC$9)),TEXT(BC$8,"yyyy-mm")&gt;=TEXT($B16,"yyyy-mm")),IF(BC$9="1차중도금",$F16*$C$5/6,IF(BC$9="2차중도금",MAX(0,$F16*$C$5*0.3-IF(COLUMN()&gt;7,SUM($G16:OFFSET(BC16,0,COLUMN()-8)),0)),IF(BC$9="3차중도금",MAX(0,$F16*$C$5*0.4-IF(COLUMN()&gt;7,SUM($G16:OFFSET(BC16,0,COLUMN()-8)),0)),IF(BC$9="4차중도금",MAX(0,$F16*$C$5*0.5-IF(COLUMN()&gt;7,SUM($G16:OFFSET(BC16,0,COLUMN()-8)),0)),IF(BC$9="5차중도금",MAX(0,$F16*$C$5*0.6-IF(COLUMN()&gt;7,SUM($G16:OFFSET(BC16,0,COLUMN()-8)),0)),IF(BC$9="6차중도금",MAX(0,$F16*$C$5*0.7-IF(COLUMN()&gt;7,SUM($G16:OFFSET(BC16,0,COLUMN()-8)),0)),0)))))),IF(AND(ISNUMBER(SEARCH("입주",BC$9)),TEXT(BC$8,"yyyy-mm")&gt;=TEXT($B16,"yyyy-mm")),$F16*$D$5*INDEX($E$6:$I$6,VALUE(RIGHT(BC$9,1))),0)))</f>
        <v>0</v>
      </c>
      <c r="BD16" s="605">
        <f ca="1">IF(TEXT(BD$8,"yyyy-mm")=TEXT($B16,"yyyy-mm"),$F16*$B$5,IF(AND(ISNUMBER(SEARCH("중도금",BD$9)),TEXT(BD$8,"yyyy-mm")&gt;=TEXT($B16,"yyyy-mm")),IF(BD$9="1차중도금",$F16*$C$5/6,IF(BD$9="2차중도금",MAX(0,$F16*$C$5*0.3-IF(COLUMN()&gt;7,SUM($G16:OFFSET(BD16,0,COLUMN()-8)),0)),IF(BD$9="3차중도금",MAX(0,$F16*$C$5*0.4-IF(COLUMN()&gt;7,SUM($G16:OFFSET(BD16,0,COLUMN()-8)),0)),IF(BD$9="4차중도금",MAX(0,$F16*$C$5*0.5-IF(COLUMN()&gt;7,SUM($G16:OFFSET(BD16,0,COLUMN()-8)),0)),IF(BD$9="5차중도금",MAX(0,$F16*$C$5*0.6-IF(COLUMN()&gt;7,SUM($G16:OFFSET(BD16,0,COLUMN()-8)),0)),IF(BD$9="6차중도금",MAX(0,$F16*$C$5*0.7-IF(COLUMN()&gt;7,SUM($G16:OFFSET(BD16,0,COLUMN()-8)),0)),0)))))),IF(AND(ISNUMBER(SEARCH("입주",BD$9)),TEXT(BD$8,"yyyy-mm")&gt;=TEXT($B16,"yyyy-mm")),$F16*$D$5*INDEX($E$6:$I$6,VALUE(RIGHT(BD$9,1))),0)))</f>
        <v>0</v>
      </c>
      <c r="BE16" s="605">
        <f ca="1">IF(TEXT(BE$8,"yyyy-mm")=TEXT($B16,"yyyy-mm"),$F16*$B$5,IF(AND(ISNUMBER(SEARCH("중도금",BE$9)),TEXT(BE$8,"yyyy-mm")&gt;=TEXT($B16,"yyyy-mm")),IF(BE$9="1차중도금",$F16*$C$5/6,IF(BE$9="2차중도금",MAX(0,$F16*$C$5*0.3-IF(COLUMN()&gt;7,SUM($G16:OFFSET(BE16,0,COLUMN()-8)),0)),IF(BE$9="3차중도금",MAX(0,$F16*$C$5*0.4-IF(COLUMN()&gt;7,SUM($G16:OFFSET(BE16,0,COLUMN()-8)),0)),IF(BE$9="4차중도금",MAX(0,$F16*$C$5*0.5-IF(COLUMN()&gt;7,SUM($G16:OFFSET(BE16,0,COLUMN()-8)),0)),IF(BE$9="5차중도금",MAX(0,$F16*$C$5*0.6-IF(COLUMN()&gt;7,SUM($G16:OFFSET(BE16,0,COLUMN()-8)),0)),IF(BE$9="6차중도금",MAX(0,$F16*$C$5*0.7-IF(COLUMN()&gt;7,SUM($G16:OFFSET(BE16,0,COLUMN()-8)),0)),0)))))),IF(AND(ISNUMBER(SEARCH("입주",BE$9)),TEXT(BE$8,"yyyy-mm")&gt;=TEXT($B16,"yyyy-mm")),$F16*$D$5*INDEX($E$6:$I$6,VALUE(RIGHT(BE$9,1))),0)))</f>
        <v>0</v>
      </c>
      <c r="BF16" s="609">
        <f t="shared" ca="1" si="8"/>
        <v>-4583038.5588694056</v>
      </c>
      <c r="BG16" s="556">
        <f t="shared" ca="1" si="5"/>
        <v>12169209.584016405</v>
      </c>
      <c r="BH16" s="610"/>
    </row>
    <row r="17" spans="1:60">
      <c r="A17" s="1853"/>
      <c r="B17" s="611">
        <f t="shared" si="6"/>
        <v>45047</v>
      </c>
      <c r="C17" s="605">
        <f t="shared" si="7"/>
        <v>252872367.50490001</v>
      </c>
      <c r="D17" s="1501">
        <f>D16</f>
        <v>0.03</v>
      </c>
      <c r="E17" s="607">
        <f t="shared" si="9"/>
        <v>0.71000000000000008</v>
      </c>
      <c r="F17" s="608">
        <f t="shared" si="2"/>
        <v>7586171.0251470003</v>
      </c>
      <c r="G17" s="605">
        <f>_xlfn.LET(_xlpm.금액,$F17,_xlpm.계약금비율,$B$5,_xlpm.중도금비율,$C$5,_xlpm.잔금비율,$D$5,_xlpm.계약시기,TEXT($B17,"yyyy-mm"),_xlpm.현재월,TEXT(G$8,"yyyy-mm"),_xlpm.헤더범위,$G$9:G$9,_xlpm.헤더,G$9,_xlpm.잔금표,$E$6:$I$6,_xlpm.잔금회차,IF(ISNUMBER(SEARCH("입주",_xlpm.헤더)),VALUE(RIGHT(_xlpm.헤더,1)),0),_xlpm.열번호,COLUMN(G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17" s="605">
        <f>_xlfn.LET(_xlpm.금액,$F17,_xlpm.계약금비율,$B$5,_xlpm.중도금비율,$C$5,_xlpm.잔금비율,$D$5,_xlpm.계약시기,TEXT($B17,"yyyy-mm"),_xlpm.현재월,TEXT(H$8,"yyyy-mm"),_xlpm.헤더범위,$G$9:H$9,_xlpm.헤더,H$9,_xlpm.잔금표,$E$6:$I$6,_xlpm.잔금회차,IF(ISNUMBER(SEARCH("입주",_xlpm.헤더)),VALUE(RIGHT(_xlpm.헤더,1)),0),_xlpm.열번호,COLUMN(H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17" s="605">
        <f>_xlfn.LET(_xlpm.금액,$F17,_xlpm.계약금비율,$B$5,_xlpm.중도금비율,$C$5,_xlpm.잔금비율,$D$5,_xlpm.계약시기,TEXT($B17,"yyyy-mm"),_xlpm.현재월,TEXT(I$8,"yyyy-mm"),_xlpm.헤더범위,$G$9:I$9,_xlpm.헤더,I$9,_xlpm.잔금표,$E$6:$I$6,_xlpm.잔금회차,IF(ISNUMBER(SEARCH("입주",_xlpm.헤더)),VALUE(RIGHT(_xlpm.헤더,1)),0),_xlpm.열번호,COLUMN(I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17" s="605">
        <f>_xlfn.LET(_xlpm.금액,$F17,_xlpm.계약금비율,$B$5,_xlpm.중도금비율,$C$5,_xlpm.잔금비율,$D$5,_xlpm.계약시기,TEXT($B17,"yyyy-mm"),_xlpm.현재월,TEXT(J$8,"yyyy-mm"),_xlpm.헤더범위,$G$9:J$9,_xlpm.헤더,J$9,_xlpm.잔금표,$E$6:$I$6,_xlpm.잔금회차,IF(ISNUMBER(SEARCH("입주",_xlpm.헤더)),VALUE(RIGHT(_xlpm.헤더,1)),0),_xlpm.열번호,COLUMN(J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17" s="605">
        <f>_xlfn.LET(_xlpm.금액,$F17,_xlpm.계약금비율,$B$5,_xlpm.중도금비율,$C$5,_xlpm.잔금비율,$D$5,_xlpm.계약시기,TEXT($B17,"yyyy-mm"),_xlpm.현재월,TEXT(K$8,"yyyy-mm"),_xlpm.헤더범위,$G$9:K$9,_xlpm.헤더,K$9,_xlpm.잔금표,$E$6:$I$6,_xlpm.잔금회차,IF(ISNUMBER(SEARCH("입주",_xlpm.헤더)),VALUE(RIGHT(_xlpm.헤더,1)),0),_xlpm.열번호,COLUMN(K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17" s="605">
        <f ca="1">_xlfn.LET(_xlpm.금액,$F17,_xlpm.계약금비율,$B$5,_xlpm.중도금비율,$C$5,_xlpm.잔금비율,$D$5,_xlpm.계약시기,TEXT($B17,"yyyy-mm"),_xlpm.현재월,TEXT(L$8,"yyyy-mm"),_xlpm.헤더범위,$G$9:L$9,_xlpm.헤더,L$9,_xlpm.잔금표,$E$6:$I$6,_xlpm.잔금회차,IF(ISNUMBER(SEARCH("입주",_xlpm.헤더)),VALUE(RIGHT(_xlpm.헤더,1)),0),_xlpm.열번호,COLUMN(L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17" s="605">
        <f>_xlfn.LET(_xlpm.금액,$F17,_xlpm.계약금비율,$B$5,_xlpm.중도금비율,$C$5,_xlpm.잔금비율,$D$5,_xlpm.계약시기,TEXT($B17,"yyyy-mm"),_xlpm.현재월,TEXT(M$8,"yyyy-mm"),_xlpm.헤더범위,$G$9:M$9,_xlpm.헤더,M$9,_xlpm.잔금표,$E$6:$I$6,_xlpm.잔금회차,IF(ISNUMBER(SEARCH("입주",_xlpm.헤더)),VALUE(RIGHT(_xlpm.헤더,1)),0),_xlpm.열번호,COLUMN(M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17" s="605">
        <f>_xlfn.LET(_xlpm.금액,$F17,_xlpm.계약금비율,$B$5,_xlpm.중도금비율,$C$5,_xlpm.잔금비율,$D$5,_xlpm.계약시기,TEXT($B17,"yyyy-mm"),_xlpm.현재월,TEXT(N$8,"yyyy-mm"),_xlpm.헤더범위,$G$9:N$9,_xlpm.헤더,N$9,_xlpm.잔금표,$E$6:$I$6,_xlpm.잔금회차,IF(ISNUMBER(SEARCH("입주",_xlpm.헤더)),VALUE(RIGHT(_xlpm.헤더,1)),0),_xlpm.열번호,COLUMN(N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758617.10251470003</v>
      </c>
      <c r="O17" s="605">
        <f>_xlfn.LET(_xlpm.금액,$F17,_xlpm.계약금비율,$B$5,_xlpm.중도금비율,$C$5,_xlpm.잔금비율,$D$5,_xlpm.계약시기,TEXT($B17,"yyyy-mm"),_xlpm.현재월,TEXT(O$8,"yyyy-mm"),_xlpm.헤더범위,$G$9:O$9,_xlpm.헤더,O$9,_xlpm.잔금표,$E$6:$I$6,_xlpm.잔금회차,IF(ISNUMBER(SEARCH("입주",_xlpm.헤더)),VALUE(RIGHT(_xlpm.헤더,1)),0),_xlpm.열번호,COLUMN(O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17" s="605">
        <f>_xlfn.LET(_xlpm.금액,$F17,_xlpm.계약금비율,$B$5,_xlpm.중도금비율,$C$5,_xlpm.잔금비율,$D$5,_xlpm.계약시기,TEXT($B17,"yyyy-mm"),_xlpm.현재월,TEXT(P$8,"yyyy-mm"),_xlpm.헤더범위,$G$9:P$9,_xlpm.헤더,P$9,_xlpm.잔금표,$E$6:$I$6,_xlpm.잔금회차,IF(ISNUMBER(SEARCH("입주",_xlpm.헤더)),VALUE(RIGHT(_xlpm.헤더,1)),0),_xlpm.열번호,COLUMN(P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17" s="605">
        <f ca="1">_xlfn.LET(_xlpm.금액,$F17,_xlpm.계약금비율,$B$5,_xlpm.중도금비율,$C$5,_xlpm.잔금비율,$D$5,_xlpm.계약시기,TEXT($B17,"yyyy-mm"),_xlpm.현재월,TEXT(Q$8,"yyyy-mm"),_xlpm.헤더범위,$G$9:Q$9,_xlpm.헤더,Q$9,_xlpm.잔금표,$E$6:$I$6,_xlpm.잔금회차,IF(ISNUMBER(SEARCH("입주",_xlpm.헤더)),VALUE(RIGHT(_xlpm.헤더,1)),0),_xlpm.열번호,COLUMN(Q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17" s="605">
        <f>_xlfn.LET(_xlpm.금액,$F17,_xlpm.계약금비율,$B$5,_xlpm.중도금비율,$C$5,_xlpm.잔금비율,$D$5,_xlpm.계약시기,TEXT($B17,"yyyy-mm"),_xlpm.현재월,TEXT(R$8,"yyyy-mm"),_xlpm.헤더범위,$G$9:R$9,_xlpm.헤더,R$9,_xlpm.잔금표,$E$6:$I$6,_xlpm.잔금회차,IF(ISNUMBER(SEARCH("입주",_xlpm.헤더)),VALUE(RIGHT(_xlpm.헤더,1)),0),_xlpm.열번호,COLUMN(R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7" s="605">
        <f>_xlfn.LET(_xlpm.금액,$F17,_xlpm.계약금비율,$B$5,_xlpm.중도금비율,$C$5,_xlpm.잔금비율,$D$5,_xlpm.계약시기,TEXT($B17,"yyyy-mm"),_xlpm.현재월,TEXT(S$8,"yyyy-mm"),_xlpm.헤더범위,$G$9:S$9,_xlpm.헤더,S$9,_xlpm.잔금표,$E$6:$I$6,_xlpm.잔금회차,IF(ISNUMBER(SEARCH("입주",_xlpm.헤더)),VALUE(RIGHT(_xlpm.헤더,1)),0),_xlpm.열번호,COLUMN(S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7" s="605">
        <f>_xlfn.LET(_xlpm.금액,$F17,_xlpm.계약금비율,$B$5,_xlpm.중도금비율,$C$5,_xlpm.잔금비율,$D$5,_xlpm.계약시기,TEXT($B17,"yyyy-mm"),_xlpm.현재월,TEXT(T$8,"yyyy-mm"),_xlpm.헤더범위,$G$9:T$9,_xlpm.헤더,T$9,_xlpm.잔금표,$E$6:$I$6,_xlpm.잔금회차,IF(ISNUMBER(SEARCH("입주",_xlpm.헤더)),VALUE(RIGHT(_xlpm.헤더,1)),0),_xlpm.열번호,COLUMN(T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7" s="605">
        <f>_xlfn.LET(_xlpm.금액,$F17,_xlpm.계약금비율,$B$5,_xlpm.중도금비율,$C$5,_xlpm.잔금비율,$D$5,_xlpm.계약시기,TEXT($B17,"yyyy-mm"),_xlpm.현재월,TEXT(U$8,"yyyy-mm"),_xlpm.헤더범위,$G$9:U$9,_xlpm.헤더,U$9,_xlpm.잔금표,$E$6:$I$6,_xlpm.잔금회차,IF(ISNUMBER(SEARCH("입주",_xlpm.헤더)),VALUE(RIGHT(_xlpm.헤더,1)),0),_xlpm.열번호,COLUMN(U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7" s="605">
        <f ca="1">_xlfn.LET(_xlpm.금액,$F17,_xlpm.계약금비율,$B$5,_xlpm.중도금비율,$C$5,_xlpm.잔금비율,$D$5,_xlpm.계약시기,TEXT($B17,"yyyy-mm"),_xlpm.현재월,TEXT(V$8,"yyyy-mm"),_xlpm.헤더범위,$G$9:V$9,_xlpm.헤더,V$9,_xlpm.잔금표,$E$6:$I$6,_xlpm.잔금회차,IF(ISNUMBER(SEARCH("입주",_xlpm.헤더)),VALUE(RIGHT(_xlpm.헤더,1)),0),_xlpm.열번호,COLUMN(V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17" s="605">
        <f>_xlfn.LET(_xlpm.금액,$F17,_xlpm.계약금비율,$B$5,_xlpm.중도금비율,$C$5,_xlpm.잔금비율,$D$5,_xlpm.계약시기,TEXT($B17,"yyyy-mm"),_xlpm.현재월,TEXT(W$8,"yyyy-mm"),_xlpm.헤더범위,$G$9:W$9,_xlpm.헤더,W$9,_xlpm.잔금표,$E$6:$I$6,_xlpm.잔금회차,IF(ISNUMBER(SEARCH("입주",_xlpm.헤더)),VALUE(RIGHT(_xlpm.헤더,1)),0),_xlpm.열번호,COLUMN(W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7" s="605">
        <f>_xlfn.LET(_xlpm.금액,$F17,_xlpm.계약금비율,$B$5,_xlpm.중도금비율,$C$5,_xlpm.잔금비율,$D$5,_xlpm.계약시기,TEXT($B17,"yyyy-mm"),_xlpm.현재월,TEXT(X$8,"yyyy-mm"),_xlpm.헤더범위,$G$9:X$9,_xlpm.헤더,X$9,_xlpm.잔금표,$E$6:$I$6,_xlpm.잔금회차,IF(ISNUMBER(SEARCH("입주",_xlpm.헤더)),VALUE(RIGHT(_xlpm.헤더,1)),0),_xlpm.열번호,COLUMN(X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7" s="605">
        <f>_xlfn.LET(_xlpm.금액,$F17,_xlpm.계약금비율,$B$5,_xlpm.중도금비율,$C$5,_xlpm.잔금비율,$D$5,_xlpm.계약시기,TEXT($B17,"yyyy-mm"),_xlpm.현재월,TEXT(Y$8,"yyyy-mm"),_xlpm.헤더범위,$G$9:Y$9,_xlpm.헤더,Y$9,_xlpm.잔금표,$E$6:$I$6,_xlpm.잔금회차,IF(ISNUMBER(SEARCH("입주",_xlpm.헤더)),VALUE(RIGHT(_xlpm.헤더,1)),0),_xlpm.열번호,COLUMN(Y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7" s="605">
        <f>_xlfn.LET(_xlpm.금액,$F17,_xlpm.계약금비율,$B$5,_xlpm.중도금비율,$C$5,_xlpm.잔금비율,$D$5,_xlpm.계약시기,TEXT($B17,"yyyy-mm"),_xlpm.현재월,TEXT(Z$8,"yyyy-mm"),_xlpm.헤더범위,$G$9:Z$9,_xlpm.헤더,Z$9,_xlpm.잔금표,$E$6:$I$6,_xlpm.잔금회차,IF(ISNUMBER(SEARCH("입주",_xlpm.헤더)),VALUE(RIGHT(_xlpm.헤더,1)),0),_xlpm.열번호,COLUMN(Z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7" s="605">
        <f>_xlfn.LET(_xlpm.금액,$F17,_xlpm.계약금비율,$B$5,_xlpm.중도금비율,$C$5,_xlpm.잔금비율,$D$5,_xlpm.계약시기,TEXT($B17,"yyyy-mm"),_xlpm.현재월,TEXT(AA$8,"yyyy-mm"),_xlpm.헤더범위,$G$9:AA$9,_xlpm.헤더,AA$9,_xlpm.잔금표,$E$6:$I$6,_xlpm.잔금회차,IF(ISNUMBER(SEARCH("입주",_xlpm.헤더)),VALUE(RIGHT(_xlpm.헤더,1)),0),_xlpm.열번호,COLUMN(AA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7" s="605">
        <f ca="1">_xlfn.LET(_xlpm.금액,$F17,_xlpm.계약금비율,$B$5,_xlpm.중도금비율,$C$5,_xlpm.잔금비율,$D$5,_xlpm.계약시기,TEXT($B17,"yyyy-mm"),_xlpm.현재월,TEXT(AB$8,"yyyy-mm"),_xlpm.헤더범위,$G$9:AB$9,_xlpm.헤더,AB$9,_xlpm.잔금표,$E$6:$I$6,_xlpm.잔금회차,IF(ISNUMBER(SEARCH("입주",_xlpm.헤더)),VALUE(RIGHT(_xlpm.헤더,1)),0),_xlpm.열번호,COLUMN(AB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17" s="605">
        <f>_xlfn.LET(_xlpm.금액,$F17,_xlpm.계약금비율,$B$5,_xlpm.중도금비율,$C$5,_xlpm.잔금비율,$D$5,_xlpm.계약시기,TEXT($B17,"yyyy-mm"),_xlpm.현재월,TEXT(AC$8,"yyyy-mm"),_xlpm.헤더범위,$G$9:AC$9,_xlpm.헤더,AC$9,_xlpm.잔금표,$E$6:$I$6,_xlpm.잔금회차,IF(ISNUMBER(SEARCH("입주",_xlpm.헤더)),VALUE(RIGHT(_xlpm.헤더,1)),0),_xlpm.열번호,COLUMN(AC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7" s="605">
        <f>_xlfn.LET(_xlpm.금액,$F17,_xlpm.계약금비율,$B$5,_xlpm.중도금비율,$C$5,_xlpm.잔금비율,$D$5,_xlpm.계약시기,TEXT($B17,"yyyy-mm"),_xlpm.현재월,TEXT(AD$8,"yyyy-mm"),_xlpm.헤더범위,$G$9:AD$9,_xlpm.헤더,AD$9,_xlpm.잔금표,$E$6:$I$6,_xlpm.잔금회차,IF(ISNUMBER(SEARCH("입주",_xlpm.헤더)),VALUE(RIGHT(_xlpm.헤더,1)),0),_xlpm.열번호,COLUMN(AD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7" s="605">
        <f>_xlfn.LET(_xlpm.금액,$F17,_xlpm.계약금비율,$B$5,_xlpm.중도금비율,$C$5,_xlpm.잔금비율,$D$5,_xlpm.계약시기,TEXT($B17,"yyyy-mm"),_xlpm.현재월,TEXT(AE$8,"yyyy-mm"),_xlpm.헤더범위,$G$9:AE$9,_xlpm.헤더,AE$9,_xlpm.잔금표,$E$6:$I$6,_xlpm.잔금회차,IF(ISNUMBER(SEARCH("입주",_xlpm.헤더)),VALUE(RIGHT(_xlpm.헤더,1)),0),_xlpm.열번호,COLUMN(AE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7" s="605">
        <f>_xlfn.LET(_xlpm.금액,$F17,_xlpm.계약금비율,$B$5,_xlpm.중도금비율,$C$5,_xlpm.잔금비율,$D$5,_xlpm.계약시기,TEXT($B17,"yyyy-mm"),_xlpm.현재월,TEXT(AF$8,"yyyy-mm"),_xlpm.헤더범위,$G$9:AF$9,_xlpm.헤더,AF$9,_xlpm.잔금표,$E$6:$I$6,_xlpm.잔금회차,IF(ISNUMBER(SEARCH("입주",_xlpm.헤더)),VALUE(RIGHT(_xlpm.헤더,1)),0),_xlpm.열번호,COLUMN(AF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7" s="605">
        <f ca="1">_xlfn.LET(_xlpm.금액,$F17,_xlpm.계약금비율,$B$5,_xlpm.중도금비율,$C$5,_xlpm.잔금비율,$D$5,_xlpm.계약시기,TEXT($B17,"yyyy-mm"),_xlpm.현재월,TEXT(AG$8,"yyyy-mm"),_xlpm.헤더범위,$G$9:AG$9,_xlpm.헤더,AG$9,_xlpm.잔금표,$E$6:$I$6,_xlpm.잔금회차,IF(ISNUMBER(SEARCH("입주",_xlpm.헤더)),VALUE(RIGHT(_xlpm.헤더,1)),0),_xlpm.열번호,COLUMN(AG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17" s="605">
        <f>_xlfn.LET(_xlpm.금액,$F17,_xlpm.계약금비율,$B$5,_xlpm.중도금비율,$C$5,_xlpm.잔금비율,$D$5,_xlpm.계약시기,TEXT($B17,"yyyy-mm"),_xlpm.현재월,TEXT(AH$8,"yyyy-mm"),_xlpm.헤더범위,$G$9:AH$9,_xlpm.헤더,AH$9,_xlpm.잔금표,$E$6:$I$6,_xlpm.잔금회차,IF(ISNUMBER(SEARCH("입주",_xlpm.헤더)),VALUE(RIGHT(_xlpm.헤더,1)),0),_xlpm.열번호,COLUMN(AH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7" s="605">
        <f>_xlfn.LET(_xlpm.금액,$F17,_xlpm.계약금비율,$B$5,_xlpm.중도금비율,$C$5,_xlpm.잔금비율,$D$5,_xlpm.계약시기,TEXT($B17,"yyyy-mm"),_xlpm.현재월,TEXT(AI$8,"yyyy-mm"),_xlpm.헤더범위,$G$9:AI$9,_xlpm.헤더,AI$9,_xlpm.잔금표,$E$6:$I$6,_xlpm.잔금회차,IF(ISNUMBER(SEARCH("입주",_xlpm.헤더)),VALUE(RIGHT(_xlpm.헤더,1)),0),_xlpm.열번호,COLUMN(AI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7" s="605">
        <f>_xlfn.LET(_xlpm.금액,$F17,_xlpm.계약금비율,$B$5,_xlpm.중도금비율,$C$5,_xlpm.잔금비율,$D$5,_xlpm.계약시기,TEXT($B17,"yyyy-mm"),_xlpm.현재월,TEXT(AJ$8,"yyyy-mm"),_xlpm.헤더범위,$G$9:AJ$9,_xlpm.헤더,AJ$9,_xlpm.잔금표,$E$6:$I$6,_xlpm.잔금회차,IF(ISNUMBER(SEARCH("입주",_xlpm.헤더)),VALUE(RIGHT(_xlpm.헤더,1)),0),_xlpm.열번호,COLUMN(AJ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7" s="605">
        <f>_xlfn.LET(_xlpm.금액,$F17,_xlpm.계약금비율,$B$5,_xlpm.중도금비율,$C$5,_xlpm.잔금비율,$D$5,_xlpm.계약시기,TEXT($B17,"yyyy-mm"),_xlpm.현재월,TEXT(AK$8,"yyyy-mm"),_xlpm.헤더범위,$G$9:AK$9,_xlpm.헤더,AK$9,_xlpm.잔금표,$E$6:$I$6,_xlpm.잔금회차,IF(ISNUMBER(SEARCH("입주",_xlpm.헤더)),VALUE(RIGHT(_xlpm.헤더,1)),0),_xlpm.열번호,COLUMN(AK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7" s="605">
        <f ca="1">_xlfn.LET(_xlpm.금액,$F17,_xlpm.계약금비율,$B$5,_xlpm.중도금비율,$C$5,_xlpm.잔금비율,$D$5,_xlpm.계약시기,TEXT($B17,"yyyy-mm"),_xlpm.현재월,TEXT(AL$8,"yyyy-mm"),_xlpm.헤더범위,$G$9:AL$9,_xlpm.헤더,AL$9,_xlpm.잔금표,$E$6:$I$6,_xlpm.잔금회차,IF(ISNUMBER(SEARCH("입주",_xlpm.헤더)),VALUE(RIGHT(_xlpm.헤더,1)),0),_xlpm.열번호,COLUMN(AL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17" s="605">
        <f>_xlfn.LET(_xlpm.금액,$F17,_xlpm.계약금비율,$B$5,_xlpm.중도금비율,$C$5,_xlpm.잔금비율,$D$5,_xlpm.계약시기,TEXT($B17,"yyyy-mm"),_xlpm.현재월,TEXT(AM$8,"yyyy-mm"),_xlpm.헤더범위,$G$9:AM$9,_xlpm.헤더,AM$9,_xlpm.잔금표,$E$6:$I$6,_xlpm.잔금회차,IF(ISNUMBER(SEARCH("입주",_xlpm.헤더)),VALUE(RIGHT(_xlpm.헤더,1)),0),_xlpm.열번호,COLUMN(AM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7" s="605">
        <f>_xlfn.LET(_xlpm.금액,$F17,_xlpm.계약금비율,$B$5,_xlpm.중도금비율,$C$5,_xlpm.잔금비율,$D$5,_xlpm.계약시기,TEXT($B17,"yyyy-mm"),_xlpm.현재월,TEXT(AN$8,"yyyy-mm"),_xlpm.헤더범위,$G$9:AN$9,_xlpm.헤더,AN$9,_xlpm.잔금표,$E$6:$I$6,_xlpm.잔금회차,IF(ISNUMBER(SEARCH("입주",_xlpm.헤더)),VALUE(RIGHT(_xlpm.헤더,1)),0),_xlpm.열번호,COLUMN(AN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7" s="605">
        <f>_xlfn.LET(_xlpm.금액,$F17,_xlpm.계약금비율,$B$5,_xlpm.중도금비율,$C$5,_xlpm.잔금비율,$D$5,_xlpm.계약시기,TEXT($B17,"yyyy-mm"),_xlpm.현재월,TEXT(AO$8,"yyyy-mm"),_xlpm.헤더범위,$G$9:AO$9,_xlpm.헤더,AO$9,_xlpm.잔금표,$E$6:$I$6,_xlpm.잔금회차,IF(ISNUMBER(SEARCH("입주",_xlpm.헤더)),VALUE(RIGHT(_xlpm.헤더,1)),0),_xlpm.열번호,COLUMN(AO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7" s="605">
        <f>_xlfn.LET(_xlpm.금액,$F17,_xlpm.계약금비율,$B$5,_xlpm.중도금비율,$C$5,_xlpm.잔금비율,$D$5,_xlpm.계약시기,TEXT($B17,"yyyy-mm"),_xlpm.현재월,TEXT(AP$8,"yyyy-mm"),_xlpm.헤더범위,$G$9:AP$9,_xlpm.헤더,AP$9,_xlpm.잔금표,$E$6:$I$6,_xlpm.잔금회차,IF(ISNUMBER(SEARCH("입주",_xlpm.헤더)),VALUE(RIGHT(_xlpm.헤더,1)),0),_xlpm.열번호,COLUMN(AP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7" s="605">
        <f>_xlfn.LET(_xlpm.금액,$F17,_xlpm.계약금비율,$B$5,_xlpm.중도금비율,$C$5,_xlpm.잔금비율,$D$5,_xlpm.계약시기,TEXT($B17,"yyyy-mm"),_xlpm.현재월,TEXT(AQ$8,"yyyy-mm"),_xlpm.헤더범위,$G$9:AQ$9,_xlpm.헤더,AQ$9,_xlpm.잔금표,$E$6:$I$6,_xlpm.잔금회차,IF(ISNUMBER(SEARCH("입주",_xlpm.헤더)),VALUE(RIGHT(_xlpm.헤더,1)),0),_xlpm.열번호,COLUMN(AQ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7" s="605" t="e" vm="2">
        <f>_xlfn.LET(_xlpm.금액,$F17,_xlpm.계약금비율,$B$5,_xlpm.중도금비율,$C$5,_xlpm.잔금비율,$D$5,_xlpm.계약시기,TEXT($B17,"yyyy-mm"),_xlpm.현재월,TEXT(AR$8,"yyyy-mm"),_xlpm.헤더범위,$G$9:AR$9,_xlpm.헤더,AR$9,_xlpm.잔금표,$E$6:$I$6,_xlpm.잔금회차,IF(ISNUMBER(SEARCH("입주",_xlpm.헤더)),VALUE(RIGHT(_xlpm.헤더,1)),0),_xlpm.열번호,COLUMN(AR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7" s="605" t="e" vm="2">
        <f>_xlfn.LET(_xlpm.금액,$F17,_xlpm.계약금비율,$B$5,_xlpm.중도금비율,$C$5,_xlpm.잔금비율,$D$5,_xlpm.계약시기,TEXT($B17,"yyyy-mm"),_xlpm.현재월,TEXT(AS$8,"yyyy-mm"),_xlpm.헤더범위,$G$9:AS$9,_xlpm.헤더,AS$9,_xlpm.잔금표,$E$6:$I$6,_xlpm.잔금회차,IF(ISNUMBER(SEARCH("입주",_xlpm.헤더)),VALUE(RIGHT(_xlpm.헤더,1)),0),_xlpm.열번호,COLUMN(AS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7" s="605" t="e" vm="2">
        <f>_xlfn.LET(_xlpm.금액,$F17,_xlpm.계약금비율,$B$5,_xlpm.중도금비율,$C$5,_xlpm.잔금비율,$D$5,_xlpm.계약시기,TEXT($B17,"yyyy-mm"),_xlpm.현재월,TEXT(AT$8,"yyyy-mm"),_xlpm.헤더범위,$G$9:AT$9,_xlpm.헤더,AT$9,_xlpm.잔금표,$E$6:$I$6,_xlpm.잔금회차,IF(ISNUMBER(SEARCH("입주",_xlpm.헤더)),VALUE(RIGHT(_xlpm.헤더,1)),0),_xlpm.열번호,COLUMN(AT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7" s="605" t="e" vm="2">
        <f>_xlfn.LET(_xlpm.금액,$F17,_xlpm.계약금비율,$B$5,_xlpm.중도금비율,$C$5,_xlpm.잔금비율,$D$5,_xlpm.계약시기,TEXT($B17,"yyyy-mm"),_xlpm.현재월,TEXT(AU$8,"yyyy-mm"),_xlpm.헤더범위,$G$9:AU$9,_xlpm.헤더,AU$9,_xlpm.잔금표,$E$6:$I$6,_xlpm.잔금회차,IF(ISNUMBER(SEARCH("입주",_xlpm.헤더)),VALUE(RIGHT(_xlpm.헤더,1)),0),_xlpm.열번호,COLUMN(AU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7" s="605" t="e" vm="2">
        <f>_xlfn.LET(_xlpm.금액,$F17,_xlpm.계약금비율,$B$5,_xlpm.중도금비율,$C$5,_xlpm.잔금비율,$D$5,_xlpm.계약시기,TEXT($B17,"yyyy-mm"),_xlpm.현재월,TEXT(AV$8,"yyyy-mm"),_xlpm.헤더범위,$G$9:AV$9,_xlpm.헤더,AV$9,_xlpm.잔금표,$E$6:$I$6,_xlpm.잔금회차,IF(ISNUMBER(SEARCH("입주",_xlpm.헤더)),VALUE(RIGHT(_xlpm.헤더,1)),0),_xlpm.열번호,COLUMN(AV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7" s="605">
        <f>_xlfn.LET(_xlpm.금액,$F17,_xlpm.계약금비율,$B$5,_xlpm.중도금비율,$C$5,_xlpm.잔금비율,$D$5,_xlpm.계약시기,TEXT($B17,"yyyy-mm"),_xlpm.현재월,TEXT(AW$8,"yyyy-mm"),_xlpm.헤더범위,$G$9:AW$9,_xlpm.헤더,AW$9,_xlpm.잔금표,$E$6:$I$6,_xlpm.잔금회차,IF(ISNUMBER(SEARCH("입주",_xlpm.헤더)),VALUE(RIGHT(_xlpm.헤더,1)),0),_xlpm.열번호,COLUMN(AW$9),_xlpm.행번호,ROW($G17),_xlpm.전체헤더,$G$9:$BF$9,_xlpm.전체데이터,$G17:$BF17,_xlpm.전체열번호,_xlfn.SEQUENCE(1,COLUMNS(_xlpm.전체헤더),COLUMN($G17)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7" s="605">
        <f t="shared" ca="1" si="11"/>
        <v>0</v>
      </c>
      <c r="AY17" s="605">
        <f t="shared" ca="1" si="11"/>
        <v>0</v>
      </c>
      <c r="AZ17" s="605">
        <f t="shared" ca="1" si="10"/>
        <v>0</v>
      </c>
      <c r="BA17" s="605">
        <f t="shared" ca="1" si="10"/>
        <v>0</v>
      </c>
      <c r="BB17" s="605">
        <f t="shared" ca="1" si="10"/>
        <v>0</v>
      </c>
      <c r="BC17" s="605">
        <f ca="1">IF(TEXT(BC$8,"yyyy-mm")=TEXT($B17,"yyyy-mm"),$F17*$B$5,IF(AND(ISNUMBER(SEARCH("중도금",BC$9)),TEXT(BC$8,"yyyy-mm")&gt;=TEXT($B17,"yyyy-mm")),IF(BC$9="1차중도금",$F17*$C$5/6,IF(BC$9="2차중도금",MAX(0,$F17*$C$5*0.3-IF(COLUMN()&gt;7,SUM($G17:OFFSET(BC17,0,COLUMN()-8)),0)),IF(BC$9="3차중도금",MAX(0,$F17*$C$5*0.4-IF(COLUMN()&gt;7,SUM($G17:OFFSET(BC17,0,COLUMN()-8)),0)),IF(BC$9="4차중도금",MAX(0,$F17*$C$5*0.5-IF(COLUMN()&gt;7,SUM($G17:OFFSET(BC17,0,COLUMN()-8)),0)),IF(BC$9="5차중도금",MAX(0,$F17*$C$5*0.6-IF(COLUMN()&gt;7,SUM($G17:OFFSET(BC17,0,COLUMN()-8)),0)),IF(BC$9="6차중도금",MAX(0,$F17*$C$5*0.7-IF(COLUMN()&gt;7,SUM($G17:OFFSET(BC17,0,COLUMN()-8)),0)),0)))))),IF(AND(ISNUMBER(SEARCH("입주",BC$9)),TEXT(BC$8,"yyyy-mm")&gt;=TEXT($B17,"yyyy-mm")),$F17*$D$5*INDEX($E$6:$I$6,VALUE(RIGHT(BC$9,1))),0)))</f>
        <v>0</v>
      </c>
      <c r="BD17" s="605">
        <f ca="1">IF(TEXT(BD$8,"yyyy-mm")=TEXT($B17,"yyyy-mm"),$F17*$B$5,IF(AND(ISNUMBER(SEARCH("중도금",BD$9)),TEXT(BD$8,"yyyy-mm")&gt;=TEXT($B17,"yyyy-mm")),IF(BD$9="1차중도금",$F17*$C$5/6,IF(BD$9="2차중도금",MAX(0,$F17*$C$5*0.3-IF(COLUMN()&gt;7,SUM($G17:OFFSET(BD17,0,COLUMN()-8)),0)),IF(BD$9="3차중도금",MAX(0,$F17*$C$5*0.4-IF(COLUMN()&gt;7,SUM($G17:OFFSET(BD17,0,COLUMN()-8)),0)),IF(BD$9="4차중도금",MAX(0,$F17*$C$5*0.5-IF(COLUMN()&gt;7,SUM($G17:OFFSET(BD17,0,COLUMN()-8)),0)),IF(BD$9="5차중도금",MAX(0,$F17*$C$5*0.6-IF(COLUMN()&gt;7,SUM($G17:OFFSET(BD17,0,COLUMN()-8)),0)),IF(BD$9="6차중도금",MAX(0,$F17*$C$5*0.7-IF(COLUMN()&gt;7,SUM($G17:OFFSET(BD17,0,COLUMN()-8)),0)),0)))))),IF(AND(ISNUMBER(SEARCH("입주",BD$9)),TEXT(BD$8,"yyyy-mm")&gt;=TEXT($B17,"yyyy-mm")),$F17*$D$5*INDEX($E$6:$I$6,VALUE(RIGHT(BD$9,1))),0)))</f>
        <v>0</v>
      </c>
      <c r="BE17" s="605">
        <f ca="1">IF(TEXT(BE$8,"yyyy-mm")=TEXT($B17,"yyyy-mm"),$F17*$B$5,IF(AND(ISNUMBER(SEARCH("중도금",BE$9)),TEXT(BE$8,"yyyy-mm")&gt;=TEXT($B17,"yyyy-mm")),IF(BE$9="1차중도금",$F17*$C$5/6,IF(BE$9="2차중도금",MAX(0,$F17*$C$5*0.3-IF(COLUMN()&gt;7,SUM($G17:OFFSET(BE17,0,COLUMN()-8)),0)),IF(BE$9="3차중도금",MAX(0,$F17*$C$5*0.4-IF(COLUMN()&gt;7,SUM($G17:OFFSET(BE17,0,COLUMN()-8)),0)),IF(BE$9="4차중도금",MAX(0,$F17*$C$5*0.5-IF(COLUMN()&gt;7,SUM($G17:OFFSET(BE17,0,COLUMN()-8)),0)),IF(BE$9="5차중도금",MAX(0,$F17*$C$5*0.6-IF(COLUMN()&gt;7,SUM($G17:OFFSET(BE17,0,COLUMN()-8)),0)),IF(BE$9="6차중도금",MAX(0,$F17*$C$5*0.7-IF(COLUMN()&gt;7,SUM($G17:OFFSET(BE17,0,COLUMN()-8)),0)),0)))))),IF(AND(ISNUMBER(SEARCH("입주",BE$9)),TEXT(BE$8,"yyyy-mm")&gt;=TEXT($B17,"yyyy-mm")),$F17*$D$5*INDEX($E$6:$I$6,VALUE(RIGHT(BE$9,1))),0)))</f>
        <v>0</v>
      </c>
      <c r="BF17" s="609">
        <f t="shared" ca="1" si="8"/>
        <v>174299.86547377892</v>
      </c>
      <c r="BG17" s="556">
        <f t="shared" ca="1" si="5"/>
        <v>7411871.1596732214</v>
      </c>
      <c r="BH17" s="610"/>
    </row>
    <row r="18" spans="1:60">
      <c r="A18" s="1853"/>
      <c r="B18" s="611">
        <f t="shared" si="6"/>
        <v>45078</v>
      </c>
      <c r="C18" s="605">
        <f t="shared" si="7"/>
        <v>252872367.50490001</v>
      </c>
      <c r="D18" s="1501">
        <f>D17</f>
        <v>0.03</v>
      </c>
      <c r="E18" s="607">
        <f t="shared" si="9"/>
        <v>0.7400000000000001</v>
      </c>
      <c r="F18" s="608">
        <f t="shared" si="2"/>
        <v>7586171.0251470003</v>
      </c>
      <c r="G18" s="605">
        <f>_xlfn.LET(_xlpm.금액,$F18,_xlpm.계약금비율,$B$5,_xlpm.중도금비율,$C$5,_xlpm.잔금비율,$D$5,_xlpm.계약시기,TEXT($B18,"yyyy-mm"),_xlpm.현재월,TEXT(G$8,"yyyy-mm"),_xlpm.헤더범위,$G$9:G$9,_xlpm.헤더,G$9,_xlpm.잔금표,$E$6:$I$6,_xlpm.잔금회차,IF(ISNUMBER(SEARCH("입주",_xlpm.헤더)),VALUE(RIGHT(_xlpm.헤더,1)),0),_xlpm.열번호,COLUMN(G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18" s="605">
        <f>_xlfn.LET(_xlpm.금액,$F18,_xlpm.계약금비율,$B$5,_xlpm.중도금비율,$C$5,_xlpm.잔금비율,$D$5,_xlpm.계약시기,TEXT($B18,"yyyy-mm"),_xlpm.현재월,TEXT(H$8,"yyyy-mm"),_xlpm.헤더범위,$G$9:H$9,_xlpm.헤더,H$9,_xlpm.잔금표,$E$6:$I$6,_xlpm.잔금회차,IF(ISNUMBER(SEARCH("입주",_xlpm.헤더)),VALUE(RIGHT(_xlpm.헤더,1)),0),_xlpm.열번호,COLUMN(H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18" s="605">
        <f>_xlfn.LET(_xlpm.금액,$F18,_xlpm.계약금비율,$B$5,_xlpm.중도금비율,$C$5,_xlpm.잔금비율,$D$5,_xlpm.계약시기,TEXT($B18,"yyyy-mm"),_xlpm.현재월,TEXT(I$8,"yyyy-mm"),_xlpm.헤더범위,$G$9:I$9,_xlpm.헤더,I$9,_xlpm.잔금표,$E$6:$I$6,_xlpm.잔금회차,IF(ISNUMBER(SEARCH("입주",_xlpm.헤더)),VALUE(RIGHT(_xlpm.헤더,1)),0),_xlpm.열번호,COLUMN(I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18" s="605">
        <f>_xlfn.LET(_xlpm.금액,$F18,_xlpm.계약금비율,$B$5,_xlpm.중도금비율,$C$5,_xlpm.잔금비율,$D$5,_xlpm.계약시기,TEXT($B18,"yyyy-mm"),_xlpm.현재월,TEXT(J$8,"yyyy-mm"),_xlpm.헤더범위,$G$9:J$9,_xlpm.헤더,J$9,_xlpm.잔금표,$E$6:$I$6,_xlpm.잔금회차,IF(ISNUMBER(SEARCH("입주",_xlpm.헤더)),VALUE(RIGHT(_xlpm.헤더,1)),0),_xlpm.열번호,COLUMN(J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18" s="605">
        <f>_xlfn.LET(_xlpm.금액,$F18,_xlpm.계약금비율,$B$5,_xlpm.중도금비율,$C$5,_xlpm.잔금비율,$D$5,_xlpm.계약시기,TEXT($B18,"yyyy-mm"),_xlpm.현재월,TEXT(K$8,"yyyy-mm"),_xlpm.헤더범위,$G$9:K$9,_xlpm.헤더,K$9,_xlpm.잔금표,$E$6:$I$6,_xlpm.잔금회차,IF(ISNUMBER(SEARCH("입주",_xlpm.헤더)),VALUE(RIGHT(_xlpm.헤더,1)),0),_xlpm.열번호,COLUMN(K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18" s="605">
        <f ca="1">_xlfn.LET(_xlpm.금액,$F18,_xlpm.계약금비율,$B$5,_xlpm.중도금비율,$C$5,_xlpm.잔금비율,$D$5,_xlpm.계약시기,TEXT($B18,"yyyy-mm"),_xlpm.현재월,TEXT(L$8,"yyyy-mm"),_xlpm.헤더범위,$G$9:L$9,_xlpm.헤더,L$9,_xlpm.잔금표,$E$6:$I$6,_xlpm.잔금회차,IF(ISNUMBER(SEARCH("입주",_xlpm.헤더)),VALUE(RIGHT(_xlpm.헤더,1)),0),_xlpm.열번호,COLUMN(L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18" s="605">
        <f>_xlfn.LET(_xlpm.금액,$F18,_xlpm.계약금비율,$B$5,_xlpm.중도금비율,$C$5,_xlpm.잔금비율,$D$5,_xlpm.계약시기,TEXT($B18,"yyyy-mm"),_xlpm.현재월,TEXT(M$8,"yyyy-mm"),_xlpm.헤더범위,$G$9:M$9,_xlpm.헤더,M$9,_xlpm.잔금표,$E$6:$I$6,_xlpm.잔금회차,IF(ISNUMBER(SEARCH("입주",_xlpm.헤더)),VALUE(RIGHT(_xlpm.헤더,1)),0),_xlpm.열번호,COLUMN(M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18" s="605">
        <f>_xlfn.LET(_xlpm.금액,$F18,_xlpm.계약금비율,$B$5,_xlpm.중도금비율,$C$5,_xlpm.잔금비율,$D$5,_xlpm.계약시기,TEXT($B18,"yyyy-mm"),_xlpm.현재월,TEXT(N$8,"yyyy-mm"),_xlpm.헤더범위,$G$9:N$9,_xlpm.헤더,N$9,_xlpm.잔금표,$E$6:$I$6,_xlpm.잔금회차,IF(ISNUMBER(SEARCH("입주",_xlpm.헤더)),VALUE(RIGHT(_xlpm.헤더,1)),0),_xlpm.열번호,COLUMN(N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18" s="605">
        <f>_xlfn.LET(_xlpm.금액,$F18,_xlpm.계약금비율,$B$5,_xlpm.중도금비율,$C$5,_xlpm.잔금비율,$D$5,_xlpm.계약시기,TEXT($B18,"yyyy-mm"),_xlpm.현재월,TEXT(O$8,"yyyy-mm"),_xlpm.헤더범위,$G$9:O$9,_xlpm.헤더,O$9,_xlpm.잔금표,$E$6:$I$6,_xlpm.잔금회차,IF(ISNUMBER(SEARCH("입주",_xlpm.헤더)),VALUE(RIGHT(_xlpm.헤더,1)),0),_xlpm.열번호,COLUMN(O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758617.10251470003</v>
      </c>
      <c r="P18" s="605">
        <f>_xlfn.LET(_xlpm.금액,$F18,_xlpm.계약금비율,$B$5,_xlpm.중도금비율,$C$5,_xlpm.잔금비율,$D$5,_xlpm.계약시기,TEXT($B18,"yyyy-mm"),_xlpm.현재월,TEXT(P$8,"yyyy-mm"),_xlpm.헤더범위,$G$9:P$9,_xlpm.헤더,P$9,_xlpm.잔금표,$E$6:$I$6,_xlpm.잔금회차,IF(ISNUMBER(SEARCH("입주",_xlpm.헤더)),VALUE(RIGHT(_xlpm.헤더,1)),0),_xlpm.열번호,COLUMN(P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18" s="605">
        <f ca="1">_xlfn.LET(_xlpm.금액,$F18,_xlpm.계약금비율,$B$5,_xlpm.중도금비율,$C$5,_xlpm.잔금비율,$D$5,_xlpm.계약시기,TEXT($B18,"yyyy-mm"),_xlpm.현재월,TEXT(Q$8,"yyyy-mm"),_xlpm.헤더범위,$G$9:Q$9,_xlpm.헤더,Q$9,_xlpm.잔금표,$E$6:$I$6,_xlpm.잔금회차,IF(ISNUMBER(SEARCH("입주",_xlpm.헤더)),VALUE(RIGHT(_xlpm.헤더,1)),0),_xlpm.열번호,COLUMN(Q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18" s="605">
        <f>_xlfn.LET(_xlpm.금액,$F18,_xlpm.계약금비율,$B$5,_xlpm.중도금비율,$C$5,_xlpm.잔금비율,$D$5,_xlpm.계약시기,TEXT($B18,"yyyy-mm"),_xlpm.현재월,TEXT(R$8,"yyyy-mm"),_xlpm.헤더범위,$G$9:R$9,_xlpm.헤더,R$9,_xlpm.잔금표,$E$6:$I$6,_xlpm.잔금회차,IF(ISNUMBER(SEARCH("입주",_xlpm.헤더)),VALUE(RIGHT(_xlpm.헤더,1)),0),_xlpm.열번호,COLUMN(R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8" s="605">
        <f>_xlfn.LET(_xlpm.금액,$F18,_xlpm.계약금비율,$B$5,_xlpm.중도금비율,$C$5,_xlpm.잔금비율,$D$5,_xlpm.계약시기,TEXT($B18,"yyyy-mm"),_xlpm.현재월,TEXT(S$8,"yyyy-mm"),_xlpm.헤더범위,$G$9:S$9,_xlpm.헤더,S$9,_xlpm.잔금표,$E$6:$I$6,_xlpm.잔금회차,IF(ISNUMBER(SEARCH("입주",_xlpm.헤더)),VALUE(RIGHT(_xlpm.헤더,1)),0),_xlpm.열번호,COLUMN(S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8" s="605">
        <f>_xlfn.LET(_xlpm.금액,$F18,_xlpm.계약금비율,$B$5,_xlpm.중도금비율,$C$5,_xlpm.잔금비율,$D$5,_xlpm.계약시기,TEXT($B18,"yyyy-mm"),_xlpm.현재월,TEXT(T$8,"yyyy-mm"),_xlpm.헤더범위,$G$9:T$9,_xlpm.헤더,T$9,_xlpm.잔금표,$E$6:$I$6,_xlpm.잔금회차,IF(ISNUMBER(SEARCH("입주",_xlpm.헤더)),VALUE(RIGHT(_xlpm.헤더,1)),0),_xlpm.열번호,COLUMN(T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8" s="605">
        <f>_xlfn.LET(_xlpm.금액,$F18,_xlpm.계약금비율,$B$5,_xlpm.중도금비율,$C$5,_xlpm.잔금비율,$D$5,_xlpm.계약시기,TEXT($B18,"yyyy-mm"),_xlpm.현재월,TEXT(U$8,"yyyy-mm"),_xlpm.헤더범위,$G$9:U$9,_xlpm.헤더,U$9,_xlpm.잔금표,$E$6:$I$6,_xlpm.잔금회차,IF(ISNUMBER(SEARCH("입주",_xlpm.헤더)),VALUE(RIGHT(_xlpm.헤더,1)),0),_xlpm.열번호,COLUMN(U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8" s="605">
        <f ca="1">_xlfn.LET(_xlpm.금액,$F18,_xlpm.계약금비율,$B$5,_xlpm.중도금비율,$C$5,_xlpm.잔금비율,$D$5,_xlpm.계약시기,TEXT($B18,"yyyy-mm"),_xlpm.현재월,TEXT(V$8,"yyyy-mm"),_xlpm.헤더범위,$G$9:V$9,_xlpm.헤더,V$9,_xlpm.잔금표,$E$6:$I$6,_xlpm.잔금회차,IF(ISNUMBER(SEARCH("입주",_xlpm.헤더)),VALUE(RIGHT(_xlpm.헤더,1)),0),_xlpm.열번호,COLUMN(V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18" s="605">
        <f>_xlfn.LET(_xlpm.금액,$F18,_xlpm.계약금비율,$B$5,_xlpm.중도금비율,$C$5,_xlpm.잔금비율,$D$5,_xlpm.계약시기,TEXT($B18,"yyyy-mm"),_xlpm.현재월,TEXT(W$8,"yyyy-mm"),_xlpm.헤더범위,$G$9:W$9,_xlpm.헤더,W$9,_xlpm.잔금표,$E$6:$I$6,_xlpm.잔금회차,IF(ISNUMBER(SEARCH("입주",_xlpm.헤더)),VALUE(RIGHT(_xlpm.헤더,1)),0),_xlpm.열번호,COLUMN(W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8" s="605">
        <f>_xlfn.LET(_xlpm.금액,$F18,_xlpm.계약금비율,$B$5,_xlpm.중도금비율,$C$5,_xlpm.잔금비율,$D$5,_xlpm.계약시기,TEXT($B18,"yyyy-mm"),_xlpm.현재월,TEXT(X$8,"yyyy-mm"),_xlpm.헤더범위,$G$9:X$9,_xlpm.헤더,X$9,_xlpm.잔금표,$E$6:$I$6,_xlpm.잔금회차,IF(ISNUMBER(SEARCH("입주",_xlpm.헤더)),VALUE(RIGHT(_xlpm.헤더,1)),0),_xlpm.열번호,COLUMN(X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8" s="605">
        <f>_xlfn.LET(_xlpm.금액,$F18,_xlpm.계약금비율,$B$5,_xlpm.중도금비율,$C$5,_xlpm.잔금비율,$D$5,_xlpm.계약시기,TEXT($B18,"yyyy-mm"),_xlpm.현재월,TEXT(Y$8,"yyyy-mm"),_xlpm.헤더범위,$G$9:Y$9,_xlpm.헤더,Y$9,_xlpm.잔금표,$E$6:$I$6,_xlpm.잔금회차,IF(ISNUMBER(SEARCH("입주",_xlpm.헤더)),VALUE(RIGHT(_xlpm.헤더,1)),0),_xlpm.열번호,COLUMN(Y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8" s="605">
        <f>_xlfn.LET(_xlpm.금액,$F18,_xlpm.계약금비율,$B$5,_xlpm.중도금비율,$C$5,_xlpm.잔금비율,$D$5,_xlpm.계약시기,TEXT($B18,"yyyy-mm"),_xlpm.현재월,TEXT(Z$8,"yyyy-mm"),_xlpm.헤더범위,$G$9:Z$9,_xlpm.헤더,Z$9,_xlpm.잔금표,$E$6:$I$6,_xlpm.잔금회차,IF(ISNUMBER(SEARCH("입주",_xlpm.헤더)),VALUE(RIGHT(_xlpm.헤더,1)),0),_xlpm.열번호,COLUMN(Z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8" s="605">
        <f>_xlfn.LET(_xlpm.금액,$F18,_xlpm.계약금비율,$B$5,_xlpm.중도금비율,$C$5,_xlpm.잔금비율,$D$5,_xlpm.계약시기,TEXT($B18,"yyyy-mm"),_xlpm.현재월,TEXT(AA$8,"yyyy-mm"),_xlpm.헤더범위,$G$9:AA$9,_xlpm.헤더,AA$9,_xlpm.잔금표,$E$6:$I$6,_xlpm.잔금회차,IF(ISNUMBER(SEARCH("입주",_xlpm.헤더)),VALUE(RIGHT(_xlpm.헤더,1)),0),_xlpm.열번호,COLUMN(AA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8" s="605">
        <f ca="1">_xlfn.LET(_xlpm.금액,$F18,_xlpm.계약금비율,$B$5,_xlpm.중도금비율,$C$5,_xlpm.잔금비율,$D$5,_xlpm.계약시기,TEXT($B18,"yyyy-mm"),_xlpm.현재월,TEXT(AB$8,"yyyy-mm"),_xlpm.헤더범위,$G$9:AB$9,_xlpm.헤더,AB$9,_xlpm.잔금표,$E$6:$I$6,_xlpm.잔금회차,IF(ISNUMBER(SEARCH("입주",_xlpm.헤더)),VALUE(RIGHT(_xlpm.헤더,1)),0),_xlpm.열번호,COLUMN(AB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18" s="605">
        <f>_xlfn.LET(_xlpm.금액,$F18,_xlpm.계약금비율,$B$5,_xlpm.중도금비율,$C$5,_xlpm.잔금비율,$D$5,_xlpm.계약시기,TEXT($B18,"yyyy-mm"),_xlpm.현재월,TEXT(AC$8,"yyyy-mm"),_xlpm.헤더범위,$G$9:AC$9,_xlpm.헤더,AC$9,_xlpm.잔금표,$E$6:$I$6,_xlpm.잔금회차,IF(ISNUMBER(SEARCH("입주",_xlpm.헤더)),VALUE(RIGHT(_xlpm.헤더,1)),0),_xlpm.열번호,COLUMN(AC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8" s="605">
        <f>_xlfn.LET(_xlpm.금액,$F18,_xlpm.계약금비율,$B$5,_xlpm.중도금비율,$C$5,_xlpm.잔금비율,$D$5,_xlpm.계약시기,TEXT($B18,"yyyy-mm"),_xlpm.현재월,TEXT(AD$8,"yyyy-mm"),_xlpm.헤더범위,$G$9:AD$9,_xlpm.헤더,AD$9,_xlpm.잔금표,$E$6:$I$6,_xlpm.잔금회차,IF(ISNUMBER(SEARCH("입주",_xlpm.헤더)),VALUE(RIGHT(_xlpm.헤더,1)),0),_xlpm.열번호,COLUMN(AD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8" s="605">
        <f>_xlfn.LET(_xlpm.금액,$F18,_xlpm.계약금비율,$B$5,_xlpm.중도금비율,$C$5,_xlpm.잔금비율,$D$5,_xlpm.계약시기,TEXT($B18,"yyyy-mm"),_xlpm.현재월,TEXT(AE$8,"yyyy-mm"),_xlpm.헤더범위,$G$9:AE$9,_xlpm.헤더,AE$9,_xlpm.잔금표,$E$6:$I$6,_xlpm.잔금회차,IF(ISNUMBER(SEARCH("입주",_xlpm.헤더)),VALUE(RIGHT(_xlpm.헤더,1)),0),_xlpm.열번호,COLUMN(AE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8" s="605">
        <f>_xlfn.LET(_xlpm.금액,$F18,_xlpm.계약금비율,$B$5,_xlpm.중도금비율,$C$5,_xlpm.잔금비율,$D$5,_xlpm.계약시기,TEXT($B18,"yyyy-mm"),_xlpm.현재월,TEXT(AF$8,"yyyy-mm"),_xlpm.헤더범위,$G$9:AF$9,_xlpm.헤더,AF$9,_xlpm.잔금표,$E$6:$I$6,_xlpm.잔금회차,IF(ISNUMBER(SEARCH("입주",_xlpm.헤더)),VALUE(RIGHT(_xlpm.헤더,1)),0),_xlpm.열번호,COLUMN(AF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8" s="605">
        <f ca="1">_xlfn.LET(_xlpm.금액,$F18,_xlpm.계약금비율,$B$5,_xlpm.중도금비율,$C$5,_xlpm.잔금비율,$D$5,_xlpm.계약시기,TEXT($B18,"yyyy-mm"),_xlpm.현재월,TEXT(AG$8,"yyyy-mm"),_xlpm.헤더범위,$G$9:AG$9,_xlpm.헤더,AG$9,_xlpm.잔금표,$E$6:$I$6,_xlpm.잔금회차,IF(ISNUMBER(SEARCH("입주",_xlpm.헤더)),VALUE(RIGHT(_xlpm.헤더,1)),0),_xlpm.열번호,COLUMN(AG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18" s="605">
        <f>_xlfn.LET(_xlpm.금액,$F18,_xlpm.계약금비율,$B$5,_xlpm.중도금비율,$C$5,_xlpm.잔금비율,$D$5,_xlpm.계약시기,TEXT($B18,"yyyy-mm"),_xlpm.현재월,TEXT(AH$8,"yyyy-mm"),_xlpm.헤더범위,$G$9:AH$9,_xlpm.헤더,AH$9,_xlpm.잔금표,$E$6:$I$6,_xlpm.잔금회차,IF(ISNUMBER(SEARCH("입주",_xlpm.헤더)),VALUE(RIGHT(_xlpm.헤더,1)),0),_xlpm.열번호,COLUMN(AH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8" s="605">
        <f>_xlfn.LET(_xlpm.금액,$F18,_xlpm.계약금비율,$B$5,_xlpm.중도금비율,$C$5,_xlpm.잔금비율,$D$5,_xlpm.계약시기,TEXT($B18,"yyyy-mm"),_xlpm.현재월,TEXT(AI$8,"yyyy-mm"),_xlpm.헤더범위,$G$9:AI$9,_xlpm.헤더,AI$9,_xlpm.잔금표,$E$6:$I$6,_xlpm.잔금회차,IF(ISNUMBER(SEARCH("입주",_xlpm.헤더)),VALUE(RIGHT(_xlpm.헤더,1)),0),_xlpm.열번호,COLUMN(AI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8" s="605">
        <f>_xlfn.LET(_xlpm.금액,$F18,_xlpm.계약금비율,$B$5,_xlpm.중도금비율,$C$5,_xlpm.잔금비율,$D$5,_xlpm.계약시기,TEXT($B18,"yyyy-mm"),_xlpm.현재월,TEXT(AJ$8,"yyyy-mm"),_xlpm.헤더범위,$G$9:AJ$9,_xlpm.헤더,AJ$9,_xlpm.잔금표,$E$6:$I$6,_xlpm.잔금회차,IF(ISNUMBER(SEARCH("입주",_xlpm.헤더)),VALUE(RIGHT(_xlpm.헤더,1)),0),_xlpm.열번호,COLUMN(AJ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8" s="605">
        <f>_xlfn.LET(_xlpm.금액,$F18,_xlpm.계약금비율,$B$5,_xlpm.중도금비율,$C$5,_xlpm.잔금비율,$D$5,_xlpm.계약시기,TEXT($B18,"yyyy-mm"),_xlpm.현재월,TEXT(AK$8,"yyyy-mm"),_xlpm.헤더범위,$G$9:AK$9,_xlpm.헤더,AK$9,_xlpm.잔금표,$E$6:$I$6,_xlpm.잔금회차,IF(ISNUMBER(SEARCH("입주",_xlpm.헤더)),VALUE(RIGHT(_xlpm.헤더,1)),0),_xlpm.열번호,COLUMN(AK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8" s="605">
        <f ca="1">_xlfn.LET(_xlpm.금액,$F18,_xlpm.계약금비율,$B$5,_xlpm.중도금비율,$C$5,_xlpm.잔금비율,$D$5,_xlpm.계약시기,TEXT($B18,"yyyy-mm"),_xlpm.현재월,TEXT(AL$8,"yyyy-mm"),_xlpm.헤더범위,$G$9:AL$9,_xlpm.헤더,AL$9,_xlpm.잔금표,$E$6:$I$6,_xlpm.잔금회차,IF(ISNUMBER(SEARCH("입주",_xlpm.헤더)),VALUE(RIGHT(_xlpm.헤더,1)),0),_xlpm.열번호,COLUMN(AL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18" s="605">
        <f>_xlfn.LET(_xlpm.금액,$F18,_xlpm.계약금비율,$B$5,_xlpm.중도금비율,$C$5,_xlpm.잔금비율,$D$5,_xlpm.계약시기,TEXT($B18,"yyyy-mm"),_xlpm.현재월,TEXT(AM$8,"yyyy-mm"),_xlpm.헤더범위,$G$9:AM$9,_xlpm.헤더,AM$9,_xlpm.잔금표,$E$6:$I$6,_xlpm.잔금회차,IF(ISNUMBER(SEARCH("입주",_xlpm.헤더)),VALUE(RIGHT(_xlpm.헤더,1)),0),_xlpm.열번호,COLUMN(AM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8" s="605">
        <f>_xlfn.LET(_xlpm.금액,$F18,_xlpm.계약금비율,$B$5,_xlpm.중도금비율,$C$5,_xlpm.잔금비율,$D$5,_xlpm.계약시기,TEXT($B18,"yyyy-mm"),_xlpm.현재월,TEXT(AN$8,"yyyy-mm"),_xlpm.헤더범위,$G$9:AN$9,_xlpm.헤더,AN$9,_xlpm.잔금표,$E$6:$I$6,_xlpm.잔금회차,IF(ISNUMBER(SEARCH("입주",_xlpm.헤더)),VALUE(RIGHT(_xlpm.헤더,1)),0),_xlpm.열번호,COLUMN(AN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8" s="605">
        <f>_xlfn.LET(_xlpm.금액,$F18,_xlpm.계약금비율,$B$5,_xlpm.중도금비율,$C$5,_xlpm.잔금비율,$D$5,_xlpm.계약시기,TEXT($B18,"yyyy-mm"),_xlpm.현재월,TEXT(AO$8,"yyyy-mm"),_xlpm.헤더범위,$G$9:AO$9,_xlpm.헤더,AO$9,_xlpm.잔금표,$E$6:$I$6,_xlpm.잔금회차,IF(ISNUMBER(SEARCH("입주",_xlpm.헤더)),VALUE(RIGHT(_xlpm.헤더,1)),0),_xlpm.열번호,COLUMN(AO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8" s="605">
        <f>_xlfn.LET(_xlpm.금액,$F18,_xlpm.계약금비율,$B$5,_xlpm.중도금비율,$C$5,_xlpm.잔금비율,$D$5,_xlpm.계약시기,TEXT($B18,"yyyy-mm"),_xlpm.현재월,TEXT(AP$8,"yyyy-mm"),_xlpm.헤더범위,$G$9:AP$9,_xlpm.헤더,AP$9,_xlpm.잔금표,$E$6:$I$6,_xlpm.잔금회차,IF(ISNUMBER(SEARCH("입주",_xlpm.헤더)),VALUE(RIGHT(_xlpm.헤더,1)),0),_xlpm.열번호,COLUMN(AP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8" s="605">
        <f>_xlfn.LET(_xlpm.금액,$F18,_xlpm.계약금비율,$B$5,_xlpm.중도금비율,$C$5,_xlpm.잔금비율,$D$5,_xlpm.계약시기,TEXT($B18,"yyyy-mm"),_xlpm.현재월,TEXT(AQ$8,"yyyy-mm"),_xlpm.헤더범위,$G$9:AQ$9,_xlpm.헤더,AQ$9,_xlpm.잔금표,$E$6:$I$6,_xlpm.잔금회차,IF(ISNUMBER(SEARCH("입주",_xlpm.헤더)),VALUE(RIGHT(_xlpm.헤더,1)),0),_xlpm.열번호,COLUMN(AQ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8" s="605" t="e" vm="2">
        <f>_xlfn.LET(_xlpm.금액,$F18,_xlpm.계약금비율,$B$5,_xlpm.중도금비율,$C$5,_xlpm.잔금비율,$D$5,_xlpm.계약시기,TEXT($B18,"yyyy-mm"),_xlpm.현재월,TEXT(AR$8,"yyyy-mm"),_xlpm.헤더범위,$G$9:AR$9,_xlpm.헤더,AR$9,_xlpm.잔금표,$E$6:$I$6,_xlpm.잔금회차,IF(ISNUMBER(SEARCH("입주",_xlpm.헤더)),VALUE(RIGHT(_xlpm.헤더,1)),0),_xlpm.열번호,COLUMN(AR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8" s="605" t="e" vm="2">
        <f>_xlfn.LET(_xlpm.금액,$F18,_xlpm.계약금비율,$B$5,_xlpm.중도금비율,$C$5,_xlpm.잔금비율,$D$5,_xlpm.계약시기,TEXT($B18,"yyyy-mm"),_xlpm.현재월,TEXT(AS$8,"yyyy-mm"),_xlpm.헤더범위,$G$9:AS$9,_xlpm.헤더,AS$9,_xlpm.잔금표,$E$6:$I$6,_xlpm.잔금회차,IF(ISNUMBER(SEARCH("입주",_xlpm.헤더)),VALUE(RIGHT(_xlpm.헤더,1)),0),_xlpm.열번호,COLUMN(AS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8" s="605" t="e" vm="2">
        <f>_xlfn.LET(_xlpm.금액,$F18,_xlpm.계약금비율,$B$5,_xlpm.중도금비율,$C$5,_xlpm.잔금비율,$D$5,_xlpm.계약시기,TEXT($B18,"yyyy-mm"),_xlpm.현재월,TEXT(AT$8,"yyyy-mm"),_xlpm.헤더범위,$G$9:AT$9,_xlpm.헤더,AT$9,_xlpm.잔금표,$E$6:$I$6,_xlpm.잔금회차,IF(ISNUMBER(SEARCH("입주",_xlpm.헤더)),VALUE(RIGHT(_xlpm.헤더,1)),0),_xlpm.열번호,COLUMN(AT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8" s="605" t="e" vm="2">
        <f>_xlfn.LET(_xlpm.금액,$F18,_xlpm.계약금비율,$B$5,_xlpm.중도금비율,$C$5,_xlpm.잔금비율,$D$5,_xlpm.계약시기,TEXT($B18,"yyyy-mm"),_xlpm.현재월,TEXT(AU$8,"yyyy-mm"),_xlpm.헤더범위,$G$9:AU$9,_xlpm.헤더,AU$9,_xlpm.잔금표,$E$6:$I$6,_xlpm.잔금회차,IF(ISNUMBER(SEARCH("입주",_xlpm.헤더)),VALUE(RIGHT(_xlpm.헤더,1)),0),_xlpm.열번호,COLUMN(AU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8" s="605" t="e" vm="2">
        <f>_xlfn.LET(_xlpm.금액,$F18,_xlpm.계약금비율,$B$5,_xlpm.중도금비율,$C$5,_xlpm.잔금비율,$D$5,_xlpm.계약시기,TEXT($B18,"yyyy-mm"),_xlpm.현재월,TEXT(AV$8,"yyyy-mm"),_xlpm.헤더범위,$G$9:AV$9,_xlpm.헤더,AV$9,_xlpm.잔금표,$E$6:$I$6,_xlpm.잔금회차,IF(ISNUMBER(SEARCH("입주",_xlpm.헤더)),VALUE(RIGHT(_xlpm.헤더,1)),0),_xlpm.열번호,COLUMN(AV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8" s="605">
        <f>_xlfn.LET(_xlpm.금액,$F18,_xlpm.계약금비율,$B$5,_xlpm.중도금비율,$C$5,_xlpm.잔금비율,$D$5,_xlpm.계약시기,TEXT($B18,"yyyy-mm"),_xlpm.현재월,TEXT(AW$8,"yyyy-mm"),_xlpm.헤더범위,$G$9:AW$9,_xlpm.헤더,AW$9,_xlpm.잔금표,$E$6:$I$6,_xlpm.잔금회차,IF(ISNUMBER(SEARCH("입주",_xlpm.헤더)),VALUE(RIGHT(_xlpm.헤더,1)),0),_xlpm.열번호,COLUMN(AW$9),_xlpm.행번호,ROW($G18),_xlpm.전체헤더,$G$9:$BF$9,_xlpm.전체데이터,$G18:$BF18,_xlpm.전체열번호,_xlfn.SEQUENCE(1,COLUMNS(_xlpm.전체헤더),COLUMN($G18)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8" s="605">
        <f t="shared" ca="1" si="11"/>
        <v>0</v>
      </c>
      <c r="AY18" s="605">
        <f t="shared" ca="1" si="11"/>
        <v>0</v>
      </c>
      <c r="AZ18" s="605">
        <f t="shared" ca="1" si="10"/>
        <v>0</v>
      </c>
      <c r="BA18" s="605">
        <f t="shared" ca="1" si="10"/>
        <v>0</v>
      </c>
      <c r="BB18" s="605">
        <f t="shared" ca="1" si="10"/>
        <v>0</v>
      </c>
      <c r="BC18" s="605">
        <f ca="1">IF(TEXT(BC$8,"yyyy-mm")=TEXT($B18,"yyyy-mm"),$F18*$B$5,IF(AND(ISNUMBER(SEARCH("중도금",BC$9)),TEXT(BC$8,"yyyy-mm")&gt;=TEXT($B18,"yyyy-mm")),IF(BC$9="1차중도금",$F18*$C$5/6,IF(BC$9="2차중도금",MAX(0,$F18*$C$5*0.3-IF(COLUMN()&gt;7,SUM($G18:OFFSET(BC18,0,COLUMN()-8)),0)),IF(BC$9="3차중도금",MAX(0,$F18*$C$5*0.4-IF(COLUMN()&gt;7,SUM($G18:OFFSET(BC18,0,COLUMN()-8)),0)),IF(BC$9="4차중도금",MAX(0,$F18*$C$5*0.5-IF(COLUMN()&gt;7,SUM($G18:OFFSET(BC18,0,COLUMN()-8)),0)),IF(BC$9="5차중도금",MAX(0,$F18*$C$5*0.6-IF(COLUMN()&gt;7,SUM($G18:OFFSET(BC18,0,COLUMN()-8)),0)),IF(BC$9="6차중도금",MAX(0,$F18*$C$5*0.7-IF(COLUMN()&gt;7,SUM($G18:OFFSET(BC18,0,COLUMN()-8)),0)),0)))))),IF(AND(ISNUMBER(SEARCH("입주",BC$9)),TEXT(BC$8,"yyyy-mm")&gt;=TEXT($B18,"yyyy-mm")),$F18*$D$5*INDEX($E$6:$I$6,VALUE(RIGHT(BC$9,1))),0)))</f>
        <v>0</v>
      </c>
      <c r="BD18" s="605">
        <f ca="1">IF(TEXT(BD$8,"yyyy-mm")=TEXT($B18,"yyyy-mm"),$F18*$B$5,IF(AND(ISNUMBER(SEARCH("중도금",BD$9)),TEXT(BD$8,"yyyy-mm")&gt;=TEXT($B18,"yyyy-mm")),IF(BD$9="1차중도금",$F18*$C$5/6,IF(BD$9="2차중도금",MAX(0,$F18*$C$5*0.3-IF(COLUMN()&gt;7,SUM($G18:OFFSET(BD18,0,COLUMN()-8)),0)),IF(BD$9="3차중도금",MAX(0,$F18*$C$5*0.4-IF(COLUMN()&gt;7,SUM($G18:OFFSET(BD18,0,COLUMN()-8)),0)),IF(BD$9="4차중도금",MAX(0,$F18*$C$5*0.5-IF(COLUMN()&gt;7,SUM($G18:OFFSET(BD18,0,COLUMN()-8)),0)),IF(BD$9="5차중도금",MAX(0,$F18*$C$5*0.6-IF(COLUMN()&gt;7,SUM($G18:OFFSET(BD18,0,COLUMN()-8)),0)),IF(BD$9="6차중도금",MAX(0,$F18*$C$5*0.7-IF(COLUMN()&gt;7,SUM($G18:OFFSET(BD18,0,COLUMN()-8)),0)),0)))))),IF(AND(ISNUMBER(SEARCH("입주",BD$9)),TEXT(BD$8,"yyyy-mm")&gt;=TEXT($B18,"yyyy-mm")),$F18*$D$5*INDEX($E$6:$I$6,VALUE(RIGHT(BD$9,1))),0)))</f>
        <v>0</v>
      </c>
      <c r="BE18" s="605">
        <f ca="1">IF(TEXT(BE$8,"yyyy-mm")=TEXT($B18,"yyyy-mm"),$F18*$B$5,IF(AND(ISNUMBER(SEARCH("중도금",BE$9)),TEXT(BE$8,"yyyy-mm")&gt;=TEXT($B18,"yyyy-mm")),IF(BE$9="1차중도금",$F18*$C$5/6,IF(BE$9="2차중도금",MAX(0,$F18*$C$5*0.3-IF(COLUMN()&gt;7,SUM($G18:OFFSET(BE18,0,COLUMN()-8)),0)),IF(BE$9="3차중도금",MAX(0,$F18*$C$5*0.4-IF(COLUMN()&gt;7,SUM($G18:OFFSET(BE18,0,COLUMN()-8)),0)),IF(BE$9="4차중도금",MAX(0,$F18*$C$5*0.5-IF(COLUMN()&gt;7,SUM($G18:OFFSET(BE18,0,COLUMN()-8)),0)),IF(BE$9="5차중도금",MAX(0,$F18*$C$5*0.6-IF(COLUMN()&gt;7,SUM($G18:OFFSET(BE18,0,COLUMN()-8)),0)),IF(BE$9="6차중도금",MAX(0,$F18*$C$5*0.7-IF(COLUMN()&gt;7,SUM($G18:OFFSET(BE18,0,COLUMN()-8)),0)),0)))))),IF(AND(ISNUMBER(SEARCH("입주",BE$9)),TEXT(BE$8,"yyyy-mm")&gt;=TEXT($B18,"yyyy-mm")),$F18*$D$5*INDEX($E$6:$I$6,VALUE(RIGHT(BE$9,1))),0)))</f>
        <v>0</v>
      </c>
      <c r="BF18" s="609">
        <f t="shared" ca="1" si="8"/>
        <v>3624895.0434986418</v>
      </c>
      <c r="BG18" s="556">
        <f t="shared" ca="1" si="5"/>
        <v>3961275.9816483585</v>
      </c>
      <c r="BH18" s="610"/>
    </row>
    <row r="19" spans="1:60">
      <c r="A19" s="1853"/>
      <c r="B19" s="611">
        <f t="shared" si="6"/>
        <v>45108</v>
      </c>
      <c r="C19" s="605">
        <f t="shared" si="7"/>
        <v>252872367.50490001</v>
      </c>
      <c r="D19" s="1501">
        <f t="shared" si="7"/>
        <v>0.03</v>
      </c>
      <c r="E19" s="607">
        <f t="shared" si="9"/>
        <v>0.77000000000000013</v>
      </c>
      <c r="F19" s="608">
        <f t="shared" si="2"/>
        <v>7586171.0251470003</v>
      </c>
      <c r="G19" s="605">
        <f>_xlfn.LET(_xlpm.금액,$F19,_xlpm.계약금비율,$B$5,_xlpm.중도금비율,$C$5,_xlpm.잔금비율,$D$5,_xlpm.계약시기,TEXT($B19,"yyyy-mm"),_xlpm.현재월,TEXT(G$8,"yyyy-mm"),_xlpm.헤더범위,$G$9:G$9,_xlpm.헤더,G$9,_xlpm.잔금표,$E$6:$I$6,_xlpm.잔금회차,IF(ISNUMBER(SEARCH("입주",_xlpm.헤더)),VALUE(RIGHT(_xlpm.헤더,1)),0),_xlpm.열번호,COLUMN(G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19" s="605">
        <f>_xlfn.LET(_xlpm.금액,$F19,_xlpm.계약금비율,$B$5,_xlpm.중도금비율,$C$5,_xlpm.잔금비율,$D$5,_xlpm.계약시기,TEXT($B19,"yyyy-mm"),_xlpm.현재월,TEXT(H$8,"yyyy-mm"),_xlpm.헤더범위,$G$9:H$9,_xlpm.헤더,H$9,_xlpm.잔금표,$E$6:$I$6,_xlpm.잔금회차,IF(ISNUMBER(SEARCH("입주",_xlpm.헤더)),VALUE(RIGHT(_xlpm.헤더,1)),0),_xlpm.열번호,COLUMN(H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19" s="605">
        <f>_xlfn.LET(_xlpm.금액,$F19,_xlpm.계약금비율,$B$5,_xlpm.중도금비율,$C$5,_xlpm.잔금비율,$D$5,_xlpm.계약시기,TEXT($B19,"yyyy-mm"),_xlpm.현재월,TEXT(I$8,"yyyy-mm"),_xlpm.헤더범위,$G$9:I$9,_xlpm.헤더,I$9,_xlpm.잔금표,$E$6:$I$6,_xlpm.잔금회차,IF(ISNUMBER(SEARCH("입주",_xlpm.헤더)),VALUE(RIGHT(_xlpm.헤더,1)),0),_xlpm.열번호,COLUMN(I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19" s="605">
        <f>_xlfn.LET(_xlpm.금액,$F19,_xlpm.계약금비율,$B$5,_xlpm.중도금비율,$C$5,_xlpm.잔금비율,$D$5,_xlpm.계약시기,TEXT($B19,"yyyy-mm"),_xlpm.현재월,TEXT(J$8,"yyyy-mm"),_xlpm.헤더범위,$G$9:J$9,_xlpm.헤더,J$9,_xlpm.잔금표,$E$6:$I$6,_xlpm.잔금회차,IF(ISNUMBER(SEARCH("입주",_xlpm.헤더)),VALUE(RIGHT(_xlpm.헤더,1)),0),_xlpm.열번호,COLUMN(J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19" s="605">
        <f>_xlfn.LET(_xlpm.금액,$F19,_xlpm.계약금비율,$B$5,_xlpm.중도금비율,$C$5,_xlpm.잔금비율,$D$5,_xlpm.계약시기,TEXT($B19,"yyyy-mm"),_xlpm.현재월,TEXT(K$8,"yyyy-mm"),_xlpm.헤더범위,$G$9:K$9,_xlpm.헤더,K$9,_xlpm.잔금표,$E$6:$I$6,_xlpm.잔금회차,IF(ISNUMBER(SEARCH("입주",_xlpm.헤더)),VALUE(RIGHT(_xlpm.헤더,1)),0),_xlpm.열번호,COLUMN(K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19" s="605">
        <f ca="1">_xlfn.LET(_xlpm.금액,$F19,_xlpm.계약금비율,$B$5,_xlpm.중도금비율,$C$5,_xlpm.잔금비율,$D$5,_xlpm.계약시기,TEXT($B19,"yyyy-mm"),_xlpm.현재월,TEXT(L$8,"yyyy-mm"),_xlpm.헤더범위,$G$9:L$9,_xlpm.헤더,L$9,_xlpm.잔금표,$E$6:$I$6,_xlpm.잔금회차,IF(ISNUMBER(SEARCH("입주",_xlpm.헤더)),VALUE(RIGHT(_xlpm.헤더,1)),0),_xlpm.열번호,COLUMN(L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19" s="605">
        <f>_xlfn.LET(_xlpm.금액,$F19,_xlpm.계약금비율,$B$5,_xlpm.중도금비율,$C$5,_xlpm.잔금비율,$D$5,_xlpm.계약시기,TEXT($B19,"yyyy-mm"),_xlpm.현재월,TEXT(M$8,"yyyy-mm"),_xlpm.헤더범위,$G$9:M$9,_xlpm.헤더,M$9,_xlpm.잔금표,$E$6:$I$6,_xlpm.잔금회차,IF(ISNUMBER(SEARCH("입주",_xlpm.헤더)),VALUE(RIGHT(_xlpm.헤더,1)),0),_xlpm.열번호,COLUMN(M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19" s="605">
        <f>_xlfn.LET(_xlpm.금액,$F19,_xlpm.계약금비율,$B$5,_xlpm.중도금비율,$C$5,_xlpm.잔금비율,$D$5,_xlpm.계약시기,TEXT($B19,"yyyy-mm"),_xlpm.현재월,TEXT(N$8,"yyyy-mm"),_xlpm.헤더범위,$G$9:N$9,_xlpm.헤더,N$9,_xlpm.잔금표,$E$6:$I$6,_xlpm.잔금회차,IF(ISNUMBER(SEARCH("입주",_xlpm.헤더)),VALUE(RIGHT(_xlpm.헤더,1)),0),_xlpm.열번호,COLUMN(N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19" s="605">
        <f>_xlfn.LET(_xlpm.금액,$F19,_xlpm.계약금비율,$B$5,_xlpm.중도금비율,$C$5,_xlpm.잔금비율,$D$5,_xlpm.계약시기,TEXT($B19,"yyyy-mm"),_xlpm.현재월,TEXT(O$8,"yyyy-mm"),_xlpm.헤더범위,$G$9:O$9,_xlpm.헤더,O$9,_xlpm.잔금표,$E$6:$I$6,_xlpm.잔금회차,IF(ISNUMBER(SEARCH("입주",_xlpm.헤더)),VALUE(RIGHT(_xlpm.헤더,1)),0),_xlpm.열번호,COLUMN(O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19" s="605">
        <f>_xlfn.LET(_xlpm.금액,$F19,_xlpm.계약금비율,$B$5,_xlpm.중도금비율,$C$5,_xlpm.잔금비율,$D$5,_xlpm.계약시기,TEXT($B19,"yyyy-mm"),_xlpm.현재월,TEXT(P$8,"yyyy-mm"),_xlpm.헤더범위,$G$9:P$9,_xlpm.헤더,P$9,_xlpm.잔금표,$E$6:$I$6,_xlpm.잔금회차,IF(ISNUMBER(SEARCH("입주",_xlpm.헤더)),VALUE(RIGHT(_xlpm.헤더,1)),0),_xlpm.열번호,COLUMN(P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758617.10251470003</v>
      </c>
      <c r="Q19" s="605">
        <f ca="1">_xlfn.LET(_xlpm.금액,$F19,_xlpm.계약금비율,$B$5,_xlpm.중도금비율,$C$5,_xlpm.잔금비율,$D$5,_xlpm.계약시기,TEXT($B19,"yyyy-mm"),_xlpm.현재월,TEXT(Q$8,"yyyy-mm"),_xlpm.헤더범위,$G$9:Q$9,_xlpm.헤더,Q$9,_xlpm.잔금표,$E$6:$I$6,_xlpm.잔금회차,IF(ISNUMBER(SEARCH("입주",_xlpm.헤더)),VALUE(RIGHT(_xlpm.헤더,1)),0),_xlpm.열번호,COLUMN(Q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19" s="605">
        <f>_xlfn.LET(_xlpm.금액,$F19,_xlpm.계약금비율,$B$5,_xlpm.중도금비율,$C$5,_xlpm.잔금비율,$D$5,_xlpm.계약시기,TEXT($B19,"yyyy-mm"),_xlpm.현재월,TEXT(R$8,"yyyy-mm"),_xlpm.헤더범위,$G$9:R$9,_xlpm.헤더,R$9,_xlpm.잔금표,$E$6:$I$6,_xlpm.잔금회차,IF(ISNUMBER(SEARCH("입주",_xlpm.헤더)),VALUE(RIGHT(_xlpm.헤더,1)),0),_xlpm.열번호,COLUMN(R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19" s="605">
        <f>_xlfn.LET(_xlpm.금액,$F19,_xlpm.계약금비율,$B$5,_xlpm.중도금비율,$C$5,_xlpm.잔금비율,$D$5,_xlpm.계약시기,TEXT($B19,"yyyy-mm"),_xlpm.현재월,TEXT(S$8,"yyyy-mm"),_xlpm.헤더범위,$G$9:S$9,_xlpm.헤더,S$9,_xlpm.잔금표,$E$6:$I$6,_xlpm.잔금회차,IF(ISNUMBER(SEARCH("입주",_xlpm.헤더)),VALUE(RIGHT(_xlpm.헤더,1)),0),_xlpm.열번호,COLUMN(S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19" s="605">
        <f>_xlfn.LET(_xlpm.금액,$F19,_xlpm.계약금비율,$B$5,_xlpm.중도금비율,$C$5,_xlpm.잔금비율,$D$5,_xlpm.계약시기,TEXT($B19,"yyyy-mm"),_xlpm.현재월,TEXT(T$8,"yyyy-mm"),_xlpm.헤더범위,$G$9:T$9,_xlpm.헤더,T$9,_xlpm.잔금표,$E$6:$I$6,_xlpm.잔금회차,IF(ISNUMBER(SEARCH("입주",_xlpm.헤더)),VALUE(RIGHT(_xlpm.헤더,1)),0),_xlpm.열번호,COLUMN(T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19" s="605">
        <f>_xlfn.LET(_xlpm.금액,$F19,_xlpm.계약금비율,$B$5,_xlpm.중도금비율,$C$5,_xlpm.잔금비율,$D$5,_xlpm.계약시기,TEXT($B19,"yyyy-mm"),_xlpm.현재월,TEXT(U$8,"yyyy-mm"),_xlpm.헤더범위,$G$9:U$9,_xlpm.헤더,U$9,_xlpm.잔금표,$E$6:$I$6,_xlpm.잔금회차,IF(ISNUMBER(SEARCH("입주",_xlpm.헤더)),VALUE(RIGHT(_xlpm.헤더,1)),0),_xlpm.열번호,COLUMN(U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19" s="605">
        <f ca="1">_xlfn.LET(_xlpm.금액,$F19,_xlpm.계약금비율,$B$5,_xlpm.중도금비율,$C$5,_xlpm.잔금비율,$D$5,_xlpm.계약시기,TEXT($B19,"yyyy-mm"),_xlpm.현재월,TEXT(V$8,"yyyy-mm"),_xlpm.헤더범위,$G$9:V$9,_xlpm.헤더,V$9,_xlpm.잔금표,$E$6:$I$6,_xlpm.잔금회차,IF(ISNUMBER(SEARCH("입주",_xlpm.헤더)),VALUE(RIGHT(_xlpm.헤더,1)),0),_xlpm.열번호,COLUMN(V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19" s="605">
        <f>_xlfn.LET(_xlpm.금액,$F19,_xlpm.계약금비율,$B$5,_xlpm.중도금비율,$C$5,_xlpm.잔금비율,$D$5,_xlpm.계약시기,TEXT($B19,"yyyy-mm"),_xlpm.현재월,TEXT(W$8,"yyyy-mm"),_xlpm.헤더범위,$G$9:W$9,_xlpm.헤더,W$9,_xlpm.잔금표,$E$6:$I$6,_xlpm.잔금회차,IF(ISNUMBER(SEARCH("입주",_xlpm.헤더)),VALUE(RIGHT(_xlpm.헤더,1)),0),_xlpm.열번호,COLUMN(W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19" s="605">
        <f>_xlfn.LET(_xlpm.금액,$F19,_xlpm.계약금비율,$B$5,_xlpm.중도금비율,$C$5,_xlpm.잔금비율,$D$5,_xlpm.계약시기,TEXT($B19,"yyyy-mm"),_xlpm.현재월,TEXT(X$8,"yyyy-mm"),_xlpm.헤더범위,$G$9:X$9,_xlpm.헤더,X$9,_xlpm.잔금표,$E$6:$I$6,_xlpm.잔금회차,IF(ISNUMBER(SEARCH("입주",_xlpm.헤더)),VALUE(RIGHT(_xlpm.헤더,1)),0),_xlpm.열번호,COLUMN(X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19" s="605">
        <f>_xlfn.LET(_xlpm.금액,$F19,_xlpm.계약금비율,$B$5,_xlpm.중도금비율,$C$5,_xlpm.잔금비율,$D$5,_xlpm.계약시기,TEXT($B19,"yyyy-mm"),_xlpm.현재월,TEXT(Y$8,"yyyy-mm"),_xlpm.헤더범위,$G$9:Y$9,_xlpm.헤더,Y$9,_xlpm.잔금표,$E$6:$I$6,_xlpm.잔금회차,IF(ISNUMBER(SEARCH("입주",_xlpm.헤더)),VALUE(RIGHT(_xlpm.헤더,1)),0),_xlpm.열번호,COLUMN(Y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19" s="605">
        <f>_xlfn.LET(_xlpm.금액,$F19,_xlpm.계약금비율,$B$5,_xlpm.중도금비율,$C$5,_xlpm.잔금비율,$D$5,_xlpm.계약시기,TEXT($B19,"yyyy-mm"),_xlpm.현재월,TEXT(Z$8,"yyyy-mm"),_xlpm.헤더범위,$G$9:Z$9,_xlpm.헤더,Z$9,_xlpm.잔금표,$E$6:$I$6,_xlpm.잔금회차,IF(ISNUMBER(SEARCH("입주",_xlpm.헤더)),VALUE(RIGHT(_xlpm.헤더,1)),0),_xlpm.열번호,COLUMN(Z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19" s="605">
        <f>_xlfn.LET(_xlpm.금액,$F19,_xlpm.계약금비율,$B$5,_xlpm.중도금비율,$C$5,_xlpm.잔금비율,$D$5,_xlpm.계약시기,TEXT($B19,"yyyy-mm"),_xlpm.현재월,TEXT(AA$8,"yyyy-mm"),_xlpm.헤더범위,$G$9:AA$9,_xlpm.헤더,AA$9,_xlpm.잔금표,$E$6:$I$6,_xlpm.잔금회차,IF(ISNUMBER(SEARCH("입주",_xlpm.헤더)),VALUE(RIGHT(_xlpm.헤더,1)),0),_xlpm.열번호,COLUMN(AA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19" s="605">
        <f ca="1">_xlfn.LET(_xlpm.금액,$F19,_xlpm.계약금비율,$B$5,_xlpm.중도금비율,$C$5,_xlpm.잔금비율,$D$5,_xlpm.계약시기,TEXT($B19,"yyyy-mm"),_xlpm.현재월,TEXT(AB$8,"yyyy-mm"),_xlpm.헤더범위,$G$9:AB$9,_xlpm.헤더,AB$9,_xlpm.잔금표,$E$6:$I$6,_xlpm.잔금회차,IF(ISNUMBER(SEARCH("입주",_xlpm.헤더)),VALUE(RIGHT(_xlpm.헤더,1)),0),_xlpm.열번호,COLUMN(AB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19" s="605">
        <f>_xlfn.LET(_xlpm.금액,$F19,_xlpm.계약금비율,$B$5,_xlpm.중도금비율,$C$5,_xlpm.잔금비율,$D$5,_xlpm.계약시기,TEXT($B19,"yyyy-mm"),_xlpm.현재월,TEXT(AC$8,"yyyy-mm"),_xlpm.헤더범위,$G$9:AC$9,_xlpm.헤더,AC$9,_xlpm.잔금표,$E$6:$I$6,_xlpm.잔금회차,IF(ISNUMBER(SEARCH("입주",_xlpm.헤더)),VALUE(RIGHT(_xlpm.헤더,1)),0),_xlpm.열번호,COLUMN(AC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19" s="605">
        <f>_xlfn.LET(_xlpm.금액,$F19,_xlpm.계약금비율,$B$5,_xlpm.중도금비율,$C$5,_xlpm.잔금비율,$D$5,_xlpm.계약시기,TEXT($B19,"yyyy-mm"),_xlpm.현재월,TEXT(AD$8,"yyyy-mm"),_xlpm.헤더범위,$G$9:AD$9,_xlpm.헤더,AD$9,_xlpm.잔금표,$E$6:$I$6,_xlpm.잔금회차,IF(ISNUMBER(SEARCH("입주",_xlpm.헤더)),VALUE(RIGHT(_xlpm.헤더,1)),0),_xlpm.열번호,COLUMN(AD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19" s="605">
        <f>_xlfn.LET(_xlpm.금액,$F19,_xlpm.계약금비율,$B$5,_xlpm.중도금비율,$C$5,_xlpm.잔금비율,$D$5,_xlpm.계약시기,TEXT($B19,"yyyy-mm"),_xlpm.현재월,TEXT(AE$8,"yyyy-mm"),_xlpm.헤더범위,$G$9:AE$9,_xlpm.헤더,AE$9,_xlpm.잔금표,$E$6:$I$6,_xlpm.잔금회차,IF(ISNUMBER(SEARCH("입주",_xlpm.헤더)),VALUE(RIGHT(_xlpm.헤더,1)),0),_xlpm.열번호,COLUMN(AE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19" s="605">
        <f>_xlfn.LET(_xlpm.금액,$F19,_xlpm.계약금비율,$B$5,_xlpm.중도금비율,$C$5,_xlpm.잔금비율,$D$5,_xlpm.계약시기,TEXT($B19,"yyyy-mm"),_xlpm.현재월,TEXT(AF$8,"yyyy-mm"),_xlpm.헤더범위,$G$9:AF$9,_xlpm.헤더,AF$9,_xlpm.잔금표,$E$6:$I$6,_xlpm.잔금회차,IF(ISNUMBER(SEARCH("입주",_xlpm.헤더)),VALUE(RIGHT(_xlpm.헤더,1)),0),_xlpm.열번호,COLUMN(AF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19" s="605">
        <f ca="1">_xlfn.LET(_xlpm.금액,$F19,_xlpm.계약금비율,$B$5,_xlpm.중도금비율,$C$5,_xlpm.잔금비율,$D$5,_xlpm.계약시기,TEXT($B19,"yyyy-mm"),_xlpm.현재월,TEXT(AG$8,"yyyy-mm"),_xlpm.헤더범위,$G$9:AG$9,_xlpm.헤더,AG$9,_xlpm.잔금표,$E$6:$I$6,_xlpm.잔금회차,IF(ISNUMBER(SEARCH("입주",_xlpm.헤더)),VALUE(RIGHT(_xlpm.헤더,1)),0),_xlpm.열번호,COLUMN(AG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19" s="605">
        <f>_xlfn.LET(_xlpm.금액,$F19,_xlpm.계약금비율,$B$5,_xlpm.중도금비율,$C$5,_xlpm.잔금비율,$D$5,_xlpm.계약시기,TEXT($B19,"yyyy-mm"),_xlpm.현재월,TEXT(AH$8,"yyyy-mm"),_xlpm.헤더범위,$G$9:AH$9,_xlpm.헤더,AH$9,_xlpm.잔금표,$E$6:$I$6,_xlpm.잔금회차,IF(ISNUMBER(SEARCH("입주",_xlpm.헤더)),VALUE(RIGHT(_xlpm.헤더,1)),0),_xlpm.열번호,COLUMN(AH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19" s="605">
        <f>_xlfn.LET(_xlpm.금액,$F19,_xlpm.계약금비율,$B$5,_xlpm.중도금비율,$C$5,_xlpm.잔금비율,$D$5,_xlpm.계약시기,TEXT($B19,"yyyy-mm"),_xlpm.현재월,TEXT(AI$8,"yyyy-mm"),_xlpm.헤더범위,$G$9:AI$9,_xlpm.헤더,AI$9,_xlpm.잔금표,$E$6:$I$6,_xlpm.잔금회차,IF(ISNUMBER(SEARCH("입주",_xlpm.헤더)),VALUE(RIGHT(_xlpm.헤더,1)),0),_xlpm.열번호,COLUMN(AI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19" s="605">
        <f>_xlfn.LET(_xlpm.금액,$F19,_xlpm.계약금비율,$B$5,_xlpm.중도금비율,$C$5,_xlpm.잔금비율,$D$5,_xlpm.계약시기,TEXT($B19,"yyyy-mm"),_xlpm.현재월,TEXT(AJ$8,"yyyy-mm"),_xlpm.헤더범위,$G$9:AJ$9,_xlpm.헤더,AJ$9,_xlpm.잔금표,$E$6:$I$6,_xlpm.잔금회차,IF(ISNUMBER(SEARCH("입주",_xlpm.헤더)),VALUE(RIGHT(_xlpm.헤더,1)),0),_xlpm.열번호,COLUMN(AJ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19" s="605">
        <f>_xlfn.LET(_xlpm.금액,$F19,_xlpm.계약금비율,$B$5,_xlpm.중도금비율,$C$5,_xlpm.잔금비율,$D$5,_xlpm.계약시기,TEXT($B19,"yyyy-mm"),_xlpm.현재월,TEXT(AK$8,"yyyy-mm"),_xlpm.헤더범위,$G$9:AK$9,_xlpm.헤더,AK$9,_xlpm.잔금표,$E$6:$I$6,_xlpm.잔금회차,IF(ISNUMBER(SEARCH("입주",_xlpm.헤더)),VALUE(RIGHT(_xlpm.헤더,1)),0),_xlpm.열번호,COLUMN(AK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19" s="605">
        <f ca="1">_xlfn.LET(_xlpm.금액,$F19,_xlpm.계약금비율,$B$5,_xlpm.중도금비율,$C$5,_xlpm.잔금비율,$D$5,_xlpm.계약시기,TEXT($B19,"yyyy-mm"),_xlpm.현재월,TEXT(AL$8,"yyyy-mm"),_xlpm.헤더범위,$G$9:AL$9,_xlpm.헤더,AL$9,_xlpm.잔금표,$E$6:$I$6,_xlpm.잔금회차,IF(ISNUMBER(SEARCH("입주",_xlpm.헤더)),VALUE(RIGHT(_xlpm.헤더,1)),0),_xlpm.열번호,COLUMN(AL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19" s="605">
        <f>_xlfn.LET(_xlpm.금액,$F19,_xlpm.계약금비율,$B$5,_xlpm.중도금비율,$C$5,_xlpm.잔금비율,$D$5,_xlpm.계약시기,TEXT($B19,"yyyy-mm"),_xlpm.현재월,TEXT(AM$8,"yyyy-mm"),_xlpm.헤더범위,$G$9:AM$9,_xlpm.헤더,AM$9,_xlpm.잔금표,$E$6:$I$6,_xlpm.잔금회차,IF(ISNUMBER(SEARCH("입주",_xlpm.헤더)),VALUE(RIGHT(_xlpm.헤더,1)),0),_xlpm.열번호,COLUMN(AM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19" s="605">
        <f>_xlfn.LET(_xlpm.금액,$F19,_xlpm.계약금비율,$B$5,_xlpm.중도금비율,$C$5,_xlpm.잔금비율,$D$5,_xlpm.계약시기,TEXT($B19,"yyyy-mm"),_xlpm.현재월,TEXT(AN$8,"yyyy-mm"),_xlpm.헤더범위,$G$9:AN$9,_xlpm.헤더,AN$9,_xlpm.잔금표,$E$6:$I$6,_xlpm.잔금회차,IF(ISNUMBER(SEARCH("입주",_xlpm.헤더)),VALUE(RIGHT(_xlpm.헤더,1)),0),_xlpm.열번호,COLUMN(AN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19" s="605">
        <f>_xlfn.LET(_xlpm.금액,$F19,_xlpm.계약금비율,$B$5,_xlpm.중도금비율,$C$5,_xlpm.잔금비율,$D$5,_xlpm.계약시기,TEXT($B19,"yyyy-mm"),_xlpm.현재월,TEXT(AO$8,"yyyy-mm"),_xlpm.헤더범위,$G$9:AO$9,_xlpm.헤더,AO$9,_xlpm.잔금표,$E$6:$I$6,_xlpm.잔금회차,IF(ISNUMBER(SEARCH("입주",_xlpm.헤더)),VALUE(RIGHT(_xlpm.헤더,1)),0),_xlpm.열번호,COLUMN(AO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19" s="605">
        <f>_xlfn.LET(_xlpm.금액,$F19,_xlpm.계약금비율,$B$5,_xlpm.중도금비율,$C$5,_xlpm.잔금비율,$D$5,_xlpm.계약시기,TEXT($B19,"yyyy-mm"),_xlpm.현재월,TEXT(AP$8,"yyyy-mm"),_xlpm.헤더범위,$G$9:AP$9,_xlpm.헤더,AP$9,_xlpm.잔금표,$E$6:$I$6,_xlpm.잔금회차,IF(ISNUMBER(SEARCH("입주",_xlpm.헤더)),VALUE(RIGHT(_xlpm.헤더,1)),0),_xlpm.열번호,COLUMN(AP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19" s="605">
        <f>_xlfn.LET(_xlpm.금액,$F19,_xlpm.계약금비율,$B$5,_xlpm.중도금비율,$C$5,_xlpm.잔금비율,$D$5,_xlpm.계약시기,TEXT($B19,"yyyy-mm"),_xlpm.현재월,TEXT(AQ$8,"yyyy-mm"),_xlpm.헤더범위,$G$9:AQ$9,_xlpm.헤더,AQ$9,_xlpm.잔금표,$E$6:$I$6,_xlpm.잔금회차,IF(ISNUMBER(SEARCH("입주",_xlpm.헤더)),VALUE(RIGHT(_xlpm.헤더,1)),0),_xlpm.열번호,COLUMN(AQ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19" s="605" t="e" vm="2">
        <f>_xlfn.LET(_xlpm.금액,$F19,_xlpm.계약금비율,$B$5,_xlpm.중도금비율,$C$5,_xlpm.잔금비율,$D$5,_xlpm.계약시기,TEXT($B19,"yyyy-mm"),_xlpm.현재월,TEXT(AR$8,"yyyy-mm"),_xlpm.헤더범위,$G$9:AR$9,_xlpm.헤더,AR$9,_xlpm.잔금표,$E$6:$I$6,_xlpm.잔금회차,IF(ISNUMBER(SEARCH("입주",_xlpm.헤더)),VALUE(RIGHT(_xlpm.헤더,1)),0),_xlpm.열번호,COLUMN(AR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19" s="605" t="e" vm="2">
        <f>_xlfn.LET(_xlpm.금액,$F19,_xlpm.계약금비율,$B$5,_xlpm.중도금비율,$C$5,_xlpm.잔금비율,$D$5,_xlpm.계약시기,TEXT($B19,"yyyy-mm"),_xlpm.현재월,TEXT(AS$8,"yyyy-mm"),_xlpm.헤더범위,$G$9:AS$9,_xlpm.헤더,AS$9,_xlpm.잔금표,$E$6:$I$6,_xlpm.잔금회차,IF(ISNUMBER(SEARCH("입주",_xlpm.헤더)),VALUE(RIGHT(_xlpm.헤더,1)),0),_xlpm.열번호,COLUMN(AS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19" s="605" t="e" vm="2">
        <f>_xlfn.LET(_xlpm.금액,$F19,_xlpm.계약금비율,$B$5,_xlpm.중도금비율,$C$5,_xlpm.잔금비율,$D$5,_xlpm.계약시기,TEXT($B19,"yyyy-mm"),_xlpm.현재월,TEXT(AT$8,"yyyy-mm"),_xlpm.헤더범위,$G$9:AT$9,_xlpm.헤더,AT$9,_xlpm.잔금표,$E$6:$I$6,_xlpm.잔금회차,IF(ISNUMBER(SEARCH("입주",_xlpm.헤더)),VALUE(RIGHT(_xlpm.헤더,1)),0),_xlpm.열번호,COLUMN(AT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19" s="605" t="e" vm="2">
        <f>_xlfn.LET(_xlpm.금액,$F19,_xlpm.계약금비율,$B$5,_xlpm.중도금비율,$C$5,_xlpm.잔금비율,$D$5,_xlpm.계약시기,TEXT($B19,"yyyy-mm"),_xlpm.현재월,TEXT(AU$8,"yyyy-mm"),_xlpm.헤더범위,$G$9:AU$9,_xlpm.헤더,AU$9,_xlpm.잔금표,$E$6:$I$6,_xlpm.잔금회차,IF(ISNUMBER(SEARCH("입주",_xlpm.헤더)),VALUE(RIGHT(_xlpm.헤더,1)),0),_xlpm.열번호,COLUMN(AU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19" s="605" t="e" vm="2">
        <f>_xlfn.LET(_xlpm.금액,$F19,_xlpm.계약금비율,$B$5,_xlpm.중도금비율,$C$5,_xlpm.잔금비율,$D$5,_xlpm.계약시기,TEXT($B19,"yyyy-mm"),_xlpm.현재월,TEXT(AV$8,"yyyy-mm"),_xlpm.헤더범위,$G$9:AV$9,_xlpm.헤더,AV$9,_xlpm.잔금표,$E$6:$I$6,_xlpm.잔금회차,IF(ISNUMBER(SEARCH("입주",_xlpm.헤더)),VALUE(RIGHT(_xlpm.헤더,1)),0),_xlpm.열번호,COLUMN(AV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19" s="605">
        <f>_xlfn.LET(_xlpm.금액,$F19,_xlpm.계약금비율,$B$5,_xlpm.중도금비율,$C$5,_xlpm.잔금비율,$D$5,_xlpm.계약시기,TEXT($B19,"yyyy-mm"),_xlpm.현재월,TEXT(AW$8,"yyyy-mm"),_xlpm.헤더범위,$G$9:AW$9,_xlpm.헤더,AW$9,_xlpm.잔금표,$E$6:$I$6,_xlpm.잔금회차,IF(ISNUMBER(SEARCH("입주",_xlpm.헤더)),VALUE(RIGHT(_xlpm.헤더,1)),0),_xlpm.열번호,COLUMN(AW$9),_xlpm.행번호,ROW($G19),_xlpm.전체헤더,$G$9:$BF$9,_xlpm.전체데이터,$G19:$BF19,_xlpm.전체열번호,_xlfn.SEQUENCE(1,COLUMNS(_xlpm.전체헤더),COLUMN($G19)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19" s="605">
        <f t="shared" ca="1" si="11"/>
        <v>0</v>
      </c>
      <c r="AY19" s="605">
        <f t="shared" ca="1" si="11"/>
        <v>0</v>
      </c>
      <c r="AZ19" s="605">
        <f t="shared" ca="1" si="10"/>
        <v>0</v>
      </c>
      <c r="BA19" s="605">
        <f t="shared" ca="1" si="10"/>
        <v>0</v>
      </c>
      <c r="BB19" s="605">
        <f t="shared" ca="1" si="10"/>
        <v>0</v>
      </c>
      <c r="BC19" s="605">
        <f ca="1">IF(TEXT(BC$8,"yyyy-mm")=TEXT($B19,"yyyy-mm"),$F19*$B$5,IF(AND(ISNUMBER(SEARCH("중도금",BC$9)),TEXT(BC$8,"yyyy-mm")&gt;=TEXT($B19,"yyyy-mm")),IF(BC$9="1차중도금",$F19*$C$5/6,IF(BC$9="2차중도금",MAX(0,$F19*$C$5*0.3-IF(COLUMN()&gt;7,SUM($G19:OFFSET(BC19,0,COLUMN()-8)),0)),IF(BC$9="3차중도금",MAX(0,$F19*$C$5*0.4-IF(COLUMN()&gt;7,SUM($G19:OFFSET(BC19,0,COLUMN()-8)),0)),IF(BC$9="4차중도금",MAX(0,$F19*$C$5*0.5-IF(COLUMN()&gt;7,SUM($G19:OFFSET(BC19,0,COLUMN()-8)),0)),IF(BC$9="5차중도금",MAX(0,$F19*$C$5*0.6-IF(COLUMN()&gt;7,SUM($G19:OFFSET(BC19,0,COLUMN()-8)),0)),IF(BC$9="6차중도금",MAX(0,$F19*$C$5*0.7-IF(COLUMN()&gt;7,SUM($G19:OFFSET(BC19,0,COLUMN()-8)),0)),0)))))),IF(AND(ISNUMBER(SEARCH("입주",BC$9)),TEXT(BC$8,"yyyy-mm")&gt;=TEXT($B19,"yyyy-mm")),$F19*$D$5*INDEX($E$6:$I$6,VALUE(RIGHT(BC$9,1))),0)))</f>
        <v>0</v>
      </c>
      <c r="BD19" s="605">
        <f ca="1">IF(TEXT(BD$8,"yyyy-mm")=TEXT($B19,"yyyy-mm"),$F19*$B$5,IF(AND(ISNUMBER(SEARCH("중도금",BD$9)),TEXT(BD$8,"yyyy-mm")&gt;=TEXT($B19,"yyyy-mm")),IF(BD$9="1차중도금",$F19*$C$5/6,IF(BD$9="2차중도금",MAX(0,$F19*$C$5*0.3-IF(COLUMN()&gt;7,SUM($G19:OFFSET(BD19,0,COLUMN()-8)),0)),IF(BD$9="3차중도금",MAX(0,$F19*$C$5*0.4-IF(COLUMN()&gt;7,SUM($G19:OFFSET(BD19,0,COLUMN()-8)),0)),IF(BD$9="4차중도금",MAX(0,$F19*$C$5*0.5-IF(COLUMN()&gt;7,SUM($G19:OFFSET(BD19,0,COLUMN()-8)),0)),IF(BD$9="5차중도금",MAX(0,$F19*$C$5*0.6-IF(COLUMN()&gt;7,SUM($G19:OFFSET(BD19,0,COLUMN()-8)),0)),IF(BD$9="6차중도금",MAX(0,$F19*$C$5*0.7-IF(COLUMN()&gt;7,SUM($G19:OFFSET(BD19,0,COLUMN()-8)),0)),0)))))),IF(AND(ISNUMBER(SEARCH("입주",BD$9)),TEXT(BD$8,"yyyy-mm")&gt;=TEXT($B19,"yyyy-mm")),$F19*$D$5*INDEX($E$6:$I$6,VALUE(RIGHT(BD$9,1))),0)))</f>
        <v>0</v>
      </c>
      <c r="BE19" s="605">
        <f ca="1">IF(TEXT(BE$8,"yyyy-mm")=TEXT($B19,"yyyy-mm"),$F19*$B$5,IF(AND(ISNUMBER(SEARCH("중도금",BE$9)),TEXT(BE$8,"yyyy-mm")&gt;=TEXT($B19,"yyyy-mm")),IF(BE$9="1차중도금",$F19*$C$5/6,IF(BE$9="2차중도금",MAX(0,$F19*$C$5*0.3-IF(COLUMN()&gt;7,SUM($G19:OFFSET(BE19,0,COLUMN()-8)),0)),IF(BE$9="3차중도금",MAX(0,$F19*$C$5*0.4-IF(COLUMN()&gt;7,SUM($G19:OFFSET(BE19,0,COLUMN()-8)),0)),IF(BE$9="4차중도금",MAX(0,$F19*$C$5*0.5-IF(COLUMN()&gt;7,SUM($G19:OFFSET(BE19,0,COLUMN()-8)),0)),IF(BE$9="5차중도금",MAX(0,$F19*$C$5*0.6-IF(COLUMN()&gt;7,SUM($G19:OFFSET(BE19,0,COLUMN()-8)),0)),IF(BE$9="6차중도금",MAX(0,$F19*$C$5*0.7-IF(COLUMN()&gt;7,SUM($G19:OFFSET(BE19,0,COLUMN()-8)),0)),0)))))),IF(AND(ISNUMBER(SEARCH("입주",BE$9)),TEXT(BE$8,"yyyy-mm")&gt;=TEXT($B19,"yyyy-mm")),$F19*$D$5*INDEX($E$6:$I$6,VALUE(RIGHT(BE$9,1))),0)))</f>
        <v>0</v>
      </c>
      <c r="BF19" s="609">
        <f t="shared" ca="1" si="8"/>
        <v>5910861.2457429413</v>
      </c>
      <c r="BG19" s="556">
        <f t="shared" ca="1" si="5"/>
        <v>1675309.7794040591</v>
      </c>
      <c r="BH19" s="610"/>
    </row>
    <row r="20" spans="1:60">
      <c r="A20" s="1853"/>
      <c r="B20" s="611">
        <f t="shared" si="6"/>
        <v>45139</v>
      </c>
      <c r="C20" s="605">
        <f t="shared" si="7"/>
        <v>252872367.50490001</v>
      </c>
      <c r="D20" s="1501">
        <f t="shared" si="7"/>
        <v>0.03</v>
      </c>
      <c r="E20" s="607">
        <f t="shared" si="9"/>
        <v>0.80000000000000016</v>
      </c>
      <c r="F20" s="608">
        <f t="shared" si="2"/>
        <v>7586171.0251470003</v>
      </c>
      <c r="G20" s="605">
        <f>_xlfn.LET(_xlpm.금액,$F20,_xlpm.계약금비율,$B$5,_xlpm.중도금비율,$C$5,_xlpm.잔금비율,$D$5,_xlpm.계약시기,TEXT($B20,"yyyy-mm"),_xlpm.현재월,TEXT(G$8,"yyyy-mm"),_xlpm.헤더범위,$G$9:G$9,_xlpm.헤더,G$9,_xlpm.잔금표,$E$6:$I$6,_xlpm.잔금회차,IF(ISNUMBER(SEARCH("입주",_xlpm.헤더)),VALUE(RIGHT(_xlpm.헤더,1)),0),_xlpm.열번호,COLUMN(G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20" s="605">
        <f>_xlfn.LET(_xlpm.금액,$F20,_xlpm.계약금비율,$B$5,_xlpm.중도금비율,$C$5,_xlpm.잔금비율,$D$5,_xlpm.계약시기,TEXT($B20,"yyyy-mm"),_xlpm.현재월,TEXT(H$8,"yyyy-mm"),_xlpm.헤더범위,$G$9:H$9,_xlpm.헤더,H$9,_xlpm.잔금표,$E$6:$I$6,_xlpm.잔금회차,IF(ISNUMBER(SEARCH("입주",_xlpm.헤더)),VALUE(RIGHT(_xlpm.헤더,1)),0),_xlpm.열번호,COLUMN(H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20" s="605">
        <f>_xlfn.LET(_xlpm.금액,$F20,_xlpm.계약금비율,$B$5,_xlpm.중도금비율,$C$5,_xlpm.잔금비율,$D$5,_xlpm.계약시기,TEXT($B20,"yyyy-mm"),_xlpm.현재월,TEXT(I$8,"yyyy-mm"),_xlpm.헤더범위,$G$9:I$9,_xlpm.헤더,I$9,_xlpm.잔금표,$E$6:$I$6,_xlpm.잔금회차,IF(ISNUMBER(SEARCH("입주",_xlpm.헤더)),VALUE(RIGHT(_xlpm.헤더,1)),0),_xlpm.열번호,COLUMN(I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20" s="605">
        <f>_xlfn.LET(_xlpm.금액,$F20,_xlpm.계약금비율,$B$5,_xlpm.중도금비율,$C$5,_xlpm.잔금비율,$D$5,_xlpm.계약시기,TEXT($B20,"yyyy-mm"),_xlpm.현재월,TEXT(J$8,"yyyy-mm"),_xlpm.헤더범위,$G$9:J$9,_xlpm.헤더,J$9,_xlpm.잔금표,$E$6:$I$6,_xlpm.잔금회차,IF(ISNUMBER(SEARCH("입주",_xlpm.헤더)),VALUE(RIGHT(_xlpm.헤더,1)),0),_xlpm.열번호,COLUMN(J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20" s="605">
        <f>_xlfn.LET(_xlpm.금액,$F20,_xlpm.계약금비율,$B$5,_xlpm.중도금비율,$C$5,_xlpm.잔금비율,$D$5,_xlpm.계약시기,TEXT($B20,"yyyy-mm"),_xlpm.현재월,TEXT(K$8,"yyyy-mm"),_xlpm.헤더범위,$G$9:K$9,_xlpm.헤더,K$9,_xlpm.잔금표,$E$6:$I$6,_xlpm.잔금회차,IF(ISNUMBER(SEARCH("입주",_xlpm.헤더)),VALUE(RIGHT(_xlpm.헤더,1)),0),_xlpm.열번호,COLUMN(K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20" s="605">
        <f ca="1">_xlfn.LET(_xlpm.금액,$F20,_xlpm.계약금비율,$B$5,_xlpm.중도금비율,$C$5,_xlpm.잔금비율,$D$5,_xlpm.계약시기,TEXT($B20,"yyyy-mm"),_xlpm.현재월,TEXT(L$8,"yyyy-mm"),_xlpm.헤더범위,$G$9:L$9,_xlpm.헤더,L$9,_xlpm.잔금표,$E$6:$I$6,_xlpm.잔금회차,IF(ISNUMBER(SEARCH("입주",_xlpm.헤더)),VALUE(RIGHT(_xlpm.헤더,1)),0),_xlpm.열번호,COLUMN(L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20" s="605">
        <f>_xlfn.LET(_xlpm.금액,$F20,_xlpm.계약금비율,$B$5,_xlpm.중도금비율,$C$5,_xlpm.잔금비율,$D$5,_xlpm.계약시기,TEXT($B20,"yyyy-mm"),_xlpm.현재월,TEXT(M$8,"yyyy-mm"),_xlpm.헤더범위,$G$9:M$9,_xlpm.헤더,M$9,_xlpm.잔금표,$E$6:$I$6,_xlpm.잔금회차,IF(ISNUMBER(SEARCH("입주",_xlpm.헤더)),VALUE(RIGHT(_xlpm.헤더,1)),0),_xlpm.열번호,COLUMN(M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20" s="605">
        <f>_xlfn.LET(_xlpm.금액,$F20,_xlpm.계약금비율,$B$5,_xlpm.중도금비율,$C$5,_xlpm.잔금비율,$D$5,_xlpm.계약시기,TEXT($B20,"yyyy-mm"),_xlpm.현재월,TEXT(N$8,"yyyy-mm"),_xlpm.헤더범위,$G$9:N$9,_xlpm.헤더,N$9,_xlpm.잔금표,$E$6:$I$6,_xlpm.잔금회차,IF(ISNUMBER(SEARCH("입주",_xlpm.헤더)),VALUE(RIGHT(_xlpm.헤더,1)),0),_xlpm.열번호,COLUMN(N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20" s="605">
        <f>_xlfn.LET(_xlpm.금액,$F20,_xlpm.계약금비율,$B$5,_xlpm.중도금비율,$C$5,_xlpm.잔금비율,$D$5,_xlpm.계약시기,TEXT($B20,"yyyy-mm"),_xlpm.현재월,TEXT(O$8,"yyyy-mm"),_xlpm.헤더범위,$G$9:O$9,_xlpm.헤더,O$9,_xlpm.잔금표,$E$6:$I$6,_xlpm.잔금회차,IF(ISNUMBER(SEARCH("입주",_xlpm.헤더)),VALUE(RIGHT(_xlpm.헤더,1)),0),_xlpm.열번호,COLUMN(O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20" s="605">
        <f>_xlfn.LET(_xlpm.금액,$F20,_xlpm.계약금비율,$B$5,_xlpm.중도금비율,$C$5,_xlpm.잔금비율,$D$5,_xlpm.계약시기,TEXT($B20,"yyyy-mm"),_xlpm.현재월,TEXT(P$8,"yyyy-mm"),_xlpm.헤더범위,$G$9:P$9,_xlpm.헤더,P$9,_xlpm.잔금표,$E$6:$I$6,_xlpm.잔금회차,IF(ISNUMBER(SEARCH("입주",_xlpm.헤더)),VALUE(RIGHT(_xlpm.헤더,1)),0),_xlpm.열번호,COLUMN(P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20" s="605">
        <f ca="1">_xlfn.LET(_xlpm.금액,$F20,_xlpm.계약금비율,$B$5,_xlpm.중도금비율,$C$5,_xlpm.잔금비율,$D$5,_xlpm.계약시기,TEXT($B20,"yyyy-mm"),_xlpm.현재월,TEXT(Q$8,"yyyy-mm"),_xlpm.헤더범위,$G$9:Q$9,_xlpm.헤더,Q$9,_xlpm.잔금표,$E$6:$I$6,_xlpm.잔금회차,IF(ISNUMBER(SEARCH("입주",_xlpm.헤더)),VALUE(RIGHT(_xlpm.헤더,1)),0),_xlpm.열번호,COLUMN(Q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20" s="605">
        <f>_xlfn.LET(_xlpm.금액,$F20,_xlpm.계약금비율,$B$5,_xlpm.중도금비율,$C$5,_xlpm.잔금비율,$D$5,_xlpm.계약시기,TEXT($B20,"yyyy-mm"),_xlpm.현재월,TEXT(R$8,"yyyy-mm"),_xlpm.헤더범위,$G$9:R$9,_xlpm.헤더,R$9,_xlpm.잔금표,$E$6:$I$6,_xlpm.잔금회차,IF(ISNUMBER(SEARCH("입주",_xlpm.헤더)),VALUE(RIGHT(_xlpm.헤더,1)),0),_xlpm.열번호,COLUMN(R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20" s="605">
        <f>_xlfn.LET(_xlpm.금액,$F20,_xlpm.계약금비율,$B$5,_xlpm.중도금비율,$C$5,_xlpm.잔금비율,$D$5,_xlpm.계약시기,TEXT($B20,"yyyy-mm"),_xlpm.현재월,TEXT(S$8,"yyyy-mm"),_xlpm.헤더범위,$G$9:S$9,_xlpm.헤더,S$9,_xlpm.잔금표,$E$6:$I$6,_xlpm.잔금회차,IF(ISNUMBER(SEARCH("입주",_xlpm.헤더)),VALUE(RIGHT(_xlpm.헤더,1)),0),_xlpm.열번호,COLUMN(S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20" s="605">
        <f>_xlfn.LET(_xlpm.금액,$F20,_xlpm.계약금비율,$B$5,_xlpm.중도금비율,$C$5,_xlpm.잔금비율,$D$5,_xlpm.계약시기,TEXT($B20,"yyyy-mm"),_xlpm.현재월,TEXT(T$8,"yyyy-mm"),_xlpm.헤더범위,$G$9:T$9,_xlpm.헤더,T$9,_xlpm.잔금표,$E$6:$I$6,_xlpm.잔금회차,IF(ISNUMBER(SEARCH("입주",_xlpm.헤더)),VALUE(RIGHT(_xlpm.헤더,1)),0),_xlpm.열번호,COLUMN(T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20" s="605">
        <f>_xlfn.LET(_xlpm.금액,$F20,_xlpm.계약금비율,$B$5,_xlpm.중도금비율,$C$5,_xlpm.잔금비율,$D$5,_xlpm.계약시기,TEXT($B20,"yyyy-mm"),_xlpm.현재월,TEXT(U$8,"yyyy-mm"),_xlpm.헤더범위,$G$9:U$9,_xlpm.헤더,U$9,_xlpm.잔금표,$E$6:$I$6,_xlpm.잔금회차,IF(ISNUMBER(SEARCH("입주",_xlpm.헤더)),VALUE(RIGHT(_xlpm.헤더,1)),0),_xlpm.열번호,COLUMN(U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20" s="605">
        <f ca="1">_xlfn.LET(_xlpm.금액,$F20,_xlpm.계약금비율,$B$5,_xlpm.중도금비율,$C$5,_xlpm.잔금비율,$D$5,_xlpm.계약시기,TEXT($B20,"yyyy-mm"),_xlpm.현재월,TEXT(V$8,"yyyy-mm"),_xlpm.헤더범위,$G$9:V$9,_xlpm.헤더,V$9,_xlpm.잔금표,$E$6:$I$6,_xlpm.잔금회차,IF(ISNUMBER(SEARCH("입주",_xlpm.헤더)),VALUE(RIGHT(_xlpm.헤더,1)),0),_xlpm.열번호,COLUMN(V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20" s="605">
        <f>_xlfn.LET(_xlpm.금액,$F20,_xlpm.계약금비율,$B$5,_xlpm.중도금비율,$C$5,_xlpm.잔금비율,$D$5,_xlpm.계약시기,TEXT($B20,"yyyy-mm"),_xlpm.현재월,TEXT(W$8,"yyyy-mm"),_xlpm.헤더범위,$G$9:W$9,_xlpm.헤더,W$9,_xlpm.잔금표,$E$6:$I$6,_xlpm.잔금회차,IF(ISNUMBER(SEARCH("입주",_xlpm.헤더)),VALUE(RIGHT(_xlpm.헤더,1)),0),_xlpm.열번호,COLUMN(W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20" s="605">
        <f>_xlfn.LET(_xlpm.금액,$F20,_xlpm.계약금비율,$B$5,_xlpm.중도금비율,$C$5,_xlpm.잔금비율,$D$5,_xlpm.계약시기,TEXT($B20,"yyyy-mm"),_xlpm.현재월,TEXT(X$8,"yyyy-mm"),_xlpm.헤더범위,$G$9:X$9,_xlpm.헤더,X$9,_xlpm.잔금표,$E$6:$I$6,_xlpm.잔금회차,IF(ISNUMBER(SEARCH("입주",_xlpm.헤더)),VALUE(RIGHT(_xlpm.헤더,1)),0),_xlpm.열번호,COLUMN(X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20" s="605">
        <f>_xlfn.LET(_xlpm.금액,$F20,_xlpm.계약금비율,$B$5,_xlpm.중도금비율,$C$5,_xlpm.잔금비율,$D$5,_xlpm.계약시기,TEXT($B20,"yyyy-mm"),_xlpm.현재월,TEXT(Y$8,"yyyy-mm"),_xlpm.헤더범위,$G$9:Y$9,_xlpm.헤더,Y$9,_xlpm.잔금표,$E$6:$I$6,_xlpm.잔금회차,IF(ISNUMBER(SEARCH("입주",_xlpm.헤더)),VALUE(RIGHT(_xlpm.헤더,1)),0),_xlpm.열번호,COLUMN(Y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20" s="605">
        <f>_xlfn.LET(_xlpm.금액,$F20,_xlpm.계약금비율,$B$5,_xlpm.중도금비율,$C$5,_xlpm.잔금비율,$D$5,_xlpm.계약시기,TEXT($B20,"yyyy-mm"),_xlpm.현재월,TEXT(Z$8,"yyyy-mm"),_xlpm.헤더범위,$G$9:Z$9,_xlpm.헤더,Z$9,_xlpm.잔금표,$E$6:$I$6,_xlpm.잔금회차,IF(ISNUMBER(SEARCH("입주",_xlpm.헤더)),VALUE(RIGHT(_xlpm.헤더,1)),0),_xlpm.열번호,COLUMN(Z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20" s="605">
        <f>_xlfn.LET(_xlpm.금액,$F20,_xlpm.계약금비율,$B$5,_xlpm.중도금비율,$C$5,_xlpm.잔금비율,$D$5,_xlpm.계약시기,TEXT($B20,"yyyy-mm"),_xlpm.현재월,TEXT(AA$8,"yyyy-mm"),_xlpm.헤더범위,$G$9:AA$9,_xlpm.헤더,AA$9,_xlpm.잔금표,$E$6:$I$6,_xlpm.잔금회차,IF(ISNUMBER(SEARCH("입주",_xlpm.헤더)),VALUE(RIGHT(_xlpm.헤더,1)),0),_xlpm.열번호,COLUMN(AA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20" s="605">
        <f ca="1">_xlfn.LET(_xlpm.금액,$F20,_xlpm.계약금비율,$B$5,_xlpm.중도금비율,$C$5,_xlpm.잔금비율,$D$5,_xlpm.계약시기,TEXT($B20,"yyyy-mm"),_xlpm.현재월,TEXT(AB$8,"yyyy-mm"),_xlpm.헤더범위,$G$9:AB$9,_xlpm.헤더,AB$9,_xlpm.잔금표,$E$6:$I$6,_xlpm.잔금회차,IF(ISNUMBER(SEARCH("입주",_xlpm.헤더)),VALUE(RIGHT(_xlpm.헤더,1)),0),_xlpm.열번호,COLUMN(AB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20" s="605">
        <f>_xlfn.LET(_xlpm.금액,$F20,_xlpm.계약금비율,$B$5,_xlpm.중도금비율,$C$5,_xlpm.잔금비율,$D$5,_xlpm.계약시기,TEXT($B20,"yyyy-mm"),_xlpm.현재월,TEXT(AC$8,"yyyy-mm"),_xlpm.헤더범위,$G$9:AC$9,_xlpm.헤더,AC$9,_xlpm.잔금표,$E$6:$I$6,_xlpm.잔금회차,IF(ISNUMBER(SEARCH("입주",_xlpm.헤더)),VALUE(RIGHT(_xlpm.헤더,1)),0),_xlpm.열번호,COLUMN(AC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20" s="605">
        <f>_xlfn.LET(_xlpm.금액,$F20,_xlpm.계약금비율,$B$5,_xlpm.중도금비율,$C$5,_xlpm.잔금비율,$D$5,_xlpm.계약시기,TEXT($B20,"yyyy-mm"),_xlpm.현재월,TEXT(AD$8,"yyyy-mm"),_xlpm.헤더범위,$G$9:AD$9,_xlpm.헤더,AD$9,_xlpm.잔금표,$E$6:$I$6,_xlpm.잔금회차,IF(ISNUMBER(SEARCH("입주",_xlpm.헤더)),VALUE(RIGHT(_xlpm.헤더,1)),0),_xlpm.열번호,COLUMN(AD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20" s="605">
        <f>_xlfn.LET(_xlpm.금액,$F20,_xlpm.계약금비율,$B$5,_xlpm.중도금비율,$C$5,_xlpm.잔금비율,$D$5,_xlpm.계약시기,TEXT($B20,"yyyy-mm"),_xlpm.현재월,TEXT(AE$8,"yyyy-mm"),_xlpm.헤더범위,$G$9:AE$9,_xlpm.헤더,AE$9,_xlpm.잔금표,$E$6:$I$6,_xlpm.잔금회차,IF(ISNUMBER(SEARCH("입주",_xlpm.헤더)),VALUE(RIGHT(_xlpm.헤더,1)),0),_xlpm.열번호,COLUMN(AE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20" s="605">
        <f>_xlfn.LET(_xlpm.금액,$F20,_xlpm.계약금비율,$B$5,_xlpm.중도금비율,$C$5,_xlpm.잔금비율,$D$5,_xlpm.계약시기,TEXT($B20,"yyyy-mm"),_xlpm.현재월,TEXT(AF$8,"yyyy-mm"),_xlpm.헤더범위,$G$9:AF$9,_xlpm.헤더,AF$9,_xlpm.잔금표,$E$6:$I$6,_xlpm.잔금회차,IF(ISNUMBER(SEARCH("입주",_xlpm.헤더)),VALUE(RIGHT(_xlpm.헤더,1)),0),_xlpm.열번호,COLUMN(AF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20" s="605">
        <f ca="1">_xlfn.LET(_xlpm.금액,$F20,_xlpm.계약금비율,$B$5,_xlpm.중도금비율,$C$5,_xlpm.잔금비율,$D$5,_xlpm.계약시기,TEXT($B20,"yyyy-mm"),_xlpm.현재월,TEXT(AG$8,"yyyy-mm"),_xlpm.헤더범위,$G$9:AG$9,_xlpm.헤더,AG$9,_xlpm.잔금표,$E$6:$I$6,_xlpm.잔금회차,IF(ISNUMBER(SEARCH("입주",_xlpm.헤더)),VALUE(RIGHT(_xlpm.헤더,1)),0),_xlpm.열번호,COLUMN(AG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20" s="605">
        <f>_xlfn.LET(_xlpm.금액,$F20,_xlpm.계약금비율,$B$5,_xlpm.중도금비율,$C$5,_xlpm.잔금비율,$D$5,_xlpm.계약시기,TEXT($B20,"yyyy-mm"),_xlpm.현재월,TEXT(AH$8,"yyyy-mm"),_xlpm.헤더범위,$G$9:AH$9,_xlpm.헤더,AH$9,_xlpm.잔금표,$E$6:$I$6,_xlpm.잔금회차,IF(ISNUMBER(SEARCH("입주",_xlpm.헤더)),VALUE(RIGHT(_xlpm.헤더,1)),0),_xlpm.열번호,COLUMN(AH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20" s="605">
        <f>_xlfn.LET(_xlpm.금액,$F20,_xlpm.계약금비율,$B$5,_xlpm.중도금비율,$C$5,_xlpm.잔금비율,$D$5,_xlpm.계약시기,TEXT($B20,"yyyy-mm"),_xlpm.현재월,TEXT(AI$8,"yyyy-mm"),_xlpm.헤더범위,$G$9:AI$9,_xlpm.헤더,AI$9,_xlpm.잔금표,$E$6:$I$6,_xlpm.잔금회차,IF(ISNUMBER(SEARCH("입주",_xlpm.헤더)),VALUE(RIGHT(_xlpm.헤더,1)),0),_xlpm.열번호,COLUMN(AI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20" s="605">
        <f>_xlfn.LET(_xlpm.금액,$F20,_xlpm.계약금비율,$B$5,_xlpm.중도금비율,$C$5,_xlpm.잔금비율,$D$5,_xlpm.계약시기,TEXT($B20,"yyyy-mm"),_xlpm.현재월,TEXT(AJ$8,"yyyy-mm"),_xlpm.헤더범위,$G$9:AJ$9,_xlpm.헤더,AJ$9,_xlpm.잔금표,$E$6:$I$6,_xlpm.잔금회차,IF(ISNUMBER(SEARCH("입주",_xlpm.헤더)),VALUE(RIGHT(_xlpm.헤더,1)),0),_xlpm.열번호,COLUMN(AJ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20" s="605">
        <f>_xlfn.LET(_xlpm.금액,$F20,_xlpm.계약금비율,$B$5,_xlpm.중도금비율,$C$5,_xlpm.잔금비율,$D$5,_xlpm.계약시기,TEXT($B20,"yyyy-mm"),_xlpm.현재월,TEXT(AK$8,"yyyy-mm"),_xlpm.헤더범위,$G$9:AK$9,_xlpm.헤더,AK$9,_xlpm.잔금표,$E$6:$I$6,_xlpm.잔금회차,IF(ISNUMBER(SEARCH("입주",_xlpm.헤더)),VALUE(RIGHT(_xlpm.헤더,1)),0),_xlpm.열번호,COLUMN(AK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20" s="605">
        <f ca="1">_xlfn.LET(_xlpm.금액,$F20,_xlpm.계약금비율,$B$5,_xlpm.중도금비율,$C$5,_xlpm.잔금비율,$D$5,_xlpm.계약시기,TEXT($B20,"yyyy-mm"),_xlpm.현재월,TEXT(AL$8,"yyyy-mm"),_xlpm.헤더범위,$G$9:AL$9,_xlpm.헤더,AL$9,_xlpm.잔금표,$E$6:$I$6,_xlpm.잔금회차,IF(ISNUMBER(SEARCH("입주",_xlpm.헤더)),VALUE(RIGHT(_xlpm.헤더,1)),0),_xlpm.열번호,COLUMN(AL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20" s="605">
        <f>_xlfn.LET(_xlpm.금액,$F20,_xlpm.계약금비율,$B$5,_xlpm.중도금비율,$C$5,_xlpm.잔금비율,$D$5,_xlpm.계약시기,TEXT($B20,"yyyy-mm"),_xlpm.현재월,TEXT(AM$8,"yyyy-mm"),_xlpm.헤더범위,$G$9:AM$9,_xlpm.헤더,AM$9,_xlpm.잔금표,$E$6:$I$6,_xlpm.잔금회차,IF(ISNUMBER(SEARCH("입주",_xlpm.헤더)),VALUE(RIGHT(_xlpm.헤더,1)),0),_xlpm.열번호,COLUMN(AM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20" s="605">
        <f>_xlfn.LET(_xlpm.금액,$F20,_xlpm.계약금비율,$B$5,_xlpm.중도금비율,$C$5,_xlpm.잔금비율,$D$5,_xlpm.계약시기,TEXT($B20,"yyyy-mm"),_xlpm.현재월,TEXT(AN$8,"yyyy-mm"),_xlpm.헤더범위,$G$9:AN$9,_xlpm.헤더,AN$9,_xlpm.잔금표,$E$6:$I$6,_xlpm.잔금회차,IF(ISNUMBER(SEARCH("입주",_xlpm.헤더)),VALUE(RIGHT(_xlpm.헤더,1)),0),_xlpm.열번호,COLUMN(AN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20" s="605">
        <f>_xlfn.LET(_xlpm.금액,$F20,_xlpm.계약금비율,$B$5,_xlpm.중도금비율,$C$5,_xlpm.잔금비율,$D$5,_xlpm.계약시기,TEXT($B20,"yyyy-mm"),_xlpm.현재월,TEXT(AO$8,"yyyy-mm"),_xlpm.헤더범위,$G$9:AO$9,_xlpm.헤더,AO$9,_xlpm.잔금표,$E$6:$I$6,_xlpm.잔금회차,IF(ISNUMBER(SEARCH("입주",_xlpm.헤더)),VALUE(RIGHT(_xlpm.헤더,1)),0),_xlpm.열번호,COLUMN(AO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20" s="605">
        <f>_xlfn.LET(_xlpm.금액,$F20,_xlpm.계약금비율,$B$5,_xlpm.중도금비율,$C$5,_xlpm.잔금비율,$D$5,_xlpm.계약시기,TEXT($B20,"yyyy-mm"),_xlpm.현재월,TEXT(AP$8,"yyyy-mm"),_xlpm.헤더범위,$G$9:AP$9,_xlpm.헤더,AP$9,_xlpm.잔금표,$E$6:$I$6,_xlpm.잔금회차,IF(ISNUMBER(SEARCH("입주",_xlpm.헤더)),VALUE(RIGHT(_xlpm.헤더,1)),0),_xlpm.열번호,COLUMN(AP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20" s="605">
        <f>_xlfn.LET(_xlpm.금액,$F20,_xlpm.계약금비율,$B$5,_xlpm.중도금비율,$C$5,_xlpm.잔금비율,$D$5,_xlpm.계약시기,TEXT($B20,"yyyy-mm"),_xlpm.현재월,TEXT(AQ$8,"yyyy-mm"),_xlpm.헤더범위,$G$9:AQ$9,_xlpm.헤더,AQ$9,_xlpm.잔금표,$E$6:$I$6,_xlpm.잔금회차,IF(ISNUMBER(SEARCH("입주",_xlpm.헤더)),VALUE(RIGHT(_xlpm.헤더,1)),0),_xlpm.열번호,COLUMN(AQ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20" s="605" t="e" vm="2">
        <f>_xlfn.LET(_xlpm.금액,$F20,_xlpm.계약금비율,$B$5,_xlpm.중도금비율,$C$5,_xlpm.잔금비율,$D$5,_xlpm.계약시기,TEXT($B20,"yyyy-mm"),_xlpm.현재월,TEXT(AR$8,"yyyy-mm"),_xlpm.헤더범위,$G$9:AR$9,_xlpm.헤더,AR$9,_xlpm.잔금표,$E$6:$I$6,_xlpm.잔금회차,IF(ISNUMBER(SEARCH("입주",_xlpm.헤더)),VALUE(RIGHT(_xlpm.헤더,1)),0),_xlpm.열번호,COLUMN(AR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20" s="605" t="e" vm="2">
        <f>_xlfn.LET(_xlpm.금액,$F20,_xlpm.계약금비율,$B$5,_xlpm.중도금비율,$C$5,_xlpm.잔금비율,$D$5,_xlpm.계약시기,TEXT($B20,"yyyy-mm"),_xlpm.현재월,TEXT(AS$8,"yyyy-mm"),_xlpm.헤더범위,$G$9:AS$9,_xlpm.헤더,AS$9,_xlpm.잔금표,$E$6:$I$6,_xlpm.잔금회차,IF(ISNUMBER(SEARCH("입주",_xlpm.헤더)),VALUE(RIGHT(_xlpm.헤더,1)),0),_xlpm.열번호,COLUMN(AS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20" s="605" t="e" vm="2">
        <f>_xlfn.LET(_xlpm.금액,$F20,_xlpm.계약금비율,$B$5,_xlpm.중도금비율,$C$5,_xlpm.잔금비율,$D$5,_xlpm.계약시기,TEXT($B20,"yyyy-mm"),_xlpm.현재월,TEXT(AT$8,"yyyy-mm"),_xlpm.헤더범위,$G$9:AT$9,_xlpm.헤더,AT$9,_xlpm.잔금표,$E$6:$I$6,_xlpm.잔금회차,IF(ISNUMBER(SEARCH("입주",_xlpm.헤더)),VALUE(RIGHT(_xlpm.헤더,1)),0),_xlpm.열번호,COLUMN(AT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20" s="605" t="e" vm="2">
        <f>_xlfn.LET(_xlpm.금액,$F20,_xlpm.계약금비율,$B$5,_xlpm.중도금비율,$C$5,_xlpm.잔금비율,$D$5,_xlpm.계약시기,TEXT($B20,"yyyy-mm"),_xlpm.현재월,TEXT(AU$8,"yyyy-mm"),_xlpm.헤더범위,$G$9:AU$9,_xlpm.헤더,AU$9,_xlpm.잔금표,$E$6:$I$6,_xlpm.잔금회차,IF(ISNUMBER(SEARCH("입주",_xlpm.헤더)),VALUE(RIGHT(_xlpm.헤더,1)),0),_xlpm.열번호,COLUMN(AU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20" s="605" t="e" vm="2">
        <f>_xlfn.LET(_xlpm.금액,$F20,_xlpm.계약금비율,$B$5,_xlpm.중도금비율,$C$5,_xlpm.잔금비율,$D$5,_xlpm.계약시기,TEXT($B20,"yyyy-mm"),_xlpm.현재월,TEXT(AV$8,"yyyy-mm"),_xlpm.헤더범위,$G$9:AV$9,_xlpm.헤더,AV$9,_xlpm.잔금표,$E$6:$I$6,_xlpm.잔금회차,IF(ISNUMBER(SEARCH("입주",_xlpm.헤더)),VALUE(RIGHT(_xlpm.헤더,1)),0),_xlpm.열번호,COLUMN(AV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20" s="605">
        <f>_xlfn.LET(_xlpm.금액,$F20,_xlpm.계약금비율,$B$5,_xlpm.중도금비율,$C$5,_xlpm.잔금비율,$D$5,_xlpm.계약시기,TEXT($B20,"yyyy-mm"),_xlpm.현재월,TEXT(AW$8,"yyyy-mm"),_xlpm.헤더범위,$G$9:AW$9,_xlpm.헤더,AW$9,_xlpm.잔금표,$E$6:$I$6,_xlpm.잔금회차,IF(ISNUMBER(SEARCH("입주",_xlpm.헤더)),VALUE(RIGHT(_xlpm.헤더,1)),0),_xlpm.열번호,COLUMN(AW$9),_xlpm.행번호,ROW($G20),_xlpm.전체헤더,$G$9:$BF$9,_xlpm.전체데이터,$G20:$BF20,_xlpm.전체열번호,_xlfn.SEQUENCE(1,COLUMNS(_xlpm.전체헤더),COLUMN($G20)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20" s="605">
        <f t="shared" ca="1" si="11"/>
        <v>0</v>
      </c>
      <c r="AY20" s="605">
        <f t="shared" ca="1" si="11"/>
        <v>0</v>
      </c>
      <c r="AZ20" s="605">
        <f t="shared" ca="1" si="10"/>
        <v>0</v>
      </c>
      <c r="BA20" s="605">
        <f t="shared" ca="1" si="10"/>
        <v>0</v>
      </c>
      <c r="BB20" s="605">
        <f t="shared" ca="1" si="10"/>
        <v>0</v>
      </c>
      <c r="BC20" s="605">
        <f ca="1">IF(TEXT(BC$8,"yyyy-mm")=TEXT($B20,"yyyy-mm"),$F20*$B$5,IF(AND(ISNUMBER(SEARCH("중도금",BC$9)),TEXT(BC$8,"yyyy-mm")&gt;=TEXT($B20,"yyyy-mm")),IF(BC$9="1차중도금",$F20*$C$5/6,IF(BC$9="2차중도금",MAX(0,$F20*$C$5*0.3-IF(COLUMN()&gt;7,SUM($G20:OFFSET(BC20,0,COLUMN()-8)),0)),IF(BC$9="3차중도금",MAX(0,$F20*$C$5*0.4-IF(COLUMN()&gt;7,SUM($G20:OFFSET(BC20,0,COLUMN()-8)),0)),IF(BC$9="4차중도금",MAX(0,$F20*$C$5*0.5-IF(COLUMN()&gt;7,SUM($G20:OFFSET(BC20,0,COLUMN()-8)),0)),IF(BC$9="5차중도금",MAX(0,$F20*$C$5*0.6-IF(COLUMN()&gt;7,SUM($G20:OFFSET(BC20,0,COLUMN()-8)),0)),IF(BC$9="6차중도금",MAX(0,$F20*$C$5*0.7-IF(COLUMN()&gt;7,SUM($G20:OFFSET(BC20,0,COLUMN()-8)),0)),0)))))),IF(AND(ISNUMBER(SEARCH("입주",BC$9)),TEXT(BC$8,"yyyy-mm")&gt;=TEXT($B20,"yyyy-mm")),$F20*$D$5*INDEX($E$6:$I$6,VALUE(RIGHT(BC$9,1))),0)))</f>
        <v>0</v>
      </c>
      <c r="BD20" s="605">
        <f ca="1">IF(TEXT(BD$8,"yyyy-mm")=TEXT($B20,"yyyy-mm"),$F20*$B$5,IF(AND(ISNUMBER(SEARCH("중도금",BD$9)),TEXT(BD$8,"yyyy-mm")&gt;=TEXT($B20,"yyyy-mm")),IF(BD$9="1차중도금",$F20*$C$5/6,IF(BD$9="2차중도금",MAX(0,$F20*$C$5*0.3-IF(COLUMN()&gt;7,SUM($G20:OFFSET(BD20,0,COLUMN()-8)),0)),IF(BD$9="3차중도금",MAX(0,$F20*$C$5*0.4-IF(COLUMN()&gt;7,SUM($G20:OFFSET(BD20,0,COLUMN()-8)),0)),IF(BD$9="4차중도금",MAX(0,$F20*$C$5*0.5-IF(COLUMN()&gt;7,SUM($G20:OFFSET(BD20,0,COLUMN()-8)),0)),IF(BD$9="5차중도금",MAX(0,$F20*$C$5*0.6-IF(COLUMN()&gt;7,SUM($G20:OFFSET(BD20,0,COLUMN()-8)),0)),IF(BD$9="6차중도금",MAX(0,$F20*$C$5*0.7-IF(COLUMN()&gt;7,SUM($G20:OFFSET(BD20,0,COLUMN()-8)),0)),0)))))),IF(AND(ISNUMBER(SEARCH("입주",BD$9)),TEXT(BD$8,"yyyy-mm")&gt;=TEXT($B20,"yyyy-mm")),$F20*$D$5*INDEX($E$6:$I$6,VALUE(RIGHT(BD$9,1))),0)))</f>
        <v>0</v>
      </c>
      <c r="BE20" s="605">
        <f ca="1">IF(TEXT(BE$8,"yyyy-mm")=TEXT($B20,"yyyy-mm"),$F20*$B$5,IF(AND(ISNUMBER(SEARCH("중도금",BE$9)),TEXT(BE$8,"yyyy-mm")&gt;=TEXT($B20,"yyyy-mm")),IF(BE$9="1차중도금",$F20*$C$5/6,IF(BE$9="2차중도금",MAX(0,$F20*$C$5*0.3-IF(COLUMN()&gt;7,SUM($G20:OFFSET(BE20,0,COLUMN()-8)),0)),IF(BE$9="3차중도금",MAX(0,$F20*$C$5*0.4-IF(COLUMN()&gt;7,SUM($G20:OFFSET(BE20,0,COLUMN()-8)),0)),IF(BE$9="4차중도금",MAX(0,$F20*$C$5*0.5-IF(COLUMN()&gt;7,SUM($G20:OFFSET(BE20,0,COLUMN()-8)),0)),IF(BE$9="5차중도금",MAX(0,$F20*$C$5*0.6-IF(COLUMN()&gt;7,SUM($G20:OFFSET(BE20,0,COLUMN()-8)),0)),IF(BE$9="6차중도금",MAX(0,$F20*$C$5*0.7-IF(COLUMN()&gt;7,SUM($G20:OFFSET(BE20,0,COLUMN()-8)),0)),0)))))),IF(AND(ISNUMBER(SEARCH("입주",BE$9)),TEXT(BE$8,"yyyy-mm")&gt;=TEXT($B20,"yyyy-mm")),$F20*$D$5*INDEX($E$6:$I$6,VALUE(RIGHT(BE$9,1))),0)))</f>
        <v>0</v>
      </c>
      <c r="BF20" s="609">
        <f t="shared" ca="1" si="8"/>
        <v>7170610.6912841499</v>
      </c>
      <c r="BG20" s="556">
        <f t="shared" ca="1" si="5"/>
        <v>415560.33386285044</v>
      </c>
      <c r="BH20" s="610"/>
    </row>
    <row r="21" spans="1:60">
      <c r="A21" s="1853"/>
      <c r="B21" s="611">
        <f t="shared" si="6"/>
        <v>45170</v>
      </c>
      <c r="C21" s="605">
        <f t="shared" si="7"/>
        <v>252872367.50490001</v>
      </c>
      <c r="D21" s="1501">
        <f t="shared" si="7"/>
        <v>0.03</v>
      </c>
      <c r="E21" s="612">
        <f t="shared" si="9"/>
        <v>0.83000000000000018</v>
      </c>
      <c r="F21" s="608">
        <f t="shared" si="2"/>
        <v>7586171.0251470003</v>
      </c>
      <c r="G21" s="605">
        <f>_xlfn.LET(_xlpm.금액,$F21,_xlpm.계약금비율,$B$5,_xlpm.중도금비율,$C$5,_xlpm.잔금비율,$D$5,_xlpm.계약시기,TEXT($B21,"yyyy-mm"),_xlpm.현재월,TEXT(G$8,"yyyy-mm"),_xlpm.헤더범위,$G$9:G$9,_xlpm.헤더,G$9,_xlpm.잔금표,$E$6:$I$6,_xlpm.잔금회차,IF(ISNUMBER(SEARCH("입주",_xlpm.헤더)),VALUE(RIGHT(_xlpm.헤더,1)),0),_xlpm.열번호,COLUMN(G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21" s="605">
        <f>_xlfn.LET(_xlpm.금액,$F21,_xlpm.계약금비율,$B$5,_xlpm.중도금비율,$C$5,_xlpm.잔금비율,$D$5,_xlpm.계약시기,TEXT($B21,"yyyy-mm"),_xlpm.현재월,TEXT(H$8,"yyyy-mm"),_xlpm.헤더범위,$G$9:H$9,_xlpm.헤더,H$9,_xlpm.잔금표,$E$6:$I$6,_xlpm.잔금회차,IF(ISNUMBER(SEARCH("입주",_xlpm.헤더)),VALUE(RIGHT(_xlpm.헤더,1)),0),_xlpm.열번호,COLUMN(H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21" s="605">
        <f>_xlfn.LET(_xlpm.금액,$F21,_xlpm.계약금비율,$B$5,_xlpm.중도금비율,$C$5,_xlpm.잔금비율,$D$5,_xlpm.계약시기,TEXT($B21,"yyyy-mm"),_xlpm.현재월,TEXT(I$8,"yyyy-mm"),_xlpm.헤더범위,$G$9:I$9,_xlpm.헤더,I$9,_xlpm.잔금표,$E$6:$I$6,_xlpm.잔금회차,IF(ISNUMBER(SEARCH("입주",_xlpm.헤더)),VALUE(RIGHT(_xlpm.헤더,1)),0),_xlpm.열번호,COLUMN(I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21" s="605">
        <f>_xlfn.LET(_xlpm.금액,$F21,_xlpm.계약금비율,$B$5,_xlpm.중도금비율,$C$5,_xlpm.잔금비율,$D$5,_xlpm.계약시기,TEXT($B21,"yyyy-mm"),_xlpm.현재월,TEXT(J$8,"yyyy-mm"),_xlpm.헤더범위,$G$9:J$9,_xlpm.헤더,J$9,_xlpm.잔금표,$E$6:$I$6,_xlpm.잔금회차,IF(ISNUMBER(SEARCH("입주",_xlpm.헤더)),VALUE(RIGHT(_xlpm.헤더,1)),0),_xlpm.열번호,COLUMN(J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21" s="605">
        <f>_xlfn.LET(_xlpm.금액,$F21,_xlpm.계약금비율,$B$5,_xlpm.중도금비율,$C$5,_xlpm.잔금비율,$D$5,_xlpm.계약시기,TEXT($B21,"yyyy-mm"),_xlpm.현재월,TEXT(K$8,"yyyy-mm"),_xlpm.헤더범위,$G$9:K$9,_xlpm.헤더,K$9,_xlpm.잔금표,$E$6:$I$6,_xlpm.잔금회차,IF(ISNUMBER(SEARCH("입주",_xlpm.헤더)),VALUE(RIGHT(_xlpm.헤더,1)),0),_xlpm.열번호,COLUMN(K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21" s="605">
        <f ca="1">_xlfn.LET(_xlpm.금액,$F21,_xlpm.계약금비율,$B$5,_xlpm.중도금비율,$C$5,_xlpm.잔금비율,$D$5,_xlpm.계약시기,TEXT($B21,"yyyy-mm"),_xlpm.현재월,TEXT(L$8,"yyyy-mm"),_xlpm.헤더범위,$G$9:L$9,_xlpm.헤더,L$9,_xlpm.잔금표,$E$6:$I$6,_xlpm.잔금회차,IF(ISNUMBER(SEARCH("입주",_xlpm.헤더)),VALUE(RIGHT(_xlpm.헤더,1)),0),_xlpm.열번호,COLUMN(L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21" s="605">
        <f>_xlfn.LET(_xlpm.금액,$F21,_xlpm.계약금비율,$B$5,_xlpm.중도금비율,$C$5,_xlpm.잔금비율,$D$5,_xlpm.계약시기,TEXT($B21,"yyyy-mm"),_xlpm.현재월,TEXT(M$8,"yyyy-mm"),_xlpm.헤더범위,$G$9:M$9,_xlpm.헤더,M$9,_xlpm.잔금표,$E$6:$I$6,_xlpm.잔금회차,IF(ISNUMBER(SEARCH("입주",_xlpm.헤더)),VALUE(RIGHT(_xlpm.헤더,1)),0),_xlpm.열번호,COLUMN(M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21" s="605">
        <f>_xlfn.LET(_xlpm.금액,$F21,_xlpm.계약금비율,$B$5,_xlpm.중도금비율,$C$5,_xlpm.잔금비율,$D$5,_xlpm.계약시기,TEXT($B21,"yyyy-mm"),_xlpm.현재월,TEXT(N$8,"yyyy-mm"),_xlpm.헤더범위,$G$9:N$9,_xlpm.헤더,N$9,_xlpm.잔금표,$E$6:$I$6,_xlpm.잔금회차,IF(ISNUMBER(SEARCH("입주",_xlpm.헤더)),VALUE(RIGHT(_xlpm.헤더,1)),0),_xlpm.열번호,COLUMN(N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21" s="605">
        <f>_xlfn.LET(_xlpm.금액,$F21,_xlpm.계약금비율,$B$5,_xlpm.중도금비율,$C$5,_xlpm.잔금비율,$D$5,_xlpm.계약시기,TEXT($B21,"yyyy-mm"),_xlpm.현재월,TEXT(O$8,"yyyy-mm"),_xlpm.헤더범위,$G$9:O$9,_xlpm.헤더,O$9,_xlpm.잔금표,$E$6:$I$6,_xlpm.잔금회차,IF(ISNUMBER(SEARCH("입주",_xlpm.헤더)),VALUE(RIGHT(_xlpm.헤더,1)),0),_xlpm.열번호,COLUMN(O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21" s="605">
        <f>_xlfn.LET(_xlpm.금액,$F21,_xlpm.계약금비율,$B$5,_xlpm.중도금비율,$C$5,_xlpm.잔금비율,$D$5,_xlpm.계약시기,TEXT($B21,"yyyy-mm"),_xlpm.현재월,TEXT(P$8,"yyyy-mm"),_xlpm.헤더범위,$G$9:P$9,_xlpm.헤더,P$9,_xlpm.잔금표,$E$6:$I$6,_xlpm.잔금회차,IF(ISNUMBER(SEARCH("입주",_xlpm.헤더)),VALUE(RIGHT(_xlpm.헤더,1)),0),_xlpm.열번호,COLUMN(P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21" s="605">
        <f ca="1">_xlfn.LET(_xlpm.금액,$F21,_xlpm.계약금비율,$B$5,_xlpm.중도금비율,$C$5,_xlpm.잔금비율,$D$5,_xlpm.계약시기,TEXT($B21,"yyyy-mm"),_xlpm.현재월,TEXT(Q$8,"yyyy-mm"),_xlpm.헤더범위,$G$9:Q$9,_xlpm.헤더,Q$9,_xlpm.잔금표,$E$6:$I$6,_xlpm.잔금회차,IF(ISNUMBER(SEARCH("입주",_xlpm.헤더)),VALUE(RIGHT(_xlpm.헤더,1)),0),_xlpm.열번호,COLUMN(Q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21" s="605">
        <f>_xlfn.LET(_xlpm.금액,$F21,_xlpm.계약금비율,$B$5,_xlpm.중도금비율,$C$5,_xlpm.잔금비율,$D$5,_xlpm.계약시기,TEXT($B21,"yyyy-mm"),_xlpm.현재월,TEXT(R$8,"yyyy-mm"),_xlpm.헤더범위,$G$9:R$9,_xlpm.헤더,R$9,_xlpm.잔금표,$E$6:$I$6,_xlpm.잔금회차,IF(ISNUMBER(SEARCH("입주",_xlpm.헤더)),VALUE(RIGHT(_xlpm.헤더,1)),0),_xlpm.열번호,COLUMN(R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758617.10251470003</v>
      </c>
      <c r="S21" s="605">
        <f>_xlfn.LET(_xlpm.금액,$F21,_xlpm.계약금비율,$B$5,_xlpm.중도금비율,$C$5,_xlpm.잔금비율,$D$5,_xlpm.계약시기,TEXT($B21,"yyyy-mm"),_xlpm.현재월,TEXT(S$8,"yyyy-mm"),_xlpm.헤더범위,$G$9:S$9,_xlpm.헤더,S$9,_xlpm.잔금표,$E$6:$I$6,_xlpm.잔금회차,IF(ISNUMBER(SEARCH("입주",_xlpm.헤더)),VALUE(RIGHT(_xlpm.헤더,1)),0),_xlpm.열번호,COLUMN(S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21" s="605">
        <f>_xlfn.LET(_xlpm.금액,$F21,_xlpm.계약금비율,$B$5,_xlpm.중도금비율,$C$5,_xlpm.잔금비율,$D$5,_xlpm.계약시기,TEXT($B21,"yyyy-mm"),_xlpm.현재월,TEXT(T$8,"yyyy-mm"),_xlpm.헤더범위,$G$9:T$9,_xlpm.헤더,T$9,_xlpm.잔금표,$E$6:$I$6,_xlpm.잔금회차,IF(ISNUMBER(SEARCH("입주",_xlpm.헤더)),VALUE(RIGHT(_xlpm.헤더,1)),0),_xlpm.열번호,COLUMN(T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21" s="605">
        <f>_xlfn.LET(_xlpm.금액,$F21,_xlpm.계약금비율,$B$5,_xlpm.중도금비율,$C$5,_xlpm.잔금비율,$D$5,_xlpm.계약시기,TEXT($B21,"yyyy-mm"),_xlpm.현재월,TEXT(U$8,"yyyy-mm"),_xlpm.헤더범위,$G$9:U$9,_xlpm.헤더,U$9,_xlpm.잔금표,$E$6:$I$6,_xlpm.잔금회차,IF(ISNUMBER(SEARCH("입주",_xlpm.헤더)),VALUE(RIGHT(_xlpm.헤더,1)),0),_xlpm.열번호,COLUMN(U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21" s="605">
        <f ca="1">_xlfn.LET(_xlpm.금액,$F21,_xlpm.계약금비율,$B$5,_xlpm.중도금비율,$C$5,_xlpm.잔금비율,$D$5,_xlpm.계약시기,TEXT($B21,"yyyy-mm"),_xlpm.현재월,TEXT(V$8,"yyyy-mm"),_xlpm.헤더범위,$G$9:V$9,_xlpm.헤더,V$9,_xlpm.잔금표,$E$6:$I$6,_xlpm.잔금회차,IF(ISNUMBER(SEARCH("입주",_xlpm.헤더)),VALUE(RIGHT(_xlpm.헤더,1)),0),_xlpm.열번호,COLUMN(V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21" s="605">
        <f>_xlfn.LET(_xlpm.금액,$F21,_xlpm.계약금비율,$B$5,_xlpm.중도금비율,$C$5,_xlpm.잔금비율,$D$5,_xlpm.계약시기,TEXT($B21,"yyyy-mm"),_xlpm.현재월,TEXT(W$8,"yyyy-mm"),_xlpm.헤더범위,$G$9:W$9,_xlpm.헤더,W$9,_xlpm.잔금표,$E$6:$I$6,_xlpm.잔금회차,IF(ISNUMBER(SEARCH("입주",_xlpm.헤더)),VALUE(RIGHT(_xlpm.헤더,1)),0),_xlpm.열번호,COLUMN(W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21" s="605">
        <f>_xlfn.LET(_xlpm.금액,$F21,_xlpm.계약금비율,$B$5,_xlpm.중도금비율,$C$5,_xlpm.잔금비율,$D$5,_xlpm.계약시기,TEXT($B21,"yyyy-mm"),_xlpm.현재월,TEXT(X$8,"yyyy-mm"),_xlpm.헤더범위,$G$9:X$9,_xlpm.헤더,X$9,_xlpm.잔금표,$E$6:$I$6,_xlpm.잔금회차,IF(ISNUMBER(SEARCH("입주",_xlpm.헤더)),VALUE(RIGHT(_xlpm.헤더,1)),0),_xlpm.열번호,COLUMN(X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21" s="605">
        <f>_xlfn.LET(_xlpm.금액,$F21,_xlpm.계약금비율,$B$5,_xlpm.중도금비율,$C$5,_xlpm.잔금비율,$D$5,_xlpm.계약시기,TEXT($B21,"yyyy-mm"),_xlpm.현재월,TEXT(Y$8,"yyyy-mm"),_xlpm.헤더범위,$G$9:Y$9,_xlpm.헤더,Y$9,_xlpm.잔금표,$E$6:$I$6,_xlpm.잔금회차,IF(ISNUMBER(SEARCH("입주",_xlpm.헤더)),VALUE(RIGHT(_xlpm.헤더,1)),0),_xlpm.열번호,COLUMN(Y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21" s="605">
        <f>_xlfn.LET(_xlpm.금액,$F21,_xlpm.계약금비율,$B$5,_xlpm.중도금비율,$C$5,_xlpm.잔금비율,$D$5,_xlpm.계약시기,TEXT($B21,"yyyy-mm"),_xlpm.현재월,TEXT(Z$8,"yyyy-mm"),_xlpm.헤더범위,$G$9:Z$9,_xlpm.헤더,Z$9,_xlpm.잔금표,$E$6:$I$6,_xlpm.잔금회차,IF(ISNUMBER(SEARCH("입주",_xlpm.헤더)),VALUE(RIGHT(_xlpm.헤더,1)),0),_xlpm.열번호,COLUMN(Z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21" s="605">
        <f>_xlfn.LET(_xlpm.금액,$F21,_xlpm.계약금비율,$B$5,_xlpm.중도금비율,$C$5,_xlpm.잔금비율,$D$5,_xlpm.계약시기,TEXT($B21,"yyyy-mm"),_xlpm.현재월,TEXT(AA$8,"yyyy-mm"),_xlpm.헤더범위,$G$9:AA$9,_xlpm.헤더,AA$9,_xlpm.잔금표,$E$6:$I$6,_xlpm.잔금회차,IF(ISNUMBER(SEARCH("입주",_xlpm.헤더)),VALUE(RIGHT(_xlpm.헤더,1)),0),_xlpm.열번호,COLUMN(AA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21" s="605">
        <f ca="1">_xlfn.LET(_xlpm.금액,$F21,_xlpm.계약금비율,$B$5,_xlpm.중도금비율,$C$5,_xlpm.잔금비율,$D$5,_xlpm.계약시기,TEXT($B21,"yyyy-mm"),_xlpm.현재월,TEXT(AB$8,"yyyy-mm"),_xlpm.헤더범위,$G$9:AB$9,_xlpm.헤더,AB$9,_xlpm.잔금표,$E$6:$I$6,_xlpm.잔금회차,IF(ISNUMBER(SEARCH("입주",_xlpm.헤더)),VALUE(RIGHT(_xlpm.헤더,1)),0),_xlpm.열번호,COLUMN(AB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21" s="605">
        <f>_xlfn.LET(_xlpm.금액,$F21,_xlpm.계약금비율,$B$5,_xlpm.중도금비율,$C$5,_xlpm.잔금비율,$D$5,_xlpm.계약시기,TEXT($B21,"yyyy-mm"),_xlpm.현재월,TEXT(AC$8,"yyyy-mm"),_xlpm.헤더범위,$G$9:AC$9,_xlpm.헤더,AC$9,_xlpm.잔금표,$E$6:$I$6,_xlpm.잔금회차,IF(ISNUMBER(SEARCH("입주",_xlpm.헤더)),VALUE(RIGHT(_xlpm.헤더,1)),0),_xlpm.열번호,COLUMN(AC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21" s="605">
        <f>_xlfn.LET(_xlpm.금액,$F21,_xlpm.계약금비율,$B$5,_xlpm.중도금비율,$C$5,_xlpm.잔금비율,$D$5,_xlpm.계약시기,TEXT($B21,"yyyy-mm"),_xlpm.현재월,TEXT(AD$8,"yyyy-mm"),_xlpm.헤더범위,$G$9:AD$9,_xlpm.헤더,AD$9,_xlpm.잔금표,$E$6:$I$6,_xlpm.잔금회차,IF(ISNUMBER(SEARCH("입주",_xlpm.헤더)),VALUE(RIGHT(_xlpm.헤더,1)),0),_xlpm.열번호,COLUMN(AD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21" s="605">
        <f>_xlfn.LET(_xlpm.금액,$F21,_xlpm.계약금비율,$B$5,_xlpm.중도금비율,$C$5,_xlpm.잔금비율,$D$5,_xlpm.계약시기,TEXT($B21,"yyyy-mm"),_xlpm.현재월,TEXT(AE$8,"yyyy-mm"),_xlpm.헤더범위,$G$9:AE$9,_xlpm.헤더,AE$9,_xlpm.잔금표,$E$6:$I$6,_xlpm.잔금회차,IF(ISNUMBER(SEARCH("입주",_xlpm.헤더)),VALUE(RIGHT(_xlpm.헤더,1)),0),_xlpm.열번호,COLUMN(AE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21" s="605">
        <f>_xlfn.LET(_xlpm.금액,$F21,_xlpm.계약금비율,$B$5,_xlpm.중도금비율,$C$5,_xlpm.잔금비율,$D$5,_xlpm.계약시기,TEXT($B21,"yyyy-mm"),_xlpm.현재월,TEXT(AF$8,"yyyy-mm"),_xlpm.헤더범위,$G$9:AF$9,_xlpm.헤더,AF$9,_xlpm.잔금표,$E$6:$I$6,_xlpm.잔금회차,IF(ISNUMBER(SEARCH("입주",_xlpm.헤더)),VALUE(RIGHT(_xlpm.헤더,1)),0),_xlpm.열번호,COLUMN(AF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21" s="605">
        <f ca="1">_xlfn.LET(_xlpm.금액,$F21,_xlpm.계약금비율,$B$5,_xlpm.중도금비율,$C$5,_xlpm.잔금비율,$D$5,_xlpm.계약시기,TEXT($B21,"yyyy-mm"),_xlpm.현재월,TEXT(AG$8,"yyyy-mm"),_xlpm.헤더범위,$G$9:AG$9,_xlpm.헤더,AG$9,_xlpm.잔금표,$E$6:$I$6,_xlpm.잔금회차,IF(ISNUMBER(SEARCH("입주",_xlpm.헤더)),VALUE(RIGHT(_xlpm.헤더,1)),0),_xlpm.열번호,COLUMN(AG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21" s="605">
        <f>_xlfn.LET(_xlpm.금액,$F21,_xlpm.계약금비율,$B$5,_xlpm.중도금비율,$C$5,_xlpm.잔금비율,$D$5,_xlpm.계약시기,TEXT($B21,"yyyy-mm"),_xlpm.현재월,TEXT(AH$8,"yyyy-mm"),_xlpm.헤더범위,$G$9:AH$9,_xlpm.헤더,AH$9,_xlpm.잔금표,$E$6:$I$6,_xlpm.잔금회차,IF(ISNUMBER(SEARCH("입주",_xlpm.헤더)),VALUE(RIGHT(_xlpm.헤더,1)),0),_xlpm.열번호,COLUMN(AH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21" s="605">
        <f>_xlfn.LET(_xlpm.금액,$F21,_xlpm.계약금비율,$B$5,_xlpm.중도금비율,$C$5,_xlpm.잔금비율,$D$5,_xlpm.계약시기,TEXT($B21,"yyyy-mm"),_xlpm.현재월,TEXT(AI$8,"yyyy-mm"),_xlpm.헤더범위,$G$9:AI$9,_xlpm.헤더,AI$9,_xlpm.잔금표,$E$6:$I$6,_xlpm.잔금회차,IF(ISNUMBER(SEARCH("입주",_xlpm.헤더)),VALUE(RIGHT(_xlpm.헤더,1)),0),_xlpm.열번호,COLUMN(AI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21" s="605">
        <f>_xlfn.LET(_xlpm.금액,$F21,_xlpm.계약금비율,$B$5,_xlpm.중도금비율,$C$5,_xlpm.잔금비율,$D$5,_xlpm.계약시기,TEXT($B21,"yyyy-mm"),_xlpm.현재월,TEXT(AJ$8,"yyyy-mm"),_xlpm.헤더범위,$G$9:AJ$9,_xlpm.헤더,AJ$9,_xlpm.잔금표,$E$6:$I$6,_xlpm.잔금회차,IF(ISNUMBER(SEARCH("입주",_xlpm.헤더)),VALUE(RIGHT(_xlpm.헤더,1)),0),_xlpm.열번호,COLUMN(AJ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21" s="605">
        <f>_xlfn.LET(_xlpm.금액,$F21,_xlpm.계약금비율,$B$5,_xlpm.중도금비율,$C$5,_xlpm.잔금비율,$D$5,_xlpm.계약시기,TEXT($B21,"yyyy-mm"),_xlpm.현재월,TEXT(AK$8,"yyyy-mm"),_xlpm.헤더범위,$G$9:AK$9,_xlpm.헤더,AK$9,_xlpm.잔금표,$E$6:$I$6,_xlpm.잔금회차,IF(ISNUMBER(SEARCH("입주",_xlpm.헤더)),VALUE(RIGHT(_xlpm.헤더,1)),0),_xlpm.열번호,COLUMN(AK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21" s="605">
        <f ca="1">_xlfn.LET(_xlpm.금액,$F21,_xlpm.계약금비율,$B$5,_xlpm.중도금비율,$C$5,_xlpm.잔금비율,$D$5,_xlpm.계약시기,TEXT($B21,"yyyy-mm"),_xlpm.현재월,TEXT(AL$8,"yyyy-mm"),_xlpm.헤더범위,$G$9:AL$9,_xlpm.헤더,AL$9,_xlpm.잔금표,$E$6:$I$6,_xlpm.잔금회차,IF(ISNUMBER(SEARCH("입주",_xlpm.헤더)),VALUE(RIGHT(_xlpm.헤더,1)),0),_xlpm.열번호,COLUMN(AL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21" s="605">
        <f>_xlfn.LET(_xlpm.금액,$F21,_xlpm.계약금비율,$B$5,_xlpm.중도금비율,$C$5,_xlpm.잔금비율,$D$5,_xlpm.계약시기,TEXT($B21,"yyyy-mm"),_xlpm.현재월,TEXT(AM$8,"yyyy-mm"),_xlpm.헤더범위,$G$9:AM$9,_xlpm.헤더,AM$9,_xlpm.잔금표,$E$6:$I$6,_xlpm.잔금회차,IF(ISNUMBER(SEARCH("입주",_xlpm.헤더)),VALUE(RIGHT(_xlpm.헤더,1)),0),_xlpm.열번호,COLUMN(AM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21" s="605">
        <f>_xlfn.LET(_xlpm.금액,$F21,_xlpm.계약금비율,$B$5,_xlpm.중도금비율,$C$5,_xlpm.잔금비율,$D$5,_xlpm.계약시기,TEXT($B21,"yyyy-mm"),_xlpm.현재월,TEXT(AN$8,"yyyy-mm"),_xlpm.헤더범위,$G$9:AN$9,_xlpm.헤더,AN$9,_xlpm.잔금표,$E$6:$I$6,_xlpm.잔금회차,IF(ISNUMBER(SEARCH("입주",_xlpm.헤더)),VALUE(RIGHT(_xlpm.헤더,1)),0),_xlpm.열번호,COLUMN(AN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21" s="605">
        <f>_xlfn.LET(_xlpm.금액,$F21,_xlpm.계약금비율,$B$5,_xlpm.중도금비율,$C$5,_xlpm.잔금비율,$D$5,_xlpm.계약시기,TEXT($B21,"yyyy-mm"),_xlpm.현재월,TEXT(AO$8,"yyyy-mm"),_xlpm.헤더범위,$G$9:AO$9,_xlpm.헤더,AO$9,_xlpm.잔금표,$E$6:$I$6,_xlpm.잔금회차,IF(ISNUMBER(SEARCH("입주",_xlpm.헤더)),VALUE(RIGHT(_xlpm.헤더,1)),0),_xlpm.열번호,COLUMN(AO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21" s="605">
        <f>_xlfn.LET(_xlpm.금액,$F21,_xlpm.계약금비율,$B$5,_xlpm.중도금비율,$C$5,_xlpm.잔금비율,$D$5,_xlpm.계약시기,TEXT($B21,"yyyy-mm"),_xlpm.현재월,TEXT(AP$8,"yyyy-mm"),_xlpm.헤더범위,$G$9:AP$9,_xlpm.헤더,AP$9,_xlpm.잔금표,$E$6:$I$6,_xlpm.잔금회차,IF(ISNUMBER(SEARCH("입주",_xlpm.헤더)),VALUE(RIGHT(_xlpm.헤더,1)),0),_xlpm.열번호,COLUMN(AP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21" s="605">
        <f>_xlfn.LET(_xlpm.금액,$F21,_xlpm.계약금비율,$B$5,_xlpm.중도금비율,$C$5,_xlpm.잔금비율,$D$5,_xlpm.계약시기,TEXT($B21,"yyyy-mm"),_xlpm.현재월,TEXT(AQ$8,"yyyy-mm"),_xlpm.헤더범위,$G$9:AQ$9,_xlpm.헤더,AQ$9,_xlpm.잔금표,$E$6:$I$6,_xlpm.잔금회차,IF(ISNUMBER(SEARCH("입주",_xlpm.헤더)),VALUE(RIGHT(_xlpm.헤더,1)),0),_xlpm.열번호,COLUMN(AQ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21" s="605" t="e" vm="2">
        <f>_xlfn.LET(_xlpm.금액,$F21,_xlpm.계약금비율,$B$5,_xlpm.중도금비율,$C$5,_xlpm.잔금비율,$D$5,_xlpm.계약시기,TEXT($B21,"yyyy-mm"),_xlpm.현재월,TEXT(AR$8,"yyyy-mm"),_xlpm.헤더범위,$G$9:AR$9,_xlpm.헤더,AR$9,_xlpm.잔금표,$E$6:$I$6,_xlpm.잔금회차,IF(ISNUMBER(SEARCH("입주",_xlpm.헤더)),VALUE(RIGHT(_xlpm.헤더,1)),0),_xlpm.열번호,COLUMN(AR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21" s="605" t="e" vm="2">
        <f>_xlfn.LET(_xlpm.금액,$F21,_xlpm.계약금비율,$B$5,_xlpm.중도금비율,$C$5,_xlpm.잔금비율,$D$5,_xlpm.계약시기,TEXT($B21,"yyyy-mm"),_xlpm.현재월,TEXT(AS$8,"yyyy-mm"),_xlpm.헤더범위,$G$9:AS$9,_xlpm.헤더,AS$9,_xlpm.잔금표,$E$6:$I$6,_xlpm.잔금회차,IF(ISNUMBER(SEARCH("입주",_xlpm.헤더)),VALUE(RIGHT(_xlpm.헤더,1)),0),_xlpm.열번호,COLUMN(AS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21" s="605" t="e" vm="2">
        <f>_xlfn.LET(_xlpm.금액,$F21,_xlpm.계약금비율,$B$5,_xlpm.중도금비율,$C$5,_xlpm.잔금비율,$D$5,_xlpm.계약시기,TEXT($B21,"yyyy-mm"),_xlpm.현재월,TEXT(AT$8,"yyyy-mm"),_xlpm.헤더범위,$G$9:AT$9,_xlpm.헤더,AT$9,_xlpm.잔금표,$E$6:$I$6,_xlpm.잔금회차,IF(ISNUMBER(SEARCH("입주",_xlpm.헤더)),VALUE(RIGHT(_xlpm.헤더,1)),0),_xlpm.열번호,COLUMN(AT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21" s="605" t="e" vm="2">
        <f>_xlfn.LET(_xlpm.금액,$F21,_xlpm.계약금비율,$B$5,_xlpm.중도금비율,$C$5,_xlpm.잔금비율,$D$5,_xlpm.계약시기,TEXT($B21,"yyyy-mm"),_xlpm.현재월,TEXT(AU$8,"yyyy-mm"),_xlpm.헤더범위,$G$9:AU$9,_xlpm.헤더,AU$9,_xlpm.잔금표,$E$6:$I$6,_xlpm.잔금회차,IF(ISNUMBER(SEARCH("입주",_xlpm.헤더)),VALUE(RIGHT(_xlpm.헤더,1)),0),_xlpm.열번호,COLUMN(AU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21" s="605" t="e" vm="2">
        <f>_xlfn.LET(_xlpm.금액,$F21,_xlpm.계약금비율,$B$5,_xlpm.중도금비율,$C$5,_xlpm.잔금비율,$D$5,_xlpm.계약시기,TEXT($B21,"yyyy-mm"),_xlpm.현재월,TEXT(AV$8,"yyyy-mm"),_xlpm.헤더범위,$G$9:AV$9,_xlpm.헤더,AV$9,_xlpm.잔금표,$E$6:$I$6,_xlpm.잔금회차,IF(ISNUMBER(SEARCH("입주",_xlpm.헤더)),VALUE(RIGHT(_xlpm.헤더,1)),0),_xlpm.열번호,COLUMN(AV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21" s="605">
        <f>_xlfn.LET(_xlpm.금액,$F21,_xlpm.계약금비율,$B$5,_xlpm.중도금비율,$C$5,_xlpm.잔금비율,$D$5,_xlpm.계약시기,TEXT($B21,"yyyy-mm"),_xlpm.현재월,TEXT(AW$8,"yyyy-mm"),_xlpm.헤더범위,$G$9:AW$9,_xlpm.헤더,AW$9,_xlpm.잔금표,$E$6:$I$6,_xlpm.잔금회차,IF(ISNUMBER(SEARCH("입주",_xlpm.헤더)),VALUE(RIGHT(_xlpm.헤더,1)),0),_xlpm.열번호,COLUMN(AW$9),_xlpm.행번호,ROW($G21),_xlpm.전체헤더,$G$9:$BF$9,_xlpm.전체데이터,$G21:$BF21,_xlpm.전체열번호,_xlfn.SEQUENCE(1,COLUMNS(_xlpm.전체헤더),COLUMN($G21)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21" s="605">
        <f t="shared" ref="H21:AY27" ca="1" si="12">IF(TEXT(AX$8,"yyyy-mm")=TEXT($B21,"yyyy-mm"),$F21*$B$5,IF(AND(TEXT($B21,"yyyy-mm")&lt;=TEXT(AX$8,"yyyy-mm"),ISNUMBER(SEARCH("입주",AX$9))),($F21-SUM(INDIRECT("$L$10:"&amp;ADDRESS(ROW(),COLUMN()-1))))*INDEX($E$6:$I$6,VALUE(RIGHT(AX$9,1))),IF(AND(TEXT($B21,"yyyy-mm")&lt;=TEXT(AX$8,"yyyy-mm"),ISNUMBER(SEARCH("중도금",AX$9))),IF(AX$9="1차중도금",$F21*$C$5/6,MAX(0,$F21*$C$5*IF(AX$9="2차중도금",0.3,IF(AX$9="3차중도금",0.4,IF(AX$9="4차중도금",0.5,IF(AX$9="5차중도금",0.6,0.7))))-SUM(INDIRECT("$L$10:"&amp;ADDRESS(ROW(),COLUMN()-1))))),0)))</f>
        <v>0</v>
      </c>
      <c r="AY21" s="605">
        <f t="shared" ca="1" si="12"/>
        <v>0</v>
      </c>
      <c r="AZ21" s="605">
        <f t="shared" ref="H21:BB26" ca="1" si="13">IF(TEXT(AZ$8,"yyyy-mm")=TEXT($B21,"yyyy-mm"),$F21*$B$5,IF(AND(TEXT(AZ$8,"yyyy-mm")&gt;=TEXT($B21,"yyyy-mm"),ISNUMBER(SEARCH("입주",AZ$9))),($F21-SUM(INDIRECT("$G$10:"&amp;ADDRESS(ROW(),COLUMN()-1))))*INDEX($E$6:$I$6,VALUE(RIGHT(AZ$9,1))),IF(AND(TEXT(AZ$8,"yyyy-mm")&gt;=TEXT($B21,"yyyy-mm"),AZ$9="1차중도금"),$F21*$C$5/6,IF(AND(TEXT(AZ$8,"yyyy-mm")&gt;=TEXT($B21,"yyyy-mm"),AZ$9="2차중도금"),MAX(0,$F21*$C$5*0.3-SUM(INDIRECT("$G$10:"&amp;ADDRESS(ROW(),COLUMN()-1)))),0))))</f>
        <v>0</v>
      </c>
      <c r="BA21" s="605">
        <f t="shared" ca="1" si="13"/>
        <v>0</v>
      </c>
      <c r="BB21" s="605">
        <f t="shared" ca="1" si="13"/>
        <v>0</v>
      </c>
      <c r="BC21" s="605">
        <f ca="1">IF(TEXT(BC$8,"yyyy-mm")=TEXT($B21,"yyyy-mm"),$F21*$B$5,IF(AND(ISNUMBER(SEARCH("중도금",BC$9)),TEXT(BC$8,"yyyy-mm")&gt;=TEXT($B21,"yyyy-mm")),IF(BC$9="1차중도금",$F21*$C$5/6,IF(BC$9="2차중도금",MAX(0,$F21*$C$5*0.3-IF(COLUMN()&gt;7,SUM($G21:OFFSET(BC21,0,COLUMN()-8)),0)),IF(BC$9="3차중도금",MAX(0,$F21*$C$5*0.4-IF(COLUMN()&gt;7,SUM($G21:OFFSET(BC21,0,COLUMN()-8)),0)),IF(BC$9="4차중도금",MAX(0,$F21*$C$5*0.5-IF(COLUMN()&gt;7,SUM($G21:OFFSET(BC21,0,COLUMN()-8)),0)),IF(BC$9="5차중도금",MAX(0,$F21*$C$5*0.6-IF(COLUMN()&gt;7,SUM($G21:OFFSET(BC21,0,COLUMN()-8)),0)),IF(BC$9="6차중도금",MAX(0,$F21*$C$5*0.7-IF(COLUMN()&gt;7,SUM($G21:OFFSET(BC21,0,COLUMN()-8)),0)),0)))))),IF(AND(ISNUMBER(SEARCH("입주",BC$9)),TEXT(BC$8,"yyyy-mm")&gt;=TEXT($B21,"yyyy-mm")),$F21*$D$5*INDEX($E$6:$I$6,VALUE(RIGHT(BC$9,1))),0)))</f>
        <v>0</v>
      </c>
      <c r="BD21" s="605">
        <f ca="1">IF(TEXT(BD$8,"yyyy-mm")=TEXT($B21,"yyyy-mm"),$F21*$B$5,IF(AND(ISNUMBER(SEARCH("중도금",BD$9)),TEXT(BD$8,"yyyy-mm")&gt;=TEXT($B21,"yyyy-mm")),IF(BD$9="1차중도금",$F21*$C$5/6,IF(BD$9="2차중도금",MAX(0,$F21*$C$5*0.3-IF(COLUMN()&gt;7,SUM($G21:OFFSET(BD21,0,COLUMN()-8)),0)),IF(BD$9="3차중도금",MAX(0,$F21*$C$5*0.4-IF(COLUMN()&gt;7,SUM($G21:OFFSET(BD21,0,COLUMN()-8)),0)),IF(BD$9="4차중도금",MAX(0,$F21*$C$5*0.5-IF(COLUMN()&gt;7,SUM($G21:OFFSET(BD21,0,COLUMN()-8)),0)),IF(BD$9="5차중도금",MAX(0,$F21*$C$5*0.6-IF(COLUMN()&gt;7,SUM($G21:OFFSET(BD21,0,COLUMN()-8)),0)),IF(BD$9="6차중도금",MAX(0,$F21*$C$5*0.7-IF(COLUMN()&gt;7,SUM($G21:OFFSET(BD21,0,COLUMN()-8)),0)),0)))))),IF(AND(ISNUMBER(SEARCH("입주",BD$9)),TEXT(BD$8,"yyyy-mm")&gt;=TEXT($B21,"yyyy-mm")),$F21*$D$5*INDEX($E$6:$I$6,VALUE(RIGHT(BD$9,1))),0)))</f>
        <v>0</v>
      </c>
      <c r="BE21" s="605">
        <f ca="1">IF(TEXT(BE$8,"yyyy-mm")=TEXT($B21,"yyyy-mm"),$F21*$B$5,IF(AND(ISNUMBER(SEARCH("중도금",BE$9)),TEXT(BE$8,"yyyy-mm")&gt;=TEXT($B21,"yyyy-mm")),IF(BE$9="1차중도금",$F21*$C$5/6,IF(BE$9="2차중도금",MAX(0,$F21*$C$5*0.3-IF(COLUMN()&gt;7,SUM($G21:OFFSET(BE21,0,COLUMN()-8)),0)),IF(BE$9="3차중도금",MAX(0,$F21*$C$5*0.4-IF(COLUMN()&gt;7,SUM($G21:OFFSET(BE21,0,COLUMN()-8)),0)),IF(BE$9="4차중도금",MAX(0,$F21*$C$5*0.5-IF(COLUMN()&gt;7,SUM($G21:OFFSET(BE21,0,COLUMN()-8)),0)),IF(BE$9="5차중도금",MAX(0,$F21*$C$5*0.6-IF(COLUMN()&gt;7,SUM($G21:OFFSET(BE21,0,COLUMN()-8)),0)),IF(BE$9="6차중도금",MAX(0,$F21*$C$5*0.7-IF(COLUMN()&gt;7,SUM($G21:OFFSET(BE21,0,COLUMN()-8)),0)),0)))))),IF(AND(ISNUMBER(SEARCH("입주",BE$9)),TEXT(BE$8,"yyyy-mm")&gt;=TEXT($B21,"yyyy-mm")),$F21*$D$5*INDEX($E$6:$I$6,VALUE(RIGHT(BE$9,1))),0)))</f>
        <v>0</v>
      </c>
      <c r="BF21" s="609">
        <f t="shared" ca="1" si="8"/>
        <v>7538671.4796348829</v>
      </c>
      <c r="BG21" s="556">
        <f t="shared" ca="1" si="5"/>
        <v>47499.545512117445</v>
      </c>
      <c r="BH21" s="610"/>
    </row>
    <row r="22" spans="1:60">
      <c r="A22" s="1853"/>
      <c r="B22" s="611">
        <f t="shared" si="6"/>
        <v>45200</v>
      </c>
      <c r="C22" s="605">
        <f t="shared" si="7"/>
        <v>252872367.50490001</v>
      </c>
      <c r="D22" s="1501">
        <f t="shared" si="7"/>
        <v>0.03</v>
      </c>
      <c r="E22" s="607">
        <f t="shared" si="9"/>
        <v>0.86000000000000021</v>
      </c>
      <c r="F22" s="608">
        <f t="shared" si="2"/>
        <v>7586171.0251470003</v>
      </c>
      <c r="G22" s="605">
        <f>_xlfn.LET(_xlpm.금액,$F22,_xlpm.계약금비율,$B$5,_xlpm.중도금비율,$C$5,_xlpm.잔금비율,$D$5,_xlpm.계약시기,TEXT($B22,"yyyy-mm"),_xlpm.현재월,TEXT(G$8,"yyyy-mm"),_xlpm.헤더범위,$G$9:G$9,_xlpm.헤더,G$9,_xlpm.잔금표,$E$6:$I$6,_xlpm.잔금회차,IF(ISNUMBER(SEARCH("입주",_xlpm.헤더)),VALUE(RIGHT(_xlpm.헤더,1)),0),_xlpm.열번호,COLUMN(G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22" s="605">
        <f>_xlfn.LET(_xlpm.금액,$F22,_xlpm.계약금비율,$B$5,_xlpm.중도금비율,$C$5,_xlpm.잔금비율,$D$5,_xlpm.계약시기,TEXT($B22,"yyyy-mm"),_xlpm.현재월,TEXT(H$8,"yyyy-mm"),_xlpm.헤더범위,$G$9:H$9,_xlpm.헤더,H$9,_xlpm.잔금표,$E$6:$I$6,_xlpm.잔금회차,IF(ISNUMBER(SEARCH("입주",_xlpm.헤더)),VALUE(RIGHT(_xlpm.헤더,1)),0),_xlpm.열번호,COLUMN(H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22" s="605">
        <f>_xlfn.LET(_xlpm.금액,$F22,_xlpm.계약금비율,$B$5,_xlpm.중도금비율,$C$5,_xlpm.잔금비율,$D$5,_xlpm.계약시기,TEXT($B22,"yyyy-mm"),_xlpm.현재월,TEXT(I$8,"yyyy-mm"),_xlpm.헤더범위,$G$9:I$9,_xlpm.헤더,I$9,_xlpm.잔금표,$E$6:$I$6,_xlpm.잔금회차,IF(ISNUMBER(SEARCH("입주",_xlpm.헤더)),VALUE(RIGHT(_xlpm.헤더,1)),0),_xlpm.열번호,COLUMN(I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22" s="605">
        <f>_xlfn.LET(_xlpm.금액,$F22,_xlpm.계약금비율,$B$5,_xlpm.중도금비율,$C$5,_xlpm.잔금비율,$D$5,_xlpm.계약시기,TEXT($B22,"yyyy-mm"),_xlpm.현재월,TEXT(J$8,"yyyy-mm"),_xlpm.헤더범위,$G$9:J$9,_xlpm.헤더,J$9,_xlpm.잔금표,$E$6:$I$6,_xlpm.잔금회차,IF(ISNUMBER(SEARCH("입주",_xlpm.헤더)),VALUE(RIGHT(_xlpm.헤더,1)),0),_xlpm.열번호,COLUMN(J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22" s="605">
        <f>_xlfn.LET(_xlpm.금액,$F22,_xlpm.계약금비율,$B$5,_xlpm.중도금비율,$C$5,_xlpm.잔금비율,$D$5,_xlpm.계약시기,TEXT($B22,"yyyy-mm"),_xlpm.현재월,TEXT(K$8,"yyyy-mm"),_xlpm.헤더범위,$G$9:K$9,_xlpm.헤더,K$9,_xlpm.잔금표,$E$6:$I$6,_xlpm.잔금회차,IF(ISNUMBER(SEARCH("입주",_xlpm.헤더)),VALUE(RIGHT(_xlpm.헤더,1)),0),_xlpm.열번호,COLUMN(K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22" s="605">
        <f ca="1">_xlfn.LET(_xlpm.금액,$F22,_xlpm.계약금비율,$B$5,_xlpm.중도금비율,$C$5,_xlpm.잔금비율,$D$5,_xlpm.계약시기,TEXT($B22,"yyyy-mm"),_xlpm.현재월,TEXT(L$8,"yyyy-mm"),_xlpm.헤더범위,$G$9:L$9,_xlpm.헤더,L$9,_xlpm.잔금표,$E$6:$I$6,_xlpm.잔금회차,IF(ISNUMBER(SEARCH("입주",_xlpm.헤더)),VALUE(RIGHT(_xlpm.헤더,1)),0),_xlpm.열번호,COLUMN(L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22" s="605">
        <f>_xlfn.LET(_xlpm.금액,$F22,_xlpm.계약금비율,$B$5,_xlpm.중도금비율,$C$5,_xlpm.잔금비율,$D$5,_xlpm.계약시기,TEXT($B22,"yyyy-mm"),_xlpm.현재월,TEXT(M$8,"yyyy-mm"),_xlpm.헤더범위,$G$9:M$9,_xlpm.헤더,M$9,_xlpm.잔금표,$E$6:$I$6,_xlpm.잔금회차,IF(ISNUMBER(SEARCH("입주",_xlpm.헤더)),VALUE(RIGHT(_xlpm.헤더,1)),0),_xlpm.열번호,COLUMN(M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22" s="605">
        <f>_xlfn.LET(_xlpm.금액,$F22,_xlpm.계약금비율,$B$5,_xlpm.중도금비율,$C$5,_xlpm.잔금비율,$D$5,_xlpm.계약시기,TEXT($B22,"yyyy-mm"),_xlpm.현재월,TEXT(N$8,"yyyy-mm"),_xlpm.헤더범위,$G$9:N$9,_xlpm.헤더,N$9,_xlpm.잔금표,$E$6:$I$6,_xlpm.잔금회차,IF(ISNUMBER(SEARCH("입주",_xlpm.헤더)),VALUE(RIGHT(_xlpm.헤더,1)),0),_xlpm.열번호,COLUMN(N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22" s="605">
        <f>_xlfn.LET(_xlpm.금액,$F22,_xlpm.계약금비율,$B$5,_xlpm.중도금비율,$C$5,_xlpm.잔금비율,$D$5,_xlpm.계약시기,TEXT($B22,"yyyy-mm"),_xlpm.현재월,TEXT(O$8,"yyyy-mm"),_xlpm.헤더범위,$G$9:O$9,_xlpm.헤더,O$9,_xlpm.잔금표,$E$6:$I$6,_xlpm.잔금회차,IF(ISNUMBER(SEARCH("입주",_xlpm.헤더)),VALUE(RIGHT(_xlpm.헤더,1)),0),_xlpm.열번호,COLUMN(O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22" s="605">
        <f>_xlfn.LET(_xlpm.금액,$F22,_xlpm.계약금비율,$B$5,_xlpm.중도금비율,$C$5,_xlpm.잔금비율,$D$5,_xlpm.계약시기,TEXT($B22,"yyyy-mm"),_xlpm.현재월,TEXT(P$8,"yyyy-mm"),_xlpm.헤더범위,$G$9:P$9,_xlpm.헤더,P$9,_xlpm.잔금표,$E$6:$I$6,_xlpm.잔금회차,IF(ISNUMBER(SEARCH("입주",_xlpm.헤더)),VALUE(RIGHT(_xlpm.헤더,1)),0),_xlpm.열번호,COLUMN(P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22" s="605">
        <f ca="1">_xlfn.LET(_xlpm.금액,$F22,_xlpm.계약금비율,$B$5,_xlpm.중도금비율,$C$5,_xlpm.잔금비율,$D$5,_xlpm.계약시기,TEXT($B22,"yyyy-mm"),_xlpm.현재월,TEXT(Q$8,"yyyy-mm"),_xlpm.헤더범위,$G$9:Q$9,_xlpm.헤더,Q$9,_xlpm.잔금표,$E$6:$I$6,_xlpm.잔금회차,IF(ISNUMBER(SEARCH("입주",_xlpm.헤더)),VALUE(RIGHT(_xlpm.헤더,1)),0),_xlpm.열번호,COLUMN(Q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22" s="605">
        <f>_xlfn.LET(_xlpm.금액,$F22,_xlpm.계약금비율,$B$5,_xlpm.중도금비율,$C$5,_xlpm.잔금비율,$D$5,_xlpm.계약시기,TEXT($B22,"yyyy-mm"),_xlpm.현재월,TEXT(R$8,"yyyy-mm"),_xlpm.헤더범위,$G$9:R$9,_xlpm.헤더,R$9,_xlpm.잔금표,$E$6:$I$6,_xlpm.잔금회차,IF(ISNUMBER(SEARCH("입주",_xlpm.헤더)),VALUE(RIGHT(_xlpm.헤더,1)),0),_xlpm.열번호,COLUMN(R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22" s="605">
        <f>_xlfn.LET(_xlpm.금액,$F22,_xlpm.계약금비율,$B$5,_xlpm.중도금비율,$C$5,_xlpm.잔금비율,$D$5,_xlpm.계약시기,TEXT($B22,"yyyy-mm"),_xlpm.현재월,TEXT(S$8,"yyyy-mm"),_xlpm.헤더범위,$G$9:S$9,_xlpm.헤더,S$9,_xlpm.잔금표,$E$6:$I$6,_xlpm.잔금회차,IF(ISNUMBER(SEARCH("입주",_xlpm.헤더)),VALUE(RIGHT(_xlpm.헤더,1)),0),_xlpm.열번호,COLUMN(S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758617.10251470003</v>
      </c>
      <c r="T22" s="605">
        <f>_xlfn.LET(_xlpm.금액,$F22,_xlpm.계약금비율,$B$5,_xlpm.중도금비율,$C$5,_xlpm.잔금비율,$D$5,_xlpm.계약시기,TEXT($B22,"yyyy-mm"),_xlpm.현재월,TEXT(T$8,"yyyy-mm"),_xlpm.헤더범위,$G$9:T$9,_xlpm.헤더,T$9,_xlpm.잔금표,$E$6:$I$6,_xlpm.잔금회차,IF(ISNUMBER(SEARCH("입주",_xlpm.헤더)),VALUE(RIGHT(_xlpm.헤더,1)),0),_xlpm.열번호,COLUMN(T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22" s="605">
        <f>_xlfn.LET(_xlpm.금액,$F22,_xlpm.계약금비율,$B$5,_xlpm.중도금비율,$C$5,_xlpm.잔금비율,$D$5,_xlpm.계약시기,TEXT($B22,"yyyy-mm"),_xlpm.현재월,TEXT(U$8,"yyyy-mm"),_xlpm.헤더범위,$G$9:U$9,_xlpm.헤더,U$9,_xlpm.잔금표,$E$6:$I$6,_xlpm.잔금회차,IF(ISNUMBER(SEARCH("입주",_xlpm.헤더)),VALUE(RIGHT(_xlpm.헤더,1)),0),_xlpm.열번호,COLUMN(U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22" s="605">
        <f ca="1">_xlfn.LET(_xlpm.금액,$F22,_xlpm.계약금비율,$B$5,_xlpm.중도금비율,$C$5,_xlpm.잔금비율,$D$5,_xlpm.계약시기,TEXT($B22,"yyyy-mm"),_xlpm.현재월,TEXT(V$8,"yyyy-mm"),_xlpm.헤더범위,$G$9:V$9,_xlpm.헤더,V$9,_xlpm.잔금표,$E$6:$I$6,_xlpm.잔금회차,IF(ISNUMBER(SEARCH("입주",_xlpm.헤더)),VALUE(RIGHT(_xlpm.헤더,1)),0),_xlpm.열번호,COLUMN(V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22" s="605">
        <f>_xlfn.LET(_xlpm.금액,$F22,_xlpm.계약금비율,$B$5,_xlpm.중도금비율,$C$5,_xlpm.잔금비율,$D$5,_xlpm.계약시기,TEXT($B22,"yyyy-mm"),_xlpm.현재월,TEXT(W$8,"yyyy-mm"),_xlpm.헤더범위,$G$9:W$9,_xlpm.헤더,W$9,_xlpm.잔금표,$E$6:$I$6,_xlpm.잔금회차,IF(ISNUMBER(SEARCH("입주",_xlpm.헤더)),VALUE(RIGHT(_xlpm.헤더,1)),0),_xlpm.열번호,COLUMN(W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22" s="605">
        <f>_xlfn.LET(_xlpm.금액,$F22,_xlpm.계약금비율,$B$5,_xlpm.중도금비율,$C$5,_xlpm.잔금비율,$D$5,_xlpm.계약시기,TEXT($B22,"yyyy-mm"),_xlpm.현재월,TEXT(X$8,"yyyy-mm"),_xlpm.헤더범위,$G$9:X$9,_xlpm.헤더,X$9,_xlpm.잔금표,$E$6:$I$6,_xlpm.잔금회차,IF(ISNUMBER(SEARCH("입주",_xlpm.헤더)),VALUE(RIGHT(_xlpm.헤더,1)),0),_xlpm.열번호,COLUMN(X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22" s="605">
        <f>_xlfn.LET(_xlpm.금액,$F22,_xlpm.계약금비율,$B$5,_xlpm.중도금비율,$C$5,_xlpm.잔금비율,$D$5,_xlpm.계약시기,TEXT($B22,"yyyy-mm"),_xlpm.현재월,TEXT(Y$8,"yyyy-mm"),_xlpm.헤더범위,$G$9:Y$9,_xlpm.헤더,Y$9,_xlpm.잔금표,$E$6:$I$6,_xlpm.잔금회차,IF(ISNUMBER(SEARCH("입주",_xlpm.헤더)),VALUE(RIGHT(_xlpm.헤더,1)),0),_xlpm.열번호,COLUMN(Y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22" s="605">
        <f>_xlfn.LET(_xlpm.금액,$F22,_xlpm.계약금비율,$B$5,_xlpm.중도금비율,$C$5,_xlpm.잔금비율,$D$5,_xlpm.계약시기,TEXT($B22,"yyyy-mm"),_xlpm.현재월,TEXT(Z$8,"yyyy-mm"),_xlpm.헤더범위,$G$9:Z$9,_xlpm.헤더,Z$9,_xlpm.잔금표,$E$6:$I$6,_xlpm.잔금회차,IF(ISNUMBER(SEARCH("입주",_xlpm.헤더)),VALUE(RIGHT(_xlpm.헤더,1)),0),_xlpm.열번호,COLUMN(Z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22" s="605">
        <f>_xlfn.LET(_xlpm.금액,$F22,_xlpm.계약금비율,$B$5,_xlpm.중도금비율,$C$5,_xlpm.잔금비율,$D$5,_xlpm.계약시기,TEXT($B22,"yyyy-mm"),_xlpm.현재월,TEXT(AA$8,"yyyy-mm"),_xlpm.헤더범위,$G$9:AA$9,_xlpm.헤더,AA$9,_xlpm.잔금표,$E$6:$I$6,_xlpm.잔금회차,IF(ISNUMBER(SEARCH("입주",_xlpm.헤더)),VALUE(RIGHT(_xlpm.헤더,1)),0),_xlpm.열번호,COLUMN(AA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22" s="605">
        <f ca="1">_xlfn.LET(_xlpm.금액,$F22,_xlpm.계약금비율,$B$5,_xlpm.중도금비율,$C$5,_xlpm.잔금비율,$D$5,_xlpm.계약시기,TEXT($B22,"yyyy-mm"),_xlpm.현재월,TEXT(AB$8,"yyyy-mm"),_xlpm.헤더범위,$G$9:AB$9,_xlpm.헤더,AB$9,_xlpm.잔금표,$E$6:$I$6,_xlpm.잔금회차,IF(ISNUMBER(SEARCH("입주",_xlpm.헤더)),VALUE(RIGHT(_xlpm.헤더,1)),0),_xlpm.열번호,COLUMN(AB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22" s="605">
        <f>_xlfn.LET(_xlpm.금액,$F22,_xlpm.계약금비율,$B$5,_xlpm.중도금비율,$C$5,_xlpm.잔금비율,$D$5,_xlpm.계약시기,TEXT($B22,"yyyy-mm"),_xlpm.현재월,TEXT(AC$8,"yyyy-mm"),_xlpm.헤더범위,$G$9:AC$9,_xlpm.헤더,AC$9,_xlpm.잔금표,$E$6:$I$6,_xlpm.잔금회차,IF(ISNUMBER(SEARCH("입주",_xlpm.헤더)),VALUE(RIGHT(_xlpm.헤더,1)),0),_xlpm.열번호,COLUMN(AC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22" s="605">
        <f>_xlfn.LET(_xlpm.금액,$F22,_xlpm.계약금비율,$B$5,_xlpm.중도금비율,$C$5,_xlpm.잔금비율,$D$5,_xlpm.계약시기,TEXT($B22,"yyyy-mm"),_xlpm.현재월,TEXT(AD$8,"yyyy-mm"),_xlpm.헤더범위,$G$9:AD$9,_xlpm.헤더,AD$9,_xlpm.잔금표,$E$6:$I$6,_xlpm.잔금회차,IF(ISNUMBER(SEARCH("입주",_xlpm.헤더)),VALUE(RIGHT(_xlpm.헤더,1)),0),_xlpm.열번호,COLUMN(AD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22" s="605">
        <f>_xlfn.LET(_xlpm.금액,$F22,_xlpm.계약금비율,$B$5,_xlpm.중도금비율,$C$5,_xlpm.잔금비율,$D$5,_xlpm.계약시기,TEXT($B22,"yyyy-mm"),_xlpm.현재월,TEXT(AE$8,"yyyy-mm"),_xlpm.헤더범위,$G$9:AE$9,_xlpm.헤더,AE$9,_xlpm.잔금표,$E$6:$I$6,_xlpm.잔금회차,IF(ISNUMBER(SEARCH("입주",_xlpm.헤더)),VALUE(RIGHT(_xlpm.헤더,1)),0),_xlpm.열번호,COLUMN(AE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22" s="605">
        <f>_xlfn.LET(_xlpm.금액,$F22,_xlpm.계약금비율,$B$5,_xlpm.중도금비율,$C$5,_xlpm.잔금비율,$D$5,_xlpm.계약시기,TEXT($B22,"yyyy-mm"),_xlpm.현재월,TEXT(AF$8,"yyyy-mm"),_xlpm.헤더범위,$G$9:AF$9,_xlpm.헤더,AF$9,_xlpm.잔금표,$E$6:$I$6,_xlpm.잔금회차,IF(ISNUMBER(SEARCH("입주",_xlpm.헤더)),VALUE(RIGHT(_xlpm.헤더,1)),0),_xlpm.열번호,COLUMN(AF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22" s="605">
        <f ca="1">_xlfn.LET(_xlpm.금액,$F22,_xlpm.계약금비율,$B$5,_xlpm.중도금비율,$C$5,_xlpm.잔금비율,$D$5,_xlpm.계약시기,TEXT($B22,"yyyy-mm"),_xlpm.현재월,TEXT(AG$8,"yyyy-mm"),_xlpm.헤더범위,$G$9:AG$9,_xlpm.헤더,AG$9,_xlpm.잔금표,$E$6:$I$6,_xlpm.잔금회차,IF(ISNUMBER(SEARCH("입주",_xlpm.헤더)),VALUE(RIGHT(_xlpm.헤더,1)),0),_xlpm.열번호,COLUMN(AG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22" s="605">
        <f>_xlfn.LET(_xlpm.금액,$F22,_xlpm.계약금비율,$B$5,_xlpm.중도금비율,$C$5,_xlpm.잔금비율,$D$5,_xlpm.계약시기,TEXT($B22,"yyyy-mm"),_xlpm.현재월,TEXT(AH$8,"yyyy-mm"),_xlpm.헤더범위,$G$9:AH$9,_xlpm.헤더,AH$9,_xlpm.잔금표,$E$6:$I$6,_xlpm.잔금회차,IF(ISNUMBER(SEARCH("입주",_xlpm.헤더)),VALUE(RIGHT(_xlpm.헤더,1)),0),_xlpm.열번호,COLUMN(AH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22" s="605">
        <f>_xlfn.LET(_xlpm.금액,$F22,_xlpm.계약금비율,$B$5,_xlpm.중도금비율,$C$5,_xlpm.잔금비율,$D$5,_xlpm.계약시기,TEXT($B22,"yyyy-mm"),_xlpm.현재월,TEXT(AI$8,"yyyy-mm"),_xlpm.헤더범위,$G$9:AI$9,_xlpm.헤더,AI$9,_xlpm.잔금표,$E$6:$I$6,_xlpm.잔금회차,IF(ISNUMBER(SEARCH("입주",_xlpm.헤더)),VALUE(RIGHT(_xlpm.헤더,1)),0),_xlpm.열번호,COLUMN(AI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22" s="605">
        <f>_xlfn.LET(_xlpm.금액,$F22,_xlpm.계약금비율,$B$5,_xlpm.중도금비율,$C$5,_xlpm.잔금비율,$D$5,_xlpm.계약시기,TEXT($B22,"yyyy-mm"),_xlpm.현재월,TEXT(AJ$8,"yyyy-mm"),_xlpm.헤더범위,$G$9:AJ$9,_xlpm.헤더,AJ$9,_xlpm.잔금표,$E$6:$I$6,_xlpm.잔금회차,IF(ISNUMBER(SEARCH("입주",_xlpm.헤더)),VALUE(RIGHT(_xlpm.헤더,1)),0),_xlpm.열번호,COLUMN(AJ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22" s="605">
        <f>_xlfn.LET(_xlpm.금액,$F22,_xlpm.계약금비율,$B$5,_xlpm.중도금비율,$C$5,_xlpm.잔금비율,$D$5,_xlpm.계약시기,TEXT($B22,"yyyy-mm"),_xlpm.현재월,TEXT(AK$8,"yyyy-mm"),_xlpm.헤더범위,$G$9:AK$9,_xlpm.헤더,AK$9,_xlpm.잔금표,$E$6:$I$6,_xlpm.잔금회차,IF(ISNUMBER(SEARCH("입주",_xlpm.헤더)),VALUE(RIGHT(_xlpm.헤더,1)),0),_xlpm.열번호,COLUMN(AK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22" s="605">
        <f ca="1">_xlfn.LET(_xlpm.금액,$F22,_xlpm.계약금비율,$B$5,_xlpm.중도금비율,$C$5,_xlpm.잔금비율,$D$5,_xlpm.계약시기,TEXT($B22,"yyyy-mm"),_xlpm.현재월,TEXT(AL$8,"yyyy-mm"),_xlpm.헤더범위,$G$9:AL$9,_xlpm.헤더,AL$9,_xlpm.잔금표,$E$6:$I$6,_xlpm.잔금회차,IF(ISNUMBER(SEARCH("입주",_xlpm.헤더)),VALUE(RIGHT(_xlpm.헤더,1)),0),_xlpm.열번호,COLUMN(AL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22" s="605">
        <f>_xlfn.LET(_xlpm.금액,$F22,_xlpm.계약금비율,$B$5,_xlpm.중도금비율,$C$5,_xlpm.잔금비율,$D$5,_xlpm.계약시기,TEXT($B22,"yyyy-mm"),_xlpm.현재월,TEXT(AM$8,"yyyy-mm"),_xlpm.헤더범위,$G$9:AM$9,_xlpm.헤더,AM$9,_xlpm.잔금표,$E$6:$I$6,_xlpm.잔금회차,IF(ISNUMBER(SEARCH("입주",_xlpm.헤더)),VALUE(RIGHT(_xlpm.헤더,1)),0),_xlpm.열번호,COLUMN(AM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22" s="605">
        <f>_xlfn.LET(_xlpm.금액,$F22,_xlpm.계약금비율,$B$5,_xlpm.중도금비율,$C$5,_xlpm.잔금비율,$D$5,_xlpm.계약시기,TEXT($B22,"yyyy-mm"),_xlpm.현재월,TEXT(AN$8,"yyyy-mm"),_xlpm.헤더범위,$G$9:AN$9,_xlpm.헤더,AN$9,_xlpm.잔금표,$E$6:$I$6,_xlpm.잔금회차,IF(ISNUMBER(SEARCH("입주",_xlpm.헤더)),VALUE(RIGHT(_xlpm.헤더,1)),0),_xlpm.열번호,COLUMN(AN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22" s="605">
        <f>_xlfn.LET(_xlpm.금액,$F22,_xlpm.계약금비율,$B$5,_xlpm.중도금비율,$C$5,_xlpm.잔금비율,$D$5,_xlpm.계약시기,TEXT($B22,"yyyy-mm"),_xlpm.현재월,TEXT(AO$8,"yyyy-mm"),_xlpm.헤더범위,$G$9:AO$9,_xlpm.헤더,AO$9,_xlpm.잔금표,$E$6:$I$6,_xlpm.잔금회차,IF(ISNUMBER(SEARCH("입주",_xlpm.헤더)),VALUE(RIGHT(_xlpm.헤더,1)),0),_xlpm.열번호,COLUMN(AO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22" s="605">
        <f>_xlfn.LET(_xlpm.금액,$F22,_xlpm.계약금비율,$B$5,_xlpm.중도금비율,$C$5,_xlpm.잔금비율,$D$5,_xlpm.계약시기,TEXT($B22,"yyyy-mm"),_xlpm.현재월,TEXT(AP$8,"yyyy-mm"),_xlpm.헤더범위,$G$9:AP$9,_xlpm.헤더,AP$9,_xlpm.잔금표,$E$6:$I$6,_xlpm.잔금회차,IF(ISNUMBER(SEARCH("입주",_xlpm.헤더)),VALUE(RIGHT(_xlpm.헤더,1)),0),_xlpm.열번호,COLUMN(AP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22" s="605">
        <f>_xlfn.LET(_xlpm.금액,$F22,_xlpm.계약금비율,$B$5,_xlpm.중도금비율,$C$5,_xlpm.잔금비율,$D$5,_xlpm.계약시기,TEXT($B22,"yyyy-mm"),_xlpm.현재월,TEXT(AQ$8,"yyyy-mm"),_xlpm.헤더범위,$G$9:AQ$9,_xlpm.헤더,AQ$9,_xlpm.잔금표,$E$6:$I$6,_xlpm.잔금회차,IF(ISNUMBER(SEARCH("입주",_xlpm.헤더)),VALUE(RIGHT(_xlpm.헤더,1)),0),_xlpm.열번호,COLUMN(AQ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22" s="605" t="e" vm="2">
        <f>_xlfn.LET(_xlpm.금액,$F22,_xlpm.계약금비율,$B$5,_xlpm.중도금비율,$C$5,_xlpm.잔금비율,$D$5,_xlpm.계약시기,TEXT($B22,"yyyy-mm"),_xlpm.현재월,TEXT(AR$8,"yyyy-mm"),_xlpm.헤더범위,$G$9:AR$9,_xlpm.헤더,AR$9,_xlpm.잔금표,$E$6:$I$6,_xlpm.잔금회차,IF(ISNUMBER(SEARCH("입주",_xlpm.헤더)),VALUE(RIGHT(_xlpm.헤더,1)),0),_xlpm.열번호,COLUMN(AR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22" s="605" t="e" vm="2">
        <f>_xlfn.LET(_xlpm.금액,$F22,_xlpm.계약금비율,$B$5,_xlpm.중도금비율,$C$5,_xlpm.잔금비율,$D$5,_xlpm.계약시기,TEXT($B22,"yyyy-mm"),_xlpm.현재월,TEXT(AS$8,"yyyy-mm"),_xlpm.헤더범위,$G$9:AS$9,_xlpm.헤더,AS$9,_xlpm.잔금표,$E$6:$I$6,_xlpm.잔금회차,IF(ISNUMBER(SEARCH("입주",_xlpm.헤더)),VALUE(RIGHT(_xlpm.헤더,1)),0),_xlpm.열번호,COLUMN(AS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22" s="605" t="e" vm="2">
        <f>_xlfn.LET(_xlpm.금액,$F22,_xlpm.계약금비율,$B$5,_xlpm.중도금비율,$C$5,_xlpm.잔금비율,$D$5,_xlpm.계약시기,TEXT($B22,"yyyy-mm"),_xlpm.현재월,TEXT(AT$8,"yyyy-mm"),_xlpm.헤더범위,$G$9:AT$9,_xlpm.헤더,AT$9,_xlpm.잔금표,$E$6:$I$6,_xlpm.잔금회차,IF(ISNUMBER(SEARCH("입주",_xlpm.헤더)),VALUE(RIGHT(_xlpm.헤더,1)),0),_xlpm.열번호,COLUMN(AT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22" s="605" t="e" vm="2">
        <f>_xlfn.LET(_xlpm.금액,$F22,_xlpm.계약금비율,$B$5,_xlpm.중도금비율,$C$5,_xlpm.잔금비율,$D$5,_xlpm.계약시기,TEXT($B22,"yyyy-mm"),_xlpm.현재월,TEXT(AU$8,"yyyy-mm"),_xlpm.헤더범위,$G$9:AU$9,_xlpm.헤더,AU$9,_xlpm.잔금표,$E$6:$I$6,_xlpm.잔금회차,IF(ISNUMBER(SEARCH("입주",_xlpm.헤더)),VALUE(RIGHT(_xlpm.헤더,1)),0),_xlpm.열번호,COLUMN(AU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22" s="605" t="e" vm="2">
        <f>_xlfn.LET(_xlpm.금액,$F22,_xlpm.계약금비율,$B$5,_xlpm.중도금비율,$C$5,_xlpm.잔금비율,$D$5,_xlpm.계약시기,TEXT($B22,"yyyy-mm"),_xlpm.현재월,TEXT(AV$8,"yyyy-mm"),_xlpm.헤더범위,$G$9:AV$9,_xlpm.헤더,AV$9,_xlpm.잔금표,$E$6:$I$6,_xlpm.잔금회차,IF(ISNUMBER(SEARCH("입주",_xlpm.헤더)),VALUE(RIGHT(_xlpm.헤더,1)),0),_xlpm.열번호,COLUMN(AV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22" s="605">
        <f>_xlfn.LET(_xlpm.금액,$F22,_xlpm.계약금비율,$B$5,_xlpm.중도금비율,$C$5,_xlpm.잔금비율,$D$5,_xlpm.계약시기,TEXT($B22,"yyyy-mm"),_xlpm.현재월,TEXT(AW$8,"yyyy-mm"),_xlpm.헤더범위,$G$9:AW$9,_xlpm.헤더,AW$9,_xlpm.잔금표,$E$6:$I$6,_xlpm.잔금회차,IF(ISNUMBER(SEARCH("입주",_xlpm.헤더)),VALUE(RIGHT(_xlpm.헤더,1)),0),_xlpm.열번호,COLUMN(AW$9),_xlpm.행번호,ROW($G22),_xlpm.전체헤더,$G$9:$BF$9,_xlpm.전체데이터,$G22:$BF22,_xlpm.전체열번호,_xlfn.SEQUENCE(1,COLUMNS(_xlpm.전체헤더),COLUMN($G22)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22" s="605">
        <f t="shared" ca="1" si="12"/>
        <v>0</v>
      </c>
      <c r="AY22" s="605">
        <f t="shared" ca="1" si="12"/>
        <v>0</v>
      </c>
      <c r="AZ22" s="605">
        <f t="shared" ca="1" si="13"/>
        <v>0</v>
      </c>
      <c r="BA22" s="605">
        <f t="shared" ca="1" si="13"/>
        <v>0</v>
      </c>
      <c r="BB22" s="605">
        <f t="shared" ca="1" si="13"/>
        <v>0</v>
      </c>
      <c r="BC22" s="605">
        <f ca="1">IF(TEXT(BC$8,"yyyy-mm")=TEXT($B22,"yyyy-mm"),$F22*$B$5,IF(AND(ISNUMBER(SEARCH("중도금",BC$9)),TEXT(BC$8,"yyyy-mm")&gt;=TEXT($B22,"yyyy-mm")),IF(BC$9="1차중도금",$F22*$C$5/6,IF(BC$9="2차중도금",MAX(0,$F22*$C$5*0.3-IF(COLUMN()&gt;7,SUM($G22:OFFSET(BC22,0,COLUMN()-8)),0)),IF(BC$9="3차중도금",MAX(0,$F22*$C$5*0.4-IF(COLUMN()&gt;7,SUM($G22:OFFSET(BC22,0,COLUMN()-8)),0)),IF(BC$9="4차중도금",MAX(0,$F22*$C$5*0.5-IF(COLUMN()&gt;7,SUM($G22:OFFSET(BC22,0,COLUMN()-8)),0)),IF(BC$9="5차중도금",MAX(0,$F22*$C$5*0.6-IF(COLUMN()&gt;7,SUM($G22:OFFSET(BC22,0,COLUMN()-8)),0)),IF(BC$9="6차중도금",MAX(0,$F22*$C$5*0.7-IF(COLUMN()&gt;7,SUM($G22:OFFSET(BC22,0,COLUMN()-8)),0)),0)))))),IF(AND(ISNUMBER(SEARCH("입주",BC$9)),TEXT(BC$8,"yyyy-mm")&gt;=TEXT($B22,"yyyy-mm")),$F22*$D$5*INDEX($E$6:$I$6,VALUE(RIGHT(BC$9,1))),0)))</f>
        <v>0</v>
      </c>
      <c r="BD22" s="605">
        <f ca="1">IF(TEXT(BD$8,"yyyy-mm")=TEXT($B22,"yyyy-mm"),$F22*$B$5,IF(AND(ISNUMBER(SEARCH("중도금",BD$9)),TEXT(BD$8,"yyyy-mm")&gt;=TEXT($B22,"yyyy-mm")),IF(BD$9="1차중도금",$F22*$C$5/6,IF(BD$9="2차중도금",MAX(0,$F22*$C$5*0.3-IF(COLUMN()&gt;7,SUM($G22:OFFSET(BD22,0,COLUMN()-8)),0)),IF(BD$9="3차중도금",MAX(0,$F22*$C$5*0.4-IF(COLUMN()&gt;7,SUM($G22:OFFSET(BD22,0,COLUMN()-8)),0)),IF(BD$9="4차중도금",MAX(0,$F22*$C$5*0.5-IF(COLUMN()&gt;7,SUM($G22:OFFSET(BD22,0,COLUMN()-8)),0)),IF(BD$9="5차중도금",MAX(0,$F22*$C$5*0.6-IF(COLUMN()&gt;7,SUM($G22:OFFSET(BD22,0,COLUMN()-8)),0)),IF(BD$9="6차중도금",MAX(0,$F22*$C$5*0.7-IF(COLUMN()&gt;7,SUM($G22:OFFSET(BD22,0,COLUMN()-8)),0)),0)))))),IF(AND(ISNUMBER(SEARCH("입주",BD$9)),TEXT(BD$8,"yyyy-mm")&gt;=TEXT($B22,"yyyy-mm")),$F22*$D$5*INDEX($E$6:$I$6,VALUE(RIGHT(BD$9,1))),0)))</f>
        <v>0</v>
      </c>
      <c r="BE22" s="605">
        <f ca="1">IF(TEXT(BE$8,"yyyy-mm")=TEXT($B22,"yyyy-mm"),$F22*$B$5,IF(AND(ISNUMBER(SEARCH("중도금",BE$9)),TEXT(BE$8,"yyyy-mm")&gt;=TEXT($B22,"yyyy-mm")),IF(BE$9="1차중도금",$F22*$C$5/6,IF(BE$9="2차중도금",MAX(0,$F22*$C$5*0.3-IF(COLUMN()&gt;7,SUM($G22:OFFSET(BE22,0,COLUMN()-8)),0)),IF(BE$9="3차중도금",MAX(0,$F22*$C$5*0.4-IF(COLUMN()&gt;7,SUM($G22:OFFSET(BE22,0,COLUMN()-8)),0)),IF(BE$9="4차중도금",MAX(0,$F22*$C$5*0.5-IF(COLUMN()&gt;7,SUM($G22:OFFSET(BE22,0,COLUMN()-8)),0)),IF(BE$9="5차중도금",MAX(0,$F22*$C$5*0.6-IF(COLUMN()&gt;7,SUM($G22:OFFSET(BE22,0,COLUMN()-8)),0)),IF(BE$9="6차중도금",MAX(0,$F22*$C$5*0.7-IF(COLUMN()&gt;7,SUM($G22:OFFSET(BE22,0,COLUMN()-8)),0)),0)))))),IF(AND(ISNUMBER(SEARCH("입주",BE$9)),TEXT(BE$8,"yyyy-mm")&gt;=TEXT($B22,"yyyy-mm")),$F22*$D$5*INDEX($E$6:$I$6,VALUE(RIGHT(BE$9,1))),0)))</f>
        <v>0</v>
      </c>
      <c r="BF22" s="609">
        <f t="shared" ca="1" si="8"/>
        <v>7145505.5226382632</v>
      </c>
      <c r="BG22" s="556">
        <f t="shared" ca="1" si="5"/>
        <v>440665.50250873715</v>
      </c>
      <c r="BH22" s="610"/>
    </row>
    <row r="23" spans="1:60">
      <c r="A23" s="1853"/>
      <c r="B23" s="611">
        <f t="shared" si="6"/>
        <v>45231</v>
      </c>
      <c r="C23" s="605">
        <f t="shared" si="7"/>
        <v>252872367.50490001</v>
      </c>
      <c r="D23" s="1501">
        <f t="shared" si="7"/>
        <v>0.03</v>
      </c>
      <c r="E23" s="607">
        <f t="shared" si="9"/>
        <v>0.89000000000000024</v>
      </c>
      <c r="F23" s="608">
        <f t="shared" si="2"/>
        <v>7586171.0251470003</v>
      </c>
      <c r="G23" s="605">
        <f>_xlfn.LET(_xlpm.금액,$F23,_xlpm.계약금비율,$B$5,_xlpm.중도금비율,$C$5,_xlpm.잔금비율,$D$5,_xlpm.계약시기,TEXT($B23,"yyyy-mm"),_xlpm.현재월,TEXT(G$8,"yyyy-mm"),_xlpm.헤더범위,$G$9:G$9,_xlpm.헤더,G$9,_xlpm.잔금표,$E$6:$I$6,_xlpm.잔금회차,IF(ISNUMBER(SEARCH("입주",_xlpm.헤더)),VALUE(RIGHT(_xlpm.헤더,1)),0),_xlpm.열번호,COLUMN(G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23" s="605">
        <f>_xlfn.LET(_xlpm.금액,$F23,_xlpm.계약금비율,$B$5,_xlpm.중도금비율,$C$5,_xlpm.잔금비율,$D$5,_xlpm.계약시기,TEXT($B23,"yyyy-mm"),_xlpm.현재월,TEXT(H$8,"yyyy-mm"),_xlpm.헤더범위,$G$9:H$9,_xlpm.헤더,H$9,_xlpm.잔금표,$E$6:$I$6,_xlpm.잔금회차,IF(ISNUMBER(SEARCH("입주",_xlpm.헤더)),VALUE(RIGHT(_xlpm.헤더,1)),0),_xlpm.열번호,COLUMN(H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23" s="605">
        <f>_xlfn.LET(_xlpm.금액,$F23,_xlpm.계약금비율,$B$5,_xlpm.중도금비율,$C$5,_xlpm.잔금비율,$D$5,_xlpm.계약시기,TEXT($B23,"yyyy-mm"),_xlpm.현재월,TEXT(I$8,"yyyy-mm"),_xlpm.헤더범위,$G$9:I$9,_xlpm.헤더,I$9,_xlpm.잔금표,$E$6:$I$6,_xlpm.잔금회차,IF(ISNUMBER(SEARCH("입주",_xlpm.헤더)),VALUE(RIGHT(_xlpm.헤더,1)),0),_xlpm.열번호,COLUMN(I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23" s="605">
        <f>_xlfn.LET(_xlpm.금액,$F23,_xlpm.계약금비율,$B$5,_xlpm.중도금비율,$C$5,_xlpm.잔금비율,$D$5,_xlpm.계약시기,TEXT($B23,"yyyy-mm"),_xlpm.현재월,TEXT(J$8,"yyyy-mm"),_xlpm.헤더범위,$G$9:J$9,_xlpm.헤더,J$9,_xlpm.잔금표,$E$6:$I$6,_xlpm.잔금회차,IF(ISNUMBER(SEARCH("입주",_xlpm.헤더)),VALUE(RIGHT(_xlpm.헤더,1)),0),_xlpm.열번호,COLUMN(J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23" s="605">
        <f>_xlfn.LET(_xlpm.금액,$F23,_xlpm.계약금비율,$B$5,_xlpm.중도금비율,$C$5,_xlpm.잔금비율,$D$5,_xlpm.계약시기,TEXT($B23,"yyyy-mm"),_xlpm.현재월,TEXT(K$8,"yyyy-mm"),_xlpm.헤더범위,$G$9:K$9,_xlpm.헤더,K$9,_xlpm.잔금표,$E$6:$I$6,_xlpm.잔금회차,IF(ISNUMBER(SEARCH("입주",_xlpm.헤더)),VALUE(RIGHT(_xlpm.헤더,1)),0),_xlpm.열번호,COLUMN(K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23" s="605">
        <f ca="1">_xlfn.LET(_xlpm.금액,$F23,_xlpm.계약금비율,$B$5,_xlpm.중도금비율,$C$5,_xlpm.잔금비율,$D$5,_xlpm.계약시기,TEXT($B23,"yyyy-mm"),_xlpm.현재월,TEXT(L$8,"yyyy-mm"),_xlpm.헤더범위,$G$9:L$9,_xlpm.헤더,L$9,_xlpm.잔금표,$E$6:$I$6,_xlpm.잔금회차,IF(ISNUMBER(SEARCH("입주",_xlpm.헤더)),VALUE(RIGHT(_xlpm.헤더,1)),0),_xlpm.열번호,COLUMN(L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23" s="605">
        <f>_xlfn.LET(_xlpm.금액,$F23,_xlpm.계약금비율,$B$5,_xlpm.중도금비율,$C$5,_xlpm.잔금비율,$D$5,_xlpm.계약시기,TEXT($B23,"yyyy-mm"),_xlpm.현재월,TEXT(M$8,"yyyy-mm"),_xlpm.헤더범위,$G$9:M$9,_xlpm.헤더,M$9,_xlpm.잔금표,$E$6:$I$6,_xlpm.잔금회차,IF(ISNUMBER(SEARCH("입주",_xlpm.헤더)),VALUE(RIGHT(_xlpm.헤더,1)),0),_xlpm.열번호,COLUMN(M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23" s="605">
        <f>_xlfn.LET(_xlpm.금액,$F23,_xlpm.계약금비율,$B$5,_xlpm.중도금비율,$C$5,_xlpm.잔금비율,$D$5,_xlpm.계약시기,TEXT($B23,"yyyy-mm"),_xlpm.현재월,TEXT(N$8,"yyyy-mm"),_xlpm.헤더범위,$G$9:N$9,_xlpm.헤더,N$9,_xlpm.잔금표,$E$6:$I$6,_xlpm.잔금회차,IF(ISNUMBER(SEARCH("입주",_xlpm.헤더)),VALUE(RIGHT(_xlpm.헤더,1)),0),_xlpm.열번호,COLUMN(N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23" s="605">
        <f>_xlfn.LET(_xlpm.금액,$F23,_xlpm.계약금비율,$B$5,_xlpm.중도금비율,$C$5,_xlpm.잔금비율,$D$5,_xlpm.계약시기,TEXT($B23,"yyyy-mm"),_xlpm.현재월,TEXT(O$8,"yyyy-mm"),_xlpm.헤더범위,$G$9:O$9,_xlpm.헤더,O$9,_xlpm.잔금표,$E$6:$I$6,_xlpm.잔금회차,IF(ISNUMBER(SEARCH("입주",_xlpm.헤더)),VALUE(RIGHT(_xlpm.헤더,1)),0),_xlpm.열번호,COLUMN(O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23" s="605">
        <f>_xlfn.LET(_xlpm.금액,$F23,_xlpm.계약금비율,$B$5,_xlpm.중도금비율,$C$5,_xlpm.잔금비율,$D$5,_xlpm.계약시기,TEXT($B23,"yyyy-mm"),_xlpm.현재월,TEXT(P$8,"yyyy-mm"),_xlpm.헤더범위,$G$9:P$9,_xlpm.헤더,P$9,_xlpm.잔금표,$E$6:$I$6,_xlpm.잔금회차,IF(ISNUMBER(SEARCH("입주",_xlpm.헤더)),VALUE(RIGHT(_xlpm.헤더,1)),0),_xlpm.열번호,COLUMN(P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23" s="605">
        <f ca="1">_xlfn.LET(_xlpm.금액,$F23,_xlpm.계약금비율,$B$5,_xlpm.중도금비율,$C$5,_xlpm.잔금비율,$D$5,_xlpm.계약시기,TEXT($B23,"yyyy-mm"),_xlpm.현재월,TEXT(Q$8,"yyyy-mm"),_xlpm.헤더범위,$G$9:Q$9,_xlpm.헤더,Q$9,_xlpm.잔금표,$E$6:$I$6,_xlpm.잔금회차,IF(ISNUMBER(SEARCH("입주",_xlpm.헤더)),VALUE(RIGHT(_xlpm.헤더,1)),0),_xlpm.열번호,COLUMN(Q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23" s="605">
        <f>_xlfn.LET(_xlpm.금액,$F23,_xlpm.계약금비율,$B$5,_xlpm.중도금비율,$C$5,_xlpm.잔금비율,$D$5,_xlpm.계약시기,TEXT($B23,"yyyy-mm"),_xlpm.현재월,TEXT(R$8,"yyyy-mm"),_xlpm.헤더범위,$G$9:R$9,_xlpm.헤더,R$9,_xlpm.잔금표,$E$6:$I$6,_xlpm.잔금회차,IF(ISNUMBER(SEARCH("입주",_xlpm.헤더)),VALUE(RIGHT(_xlpm.헤더,1)),0),_xlpm.열번호,COLUMN(R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23" s="605">
        <f>_xlfn.LET(_xlpm.금액,$F23,_xlpm.계약금비율,$B$5,_xlpm.중도금비율,$C$5,_xlpm.잔금비율,$D$5,_xlpm.계약시기,TEXT($B23,"yyyy-mm"),_xlpm.현재월,TEXT(S$8,"yyyy-mm"),_xlpm.헤더범위,$G$9:S$9,_xlpm.헤더,S$9,_xlpm.잔금표,$E$6:$I$6,_xlpm.잔금회차,IF(ISNUMBER(SEARCH("입주",_xlpm.헤더)),VALUE(RIGHT(_xlpm.헤더,1)),0),_xlpm.열번호,COLUMN(S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23" s="605">
        <f>_xlfn.LET(_xlpm.금액,$F23,_xlpm.계약금비율,$B$5,_xlpm.중도금비율,$C$5,_xlpm.잔금비율,$D$5,_xlpm.계약시기,TEXT($B23,"yyyy-mm"),_xlpm.현재월,TEXT(T$8,"yyyy-mm"),_xlpm.헤더범위,$G$9:T$9,_xlpm.헤더,T$9,_xlpm.잔금표,$E$6:$I$6,_xlpm.잔금회차,IF(ISNUMBER(SEARCH("입주",_xlpm.헤더)),VALUE(RIGHT(_xlpm.헤더,1)),0),_xlpm.열번호,COLUMN(T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758617.10251470003</v>
      </c>
      <c r="U23" s="605">
        <f>_xlfn.LET(_xlpm.금액,$F23,_xlpm.계약금비율,$B$5,_xlpm.중도금비율,$C$5,_xlpm.잔금비율,$D$5,_xlpm.계약시기,TEXT($B23,"yyyy-mm"),_xlpm.현재월,TEXT(U$8,"yyyy-mm"),_xlpm.헤더범위,$G$9:U$9,_xlpm.헤더,U$9,_xlpm.잔금표,$E$6:$I$6,_xlpm.잔금회차,IF(ISNUMBER(SEARCH("입주",_xlpm.헤더)),VALUE(RIGHT(_xlpm.헤더,1)),0),_xlpm.열번호,COLUMN(U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23" s="605">
        <f ca="1">_xlfn.LET(_xlpm.금액,$F23,_xlpm.계약금비율,$B$5,_xlpm.중도금비율,$C$5,_xlpm.잔금비율,$D$5,_xlpm.계약시기,TEXT($B23,"yyyy-mm"),_xlpm.현재월,TEXT(V$8,"yyyy-mm"),_xlpm.헤더범위,$G$9:V$9,_xlpm.헤더,V$9,_xlpm.잔금표,$E$6:$I$6,_xlpm.잔금회차,IF(ISNUMBER(SEARCH("입주",_xlpm.헤더)),VALUE(RIGHT(_xlpm.헤더,1)),0),_xlpm.열번호,COLUMN(V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23" s="605">
        <f>_xlfn.LET(_xlpm.금액,$F23,_xlpm.계약금비율,$B$5,_xlpm.중도금비율,$C$5,_xlpm.잔금비율,$D$5,_xlpm.계약시기,TEXT($B23,"yyyy-mm"),_xlpm.현재월,TEXT(W$8,"yyyy-mm"),_xlpm.헤더범위,$G$9:W$9,_xlpm.헤더,W$9,_xlpm.잔금표,$E$6:$I$6,_xlpm.잔금회차,IF(ISNUMBER(SEARCH("입주",_xlpm.헤더)),VALUE(RIGHT(_xlpm.헤더,1)),0),_xlpm.열번호,COLUMN(W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23" s="605">
        <f>_xlfn.LET(_xlpm.금액,$F23,_xlpm.계약금비율,$B$5,_xlpm.중도금비율,$C$5,_xlpm.잔금비율,$D$5,_xlpm.계약시기,TEXT($B23,"yyyy-mm"),_xlpm.현재월,TEXT(X$8,"yyyy-mm"),_xlpm.헤더범위,$G$9:X$9,_xlpm.헤더,X$9,_xlpm.잔금표,$E$6:$I$6,_xlpm.잔금회차,IF(ISNUMBER(SEARCH("입주",_xlpm.헤더)),VALUE(RIGHT(_xlpm.헤더,1)),0),_xlpm.열번호,COLUMN(X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23" s="605">
        <f>_xlfn.LET(_xlpm.금액,$F23,_xlpm.계약금비율,$B$5,_xlpm.중도금비율,$C$5,_xlpm.잔금비율,$D$5,_xlpm.계약시기,TEXT($B23,"yyyy-mm"),_xlpm.현재월,TEXT(Y$8,"yyyy-mm"),_xlpm.헤더범위,$G$9:Y$9,_xlpm.헤더,Y$9,_xlpm.잔금표,$E$6:$I$6,_xlpm.잔금회차,IF(ISNUMBER(SEARCH("입주",_xlpm.헤더)),VALUE(RIGHT(_xlpm.헤더,1)),0),_xlpm.열번호,COLUMN(Y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23" s="605">
        <f>_xlfn.LET(_xlpm.금액,$F23,_xlpm.계약금비율,$B$5,_xlpm.중도금비율,$C$5,_xlpm.잔금비율,$D$5,_xlpm.계약시기,TEXT($B23,"yyyy-mm"),_xlpm.현재월,TEXT(Z$8,"yyyy-mm"),_xlpm.헤더범위,$G$9:Z$9,_xlpm.헤더,Z$9,_xlpm.잔금표,$E$6:$I$6,_xlpm.잔금회차,IF(ISNUMBER(SEARCH("입주",_xlpm.헤더)),VALUE(RIGHT(_xlpm.헤더,1)),0),_xlpm.열번호,COLUMN(Z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23" s="605">
        <f>_xlfn.LET(_xlpm.금액,$F23,_xlpm.계약금비율,$B$5,_xlpm.중도금비율,$C$5,_xlpm.잔금비율,$D$5,_xlpm.계약시기,TEXT($B23,"yyyy-mm"),_xlpm.현재월,TEXT(AA$8,"yyyy-mm"),_xlpm.헤더범위,$G$9:AA$9,_xlpm.헤더,AA$9,_xlpm.잔금표,$E$6:$I$6,_xlpm.잔금회차,IF(ISNUMBER(SEARCH("입주",_xlpm.헤더)),VALUE(RIGHT(_xlpm.헤더,1)),0),_xlpm.열번호,COLUMN(AA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23" s="605">
        <f ca="1">_xlfn.LET(_xlpm.금액,$F23,_xlpm.계약금비율,$B$5,_xlpm.중도금비율,$C$5,_xlpm.잔금비율,$D$5,_xlpm.계약시기,TEXT($B23,"yyyy-mm"),_xlpm.현재월,TEXT(AB$8,"yyyy-mm"),_xlpm.헤더범위,$G$9:AB$9,_xlpm.헤더,AB$9,_xlpm.잔금표,$E$6:$I$6,_xlpm.잔금회차,IF(ISNUMBER(SEARCH("입주",_xlpm.헤더)),VALUE(RIGHT(_xlpm.헤더,1)),0),_xlpm.열번호,COLUMN(AB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23" s="605">
        <f>_xlfn.LET(_xlpm.금액,$F23,_xlpm.계약금비율,$B$5,_xlpm.중도금비율,$C$5,_xlpm.잔금비율,$D$5,_xlpm.계약시기,TEXT($B23,"yyyy-mm"),_xlpm.현재월,TEXT(AC$8,"yyyy-mm"),_xlpm.헤더범위,$G$9:AC$9,_xlpm.헤더,AC$9,_xlpm.잔금표,$E$6:$I$6,_xlpm.잔금회차,IF(ISNUMBER(SEARCH("입주",_xlpm.헤더)),VALUE(RIGHT(_xlpm.헤더,1)),0),_xlpm.열번호,COLUMN(AC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23" s="605">
        <f>_xlfn.LET(_xlpm.금액,$F23,_xlpm.계약금비율,$B$5,_xlpm.중도금비율,$C$5,_xlpm.잔금비율,$D$5,_xlpm.계약시기,TEXT($B23,"yyyy-mm"),_xlpm.현재월,TEXT(AD$8,"yyyy-mm"),_xlpm.헤더범위,$G$9:AD$9,_xlpm.헤더,AD$9,_xlpm.잔금표,$E$6:$I$6,_xlpm.잔금회차,IF(ISNUMBER(SEARCH("입주",_xlpm.헤더)),VALUE(RIGHT(_xlpm.헤더,1)),0),_xlpm.열번호,COLUMN(AD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23" s="605">
        <f>_xlfn.LET(_xlpm.금액,$F23,_xlpm.계약금비율,$B$5,_xlpm.중도금비율,$C$5,_xlpm.잔금비율,$D$5,_xlpm.계약시기,TEXT($B23,"yyyy-mm"),_xlpm.현재월,TEXT(AE$8,"yyyy-mm"),_xlpm.헤더범위,$G$9:AE$9,_xlpm.헤더,AE$9,_xlpm.잔금표,$E$6:$I$6,_xlpm.잔금회차,IF(ISNUMBER(SEARCH("입주",_xlpm.헤더)),VALUE(RIGHT(_xlpm.헤더,1)),0),_xlpm.열번호,COLUMN(AE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23" s="605">
        <f>_xlfn.LET(_xlpm.금액,$F23,_xlpm.계약금비율,$B$5,_xlpm.중도금비율,$C$5,_xlpm.잔금비율,$D$5,_xlpm.계약시기,TEXT($B23,"yyyy-mm"),_xlpm.현재월,TEXT(AF$8,"yyyy-mm"),_xlpm.헤더범위,$G$9:AF$9,_xlpm.헤더,AF$9,_xlpm.잔금표,$E$6:$I$6,_xlpm.잔금회차,IF(ISNUMBER(SEARCH("입주",_xlpm.헤더)),VALUE(RIGHT(_xlpm.헤더,1)),0),_xlpm.열번호,COLUMN(AF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23" s="605">
        <f ca="1">_xlfn.LET(_xlpm.금액,$F23,_xlpm.계약금비율,$B$5,_xlpm.중도금비율,$C$5,_xlpm.잔금비율,$D$5,_xlpm.계약시기,TEXT($B23,"yyyy-mm"),_xlpm.현재월,TEXT(AG$8,"yyyy-mm"),_xlpm.헤더범위,$G$9:AG$9,_xlpm.헤더,AG$9,_xlpm.잔금표,$E$6:$I$6,_xlpm.잔금회차,IF(ISNUMBER(SEARCH("입주",_xlpm.헤더)),VALUE(RIGHT(_xlpm.헤더,1)),0),_xlpm.열번호,COLUMN(AG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23" s="605">
        <f>_xlfn.LET(_xlpm.금액,$F23,_xlpm.계약금비율,$B$5,_xlpm.중도금비율,$C$5,_xlpm.잔금비율,$D$5,_xlpm.계약시기,TEXT($B23,"yyyy-mm"),_xlpm.현재월,TEXT(AH$8,"yyyy-mm"),_xlpm.헤더범위,$G$9:AH$9,_xlpm.헤더,AH$9,_xlpm.잔금표,$E$6:$I$6,_xlpm.잔금회차,IF(ISNUMBER(SEARCH("입주",_xlpm.헤더)),VALUE(RIGHT(_xlpm.헤더,1)),0),_xlpm.열번호,COLUMN(AH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23" s="605">
        <f>_xlfn.LET(_xlpm.금액,$F23,_xlpm.계약금비율,$B$5,_xlpm.중도금비율,$C$5,_xlpm.잔금비율,$D$5,_xlpm.계약시기,TEXT($B23,"yyyy-mm"),_xlpm.현재월,TEXT(AI$8,"yyyy-mm"),_xlpm.헤더범위,$G$9:AI$9,_xlpm.헤더,AI$9,_xlpm.잔금표,$E$6:$I$6,_xlpm.잔금회차,IF(ISNUMBER(SEARCH("입주",_xlpm.헤더)),VALUE(RIGHT(_xlpm.헤더,1)),0),_xlpm.열번호,COLUMN(AI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23" s="605">
        <f>_xlfn.LET(_xlpm.금액,$F23,_xlpm.계약금비율,$B$5,_xlpm.중도금비율,$C$5,_xlpm.잔금비율,$D$5,_xlpm.계약시기,TEXT($B23,"yyyy-mm"),_xlpm.현재월,TEXT(AJ$8,"yyyy-mm"),_xlpm.헤더범위,$G$9:AJ$9,_xlpm.헤더,AJ$9,_xlpm.잔금표,$E$6:$I$6,_xlpm.잔금회차,IF(ISNUMBER(SEARCH("입주",_xlpm.헤더)),VALUE(RIGHT(_xlpm.헤더,1)),0),_xlpm.열번호,COLUMN(AJ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23" s="605">
        <f>_xlfn.LET(_xlpm.금액,$F23,_xlpm.계약금비율,$B$5,_xlpm.중도금비율,$C$5,_xlpm.잔금비율,$D$5,_xlpm.계약시기,TEXT($B23,"yyyy-mm"),_xlpm.현재월,TEXT(AK$8,"yyyy-mm"),_xlpm.헤더범위,$G$9:AK$9,_xlpm.헤더,AK$9,_xlpm.잔금표,$E$6:$I$6,_xlpm.잔금회차,IF(ISNUMBER(SEARCH("입주",_xlpm.헤더)),VALUE(RIGHT(_xlpm.헤더,1)),0),_xlpm.열번호,COLUMN(AK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23" s="605">
        <f ca="1">_xlfn.LET(_xlpm.금액,$F23,_xlpm.계약금비율,$B$5,_xlpm.중도금비율,$C$5,_xlpm.잔금비율,$D$5,_xlpm.계약시기,TEXT($B23,"yyyy-mm"),_xlpm.현재월,TEXT(AL$8,"yyyy-mm"),_xlpm.헤더범위,$G$9:AL$9,_xlpm.헤더,AL$9,_xlpm.잔금표,$E$6:$I$6,_xlpm.잔금회차,IF(ISNUMBER(SEARCH("입주",_xlpm.헤더)),VALUE(RIGHT(_xlpm.헤더,1)),0),_xlpm.열번호,COLUMN(AL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23" s="605">
        <f>_xlfn.LET(_xlpm.금액,$F23,_xlpm.계약금비율,$B$5,_xlpm.중도금비율,$C$5,_xlpm.잔금비율,$D$5,_xlpm.계약시기,TEXT($B23,"yyyy-mm"),_xlpm.현재월,TEXT(AM$8,"yyyy-mm"),_xlpm.헤더범위,$G$9:AM$9,_xlpm.헤더,AM$9,_xlpm.잔금표,$E$6:$I$6,_xlpm.잔금회차,IF(ISNUMBER(SEARCH("입주",_xlpm.헤더)),VALUE(RIGHT(_xlpm.헤더,1)),0),_xlpm.열번호,COLUMN(AM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23" s="605">
        <f>_xlfn.LET(_xlpm.금액,$F23,_xlpm.계약금비율,$B$5,_xlpm.중도금비율,$C$5,_xlpm.잔금비율,$D$5,_xlpm.계약시기,TEXT($B23,"yyyy-mm"),_xlpm.현재월,TEXT(AN$8,"yyyy-mm"),_xlpm.헤더범위,$G$9:AN$9,_xlpm.헤더,AN$9,_xlpm.잔금표,$E$6:$I$6,_xlpm.잔금회차,IF(ISNUMBER(SEARCH("입주",_xlpm.헤더)),VALUE(RIGHT(_xlpm.헤더,1)),0),_xlpm.열번호,COLUMN(AN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23" s="605">
        <f>_xlfn.LET(_xlpm.금액,$F23,_xlpm.계약금비율,$B$5,_xlpm.중도금비율,$C$5,_xlpm.잔금비율,$D$5,_xlpm.계약시기,TEXT($B23,"yyyy-mm"),_xlpm.현재월,TEXT(AO$8,"yyyy-mm"),_xlpm.헤더범위,$G$9:AO$9,_xlpm.헤더,AO$9,_xlpm.잔금표,$E$6:$I$6,_xlpm.잔금회차,IF(ISNUMBER(SEARCH("입주",_xlpm.헤더)),VALUE(RIGHT(_xlpm.헤더,1)),0),_xlpm.열번호,COLUMN(AO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23" s="605">
        <f>_xlfn.LET(_xlpm.금액,$F23,_xlpm.계약금비율,$B$5,_xlpm.중도금비율,$C$5,_xlpm.잔금비율,$D$5,_xlpm.계약시기,TEXT($B23,"yyyy-mm"),_xlpm.현재월,TEXT(AP$8,"yyyy-mm"),_xlpm.헤더범위,$G$9:AP$9,_xlpm.헤더,AP$9,_xlpm.잔금표,$E$6:$I$6,_xlpm.잔금회차,IF(ISNUMBER(SEARCH("입주",_xlpm.헤더)),VALUE(RIGHT(_xlpm.헤더,1)),0),_xlpm.열번호,COLUMN(AP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23" s="605">
        <f>_xlfn.LET(_xlpm.금액,$F23,_xlpm.계약금비율,$B$5,_xlpm.중도금비율,$C$5,_xlpm.잔금비율,$D$5,_xlpm.계약시기,TEXT($B23,"yyyy-mm"),_xlpm.현재월,TEXT(AQ$8,"yyyy-mm"),_xlpm.헤더범위,$G$9:AQ$9,_xlpm.헤더,AQ$9,_xlpm.잔금표,$E$6:$I$6,_xlpm.잔금회차,IF(ISNUMBER(SEARCH("입주",_xlpm.헤더)),VALUE(RIGHT(_xlpm.헤더,1)),0),_xlpm.열번호,COLUMN(AQ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23" s="605" t="e" vm="2">
        <f>_xlfn.LET(_xlpm.금액,$F23,_xlpm.계약금비율,$B$5,_xlpm.중도금비율,$C$5,_xlpm.잔금비율,$D$5,_xlpm.계약시기,TEXT($B23,"yyyy-mm"),_xlpm.현재월,TEXT(AR$8,"yyyy-mm"),_xlpm.헤더범위,$G$9:AR$9,_xlpm.헤더,AR$9,_xlpm.잔금표,$E$6:$I$6,_xlpm.잔금회차,IF(ISNUMBER(SEARCH("입주",_xlpm.헤더)),VALUE(RIGHT(_xlpm.헤더,1)),0),_xlpm.열번호,COLUMN(AR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23" s="605" t="e" vm="2">
        <f>_xlfn.LET(_xlpm.금액,$F23,_xlpm.계약금비율,$B$5,_xlpm.중도금비율,$C$5,_xlpm.잔금비율,$D$5,_xlpm.계약시기,TEXT($B23,"yyyy-mm"),_xlpm.현재월,TEXT(AS$8,"yyyy-mm"),_xlpm.헤더범위,$G$9:AS$9,_xlpm.헤더,AS$9,_xlpm.잔금표,$E$6:$I$6,_xlpm.잔금회차,IF(ISNUMBER(SEARCH("입주",_xlpm.헤더)),VALUE(RIGHT(_xlpm.헤더,1)),0),_xlpm.열번호,COLUMN(AS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23" s="605" t="e" vm="2">
        <f>_xlfn.LET(_xlpm.금액,$F23,_xlpm.계약금비율,$B$5,_xlpm.중도금비율,$C$5,_xlpm.잔금비율,$D$5,_xlpm.계약시기,TEXT($B23,"yyyy-mm"),_xlpm.현재월,TEXT(AT$8,"yyyy-mm"),_xlpm.헤더범위,$G$9:AT$9,_xlpm.헤더,AT$9,_xlpm.잔금표,$E$6:$I$6,_xlpm.잔금회차,IF(ISNUMBER(SEARCH("입주",_xlpm.헤더)),VALUE(RIGHT(_xlpm.헤더,1)),0),_xlpm.열번호,COLUMN(AT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23" s="605" t="e" vm="2">
        <f>_xlfn.LET(_xlpm.금액,$F23,_xlpm.계약금비율,$B$5,_xlpm.중도금비율,$C$5,_xlpm.잔금비율,$D$5,_xlpm.계약시기,TEXT($B23,"yyyy-mm"),_xlpm.현재월,TEXT(AU$8,"yyyy-mm"),_xlpm.헤더범위,$G$9:AU$9,_xlpm.헤더,AU$9,_xlpm.잔금표,$E$6:$I$6,_xlpm.잔금회차,IF(ISNUMBER(SEARCH("입주",_xlpm.헤더)),VALUE(RIGHT(_xlpm.헤더,1)),0),_xlpm.열번호,COLUMN(AU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23" s="605" t="e" vm="2">
        <f>_xlfn.LET(_xlpm.금액,$F23,_xlpm.계약금비율,$B$5,_xlpm.중도금비율,$C$5,_xlpm.잔금비율,$D$5,_xlpm.계약시기,TEXT($B23,"yyyy-mm"),_xlpm.현재월,TEXT(AV$8,"yyyy-mm"),_xlpm.헤더범위,$G$9:AV$9,_xlpm.헤더,AV$9,_xlpm.잔금표,$E$6:$I$6,_xlpm.잔금회차,IF(ISNUMBER(SEARCH("입주",_xlpm.헤더)),VALUE(RIGHT(_xlpm.헤더,1)),0),_xlpm.열번호,COLUMN(AV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23" s="605">
        <f>_xlfn.LET(_xlpm.금액,$F23,_xlpm.계약금비율,$B$5,_xlpm.중도금비율,$C$5,_xlpm.잔금비율,$D$5,_xlpm.계약시기,TEXT($B23,"yyyy-mm"),_xlpm.현재월,TEXT(AW$8,"yyyy-mm"),_xlpm.헤더범위,$G$9:AW$9,_xlpm.헤더,AW$9,_xlpm.잔금표,$E$6:$I$6,_xlpm.잔금회차,IF(ISNUMBER(SEARCH("입주",_xlpm.헤더)),VALUE(RIGHT(_xlpm.헤더,1)),0),_xlpm.열번호,COLUMN(AW$9),_xlpm.행번호,ROW($G23),_xlpm.전체헤더,$G$9:$BF$9,_xlpm.전체데이터,$G23:$BF23,_xlpm.전체열번호,_xlfn.SEQUENCE(1,COLUMNS(_xlpm.전체헤더),COLUMN($G23)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23" s="605">
        <f t="shared" ca="1" si="12"/>
        <v>0</v>
      </c>
      <c r="AY23" s="605">
        <f t="shared" ca="1" si="12"/>
        <v>0</v>
      </c>
      <c r="AZ23" s="605">
        <f t="shared" ca="1" si="13"/>
        <v>0</v>
      </c>
      <c r="BA23" s="605">
        <f t="shared" ca="1" si="13"/>
        <v>0</v>
      </c>
      <c r="BB23" s="605">
        <f t="shared" ca="1" si="13"/>
        <v>0</v>
      </c>
      <c r="BC23" s="605">
        <f ca="1">IF(TEXT(BC$8,"yyyy-mm")=TEXT($B23,"yyyy-mm"),$F23*$B$5,IF(AND(ISNUMBER(SEARCH("중도금",BC$9)),TEXT(BC$8,"yyyy-mm")&gt;=TEXT($B23,"yyyy-mm")),IF(BC$9="1차중도금",$F23*$C$5/6,IF(BC$9="2차중도금",MAX(0,$F23*$C$5*0.3-IF(COLUMN()&gt;7,SUM($G23:OFFSET(BC23,0,COLUMN()-8)),0)),IF(BC$9="3차중도금",MAX(0,$F23*$C$5*0.4-IF(COLUMN()&gt;7,SUM($G23:OFFSET(BC23,0,COLUMN()-8)),0)),IF(BC$9="4차중도금",MAX(0,$F23*$C$5*0.5-IF(COLUMN()&gt;7,SUM($G23:OFFSET(BC23,0,COLUMN()-8)),0)),IF(BC$9="5차중도금",MAX(0,$F23*$C$5*0.6-IF(COLUMN()&gt;7,SUM($G23:OFFSET(BC23,0,COLUMN()-8)),0)),IF(BC$9="6차중도금",MAX(0,$F23*$C$5*0.7-IF(COLUMN()&gt;7,SUM($G23:OFFSET(BC23,0,COLUMN()-8)),0)),0)))))),IF(AND(ISNUMBER(SEARCH("입주",BC$9)),TEXT(BC$8,"yyyy-mm")&gt;=TEXT($B23,"yyyy-mm")),$F23*$D$5*INDEX($E$6:$I$6,VALUE(RIGHT(BC$9,1))),0)))</f>
        <v>0</v>
      </c>
      <c r="BD23" s="605">
        <f ca="1">IF(TEXT(BD$8,"yyyy-mm")=TEXT($B23,"yyyy-mm"),$F23*$B$5,IF(AND(ISNUMBER(SEARCH("중도금",BD$9)),TEXT(BD$8,"yyyy-mm")&gt;=TEXT($B23,"yyyy-mm")),IF(BD$9="1차중도금",$F23*$C$5/6,IF(BD$9="2차중도금",MAX(0,$F23*$C$5*0.3-IF(COLUMN()&gt;7,SUM($G23:OFFSET(BD23,0,COLUMN()-8)),0)),IF(BD$9="3차중도금",MAX(0,$F23*$C$5*0.4-IF(COLUMN()&gt;7,SUM($G23:OFFSET(BD23,0,COLUMN()-8)),0)),IF(BD$9="4차중도금",MAX(0,$F23*$C$5*0.5-IF(COLUMN()&gt;7,SUM($G23:OFFSET(BD23,0,COLUMN()-8)),0)),IF(BD$9="5차중도금",MAX(0,$F23*$C$5*0.6-IF(COLUMN()&gt;7,SUM($G23:OFFSET(BD23,0,COLUMN()-8)),0)),IF(BD$9="6차중도금",MAX(0,$F23*$C$5*0.7-IF(COLUMN()&gt;7,SUM($G23:OFFSET(BD23,0,COLUMN()-8)),0)),0)))))),IF(AND(ISNUMBER(SEARCH("입주",BD$9)),TEXT(BD$8,"yyyy-mm")&gt;=TEXT($B23,"yyyy-mm")),$F23*$D$5*INDEX($E$6:$I$6,VALUE(RIGHT(BD$9,1))),0)))</f>
        <v>0</v>
      </c>
      <c r="BE23" s="605">
        <f ca="1">IF(TEXT(BE$8,"yyyy-mm")=TEXT($B23,"yyyy-mm"),$F23*$B$5,IF(AND(ISNUMBER(SEARCH("중도금",BE$9)),TEXT(BE$8,"yyyy-mm")&gt;=TEXT($B23,"yyyy-mm")),IF(BE$9="1차중도금",$F23*$C$5/6,IF(BE$9="2차중도금",MAX(0,$F23*$C$5*0.3-IF(COLUMN()&gt;7,SUM($G23:OFFSET(BE23,0,COLUMN()-8)),0)),IF(BE$9="3차중도금",MAX(0,$F23*$C$5*0.4-IF(COLUMN()&gt;7,SUM($G23:OFFSET(BE23,0,COLUMN()-8)),0)),IF(BE$9="4차중도금",MAX(0,$F23*$C$5*0.5-IF(COLUMN()&gt;7,SUM($G23:OFFSET(BE23,0,COLUMN()-8)),0)),IF(BE$9="5차중도금",MAX(0,$F23*$C$5*0.6-IF(COLUMN()&gt;7,SUM($G23:OFFSET(BE23,0,COLUMN()-8)),0)),IF(BE$9="6차중도금",MAX(0,$F23*$C$5*0.7-IF(COLUMN()&gt;7,SUM($G23:OFFSET(BE23,0,COLUMN()-8)),0)),0)))))),IF(AND(ISNUMBER(SEARCH("입주",BE$9)),TEXT(BE$8,"yyyy-mm")&gt;=TEXT($B23,"yyyy-mm")),$F23*$D$5*INDEX($E$6:$I$6,VALUE(RIGHT(BE$9,1))),0)))</f>
        <v>0</v>
      </c>
      <c r="BF23" s="609">
        <f t="shared" ca="1" si="8"/>
        <v>6117326.4763633385</v>
      </c>
      <c r="BG23" s="556">
        <f t="shared" ca="1" si="5"/>
        <v>1468844.5487836618</v>
      </c>
      <c r="BH23" s="610"/>
    </row>
    <row r="24" spans="1:60">
      <c r="A24" s="1853"/>
      <c r="B24" s="611">
        <f t="shared" si="6"/>
        <v>45261</v>
      </c>
      <c r="C24" s="605">
        <f t="shared" si="7"/>
        <v>252872367.50490001</v>
      </c>
      <c r="D24" s="1501">
        <f t="shared" si="7"/>
        <v>0.03</v>
      </c>
      <c r="E24" s="607">
        <f t="shared" si="9"/>
        <v>0.92000000000000026</v>
      </c>
      <c r="F24" s="608">
        <f t="shared" si="2"/>
        <v>7586171.0251470003</v>
      </c>
      <c r="G24" s="605">
        <f>_xlfn.LET(_xlpm.금액,$F24,_xlpm.계약금비율,$B$5,_xlpm.중도금비율,$C$5,_xlpm.잔금비율,$D$5,_xlpm.계약시기,TEXT($B24,"yyyy-mm"),_xlpm.현재월,TEXT(G$8,"yyyy-mm"),_xlpm.헤더범위,$G$9:G$9,_xlpm.헤더,G$9,_xlpm.잔금표,$E$6:$I$6,_xlpm.잔금회차,IF(ISNUMBER(SEARCH("입주",_xlpm.헤더)),VALUE(RIGHT(_xlpm.헤더,1)),0),_xlpm.열번호,COLUMN(G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24" s="605">
        <f>_xlfn.LET(_xlpm.금액,$F24,_xlpm.계약금비율,$B$5,_xlpm.중도금비율,$C$5,_xlpm.잔금비율,$D$5,_xlpm.계약시기,TEXT($B24,"yyyy-mm"),_xlpm.현재월,TEXT(H$8,"yyyy-mm"),_xlpm.헤더범위,$G$9:H$9,_xlpm.헤더,H$9,_xlpm.잔금표,$E$6:$I$6,_xlpm.잔금회차,IF(ISNUMBER(SEARCH("입주",_xlpm.헤더)),VALUE(RIGHT(_xlpm.헤더,1)),0),_xlpm.열번호,COLUMN(H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24" s="605">
        <f>_xlfn.LET(_xlpm.금액,$F24,_xlpm.계약금비율,$B$5,_xlpm.중도금비율,$C$5,_xlpm.잔금비율,$D$5,_xlpm.계약시기,TEXT($B24,"yyyy-mm"),_xlpm.현재월,TEXT(I$8,"yyyy-mm"),_xlpm.헤더범위,$G$9:I$9,_xlpm.헤더,I$9,_xlpm.잔금표,$E$6:$I$6,_xlpm.잔금회차,IF(ISNUMBER(SEARCH("입주",_xlpm.헤더)),VALUE(RIGHT(_xlpm.헤더,1)),0),_xlpm.열번호,COLUMN(I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24" s="605">
        <f>_xlfn.LET(_xlpm.금액,$F24,_xlpm.계약금비율,$B$5,_xlpm.중도금비율,$C$5,_xlpm.잔금비율,$D$5,_xlpm.계약시기,TEXT($B24,"yyyy-mm"),_xlpm.현재월,TEXT(J$8,"yyyy-mm"),_xlpm.헤더범위,$G$9:J$9,_xlpm.헤더,J$9,_xlpm.잔금표,$E$6:$I$6,_xlpm.잔금회차,IF(ISNUMBER(SEARCH("입주",_xlpm.헤더)),VALUE(RIGHT(_xlpm.헤더,1)),0),_xlpm.열번호,COLUMN(J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24" s="605">
        <f>_xlfn.LET(_xlpm.금액,$F24,_xlpm.계약금비율,$B$5,_xlpm.중도금비율,$C$5,_xlpm.잔금비율,$D$5,_xlpm.계약시기,TEXT($B24,"yyyy-mm"),_xlpm.현재월,TEXT(K$8,"yyyy-mm"),_xlpm.헤더범위,$G$9:K$9,_xlpm.헤더,K$9,_xlpm.잔금표,$E$6:$I$6,_xlpm.잔금회차,IF(ISNUMBER(SEARCH("입주",_xlpm.헤더)),VALUE(RIGHT(_xlpm.헤더,1)),0),_xlpm.열번호,COLUMN(K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24" s="605">
        <f ca="1">_xlfn.LET(_xlpm.금액,$F24,_xlpm.계약금비율,$B$5,_xlpm.중도금비율,$C$5,_xlpm.잔금비율,$D$5,_xlpm.계약시기,TEXT($B24,"yyyy-mm"),_xlpm.현재월,TEXT(L$8,"yyyy-mm"),_xlpm.헤더범위,$G$9:L$9,_xlpm.헤더,L$9,_xlpm.잔금표,$E$6:$I$6,_xlpm.잔금회차,IF(ISNUMBER(SEARCH("입주",_xlpm.헤더)),VALUE(RIGHT(_xlpm.헤더,1)),0),_xlpm.열번호,COLUMN(L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24" s="605">
        <f>_xlfn.LET(_xlpm.금액,$F24,_xlpm.계약금비율,$B$5,_xlpm.중도금비율,$C$5,_xlpm.잔금비율,$D$5,_xlpm.계약시기,TEXT($B24,"yyyy-mm"),_xlpm.현재월,TEXT(M$8,"yyyy-mm"),_xlpm.헤더범위,$G$9:M$9,_xlpm.헤더,M$9,_xlpm.잔금표,$E$6:$I$6,_xlpm.잔금회차,IF(ISNUMBER(SEARCH("입주",_xlpm.헤더)),VALUE(RIGHT(_xlpm.헤더,1)),0),_xlpm.열번호,COLUMN(M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24" s="605">
        <f>_xlfn.LET(_xlpm.금액,$F24,_xlpm.계약금비율,$B$5,_xlpm.중도금비율,$C$5,_xlpm.잔금비율,$D$5,_xlpm.계약시기,TEXT($B24,"yyyy-mm"),_xlpm.현재월,TEXT(N$8,"yyyy-mm"),_xlpm.헤더범위,$G$9:N$9,_xlpm.헤더,N$9,_xlpm.잔금표,$E$6:$I$6,_xlpm.잔금회차,IF(ISNUMBER(SEARCH("입주",_xlpm.헤더)),VALUE(RIGHT(_xlpm.헤더,1)),0),_xlpm.열번호,COLUMN(N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24" s="605">
        <f>_xlfn.LET(_xlpm.금액,$F24,_xlpm.계약금비율,$B$5,_xlpm.중도금비율,$C$5,_xlpm.잔금비율,$D$5,_xlpm.계약시기,TEXT($B24,"yyyy-mm"),_xlpm.현재월,TEXT(O$8,"yyyy-mm"),_xlpm.헤더범위,$G$9:O$9,_xlpm.헤더,O$9,_xlpm.잔금표,$E$6:$I$6,_xlpm.잔금회차,IF(ISNUMBER(SEARCH("입주",_xlpm.헤더)),VALUE(RIGHT(_xlpm.헤더,1)),0),_xlpm.열번호,COLUMN(O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24" s="605">
        <f>_xlfn.LET(_xlpm.금액,$F24,_xlpm.계약금비율,$B$5,_xlpm.중도금비율,$C$5,_xlpm.잔금비율,$D$5,_xlpm.계약시기,TEXT($B24,"yyyy-mm"),_xlpm.현재월,TEXT(P$8,"yyyy-mm"),_xlpm.헤더범위,$G$9:P$9,_xlpm.헤더,P$9,_xlpm.잔금표,$E$6:$I$6,_xlpm.잔금회차,IF(ISNUMBER(SEARCH("입주",_xlpm.헤더)),VALUE(RIGHT(_xlpm.헤더,1)),0),_xlpm.열번호,COLUMN(P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24" s="605">
        <f ca="1">_xlfn.LET(_xlpm.금액,$F24,_xlpm.계약금비율,$B$5,_xlpm.중도금비율,$C$5,_xlpm.잔금비율,$D$5,_xlpm.계약시기,TEXT($B24,"yyyy-mm"),_xlpm.현재월,TEXT(Q$8,"yyyy-mm"),_xlpm.헤더범위,$G$9:Q$9,_xlpm.헤더,Q$9,_xlpm.잔금표,$E$6:$I$6,_xlpm.잔금회차,IF(ISNUMBER(SEARCH("입주",_xlpm.헤더)),VALUE(RIGHT(_xlpm.헤더,1)),0),_xlpm.열번호,COLUMN(Q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24" s="605">
        <f>_xlfn.LET(_xlpm.금액,$F24,_xlpm.계약금비율,$B$5,_xlpm.중도금비율,$C$5,_xlpm.잔금비율,$D$5,_xlpm.계약시기,TEXT($B24,"yyyy-mm"),_xlpm.현재월,TEXT(R$8,"yyyy-mm"),_xlpm.헤더범위,$G$9:R$9,_xlpm.헤더,R$9,_xlpm.잔금표,$E$6:$I$6,_xlpm.잔금회차,IF(ISNUMBER(SEARCH("입주",_xlpm.헤더)),VALUE(RIGHT(_xlpm.헤더,1)),0),_xlpm.열번호,COLUMN(R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24" s="605">
        <f>_xlfn.LET(_xlpm.금액,$F24,_xlpm.계약금비율,$B$5,_xlpm.중도금비율,$C$5,_xlpm.잔금비율,$D$5,_xlpm.계약시기,TEXT($B24,"yyyy-mm"),_xlpm.현재월,TEXT(S$8,"yyyy-mm"),_xlpm.헤더범위,$G$9:S$9,_xlpm.헤더,S$9,_xlpm.잔금표,$E$6:$I$6,_xlpm.잔금회차,IF(ISNUMBER(SEARCH("입주",_xlpm.헤더)),VALUE(RIGHT(_xlpm.헤더,1)),0),_xlpm.열번호,COLUMN(S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24" s="605">
        <f>_xlfn.LET(_xlpm.금액,$F24,_xlpm.계약금비율,$B$5,_xlpm.중도금비율,$C$5,_xlpm.잔금비율,$D$5,_xlpm.계약시기,TEXT($B24,"yyyy-mm"),_xlpm.현재월,TEXT(T$8,"yyyy-mm"),_xlpm.헤더범위,$G$9:T$9,_xlpm.헤더,T$9,_xlpm.잔금표,$E$6:$I$6,_xlpm.잔금회차,IF(ISNUMBER(SEARCH("입주",_xlpm.헤더)),VALUE(RIGHT(_xlpm.헤더,1)),0),_xlpm.열번호,COLUMN(T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24" s="605">
        <f>_xlfn.LET(_xlpm.금액,$F24,_xlpm.계약금비율,$B$5,_xlpm.중도금비율,$C$5,_xlpm.잔금비율,$D$5,_xlpm.계약시기,TEXT($B24,"yyyy-mm"),_xlpm.현재월,TEXT(U$8,"yyyy-mm"),_xlpm.헤더범위,$G$9:U$9,_xlpm.헤더,U$9,_xlpm.잔금표,$E$6:$I$6,_xlpm.잔금회차,IF(ISNUMBER(SEARCH("입주",_xlpm.헤더)),VALUE(RIGHT(_xlpm.헤더,1)),0),_xlpm.열번호,COLUMN(U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758617.10251470003</v>
      </c>
      <c r="V24" s="605">
        <f ca="1">_xlfn.LET(_xlpm.금액,$F24,_xlpm.계약금비율,$B$5,_xlpm.중도금비율,$C$5,_xlpm.잔금비율,$D$5,_xlpm.계약시기,TEXT($B24,"yyyy-mm"),_xlpm.현재월,TEXT(V$8,"yyyy-mm"),_xlpm.헤더범위,$G$9:V$9,_xlpm.헤더,V$9,_xlpm.잔금표,$E$6:$I$6,_xlpm.잔금회차,IF(ISNUMBER(SEARCH("입주",_xlpm.헤더)),VALUE(RIGHT(_xlpm.헤더,1)),0),_xlpm.열번호,COLUMN(V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24" s="605">
        <f>_xlfn.LET(_xlpm.금액,$F24,_xlpm.계약금비율,$B$5,_xlpm.중도금비율,$C$5,_xlpm.잔금비율,$D$5,_xlpm.계약시기,TEXT($B24,"yyyy-mm"),_xlpm.현재월,TEXT(W$8,"yyyy-mm"),_xlpm.헤더범위,$G$9:W$9,_xlpm.헤더,W$9,_xlpm.잔금표,$E$6:$I$6,_xlpm.잔금회차,IF(ISNUMBER(SEARCH("입주",_xlpm.헤더)),VALUE(RIGHT(_xlpm.헤더,1)),0),_xlpm.열번호,COLUMN(W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24" s="605">
        <f>_xlfn.LET(_xlpm.금액,$F24,_xlpm.계약금비율,$B$5,_xlpm.중도금비율,$C$5,_xlpm.잔금비율,$D$5,_xlpm.계약시기,TEXT($B24,"yyyy-mm"),_xlpm.현재월,TEXT(X$8,"yyyy-mm"),_xlpm.헤더범위,$G$9:X$9,_xlpm.헤더,X$9,_xlpm.잔금표,$E$6:$I$6,_xlpm.잔금회차,IF(ISNUMBER(SEARCH("입주",_xlpm.헤더)),VALUE(RIGHT(_xlpm.헤더,1)),0),_xlpm.열번호,COLUMN(X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24" s="605">
        <f>_xlfn.LET(_xlpm.금액,$F24,_xlpm.계약금비율,$B$5,_xlpm.중도금비율,$C$5,_xlpm.잔금비율,$D$5,_xlpm.계약시기,TEXT($B24,"yyyy-mm"),_xlpm.현재월,TEXT(Y$8,"yyyy-mm"),_xlpm.헤더범위,$G$9:Y$9,_xlpm.헤더,Y$9,_xlpm.잔금표,$E$6:$I$6,_xlpm.잔금회차,IF(ISNUMBER(SEARCH("입주",_xlpm.헤더)),VALUE(RIGHT(_xlpm.헤더,1)),0),_xlpm.열번호,COLUMN(Y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24" s="605">
        <f>_xlfn.LET(_xlpm.금액,$F24,_xlpm.계약금비율,$B$5,_xlpm.중도금비율,$C$5,_xlpm.잔금비율,$D$5,_xlpm.계약시기,TEXT($B24,"yyyy-mm"),_xlpm.현재월,TEXT(Z$8,"yyyy-mm"),_xlpm.헤더범위,$G$9:Z$9,_xlpm.헤더,Z$9,_xlpm.잔금표,$E$6:$I$6,_xlpm.잔금회차,IF(ISNUMBER(SEARCH("입주",_xlpm.헤더)),VALUE(RIGHT(_xlpm.헤더,1)),0),_xlpm.열번호,COLUMN(Z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24" s="605">
        <f>_xlfn.LET(_xlpm.금액,$F24,_xlpm.계약금비율,$B$5,_xlpm.중도금비율,$C$5,_xlpm.잔금비율,$D$5,_xlpm.계약시기,TEXT($B24,"yyyy-mm"),_xlpm.현재월,TEXT(AA$8,"yyyy-mm"),_xlpm.헤더범위,$G$9:AA$9,_xlpm.헤더,AA$9,_xlpm.잔금표,$E$6:$I$6,_xlpm.잔금회차,IF(ISNUMBER(SEARCH("입주",_xlpm.헤더)),VALUE(RIGHT(_xlpm.헤더,1)),0),_xlpm.열번호,COLUMN(AA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24" s="605">
        <f ca="1">_xlfn.LET(_xlpm.금액,$F24,_xlpm.계약금비율,$B$5,_xlpm.중도금비율,$C$5,_xlpm.잔금비율,$D$5,_xlpm.계약시기,TEXT($B24,"yyyy-mm"),_xlpm.현재월,TEXT(AB$8,"yyyy-mm"),_xlpm.헤더범위,$G$9:AB$9,_xlpm.헤더,AB$9,_xlpm.잔금표,$E$6:$I$6,_xlpm.잔금회차,IF(ISNUMBER(SEARCH("입주",_xlpm.헤더)),VALUE(RIGHT(_xlpm.헤더,1)),0),_xlpm.열번호,COLUMN(AB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24" s="605">
        <f>_xlfn.LET(_xlpm.금액,$F24,_xlpm.계약금비율,$B$5,_xlpm.중도금비율,$C$5,_xlpm.잔금비율,$D$5,_xlpm.계약시기,TEXT($B24,"yyyy-mm"),_xlpm.현재월,TEXT(AC$8,"yyyy-mm"),_xlpm.헤더범위,$G$9:AC$9,_xlpm.헤더,AC$9,_xlpm.잔금표,$E$6:$I$6,_xlpm.잔금회차,IF(ISNUMBER(SEARCH("입주",_xlpm.헤더)),VALUE(RIGHT(_xlpm.헤더,1)),0),_xlpm.열번호,COLUMN(AC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24" s="605">
        <f>_xlfn.LET(_xlpm.금액,$F24,_xlpm.계약금비율,$B$5,_xlpm.중도금비율,$C$5,_xlpm.잔금비율,$D$5,_xlpm.계약시기,TEXT($B24,"yyyy-mm"),_xlpm.현재월,TEXT(AD$8,"yyyy-mm"),_xlpm.헤더범위,$G$9:AD$9,_xlpm.헤더,AD$9,_xlpm.잔금표,$E$6:$I$6,_xlpm.잔금회차,IF(ISNUMBER(SEARCH("입주",_xlpm.헤더)),VALUE(RIGHT(_xlpm.헤더,1)),0),_xlpm.열번호,COLUMN(AD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24" s="605">
        <f>_xlfn.LET(_xlpm.금액,$F24,_xlpm.계약금비율,$B$5,_xlpm.중도금비율,$C$5,_xlpm.잔금비율,$D$5,_xlpm.계약시기,TEXT($B24,"yyyy-mm"),_xlpm.현재월,TEXT(AE$8,"yyyy-mm"),_xlpm.헤더범위,$G$9:AE$9,_xlpm.헤더,AE$9,_xlpm.잔금표,$E$6:$I$6,_xlpm.잔금회차,IF(ISNUMBER(SEARCH("입주",_xlpm.헤더)),VALUE(RIGHT(_xlpm.헤더,1)),0),_xlpm.열번호,COLUMN(AE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24" s="605">
        <f>_xlfn.LET(_xlpm.금액,$F24,_xlpm.계약금비율,$B$5,_xlpm.중도금비율,$C$5,_xlpm.잔금비율,$D$5,_xlpm.계약시기,TEXT($B24,"yyyy-mm"),_xlpm.현재월,TEXT(AF$8,"yyyy-mm"),_xlpm.헤더범위,$G$9:AF$9,_xlpm.헤더,AF$9,_xlpm.잔금표,$E$6:$I$6,_xlpm.잔금회차,IF(ISNUMBER(SEARCH("입주",_xlpm.헤더)),VALUE(RIGHT(_xlpm.헤더,1)),0),_xlpm.열번호,COLUMN(AF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24" s="605">
        <f ca="1">_xlfn.LET(_xlpm.금액,$F24,_xlpm.계약금비율,$B$5,_xlpm.중도금비율,$C$5,_xlpm.잔금비율,$D$5,_xlpm.계약시기,TEXT($B24,"yyyy-mm"),_xlpm.현재월,TEXT(AG$8,"yyyy-mm"),_xlpm.헤더범위,$G$9:AG$9,_xlpm.헤더,AG$9,_xlpm.잔금표,$E$6:$I$6,_xlpm.잔금회차,IF(ISNUMBER(SEARCH("입주",_xlpm.헤더)),VALUE(RIGHT(_xlpm.헤더,1)),0),_xlpm.열번호,COLUMN(AG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24" s="605">
        <f>_xlfn.LET(_xlpm.금액,$F24,_xlpm.계약금비율,$B$5,_xlpm.중도금비율,$C$5,_xlpm.잔금비율,$D$5,_xlpm.계약시기,TEXT($B24,"yyyy-mm"),_xlpm.현재월,TEXT(AH$8,"yyyy-mm"),_xlpm.헤더범위,$G$9:AH$9,_xlpm.헤더,AH$9,_xlpm.잔금표,$E$6:$I$6,_xlpm.잔금회차,IF(ISNUMBER(SEARCH("입주",_xlpm.헤더)),VALUE(RIGHT(_xlpm.헤더,1)),0),_xlpm.열번호,COLUMN(AH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24" s="605">
        <f>_xlfn.LET(_xlpm.금액,$F24,_xlpm.계약금비율,$B$5,_xlpm.중도금비율,$C$5,_xlpm.잔금비율,$D$5,_xlpm.계약시기,TEXT($B24,"yyyy-mm"),_xlpm.현재월,TEXT(AI$8,"yyyy-mm"),_xlpm.헤더범위,$G$9:AI$9,_xlpm.헤더,AI$9,_xlpm.잔금표,$E$6:$I$6,_xlpm.잔금회차,IF(ISNUMBER(SEARCH("입주",_xlpm.헤더)),VALUE(RIGHT(_xlpm.헤더,1)),0),_xlpm.열번호,COLUMN(AI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24" s="605">
        <f>_xlfn.LET(_xlpm.금액,$F24,_xlpm.계약금비율,$B$5,_xlpm.중도금비율,$C$5,_xlpm.잔금비율,$D$5,_xlpm.계약시기,TEXT($B24,"yyyy-mm"),_xlpm.현재월,TEXT(AJ$8,"yyyy-mm"),_xlpm.헤더범위,$G$9:AJ$9,_xlpm.헤더,AJ$9,_xlpm.잔금표,$E$6:$I$6,_xlpm.잔금회차,IF(ISNUMBER(SEARCH("입주",_xlpm.헤더)),VALUE(RIGHT(_xlpm.헤더,1)),0),_xlpm.열번호,COLUMN(AJ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24" s="605">
        <f>_xlfn.LET(_xlpm.금액,$F24,_xlpm.계약금비율,$B$5,_xlpm.중도금비율,$C$5,_xlpm.잔금비율,$D$5,_xlpm.계약시기,TEXT($B24,"yyyy-mm"),_xlpm.현재월,TEXT(AK$8,"yyyy-mm"),_xlpm.헤더범위,$G$9:AK$9,_xlpm.헤더,AK$9,_xlpm.잔금표,$E$6:$I$6,_xlpm.잔금회차,IF(ISNUMBER(SEARCH("입주",_xlpm.헤더)),VALUE(RIGHT(_xlpm.헤더,1)),0),_xlpm.열번호,COLUMN(AK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24" s="605">
        <f ca="1">_xlfn.LET(_xlpm.금액,$F24,_xlpm.계약금비율,$B$5,_xlpm.중도금비율,$C$5,_xlpm.잔금비율,$D$5,_xlpm.계약시기,TEXT($B24,"yyyy-mm"),_xlpm.현재월,TEXT(AL$8,"yyyy-mm"),_xlpm.헤더범위,$G$9:AL$9,_xlpm.헤더,AL$9,_xlpm.잔금표,$E$6:$I$6,_xlpm.잔금회차,IF(ISNUMBER(SEARCH("입주",_xlpm.헤더)),VALUE(RIGHT(_xlpm.헤더,1)),0),_xlpm.열번호,COLUMN(AL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24" s="605">
        <f>_xlfn.LET(_xlpm.금액,$F24,_xlpm.계약금비율,$B$5,_xlpm.중도금비율,$C$5,_xlpm.잔금비율,$D$5,_xlpm.계약시기,TEXT($B24,"yyyy-mm"),_xlpm.현재월,TEXT(AM$8,"yyyy-mm"),_xlpm.헤더범위,$G$9:AM$9,_xlpm.헤더,AM$9,_xlpm.잔금표,$E$6:$I$6,_xlpm.잔금회차,IF(ISNUMBER(SEARCH("입주",_xlpm.헤더)),VALUE(RIGHT(_xlpm.헤더,1)),0),_xlpm.열번호,COLUMN(AM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24" s="605">
        <f>_xlfn.LET(_xlpm.금액,$F24,_xlpm.계약금비율,$B$5,_xlpm.중도금비율,$C$5,_xlpm.잔금비율,$D$5,_xlpm.계약시기,TEXT($B24,"yyyy-mm"),_xlpm.현재월,TEXT(AN$8,"yyyy-mm"),_xlpm.헤더범위,$G$9:AN$9,_xlpm.헤더,AN$9,_xlpm.잔금표,$E$6:$I$6,_xlpm.잔금회차,IF(ISNUMBER(SEARCH("입주",_xlpm.헤더)),VALUE(RIGHT(_xlpm.헤더,1)),0),_xlpm.열번호,COLUMN(AN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24" s="605">
        <f>_xlfn.LET(_xlpm.금액,$F24,_xlpm.계약금비율,$B$5,_xlpm.중도금비율,$C$5,_xlpm.잔금비율,$D$5,_xlpm.계약시기,TEXT($B24,"yyyy-mm"),_xlpm.현재월,TEXT(AO$8,"yyyy-mm"),_xlpm.헤더범위,$G$9:AO$9,_xlpm.헤더,AO$9,_xlpm.잔금표,$E$6:$I$6,_xlpm.잔금회차,IF(ISNUMBER(SEARCH("입주",_xlpm.헤더)),VALUE(RIGHT(_xlpm.헤더,1)),0),_xlpm.열번호,COLUMN(AO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24" s="605">
        <f>_xlfn.LET(_xlpm.금액,$F24,_xlpm.계약금비율,$B$5,_xlpm.중도금비율,$C$5,_xlpm.잔금비율,$D$5,_xlpm.계약시기,TEXT($B24,"yyyy-mm"),_xlpm.현재월,TEXT(AP$8,"yyyy-mm"),_xlpm.헤더범위,$G$9:AP$9,_xlpm.헤더,AP$9,_xlpm.잔금표,$E$6:$I$6,_xlpm.잔금회차,IF(ISNUMBER(SEARCH("입주",_xlpm.헤더)),VALUE(RIGHT(_xlpm.헤더,1)),0),_xlpm.열번호,COLUMN(AP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24" s="605">
        <f>_xlfn.LET(_xlpm.금액,$F24,_xlpm.계약금비율,$B$5,_xlpm.중도금비율,$C$5,_xlpm.잔금비율,$D$5,_xlpm.계약시기,TEXT($B24,"yyyy-mm"),_xlpm.현재월,TEXT(AQ$8,"yyyy-mm"),_xlpm.헤더범위,$G$9:AQ$9,_xlpm.헤더,AQ$9,_xlpm.잔금표,$E$6:$I$6,_xlpm.잔금회차,IF(ISNUMBER(SEARCH("입주",_xlpm.헤더)),VALUE(RIGHT(_xlpm.헤더,1)),0),_xlpm.열번호,COLUMN(AQ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24" s="605" t="e" vm="2">
        <f>_xlfn.LET(_xlpm.금액,$F24,_xlpm.계약금비율,$B$5,_xlpm.중도금비율,$C$5,_xlpm.잔금비율,$D$5,_xlpm.계약시기,TEXT($B24,"yyyy-mm"),_xlpm.현재월,TEXT(AR$8,"yyyy-mm"),_xlpm.헤더범위,$G$9:AR$9,_xlpm.헤더,AR$9,_xlpm.잔금표,$E$6:$I$6,_xlpm.잔금회차,IF(ISNUMBER(SEARCH("입주",_xlpm.헤더)),VALUE(RIGHT(_xlpm.헤더,1)),0),_xlpm.열번호,COLUMN(AR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24" s="605" t="e" vm="2">
        <f>_xlfn.LET(_xlpm.금액,$F24,_xlpm.계약금비율,$B$5,_xlpm.중도금비율,$C$5,_xlpm.잔금비율,$D$5,_xlpm.계약시기,TEXT($B24,"yyyy-mm"),_xlpm.현재월,TEXT(AS$8,"yyyy-mm"),_xlpm.헤더범위,$G$9:AS$9,_xlpm.헤더,AS$9,_xlpm.잔금표,$E$6:$I$6,_xlpm.잔금회차,IF(ISNUMBER(SEARCH("입주",_xlpm.헤더)),VALUE(RIGHT(_xlpm.헤더,1)),0),_xlpm.열번호,COLUMN(AS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24" s="605" t="e" vm="2">
        <f>_xlfn.LET(_xlpm.금액,$F24,_xlpm.계약금비율,$B$5,_xlpm.중도금비율,$C$5,_xlpm.잔금비율,$D$5,_xlpm.계약시기,TEXT($B24,"yyyy-mm"),_xlpm.현재월,TEXT(AT$8,"yyyy-mm"),_xlpm.헤더범위,$G$9:AT$9,_xlpm.헤더,AT$9,_xlpm.잔금표,$E$6:$I$6,_xlpm.잔금회차,IF(ISNUMBER(SEARCH("입주",_xlpm.헤더)),VALUE(RIGHT(_xlpm.헤더,1)),0),_xlpm.열번호,COLUMN(AT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24" s="605" t="e" vm="2">
        <f>_xlfn.LET(_xlpm.금액,$F24,_xlpm.계약금비율,$B$5,_xlpm.중도금비율,$C$5,_xlpm.잔금비율,$D$5,_xlpm.계약시기,TEXT($B24,"yyyy-mm"),_xlpm.현재월,TEXT(AU$8,"yyyy-mm"),_xlpm.헤더범위,$G$9:AU$9,_xlpm.헤더,AU$9,_xlpm.잔금표,$E$6:$I$6,_xlpm.잔금회차,IF(ISNUMBER(SEARCH("입주",_xlpm.헤더)),VALUE(RIGHT(_xlpm.헤더,1)),0),_xlpm.열번호,COLUMN(AU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24" s="605" t="e" vm="2">
        <f>_xlfn.LET(_xlpm.금액,$F24,_xlpm.계약금비율,$B$5,_xlpm.중도금비율,$C$5,_xlpm.잔금비율,$D$5,_xlpm.계약시기,TEXT($B24,"yyyy-mm"),_xlpm.현재월,TEXT(AV$8,"yyyy-mm"),_xlpm.헤더범위,$G$9:AV$9,_xlpm.헤더,AV$9,_xlpm.잔금표,$E$6:$I$6,_xlpm.잔금회차,IF(ISNUMBER(SEARCH("입주",_xlpm.헤더)),VALUE(RIGHT(_xlpm.헤더,1)),0),_xlpm.열번호,COLUMN(AV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24" s="605">
        <f>_xlfn.LET(_xlpm.금액,$F24,_xlpm.계약금비율,$B$5,_xlpm.중도금비율,$C$5,_xlpm.잔금비율,$D$5,_xlpm.계약시기,TEXT($B24,"yyyy-mm"),_xlpm.현재월,TEXT(AW$8,"yyyy-mm"),_xlpm.헤더범위,$G$9:AW$9,_xlpm.헤더,AW$9,_xlpm.잔금표,$E$6:$I$6,_xlpm.잔금회차,IF(ISNUMBER(SEARCH("입주",_xlpm.헤더)),VALUE(RIGHT(_xlpm.헤더,1)),0),_xlpm.열번호,COLUMN(AW$9),_xlpm.행번호,ROW($G24),_xlpm.전체헤더,$G$9:$BF$9,_xlpm.전체데이터,$G24:$BF24,_xlpm.전체열번호,_xlfn.SEQUENCE(1,COLUMNS(_xlpm.전체헤더),COLUMN($G24)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24" s="605">
        <f t="shared" ca="1" si="12"/>
        <v>0</v>
      </c>
      <c r="AY24" s="605">
        <f t="shared" ca="1" si="12"/>
        <v>0</v>
      </c>
      <c r="AZ24" s="605">
        <f t="shared" ca="1" si="13"/>
        <v>0</v>
      </c>
      <c r="BA24" s="605">
        <f t="shared" ca="1" si="13"/>
        <v>0</v>
      </c>
      <c r="BB24" s="605">
        <f t="shared" ca="1" si="13"/>
        <v>0</v>
      </c>
      <c r="BC24" s="605">
        <f ca="1">IF(TEXT(BC$8,"yyyy-mm")=TEXT($B24,"yyyy-mm"),$F24*$B$5,IF(AND(ISNUMBER(SEARCH("중도금",BC$9)),TEXT(BC$8,"yyyy-mm")&gt;=TEXT($B24,"yyyy-mm")),IF(BC$9="1차중도금",$F24*$C$5/6,IF(BC$9="2차중도금",MAX(0,$F24*$C$5*0.3-IF(COLUMN()&gt;7,SUM($G24:OFFSET(BC24,0,COLUMN()-8)),0)),IF(BC$9="3차중도금",MAX(0,$F24*$C$5*0.4-IF(COLUMN()&gt;7,SUM($G24:OFFSET(BC24,0,COLUMN()-8)),0)),IF(BC$9="4차중도금",MAX(0,$F24*$C$5*0.5-IF(COLUMN()&gt;7,SUM($G24:OFFSET(BC24,0,COLUMN()-8)),0)),IF(BC$9="5차중도금",MAX(0,$F24*$C$5*0.6-IF(COLUMN()&gt;7,SUM($G24:OFFSET(BC24,0,COLUMN()-8)),0)),IF(BC$9="6차중도금",MAX(0,$F24*$C$5*0.7-IF(COLUMN()&gt;7,SUM($G24:OFFSET(BC24,0,COLUMN()-8)),0)),0)))))),IF(AND(ISNUMBER(SEARCH("입주",BC$9)),TEXT(BC$8,"yyyy-mm")&gt;=TEXT($B24,"yyyy-mm")),$F24*$D$5*INDEX($E$6:$I$6,VALUE(RIGHT(BC$9,1))),0)))</f>
        <v>0</v>
      </c>
      <c r="BD24" s="605">
        <f ca="1">IF(TEXT(BD$8,"yyyy-mm")=TEXT($B24,"yyyy-mm"),$F24*$B$5,IF(AND(ISNUMBER(SEARCH("중도금",BD$9)),TEXT(BD$8,"yyyy-mm")&gt;=TEXT($B24,"yyyy-mm")),IF(BD$9="1차중도금",$F24*$C$5/6,IF(BD$9="2차중도금",MAX(0,$F24*$C$5*0.3-IF(COLUMN()&gt;7,SUM($G24:OFFSET(BD24,0,COLUMN()-8)),0)),IF(BD$9="3차중도금",MAX(0,$F24*$C$5*0.4-IF(COLUMN()&gt;7,SUM($G24:OFFSET(BD24,0,COLUMN()-8)),0)),IF(BD$9="4차중도금",MAX(0,$F24*$C$5*0.5-IF(COLUMN()&gt;7,SUM($G24:OFFSET(BD24,0,COLUMN()-8)),0)),IF(BD$9="5차중도금",MAX(0,$F24*$C$5*0.6-IF(COLUMN()&gt;7,SUM($G24:OFFSET(BD24,0,COLUMN()-8)),0)),IF(BD$9="6차중도금",MAX(0,$F24*$C$5*0.7-IF(COLUMN()&gt;7,SUM($G24:OFFSET(BD24,0,COLUMN()-8)),0)),0)))))),IF(AND(ISNUMBER(SEARCH("입주",BD$9)),TEXT(BD$8,"yyyy-mm")&gt;=TEXT($B24,"yyyy-mm")),$F24*$D$5*INDEX($E$6:$I$6,VALUE(RIGHT(BD$9,1))),0)))</f>
        <v>0</v>
      </c>
      <c r="BE24" s="605">
        <f ca="1">IF(TEXT(BE$8,"yyyy-mm")=TEXT($B24,"yyyy-mm"),$F24*$B$5,IF(AND(ISNUMBER(SEARCH("중도금",BE$9)),TEXT(BE$8,"yyyy-mm")&gt;=TEXT($B24,"yyyy-mm")),IF(BE$9="1차중도금",$F24*$C$5/6,IF(BE$9="2차중도금",MAX(0,$F24*$C$5*0.3-IF(COLUMN()&gt;7,SUM($G24:OFFSET(BE24,0,COLUMN()-8)),0)),IF(BE$9="3차중도금",MAX(0,$F24*$C$5*0.4-IF(COLUMN()&gt;7,SUM($G24:OFFSET(BE24,0,COLUMN()-8)),0)),IF(BE$9="4차중도금",MAX(0,$F24*$C$5*0.5-IF(COLUMN()&gt;7,SUM($G24:OFFSET(BE24,0,COLUMN()-8)),0)),IF(BE$9="5차중도금",MAX(0,$F24*$C$5*0.6-IF(COLUMN()&gt;7,SUM($G24:OFFSET(BE24,0,COLUMN()-8)),0)),IF(BE$9="6차중도금",MAX(0,$F24*$C$5*0.7-IF(COLUMN()&gt;7,SUM($G24:OFFSET(BE24,0,COLUMN()-8)),0)),0)))))),IF(AND(ISNUMBER(SEARCH("입주",BE$9)),TEXT(BE$8,"yyyy-mm")&gt;=TEXT($B24,"yyyy-mm")),$F24*$D$5*INDEX($E$6:$I$6,VALUE(RIGHT(BE$9,1))),0)))</f>
        <v>0</v>
      </c>
      <c r="BF24" s="609">
        <f t="shared" ca="1" si="8"/>
        <v>4575917.6730004735</v>
      </c>
      <c r="BG24" s="556">
        <f t="shared" ca="1" si="5"/>
        <v>3010253.3521465268</v>
      </c>
      <c r="BH24" s="610"/>
    </row>
    <row r="25" spans="1:60">
      <c r="A25" s="1853"/>
      <c r="B25" s="611">
        <f t="shared" si="6"/>
        <v>45292</v>
      </c>
      <c r="C25" s="605">
        <f t="shared" si="7"/>
        <v>252872367.50490001</v>
      </c>
      <c r="D25" s="1501">
        <f t="shared" si="7"/>
        <v>0.03</v>
      </c>
      <c r="E25" s="607">
        <f t="shared" si="9"/>
        <v>0.95000000000000029</v>
      </c>
      <c r="F25" s="608">
        <f t="shared" si="2"/>
        <v>7586171.0251470003</v>
      </c>
      <c r="G25" s="605">
        <f>_xlfn.LET(_xlpm.금액,$F25,_xlpm.계약금비율,$B$5,_xlpm.중도금비율,$C$5,_xlpm.잔금비율,$D$5,_xlpm.계약시기,TEXT($B25,"yyyy-mm"),_xlpm.현재월,TEXT(G$8,"yyyy-mm"),_xlpm.헤더범위,$G$9:G$9,_xlpm.헤더,G$9,_xlpm.잔금표,$E$6:$I$6,_xlpm.잔금회차,IF(ISNUMBER(SEARCH("입주",_xlpm.헤더)),VALUE(RIGHT(_xlpm.헤더,1)),0),_xlpm.열번호,COLUMN(G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25" s="605">
        <f>_xlfn.LET(_xlpm.금액,$F25,_xlpm.계약금비율,$B$5,_xlpm.중도금비율,$C$5,_xlpm.잔금비율,$D$5,_xlpm.계약시기,TEXT($B25,"yyyy-mm"),_xlpm.현재월,TEXT(H$8,"yyyy-mm"),_xlpm.헤더범위,$G$9:H$9,_xlpm.헤더,H$9,_xlpm.잔금표,$E$6:$I$6,_xlpm.잔금회차,IF(ISNUMBER(SEARCH("입주",_xlpm.헤더)),VALUE(RIGHT(_xlpm.헤더,1)),0),_xlpm.열번호,COLUMN(H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25" s="605">
        <f>_xlfn.LET(_xlpm.금액,$F25,_xlpm.계약금비율,$B$5,_xlpm.중도금비율,$C$5,_xlpm.잔금비율,$D$5,_xlpm.계약시기,TEXT($B25,"yyyy-mm"),_xlpm.현재월,TEXT(I$8,"yyyy-mm"),_xlpm.헤더범위,$G$9:I$9,_xlpm.헤더,I$9,_xlpm.잔금표,$E$6:$I$6,_xlpm.잔금회차,IF(ISNUMBER(SEARCH("입주",_xlpm.헤더)),VALUE(RIGHT(_xlpm.헤더,1)),0),_xlpm.열번호,COLUMN(I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25" s="605">
        <f>_xlfn.LET(_xlpm.금액,$F25,_xlpm.계약금비율,$B$5,_xlpm.중도금비율,$C$5,_xlpm.잔금비율,$D$5,_xlpm.계약시기,TEXT($B25,"yyyy-mm"),_xlpm.현재월,TEXT(J$8,"yyyy-mm"),_xlpm.헤더범위,$G$9:J$9,_xlpm.헤더,J$9,_xlpm.잔금표,$E$6:$I$6,_xlpm.잔금회차,IF(ISNUMBER(SEARCH("입주",_xlpm.헤더)),VALUE(RIGHT(_xlpm.헤더,1)),0),_xlpm.열번호,COLUMN(J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25" s="605">
        <f>_xlfn.LET(_xlpm.금액,$F25,_xlpm.계약금비율,$B$5,_xlpm.중도금비율,$C$5,_xlpm.잔금비율,$D$5,_xlpm.계약시기,TEXT($B25,"yyyy-mm"),_xlpm.현재월,TEXT(K$8,"yyyy-mm"),_xlpm.헤더범위,$G$9:K$9,_xlpm.헤더,K$9,_xlpm.잔금표,$E$6:$I$6,_xlpm.잔금회차,IF(ISNUMBER(SEARCH("입주",_xlpm.헤더)),VALUE(RIGHT(_xlpm.헤더,1)),0),_xlpm.열번호,COLUMN(K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25" s="605">
        <f ca="1">_xlfn.LET(_xlpm.금액,$F25,_xlpm.계약금비율,$B$5,_xlpm.중도금비율,$C$5,_xlpm.잔금비율,$D$5,_xlpm.계약시기,TEXT($B25,"yyyy-mm"),_xlpm.현재월,TEXT(L$8,"yyyy-mm"),_xlpm.헤더범위,$G$9:L$9,_xlpm.헤더,L$9,_xlpm.잔금표,$E$6:$I$6,_xlpm.잔금회차,IF(ISNUMBER(SEARCH("입주",_xlpm.헤더)),VALUE(RIGHT(_xlpm.헤더,1)),0),_xlpm.열번호,COLUMN(L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25" s="605">
        <f>_xlfn.LET(_xlpm.금액,$F25,_xlpm.계약금비율,$B$5,_xlpm.중도금비율,$C$5,_xlpm.잔금비율,$D$5,_xlpm.계약시기,TEXT($B25,"yyyy-mm"),_xlpm.현재월,TEXT(M$8,"yyyy-mm"),_xlpm.헤더범위,$G$9:M$9,_xlpm.헤더,M$9,_xlpm.잔금표,$E$6:$I$6,_xlpm.잔금회차,IF(ISNUMBER(SEARCH("입주",_xlpm.헤더)),VALUE(RIGHT(_xlpm.헤더,1)),0),_xlpm.열번호,COLUMN(M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25" s="605">
        <f>_xlfn.LET(_xlpm.금액,$F25,_xlpm.계약금비율,$B$5,_xlpm.중도금비율,$C$5,_xlpm.잔금비율,$D$5,_xlpm.계약시기,TEXT($B25,"yyyy-mm"),_xlpm.현재월,TEXT(N$8,"yyyy-mm"),_xlpm.헤더범위,$G$9:N$9,_xlpm.헤더,N$9,_xlpm.잔금표,$E$6:$I$6,_xlpm.잔금회차,IF(ISNUMBER(SEARCH("입주",_xlpm.헤더)),VALUE(RIGHT(_xlpm.헤더,1)),0),_xlpm.열번호,COLUMN(N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25" s="605">
        <f>_xlfn.LET(_xlpm.금액,$F25,_xlpm.계약금비율,$B$5,_xlpm.중도금비율,$C$5,_xlpm.잔금비율,$D$5,_xlpm.계약시기,TEXT($B25,"yyyy-mm"),_xlpm.현재월,TEXT(O$8,"yyyy-mm"),_xlpm.헤더범위,$G$9:O$9,_xlpm.헤더,O$9,_xlpm.잔금표,$E$6:$I$6,_xlpm.잔금회차,IF(ISNUMBER(SEARCH("입주",_xlpm.헤더)),VALUE(RIGHT(_xlpm.헤더,1)),0),_xlpm.열번호,COLUMN(O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25" s="605">
        <f>_xlfn.LET(_xlpm.금액,$F25,_xlpm.계약금비율,$B$5,_xlpm.중도금비율,$C$5,_xlpm.잔금비율,$D$5,_xlpm.계약시기,TEXT($B25,"yyyy-mm"),_xlpm.현재월,TEXT(P$8,"yyyy-mm"),_xlpm.헤더범위,$G$9:P$9,_xlpm.헤더,P$9,_xlpm.잔금표,$E$6:$I$6,_xlpm.잔금회차,IF(ISNUMBER(SEARCH("입주",_xlpm.헤더)),VALUE(RIGHT(_xlpm.헤더,1)),0),_xlpm.열번호,COLUMN(P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25" s="605">
        <f ca="1">_xlfn.LET(_xlpm.금액,$F25,_xlpm.계약금비율,$B$5,_xlpm.중도금비율,$C$5,_xlpm.잔금비율,$D$5,_xlpm.계약시기,TEXT($B25,"yyyy-mm"),_xlpm.현재월,TEXT(Q$8,"yyyy-mm"),_xlpm.헤더범위,$G$9:Q$9,_xlpm.헤더,Q$9,_xlpm.잔금표,$E$6:$I$6,_xlpm.잔금회차,IF(ISNUMBER(SEARCH("입주",_xlpm.헤더)),VALUE(RIGHT(_xlpm.헤더,1)),0),_xlpm.열번호,COLUMN(Q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25" s="605">
        <f>_xlfn.LET(_xlpm.금액,$F25,_xlpm.계약금비율,$B$5,_xlpm.중도금비율,$C$5,_xlpm.잔금비율,$D$5,_xlpm.계약시기,TEXT($B25,"yyyy-mm"),_xlpm.현재월,TEXT(R$8,"yyyy-mm"),_xlpm.헤더범위,$G$9:R$9,_xlpm.헤더,R$9,_xlpm.잔금표,$E$6:$I$6,_xlpm.잔금회차,IF(ISNUMBER(SEARCH("입주",_xlpm.헤더)),VALUE(RIGHT(_xlpm.헤더,1)),0),_xlpm.열번호,COLUMN(R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25" s="605">
        <f>_xlfn.LET(_xlpm.금액,$F25,_xlpm.계약금비율,$B$5,_xlpm.중도금비율,$C$5,_xlpm.잔금비율,$D$5,_xlpm.계약시기,TEXT($B25,"yyyy-mm"),_xlpm.현재월,TEXT(S$8,"yyyy-mm"),_xlpm.헤더범위,$G$9:S$9,_xlpm.헤더,S$9,_xlpm.잔금표,$E$6:$I$6,_xlpm.잔금회차,IF(ISNUMBER(SEARCH("입주",_xlpm.헤더)),VALUE(RIGHT(_xlpm.헤더,1)),0),_xlpm.열번호,COLUMN(S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25" s="605">
        <f>_xlfn.LET(_xlpm.금액,$F25,_xlpm.계약금비율,$B$5,_xlpm.중도금비율,$C$5,_xlpm.잔금비율,$D$5,_xlpm.계약시기,TEXT($B25,"yyyy-mm"),_xlpm.현재월,TEXT(T$8,"yyyy-mm"),_xlpm.헤더범위,$G$9:T$9,_xlpm.헤더,T$9,_xlpm.잔금표,$E$6:$I$6,_xlpm.잔금회차,IF(ISNUMBER(SEARCH("입주",_xlpm.헤더)),VALUE(RIGHT(_xlpm.헤더,1)),0),_xlpm.열번호,COLUMN(T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25" s="605">
        <f>_xlfn.LET(_xlpm.금액,$F25,_xlpm.계약금비율,$B$5,_xlpm.중도금비율,$C$5,_xlpm.잔금비율,$D$5,_xlpm.계약시기,TEXT($B25,"yyyy-mm"),_xlpm.현재월,TEXT(U$8,"yyyy-mm"),_xlpm.헤더범위,$G$9:U$9,_xlpm.헤더,U$9,_xlpm.잔금표,$E$6:$I$6,_xlpm.잔금회차,IF(ISNUMBER(SEARCH("입주",_xlpm.헤더)),VALUE(RIGHT(_xlpm.헤더,1)),0),_xlpm.열번호,COLUMN(U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25" s="605">
        <f ca="1">_xlfn.LET(_xlpm.금액,$F25,_xlpm.계약금비율,$B$5,_xlpm.중도금비율,$C$5,_xlpm.잔금비율,$D$5,_xlpm.계약시기,TEXT($B25,"yyyy-mm"),_xlpm.현재월,TEXT(V$8,"yyyy-mm"),_xlpm.헤더범위,$G$9:V$9,_xlpm.헤더,V$9,_xlpm.잔금표,$E$6:$I$6,_xlpm.잔금회차,IF(ISNUMBER(SEARCH("입주",_xlpm.헤더)),VALUE(RIGHT(_xlpm.헤더,1)),0),_xlpm.열번호,COLUMN(V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25" s="605">
        <f>_xlfn.LET(_xlpm.금액,$F25,_xlpm.계약금비율,$B$5,_xlpm.중도금비율,$C$5,_xlpm.잔금비율,$D$5,_xlpm.계약시기,TEXT($B25,"yyyy-mm"),_xlpm.현재월,TEXT(W$8,"yyyy-mm"),_xlpm.헤더범위,$G$9:W$9,_xlpm.헤더,W$9,_xlpm.잔금표,$E$6:$I$6,_xlpm.잔금회차,IF(ISNUMBER(SEARCH("입주",_xlpm.헤더)),VALUE(RIGHT(_xlpm.헤더,1)),0),_xlpm.열번호,COLUMN(W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X25" s="605">
        <f>_xlfn.LET(_xlpm.금액,$F25,_xlpm.계약금비율,$B$5,_xlpm.중도금비율,$C$5,_xlpm.잔금비율,$D$5,_xlpm.계약시기,TEXT($B25,"yyyy-mm"),_xlpm.현재월,TEXT(X$8,"yyyy-mm"),_xlpm.헤더범위,$G$9:X$9,_xlpm.헤더,X$9,_xlpm.잔금표,$E$6:$I$6,_xlpm.잔금회차,IF(ISNUMBER(SEARCH("입주",_xlpm.헤더)),VALUE(RIGHT(_xlpm.헤더,1)),0),_xlpm.열번호,COLUMN(X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25" s="605">
        <f>_xlfn.LET(_xlpm.금액,$F25,_xlpm.계약금비율,$B$5,_xlpm.중도금비율,$C$5,_xlpm.잔금비율,$D$5,_xlpm.계약시기,TEXT($B25,"yyyy-mm"),_xlpm.현재월,TEXT(Y$8,"yyyy-mm"),_xlpm.헤더범위,$G$9:Y$9,_xlpm.헤더,Y$9,_xlpm.잔금표,$E$6:$I$6,_xlpm.잔금회차,IF(ISNUMBER(SEARCH("입주",_xlpm.헤더)),VALUE(RIGHT(_xlpm.헤더,1)),0),_xlpm.열번호,COLUMN(Y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25" s="605">
        <f>_xlfn.LET(_xlpm.금액,$F25,_xlpm.계약금비율,$B$5,_xlpm.중도금비율,$C$5,_xlpm.잔금비율,$D$5,_xlpm.계약시기,TEXT($B25,"yyyy-mm"),_xlpm.현재월,TEXT(Z$8,"yyyy-mm"),_xlpm.헤더범위,$G$9:Z$9,_xlpm.헤더,Z$9,_xlpm.잔금표,$E$6:$I$6,_xlpm.잔금회차,IF(ISNUMBER(SEARCH("입주",_xlpm.헤더)),VALUE(RIGHT(_xlpm.헤더,1)),0),_xlpm.열번호,COLUMN(Z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25" s="605">
        <f>_xlfn.LET(_xlpm.금액,$F25,_xlpm.계약금비율,$B$5,_xlpm.중도금비율,$C$5,_xlpm.잔금비율,$D$5,_xlpm.계약시기,TEXT($B25,"yyyy-mm"),_xlpm.현재월,TEXT(AA$8,"yyyy-mm"),_xlpm.헤더범위,$G$9:AA$9,_xlpm.헤더,AA$9,_xlpm.잔금표,$E$6:$I$6,_xlpm.잔금회차,IF(ISNUMBER(SEARCH("입주",_xlpm.헤더)),VALUE(RIGHT(_xlpm.헤더,1)),0),_xlpm.열번호,COLUMN(AA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25" s="605">
        <f ca="1">_xlfn.LET(_xlpm.금액,$F25,_xlpm.계약금비율,$B$5,_xlpm.중도금비율,$C$5,_xlpm.잔금비율,$D$5,_xlpm.계약시기,TEXT($B25,"yyyy-mm"),_xlpm.현재월,TEXT(AB$8,"yyyy-mm"),_xlpm.헤더범위,$G$9:AB$9,_xlpm.헤더,AB$9,_xlpm.잔금표,$E$6:$I$6,_xlpm.잔금회차,IF(ISNUMBER(SEARCH("입주",_xlpm.헤더)),VALUE(RIGHT(_xlpm.헤더,1)),0),_xlpm.열번호,COLUMN(AB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25" s="605">
        <f>_xlfn.LET(_xlpm.금액,$F25,_xlpm.계약금비율,$B$5,_xlpm.중도금비율,$C$5,_xlpm.잔금비율,$D$5,_xlpm.계약시기,TEXT($B25,"yyyy-mm"),_xlpm.현재월,TEXT(AC$8,"yyyy-mm"),_xlpm.헤더범위,$G$9:AC$9,_xlpm.헤더,AC$9,_xlpm.잔금표,$E$6:$I$6,_xlpm.잔금회차,IF(ISNUMBER(SEARCH("입주",_xlpm.헤더)),VALUE(RIGHT(_xlpm.헤더,1)),0),_xlpm.열번호,COLUMN(AC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25" s="605">
        <f>_xlfn.LET(_xlpm.금액,$F25,_xlpm.계약금비율,$B$5,_xlpm.중도금비율,$C$5,_xlpm.잔금비율,$D$5,_xlpm.계약시기,TEXT($B25,"yyyy-mm"),_xlpm.현재월,TEXT(AD$8,"yyyy-mm"),_xlpm.헤더범위,$G$9:AD$9,_xlpm.헤더,AD$9,_xlpm.잔금표,$E$6:$I$6,_xlpm.잔금회차,IF(ISNUMBER(SEARCH("입주",_xlpm.헤더)),VALUE(RIGHT(_xlpm.헤더,1)),0),_xlpm.열번호,COLUMN(AD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25" s="605">
        <f>_xlfn.LET(_xlpm.금액,$F25,_xlpm.계약금비율,$B$5,_xlpm.중도금비율,$C$5,_xlpm.잔금비율,$D$5,_xlpm.계약시기,TEXT($B25,"yyyy-mm"),_xlpm.현재월,TEXT(AE$8,"yyyy-mm"),_xlpm.헤더범위,$G$9:AE$9,_xlpm.헤더,AE$9,_xlpm.잔금표,$E$6:$I$6,_xlpm.잔금회차,IF(ISNUMBER(SEARCH("입주",_xlpm.헤더)),VALUE(RIGHT(_xlpm.헤더,1)),0),_xlpm.열번호,COLUMN(AE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25" s="605">
        <f>_xlfn.LET(_xlpm.금액,$F25,_xlpm.계약금비율,$B$5,_xlpm.중도금비율,$C$5,_xlpm.잔금비율,$D$5,_xlpm.계약시기,TEXT($B25,"yyyy-mm"),_xlpm.현재월,TEXT(AF$8,"yyyy-mm"),_xlpm.헤더범위,$G$9:AF$9,_xlpm.헤더,AF$9,_xlpm.잔금표,$E$6:$I$6,_xlpm.잔금회차,IF(ISNUMBER(SEARCH("입주",_xlpm.헤더)),VALUE(RIGHT(_xlpm.헤더,1)),0),_xlpm.열번호,COLUMN(AF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25" s="605">
        <f ca="1">_xlfn.LET(_xlpm.금액,$F25,_xlpm.계약금비율,$B$5,_xlpm.중도금비율,$C$5,_xlpm.잔금비율,$D$5,_xlpm.계약시기,TEXT($B25,"yyyy-mm"),_xlpm.현재월,TEXT(AG$8,"yyyy-mm"),_xlpm.헤더범위,$G$9:AG$9,_xlpm.헤더,AG$9,_xlpm.잔금표,$E$6:$I$6,_xlpm.잔금회차,IF(ISNUMBER(SEARCH("입주",_xlpm.헤더)),VALUE(RIGHT(_xlpm.헤더,1)),0),_xlpm.열번호,COLUMN(AG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25" s="605">
        <f>_xlfn.LET(_xlpm.금액,$F25,_xlpm.계약금비율,$B$5,_xlpm.중도금비율,$C$5,_xlpm.잔금비율,$D$5,_xlpm.계약시기,TEXT($B25,"yyyy-mm"),_xlpm.현재월,TEXT(AH$8,"yyyy-mm"),_xlpm.헤더범위,$G$9:AH$9,_xlpm.헤더,AH$9,_xlpm.잔금표,$E$6:$I$6,_xlpm.잔금회차,IF(ISNUMBER(SEARCH("입주",_xlpm.헤더)),VALUE(RIGHT(_xlpm.헤더,1)),0),_xlpm.열번호,COLUMN(AH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25" s="605">
        <f>_xlfn.LET(_xlpm.금액,$F25,_xlpm.계약금비율,$B$5,_xlpm.중도금비율,$C$5,_xlpm.잔금비율,$D$5,_xlpm.계약시기,TEXT($B25,"yyyy-mm"),_xlpm.현재월,TEXT(AI$8,"yyyy-mm"),_xlpm.헤더범위,$G$9:AI$9,_xlpm.헤더,AI$9,_xlpm.잔금표,$E$6:$I$6,_xlpm.잔금회차,IF(ISNUMBER(SEARCH("입주",_xlpm.헤더)),VALUE(RIGHT(_xlpm.헤더,1)),0),_xlpm.열번호,COLUMN(AI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25" s="605">
        <f>_xlfn.LET(_xlpm.금액,$F25,_xlpm.계약금비율,$B$5,_xlpm.중도금비율,$C$5,_xlpm.잔금비율,$D$5,_xlpm.계약시기,TEXT($B25,"yyyy-mm"),_xlpm.현재월,TEXT(AJ$8,"yyyy-mm"),_xlpm.헤더범위,$G$9:AJ$9,_xlpm.헤더,AJ$9,_xlpm.잔금표,$E$6:$I$6,_xlpm.잔금회차,IF(ISNUMBER(SEARCH("입주",_xlpm.헤더)),VALUE(RIGHT(_xlpm.헤더,1)),0),_xlpm.열번호,COLUMN(AJ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25" s="605">
        <f>_xlfn.LET(_xlpm.금액,$F25,_xlpm.계약금비율,$B$5,_xlpm.중도금비율,$C$5,_xlpm.잔금비율,$D$5,_xlpm.계약시기,TEXT($B25,"yyyy-mm"),_xlpm.현재월,TEXT(AK$8,"yyyy-mm"),_xlpm.헤더범위,$G$9:AK$9,_xlpm.헤더,AK$9,_xlpm.잔금표,$E$6:$I$6,_xlpm.잔금회차,IF(ISNUMBER(SEARCH("입주",_xlpm.헤더)),VALUE(RIGHT(_xlpm.헤더,1)),0),_xlpm.열번호,COLUMN(AK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25" s="605">
        <f ca="1">_xlfn.LET(_xlpm.금액,$F25,_xlpm.계약금비율,$B$5,_xlpm.중도금비율,$C$5,_xlpm.잔금비율,$D$5,_xlpm.계약시기,TEXT($B25,"yyyy-mm"),_xlpm.현재월,TEXT(AL$8,"yyyy-mm"),_xlpm.헤더범위,$G$9:AL$9,_xlpm.헤더,AL$9,_xlpm.잔금표,$E$6:$I$6,_xlpm.잔금회차,IF(ISNUMBER(SEARCH("입주",_xlpm.헤더)),VALUE(RIGHT(_xlpm.헤더,1)),0),_xlpm.열번호,COLUMN(AL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25" s="605">
        <f>_xlfn.LET(_xlpm.금액,$F25,_xlpm.계약금비율,$B$5,_xlpm.중도금비율,$C$5,_xlpm.잔금비율,$D$5,_xlpm.계약시기,TEXT($B25,"yyyy-mm"),_xlpm.현재월,TEXT(AM$8,"yyyy-mm"),_xlpm.헤더범위,$G$9:AM$9,_xlpm.헤더,AM$9,_xlpm.잔금표,$E$6:$I$6,_xlpm.잔금회차,IF(ISNUMBER(SEARCH("입주",_xlpm.헤더)),VALUE(RIGHT(_xlpm.헤더,1)),0),_xlpm.열번호,COLUMN(AM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25" s="605">
        <f>_xlfn.LET(_xlpm.금액,$F25,_xlpm.계약금비율,$B$5,_xlpm.중도금비율,$C$5,_xlpm.잔금비율,$D$5,_xlpm.계약시기,TEXT($B25,"yyyy-mm"),_xlpm.현재월,TEXT(AN$8,"yyyy-mm"),_xlpm.헤더범위,$G$9:AN$9,_xlpm.헤더,AN$9,_xlpm.잔금표,$E$6:$I$6,_xlpm.잔금회차,IF(ISNUMBER(SEARCH("입주",_xlpm.헤더)),VALUE(RIGHT(_xlpm.헤더,1)),0),_xlpm.열번호,COLUMN(AN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25" s="605">
        <f>_xlfn.LET(_xlpm.금액,$F25,_xlpm.계약금비율,$B$5,_xlpm.중도금비율,$C$5,_xlpm.잔금비율,$D$5,_xlpm.계약시기,TEXT($B25,"yyyy-mm"),_xlpm.현재월,TEXT(AO$8,"yyyy-mm"),_xlpm.헤더범위,$G$9:AO$9,_xlpm.헤더,AO$9,_xlpm.잔금표,$E$6:$I$6,_xlpm.잔금회차,IF(ISNUMBER(SEARCH("입주",_xlpm.헤더)),VALUE(RIGHT(_xlpm.헤더,1)),0),_xlpm.열번호,COLUMN(AO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25" s="605">
        <f>_xlfn.LET(_xlpm.금액,$F25,_xlpm.계약금비율,$B$5,_xlpm.중도금비율,$C$5,_xlpm.잔금비율,$D$5,_xlpm.계약시기,TEXT($B25,"yyyy-mm"),_xlpm.현재월,TEXT(AP$8,"yyyy-mm"),_xlpm.헤더범위,$G$9:AP$9,_xlpm.헤더,AP$9,_xlpm.잔금표,$E$6:$I$6,_xlpm.잔금회차,IF(ISNUMBER(SEARCH("입주",_xlpm.헤더)),VALUE(RIGHT(_xlpm.헤더,1)),0),_xlpm.열번호,COLUMN(AP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25" s="605">
        <f>_xlfn.LET(_xlpm.금액,$F25,_xlpm.계약금비율,$B$5,_xlpm.중도금비율,$C$5,_xlpm.잔금비율,$D$5,_xlpm.계약시기,TEXT($B25,"yyyy-mm"),_xlpm.현재월,TEXT(AQ$8,"yyyy-mm"),_xlpm.헤더범위,$G$9:AQ$9,_xlpm.헤더,AQ$9,_xlpm.잔금표,$E$6:$I$6,_xlpm.잔금회차,IF(ISNUMBER(SEARCH("입주",_xlpm.헤더)),VALUE(RIGHT(_xlpm.헤더,1)),0),_xlpm.열번호,COLUMN(AQ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25" s="605" t="e" vm="2">
        <f>_xlfn.LET(_xlpm.금액,$F25,_xlpm.계약금비율,$B$5,_xlpm.중도금비율,$C$5,_xlpm.잔금비율,$D$5,_xlpm.계약시기,TEXT($B25,"yyyy-mm"),_xlpm.현재월,TEXT(AR$8,"yyyy-mm"),_xlpm.헤더범위,$G$9:AR$9,_xlpm.헤더,AR$9,_xlpm.잔금표,$E$6:$I$6,_xlpm.잔금회차,IF(ISNUMBER(SEARCH("입주",_xlpm.헤더)),VALUE(RIGHT(_xlpm.헤더,1)),0),_xlpm.열번호,COLUMN(AR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25" s="605" t="e" vm="2">
        <f>_xlfn.LET(_xlpm.금액,$F25,_xlpm.계약금비율,$B$5,_xlpm.중도금비율,$C$5,_xlpm.잔금비율,$D$5,_xlpm.계약시기,TEXT($B25,"yyyy-mm"),_xlpm.현재월,TEXT(AS$8,"yyyy-mm"),_xlpm.헤더범위,$G$9:AS$9,_xlpm.헤더,AS$9,_xlpm.잔금표,$E$6:$I$6,_xlpm.잔금회차,IF(ISNUMBER(SEARCH("입주",_xlpm.헤더)),VALUE(RIGHT(_xlpm.헤더,1)),0),_xlpm.열번호,COLUMN(AS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25" s="605" t="e" vm="2">
        <f>_xlfn.LET(_xlpm.금액,$F25,_xlpm.계약금비율,$B$5,_xlpm.중도금비율,$C$5,_xlpm.잔금비율,$D$5,_xlpm.계약시기,TEXT($B25,"yyyy-mm"),_xlpm.현재월,TEXT(AT$8,"yyyy-mm"),_xlpm.헤더범위,$G$9:AT$9,_xlpm.헤더,AT$9,_xlpm.잔금표,$E$6:$I$6,_xlpm.잔금회차,IF(ISNUMBER(SEARCH("입주",_xlpm.헤더)),VALUE(RIGHT(_xlpm.헤더,1)),0),_xlpm.열번호,COLUMN(AT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25" s="605" t="e" vm="2">
        <f>_xlfn.LET(_xlpm.금액,$F25,_xlpm.계약금비율,$B$5,_xlpm.중도금비율,$C$5,_xlpm.잔금비율,$D$5,_xlpm.계약시기,TEXT($B25,"yyyy-mm"),_xlpm.현재월,TEXT(AU$8,"yyyy-mm"),_xlpm.헤더범위,$G$9:AU$9,_xlpm.헤더,AU$9,_xlpm.잔금표,$E$6:$I$6,_xlpm.잔금회차,IF(ISNUMBER(SEARCH("입주",_xlpm.헤더)),VALUE(RIGHT(_xlpm.헤더,1)),0),_xlpm.열번호,COLUMN(AU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25" s="605" t="e" vm="2">
        <f>_xlfn.LET(_xlpm.금액,$F25,_xlpm.계약금비율,$B$5,_xlpm.중도금비율,$C$5,_xlpm.잔금비율,$D$5,_xlpm.계약시기,TEXT($B25,"yyyy-mm"),_xlpm.현재월,TEXT(AV$8,"yyyy-mm"),_xlpm.헤더범위,$G$9:AV$9,_xlpm.헤더,AV$9,_xlpm.잔금표,$E$6:$I$6,_xlpm.잔금회차,IF(ISNUMBER(SEARCH("입주",_xlpm.헤더)),VALUE(RIGHT(_xlpm.헤더,1)),0),_xlpm.열번호,COLUMN(AV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25" s="605">
        <f>_xlfn.LET(_xlpm.금액,$F25,_xlpm.계약금비율,$B$5,_xlpm.중도금비율,$C$5,_xlpm.잔금비율,$D$5,_xlpm.계약시기,TEXT($B25,"yyyy-mm"),_xlpm.현재월,TEXT(AW$8,"yyyy-mm"),_xlpm.헤더범위,$G$9:AW$9,_xlpm.헤더,AW$9,_xlpm.잔금표,$E$6:$I$6,_xlpm.잔금회차,IF(ISNUMBER(SEARCH("입주",_xlpm.헤더)),VALUE(RIGHT(_xlpm.헤더,1)),0),_xlpm.열번호,COLUMN(AW$9),_xlpm.행번호,ROW($G25),_xlpm.전체헤더,$G$9:$BF$9,_xlpm.전체데이터,$G25:$BF25,_xlpm.전체열번호,_xlfn.SEQUENCE(1,COLUMNS(_xlpm.전체헤더),COLUMN($G25)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25" s="605">
        <f t="shared" ca="1" si="12"/>
        <v>0</v>
      </c>
      <c r="AY25" s="605">
        <f t="shared" ca="1" si="12"/>
        <v>0</v>
      </c>
      <c r="AZ25" s="605">
        <f t="shared" ca="1" si="13"/>
        <v>0</v>
      </c>
      <c r="BA25" s="605">
        <f t="shared" ca="1" si="13"/>
        <v>0</v>
      </c>
      <c r="BB25" s="605">
        <f t="shared" ca="1" si="13"/>
        <v>0</v>
      </c>
      <c r="BC25" s="605">
        <f ca="1">IF(TEXT(BC$8,"yyyy-mm")=TEXT($B25,"yyyy-mm"),$F25*$B$5,IF(AND(ISNUMBER(SEARCH("중도금",BC$9)),TEXT(BC$8,"yyyy-mm")&gt;=TEXT($B25,"yyyy-mm")),IF(BC$9="1차중도금",$F25*$C$5/6,IF(BC$9="2차중도금",MAX(0,$F25*$C$5*0.3-IF(COLUMN()&gt;7,SUM($G25:OFFSET(BC25,0,COLUMN()-8)),0)),IF(BC$9="3차중도금",MAX(0,$F25*$C$5*0.4-IF(COLUMN()&gt;7,SUM($G25:OFFSET(BC25,0,COLUMN()-8)),0)),IF(BC$9="4차중도금",MAX(0,$F25*$C$5*0.5-IF(COLUMN()&gt;7,SUM($G25:OFFSET(BC25,0,COLUMN()-8)),0)),IF(BC$9="5차중도금",MAX(0,$F25*$C$5*0.6-IF(COLUMN()&gt;7,SUM($G25:OFFSET(BC25,0,COLUMN()-8)),0)),IF(BC$9="6차중도금",MAX(0,$F25*$C$5*0.7-IF(COLUMN()&gt;7,SUM($G25:OFFSET(BC25,0,COLUMN()-8)),0)),0)))))),IF(AND(ISNUMBER(SEARCH("입주",BC$9)),TEXT(BC$8,"yyyy-mm")&gt;=TEXT($B25,"yyyy-mm")),$F25*$D$5*INDEX($E$6:$I$6,VALUE(RIGHT(BC$9,1))),0)))</f>
        <v>0</v>
      </c>
      <c r="BD25" s="605">
        <f ca="1">IF(TEXT(BD$8,"yyyy-mm")=TEXT($B25,"yyyy-mm"),$F25*$B$5,IF(AND(ISNUMBER(SEARCH("중도금",BD$9)),TEXT(BD$8,"yyyy-mm")&gt;=TEXT($B25,"yyyy-mm")),IF(BD$9="1차중도금",$F25*$C$5/6,IF(BD$9="2차중도금",MAX(0,$F25*$C$5*0.3-IF(COLUMN()&gt;7,SUM($G25:OFFSET(BD25,0,COLUMN()-8)),0)),IF(BD$9="3차중도금",MAX(0,$F25*$C$5*0.4-IF(COLUMN()&gt;7,SUM($G25:OFFSET(BD25,0,COLUMN()-8)),0)),IF(BD$9="4차중도금",MAX(0,$F25*$C$5*0.5-IF(COLUMN()&gt;7,SUM($G25:OFFSET(BD25,0,COLUMN()-8)),0)),IF(BD$9="5차중도금",MAX(0,$F25*$C$5*0.6-IF(COLUMN()&gt;7,SUM($G25:OFFSET(BD25,0,COLUMN()-8)),0)),IF(BD$9="6차중도금",MAX(0,$F25*$C$5*0.7-IF(COLUMN()&gt;7,SUM($G25:OFFSET(BD25,0,COLUMN()-8)),0)),0)))))),IF(AND(ISNUMBER(SEARCH("입주",BD$9)),TEXT(BD$8,"yyyy-mm")&gt;=TEXT($B25,"yyyy-mm")),$F25*$D$5*INDEX($E$6:$I$6,VALUE(RIGHT(BD$9,1))),0)))</f>
        <v>0</v>
      </c>
      <c r="BE25" s="605">
        <f ca="1">IF(TEXT(BE$8,"yyyy-mm")=TEXT($B25,"yyyy-mm"),$F25*$B$5,IF(AND(ISNUMBER(SEARCH("중도금",BE$9)),TEXT(BE$8,"yyyy-mm")&gt;=TEXT($B25,"yyyy-mm")),IF(BE$9="1차중도금",$F25*$C$5/6,IF(BE$9="2차중도금",MAX(0,$F25*$C$5*0.3-IF(COLUMN()&gt;7,SUM($G25:OFFSET(BE25,0,COLUMN()-8)),0)),IF(BE$9="3차중도금",MAX(0,$F25*$C$5*0.4-IF(COLUMN()&gt;7,SUM($G25:OFFSET(BE25,0,COLUMN()-8)),0)),IF(BE$9="4차중도금",MAX(0,$F25*$C$5*0.5-IF(COLUMN()&gt;7,SUM($G25:OFFSET(BE25,0,COLUMN()-8)),0)),IF(BE$9="5차중도금",MAX(0,$F25*$C$5*0.6-IF(COLUMN()&gt;7,SUM($G25:OFFSET(BE25,0,COLUMN()-8)),0)),IF(BE$9="6차중도금",MAX(0,$F25*$C$5*0.7-IF(COLUMN()&gt;7,SUM($G25:OFFSET(BE25,0,COLUMN()-8)),0)),0)))))),IF(AND(ISNUMBER(SEARCH("입주",BE$9)),TEXT(BE$8,"yyyy-mm")&gt;=TEXT($B25,"yyyy-mm")),$F25*$D$5*INDEX($E$6:$I$6,VALUE(RIGHT(BE$9,1))),0)))</f>
        <v>0</v>
      </c>
      <c r="BF25" s="609">
        <f t="shared" ca="1" si="8"/>
        <v>2638450.0527567249</v>
      </c>
      <c r="BG25" s="556">
        <f t="shared" ca="1" si="5"/>
        <v>4947720.9723902754</v>
      </c>
      <c r="BH25" s="610"/>
    </row>
    <row r="26" spans="1:60">
      <c r="A26" s="1853"/>
      <c r="B26" s="611">
        <f t="shared" si="6"/>
        <v>45323</v>
      </c>
      <c r="C26" s="605">
        <f t="shared" si="7"/>
        <v>252872367.50490001</v>
      </c>
      <c r="D26" s="1501">
        <f t="shared" si="7"/>
        <v>0.03</v>
      </c>
      <c r="E26" s="607">
        <f t="shared" si="9"/>
        <v>0.98000000000000032</v>
      </c>
      <c r="F26" s="608">
        <f t="shared" si="2"/>
        <v>7586171.0251470003</v>
      </c>
      <c r="G26" s="605">
        <f>_xlfn.LET(_xlpm.금액,$F26,_xlpm.계약금비율,$B$5,_xlpm.중도금비율,$C$5,_xlpm.잔금비율,$D$5,_xlpm.계약시기,TEXT($B26,"yyyy-mm"),_xlpm.현재월,TEXT(G$8,"yyyy-mm"),_xlpm.헤더범위,$G$9:G$9,_xlpm.헤더,G$9,_xlpm.잔금표,$E$6:$I$6,_xlpm.잔금회차,IF(ISNUMBER(SEARCH("입주",_xlpm.헤더)),VALUE(RIGHT(_xlpm.헤더,1)),0),_xlpm.열번호,COLUMN(G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H26" s="605">
        <f>_xlfn.LET(_xlpm.금액,$F26,_xlpm.계약금비율,$B$5,_xlpm.중도금비율,$C$5,_xlpm.잔금비율,$D$5,_xlpm.계약시기,TEXT($B26,"yyyy-mm"),_xlpm.현재월,TEXT(H$8,"yyyy-mm"),_xlpm.헤더범위,$G$9:H$9,_xlpm.헤더,H$9,_xlpm.잔금표,$E$6:$I$6,_xlpm.잔금회차,IF(ISNUMBER(SEARCH("입주",_xlpm.헤더)),VALUE(RIGHT(_xlpm.헤더,1)),0),_xlpm.열번호,COLUMN(H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I26" s="605">
        <f>_xlfn.LET(_xlpm.금액,$F26,_xlpm.계약금비율,$B$5,_xlpm.중도금비율,$C$5,_xlpm.잔금비율,$D$5,_xlpm.계약시기,TEXT($B26,"yyyy-mm"),_xlpm.현재월,TEXT(I$8,"yyyy-mm"),_xlpm.헤더범위,$G$9:I$9,_xlpm.헤더,I$9,_xlpm.잔금표,$E$6:$I$6,_xlpm.잔금회차,IF(ISNUMBER(SEARCH("입주",_xlpm.헤더)),VALUE(RIGHT(_xlpm.헤더,1)),0),_xlpm.열번호,COLUMN(I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J26" s="605">
        <f>_xlfn.LET(_xlpm.금액,$F26,_xlpm.계약금비율,$B$5,_xlpm.중도금비율,$C$5,_xlpm.잔금비율,$D$5,_xlpm.계약시기,TEXT($B26,"yyyy-mm"),_xlpm.현재월,TEXT(J$8,"yyyy-mm"),_xlpm.헤더범위,$G$9:J$9,_xlpm.헤더,J$9,_xlpm.잔금표,$E$6:$I$6,_xlpm.잔금회차,IF(ISNUMBER(SEARCH("입주",_xlpm.헤더)),VALUE(RIGHT(_xlpm.헤더,1)),0),_xlpm.열번호,COLUMN(J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K26" s="605">
        <f>_xlfn.LET(_xlpm.금액,$F26,_xlpm.계약금비율,$B$5,_xlpm.중도금비율,$C$5,_xlpm.잔금비율,$D$5,_xlpm.계약시기,TEXT($B26,"yyyy-mm"),_xlpm.현재월,TEXT(K$8,"yyyy-mm"),_xlpm.헤더범위,$G$9:K$9,_xlpm.헤더,K$9,_xlpm.잔금표,$E$6:$I$6,_xlpm.잔금회차,IF(ISNUMBER(SEARCH("입주",_xlpm.헤더)),VALUE(RIGHT(_xlpm.헤더,1)),0),_xlpm.열번호,COLUMN(K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L26" s="605">
        <f ca="1">_xlfn.LET(_xlpm.금액,$F26,_xlpm.계약금비율,$B$5,_xlpm.중도금비율,$C$5,_xlpm.잔금비율,$D$5,_xlpm.계약시기,TEXT($B26,"yyyy-mm"),_xlpm.현재월,TEXT(L$8,"yyyy-mm"),_xlpm.헤더범위,$G$9:L$9,_xlpm.헤더,L$9,_xlpm.잔금표,$E$6:$I$6,_xlpm.잔금회차,IF(ISNUMBER(SEARCH("입주",_xlpm.헤더)),VALUE(RIGHT(_xlpm.헤더,1)),0),_xlpm.열번호,COLUMN(L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M26" s="605">
        <f>_xlfn.LET(_xlpm.금액,$F26,_xlpm.계약금비율,$B$5,_xlpm.중도금비율,$C$5,_xlpm.잔금비율,$D$5,_xlpm.계약시기,TEXT($B26,"yyyy-mm"),_xlpm.현재월,TEXT(M$8,"yyyy-mm"),_xlpm.헤더범위,$G$9:M$9,_xlpm.헤더,M$9,_xlpm.잔금표,$E$6:$I$6,_xlpm.잔금회차,IF(ISNUMBER(SEARCH("입주",_xlpm.헤더)),VALUE(RIGHT(_xlpm.헤더,1)),0),_xlpm.열번호,COLUMN(M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N26" s="605">
        <f>_xlfn.LET(_xlpm.금액,$F26,_xlpm.계약금비율,$B$5,_xlpm.중도금비율,$C$5,_xlpm.잔금비율,$D$5,_xlpm.계약시기,TEXT($B26,"yyyy-mm"),_xlpm.현재월,TEXT(N$8,"yyyy-mm"),_xlpm.헤더범위,$G$9:N$9,_xlpm.헤더,N$9,_xlpm.잔금표,$E$6:$I$6,_xlpm.잔금회차,IF(ISNUMBER(SEARCH("입주",_xlpm.헤더)),VALUE(RIGHT(_xlpm.헤더,1)),0),_xlpm.열번호,COLUMN(N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O26" s="605">
        <f>_xlfn.LET(_xlpm.금액,$F26,_xlpm.계약금비율,$B$5,_xlpm.중도금비율,$C$5,_xlpm.잔금비율,$D$5,_xlpm.계약시기,TEXT($B26,"yyyy-mm"),_xlpm.현재월,TEXT(O$8,"yyyy-mm"),_xlpm.헤더범위,$G$9:O$9,_xlpm.헤더,O$9,_xlpm.잔금표,$E$6:$I$6,_xlpm.잔금회차,IF(ISNUMBER(SEARCH("입주",_xlpm.헤더)),VALUE(RIGHT(_xlpm.헤더,1)),0),_xlpm.열번호,COLUMN(O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P26" s="605">
        <f>_xlfn.LET(_xlpm.금액,$F26,_xlpm.계약금비율,$B$5,_xlpm.중도금비율,$C$5,_xlpm.잔금비율,$D$5,_xlpm.계약시기,TEXT($B26,"yyyy-mm"),_xlpm.현재월,TEXT(P$8,"yyyy-mm"),_xlpm.헤더범위,$G$9:P$9,_xlpm.헤더,P$9,_xlpm.잔금표,$E$6:$I$6,_xlpm.잔금회차,IF(ISNUMBER(SEARCH("입주",_xlpm.헤더)),VALUE(RIGHT(_xlpm.헤더,1)),0),_xlpm.열번호,COLUMN(P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Q26" s="605">
        <f ca="1">_xlfn.LET(_xlpm.금액,$F26,_xlpm.계약금비율,$B$5,_xlpm.중도금비율,$C$5,_xlpm.잔금비율,$D$5,_xlpm.계약시기,TEXT($B26,"yyyy-mm"),_xlpm.현재월,TEXT(Q$8,"yyyy-mm"),_xlpm.헤더범위,$G$9:Q$9,_xlpm.헤더,Q$9,_xlpm.잔금표,$E$6:$I$6,_xlpm.잔금회차,IF(ISNUMBER(SEARCH("입주",_xlpm.헤더)),VALUE(RIGHT(_xlpm.헤더,1)),0),_xlpm.열번호,COLUMN(Q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R26" s="605">
        <f>_xlfn.LET(_xlpm.금액,$F26,_xlpm.계약금비율,$B$5,_xlpm.중도금비율,$C$5,_xlpm.잔금비율,$D$5,_xlpm.계약시기,TEXT($B26,"yyyy-mm"),_xlpm.현재월,TEXT(R$8,"yyyy-mm"),_xlpm.헤더범위,$G$9:R$9,_xlpm.헤더,R$9,_xlpm.잔금표,$E$6:$I$6,_xlpm.잔금회차,IF(ISNUMBER(SEARCH("입주",_xlpm.헤더)),VALUE(RIGHT(_xlpm.헤더,1)),0),_xlpm.열번호,COLUMN(R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S26" s="605">
        <f>_xlfn.LET(_xlpm.금액,$F26,_xlpm.계약금비율,$B$5,_xlpm.중도금비율,$C$5,_xlpm.잔금비율,$D$5,_xlpm.계약시기,TEXT($B26,"yyyy-mm"),_xlpm.현재월,TEXT(S$8,"yyyy-mm"),_xlpm.헤더범위,$G$9:S$9,_xlpm.헤더,S$9,_xlpm.잔금표,$E$6:$I$6,_xlpm.잔금회차,IF(ISNUMBER(SEARCH("입주",_xlpm.헤더)),VALUE(RIGHT(_xlpm.헤더,1)),0),_xlpm.열번호,COLUMN(S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T26" s="605">
        <f>_xlfn.LET(_xlpm.금액,$F26,_xlpm.계약금비율,$B$5,_xlpm.중도금비율,$C$5,_xlpm.잔금비율,$D$5,_xlpm.계약시기,TEXT($B26,"yyyy-mm"),_xlpm.현재월,TEXT(T$8,"yyyy-mm"),_xlpm.헤더범위,$G$9:T$9,_xlpm.헤더,T$9,_xlpm.잔금표,$E$6:$I$6,_xlpm.잔금회차,IF(ISNUMBER(SEARCH("입주",_xlpm.헤더)),VALUE(RIGHT(_xlpm.헤더,1)),0),_xlpm.열번호,COLUMN(T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U26" s="605">
        <f>_xlfn.LET(_xlpm.금액,$F26,_xlpm.계약금비율,$B$5,_xlpm.중도금비율,$C$5,_xlpm.잔금비율,$D$5,_xlpm.계약시기,TEXT($B26,"yyyy-mm"),_xlpm.현재월,TEXT(U$8,"yyyy-mm"),_xlpm.헤더범위,$G$9:U$9,_xlpm.헤더,U$9,_xlpm.잔금표,$E$6:$I$6,_xlpm.잔금회차,IF(ISNUMBER(SEARCH("입주",_xlpm.헤더)),VALUE(RIGHT(_xlpm.헤더,1)),0),_xlpm.열번호,COLUMN(U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V26" s="605">
        <f ca="1">_xlfn.LET(_xlpm.금액,$F26,_xlpm.계약금비율,$B$5,_xlpm.중도금비율,$C$5,_xlpm.잔금비율,$D$5,_xlpm.계약시기,TEXT($B26,"yyyy-mm"),_xlpm.현재월,TEXT(V$8,"yyyy-mm"),_xlpm.헤더범위,$G$9:V$9,_xlpm.헤더,V$9,_xlpm.잔금표,$E$6:$I$6,_xlpm.잔금회차,IF(ISNUMBER(SEARCH("입주",_xlpm.헤더)),VALUE(RIGHT(_xlpm.헤더,1)),0),_xlpm.열번호,COLUMN(V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W26" s="605">
        <f>_xlfn.LET(_xlpm.금액,$F26,_xlpm.계약금비율,$B$5,_xlpm.중도금비율,$C$5,_xlpm.잔금비율,$D$5,_xlpm.계약시기,TEXT($B26,"yyyy-mm"),_xlpm.현재월,TEXT(W$8,"yyyy-mm"),_xlpm.헤더범위,$G$9:W$9,_xlpm.헤더,W$9,_xlpm.잔금표,$E$6:$I$6,_xlpm.잔금회차,IF(ISNUMBER(SEARCH("입주",_xlpm.헤더)),VALUE(RIGHT(_xlpm.헤더,1)),0),_xlpm.열번호,COLUMN(W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758617.10251470003</v>
      </c>
      <c r="X26" s="605">
        <f>_xlfn.LET(_xlpm.금액,$F26,_xlpm.계약금비율,$B$5,_xlpm.중도금비율,$C$5,_xlpm.잔금비율,$D$5,_xlpm.계약시기,TEXT($B26,"yyyy-mm"),_xlpm.현재월,TEXT(X$8,"yyyy-mm"),_xlpm.헤더범위,$G$9:X$9,_xlpm.헤더,X$9,_xlpm.잔금표,$E$6:$I$6,_xlpm.잔금회차,IF(ISNUMBER(SEARCH("입주",_xlpm.헤더)),VALUE(RIGHT(_xlpm.헤더,1)),0),_xlpm.열번호,COLUMN(X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Y26" s="605">
        <f>_xlfn.LET(_xlpm.금액,$F26,_xlpm.계약금비율,$B$5,_xlpm.중도금비율,$C$5,_xlpm.잔금비율,$D$5,_xlpm.계약시기,TEXT($B26,"yyyy-mm"),_xlpm.현재월,TEXT(Y$8,"yyyy-mm"),_xlpm.헤더범위,$G$9:Y$9,_xlpm.헤더,Y$9,_xlpm.잔금표,$E$6:$I$6,_xlpm.잔금회차,IF(ISNUMBER(SEARCH("입주",_xlpm.헤더)),VALUE(RIGHT(_xlpm.헤더,1)),0),_xlpm.열번호,COLUMN(Y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Z26" s="605">
        <f>_xlfn.LET(_xlpm.금액,$F26,_xlpm.계약금비율,$B$5,_xlpm.중도금비율,$C$5,_xlpm.잔금비율,$D$5,_xlpm.계약시기,TEXT($B26,"yyyy-mm"),_xlpm.현재월,TEXT(Z$8,"yyyy-mm"),_xlpm.헤더범위,$G$9:Z$9,_xlpm.헤더,Z$9,_xlpm.잔금표,$E$6:$I$6,_xlpm.잔금회차,IF(ISNUMBER(SEARCH("입주",_xlpm.헤더)),VALUE(RIGHT(_xlpm.헤더,1)),0),_xlpm.열번호,COLUMN(Z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A26" s="605">
        <f>_xlfn.LET(_xlpm.금액,$F26,_xlpm.계약금비율,$B$5,_xlpm.중도금비율,$C$5,_xlpm.잔금비율,$D$5,_xlpm.계약시기,TEXT($B26,"yyyy-mm"),_xlpm.현재월,TEXT(AA$8,"yyyy-mm"),_xlpm.헤더범위,$G$9:AA$9,_xlpm.헤더,AA$9,_xlpm.잔금표,$E$6:$I$6,_xlpm.잔금회차,IF(ISNUMBER(SEARCH("입주",_xlpm.헤더)),VALUE(RIGHT(_xlpm.헤더,1)),0),_xlpm.열번호,COLUMN(AA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B26" s="605">
        <f ca="1">_xlfn.LET(_xlpm.금액,$F26,_xlpm.계약금비율,$B$5,_xlpm.중도금비율,$C$5,_xlpm.잔금비율,$D$5,_xlpm.계약시기,TEXT($B26,"yyyy-mm"),_xlpm.현재월,TEXT(AB$8,"yyyy-mm"),_xlpm.헤더범위,$G$9:AB$9,_xlpm.헤더,AB$9,_xlpm.잔금표,$E$6:$I$6,_xlpm.잔금회차,IF(ISNUMBER(SEARCH("입주",_xlpm.헤더)),VALUE(RIGHT(_xlpm.헤더,1)),0),_xlpm.열번호,COLUMN(AB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C26" s="605">
        <f>_xlfn.LET(_xlpm.금액,$F26,_xlpm.계약금비율,$B$5,_xlpm.중도금비율,$C$5,_xlpm.잔금비율,$D$5,_xlpm.계약시기,TEXT($B26,"yyyy-mm"),_xlpm.현재월,TEXT(AC$8,"yyyy-mm"),_xlpm.헤더범위,$G$9:AC$9,_xlpm.헤더,AC$9,_xlpm.잔금표,$E$6:$I$6,_xlpm.잔금회차,IF(ISNUMBER(SEARCH("입주",_xlpm.헤더)),VALUE(RIGHT(_xlpm.헤더,1)),0),_xlpm.열번호,COLUMN(AC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D26" s="605">
        <f>_xlfn.LET(_xlpm.금액,$F26,_xlpm.계약금비율,$B$5,_xlpm.중도금비율,$C$5,_xlpm.잔금비율,$D$5,_xlpm.계약시기,TEXT($B26,"yyyy-mm"),_xlpm.현재월,TEXT(AD$8,"yyyy-mm"),_xlpm.헤더범위,$G$9:AD$9,_xlpm.헤더,AD$9,_xlpm.잔금표,$E$6:$I$6,_xlpm.잔금회차,IF(ISNUMBER(SEARCH("입주",_xlpm.헤더)),VALUE(RIGHT(_xlpm.헤더,1)),0),_xlpm.열번호,COLUMN(AD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E26" s="605">
        <f>_xlfn.LET(_xlpm.금액,$F26,_xlpm.계약금비율,$B$5,_xlpm.중도금비율,$C$5,_xlpm.잔금비율,$D$5,_xlpm.계약시기,TEXT($B26,"yyyy-mm"),_xlpm.현재월,TEXT(AE$8,"yyyy-mm"),_xlpm.헤더범위,$G$9:AE$9,_xlpm.헤더,AE$9,_xlpm.잔금표,$E$6:$I$6,_xlpm.잔금회차,IF(ISNUMBER(SEARCH("입주",_xlpm.헤더)),VALUE(RIGHT(_xlpm.헤더,1)),0),_xlpm.열번호,COLUMN(AE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F26" s="605">
        <f>_xlfn.LET(_xlpm.금액,$F26,_xlpm.계약금비율,$B$5,_xlpm.중도금비율,$C$5,_xlpm.잔금비율,$D$5,_xlpm.계약시기,TEXT($B26,"yyyy-mm"),_xlpm.현재월,TEXT(AF$8,"yyyy-mm"),_xlpm.헤더범위,$G$9:AF$9,_xlpm.헤더,AF$9,_xlpm.잔금표,$E$6:$I$6,_xlpm.잔금회차,IF(ISNUMBER(SEARCH("입주",_xlpm.헤더)),VALUE(RIGHT(_xlpm.헤더,1)),0),_xlpm.열번호,COLUMN(AF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G26" s="605">
        <f ca="1">_xlfn.LET(_xlpm.금액,$F26,_xlpm.계약금비율,$B$5,_xlpm.중도금비율,$C$5,_xlpm.잔금비율,$D$5,_xlpm.계약시기,TEXT($B26,"yyyy-mm"),_xlpm.현재월,TEXT(AG$8,"yyyy-mm"),_xlpm.헤더범위,$G$9:AG$9,_xlpm.헤더,AG$9,_xlpm.잔금표,$E$6:$I$6,_xlpm.잔금회차,IF(ISNUMBER(SEARCH("입주",_xlpm.헤더)),VALUE(RIGHT(_xlpm.헤더,1)),0),_xlpm.열번호,COLUMN(AG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H26" s="605">
        <f>_xlfn.LET(_xlpm.금액,$F26,_xlpm.계약금비율,$B$5,_xlpm.중도금비율,$C$5,_xlpm.잔금비율,$D$5,_xlpm.계약시기,TEXT($B26,"yyyy-mm"),_xlpm.현재월,TEXT(AH$8,"yyyy-mm"),_xlpm.헤더범위,$G$9:AH$9,_xlpm.헤더,AH$9,_xlpm.잔금표,$E$6:$I$6,_xlpm.잔금회차,IF(ISNUMBER(SEARCH("입주",_xlpm.헤더)),VALUE(RIGHT(_xlpm.헤더,1)),0),_xlpm.열번호,COLUMN(AH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I26" s="605">
        <f>_xlfn.LET(_xlpm.금액,$F26,_xlpm.계약금비율,$B$5,_xlpm.중도금비율,$C$5,_xlpm.잔금비율,$D$5,_xlpm.계약시기,TEXT($B26,"yyyy-mm"),_xlpm.현재월,TEXT(AI$8,"yyyy-mm"),_xlpm.헤더범위,$G$9:AI$9,_xlpm.헤더,AI$9,_xlpm.잔금표,$E$6:$I$6,_xlpm.잔금회차,IF(ISNUMBER(SEARCH("입주",_xlpm.헤더)),VALUE(RIGHT(_xlpm.헤더,1)),0),_xlpm.열번호,COLUMN(AI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J26" s="605">
        <f>_xlfn.LET(_xlpm.금액,$F26,_xlpm.계약금비율,$B$5,_xlpm.중도금비율,$C$5,_xlpm.잔금비율,$D$5,_xlpm.계약시기,TEXT($B26,"yyyy-mm"),_xlpm.현재월,TEXT(AJ$8,"yyyy-mm"),_xlpm.헤더범위,$G$9:AJ$9,_xlpm.헤더,AJ$9,_xlpm.잔금표,$E$6:$I$6,_xlpm.잔금회차,IF(ISNUMBER(SEARCH("입주",_xlpm.헤더)),VALUE(RIGHT(_xlpm.헤더,1)),0),_xlpm.열번호,COLUMN(AJ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K26" s="605">
        <f>_xlfn.LET(_xlpm.금액,$F26,_xlpm.계약금비율,$B$5,_xlpm.중도금비율,$C$5,_xlpm.잔금비율,$D$5,_xlpm.계약시기,TEXT($B26,"yyyy-mm"),_xlpm.현재월,TEXT(AK$8,"yyyy-mm"),_xlpm.헤더범위,$G$9:AK$9,_xlpm.헤더,AK$9,_xlpm.잔금표,$E$6:$I$6,_xlpm.잔금회차,IF(ISNUMBER(SEARCH("입주",_xlpm.헤더)),VALUE(RIGHT(_xlpm.헤더,1)),0),_xlpm.열번호,COLUMN(AK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L26" s="605">
        <f ca="1">_xlfn.LET(_xlpm.금액,$F26,_xlpm.계약금비율,$B$5,_xlpm.중도금비율,$C$5,_xlpm.잔금비율,$D$5,_xlpm.계약시기,TEXT($B26,"yyyy-mm"),_xlpm.현재월,TEXT(AL$8,"yyyy-mm"),_xlpm.헤더범위,$G$9:AL$9,_xlpm.헤더,AL$9,_xlpm.잔금표,$E$6:$I$6,_xlpm.잔금회차,IF(ISNUMBER(SEARCH("입주",_xlpm.헤더)),VALUE(RIGHT(_xlpm.헤더,1)),0),_xlpm.열번호,COLUMN(AL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M26" s="605">
        <f>_xlfn.LET(_xlpm.금액,$F26,_xlpm.계약금비율,$B$5,_xlpm.중도금비율,$C$5,_xlpm.잔금비율,$D$5,_xlpm.계약시기,TEXT($B26,"yyyy-mm"),_xlpm.현재월,TEXT(AM$8,"yyyy-mm"),_xlpm.헤더범위,$G$9:AM$9,_xlpm.헤더,AM$9,_xlpm.잔금표,$E$6:$I$6,_xlpm.잔금회차,IF(ISNUMBER(SEARCH("입주",_xlpm.헤더)),VALUE(RIGHT(_xlpm.헤더,1)),0),_xlpm.열번호,COLUMN(AM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N26" s="605">
        <f>_xlfn.LET(_xlpm.금액,$F26,_xlpm.계약금비율,$B$5,_xlpm.중도금비율,$C$5,_xlpm.잔금비율,$D$5,_xlpm.계약시기,TEXT($B26,"yyyy-mm"),_xlpm.현재월,TEXT(AN$8,"yyyy-mm"),_xlpm.헤더범위,$G$9:AN$9,_xlpm.헤더,AN$9,_xlpm.잔금표,$E$6:$I$6,_xlpm.잔금회차,IF(ISNUMBER(SEARCH("입주",_xlpm.헤더)),VALUE(RIGHT(_xlpm.헤더,1)),0),_xlpm.열번호,COLUMN(AN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O26" s="605">
        <f>_xlfn.LET(_xlpm.금액,$F26,_xlpm.계약금비율,$B$5,_xlpm.중도금비율,$C$5,_xlpm.잔금비율,$D$5,_xlpm.계약시기,TEXT($B26,"yyyy-mm"),_xlpm.현재월,TEXT(AO$8,"yyyy-mm"),_xlpm.헤더범위,$G$9:AO$9,_xlpm.헤더,AO$9,_xlpm.잔금표,$E$6:$I$6,_xlpm.잔금회차,IF(ISNUMBER(SEARCH("입주",_xlpm.헤더)),VALUE(RIGHT(_xlpm.헤더,1)),0),_xlpm.열번호,COLUMN(AO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P26" s="605">
        <f>_xlfn.LET(_xlpm.금액,$F26,_xlpm.계약금비율,$B$5,_xlpm.중도금비율,$C$5,_xlpm.잔금비율,$D$5,_xlpm.계약시기,TEXT($B26,"yyyy-mm"),_xlpm.현재월,TEXT(AP$8,"yyyy-mm"),_xlpm.헤더범위,$G$9:AP$9,_xlpm.헤더,AP$9,_xlpm.잔금표,$E$6:$I$6,_xlpm.잔금회차,IF(ISNUMBER(SEARCH("입주",_xlpm.헤더)),VALUE(RIGHT(_xlpm.헤더,1)),0),_xlpm.열번호,COLUMN(AP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Q26" s="605">
        <f>_xlfn.LET(_xlpm.금액,$F26,_xlpm.계약금비율,$B$5,_xlpm.중도금비율,$C$5,_xlpm.잔금비율,$D$5,_xlpm.계약시기,TEXT($B26,"yyyy-mm"),_xlpm.현재월,TEXT(AQ$8,"yyyy-mm"),_xlpm.헤더범위,$G$9:AQ$9,_xlpm.헤더,AQ$9,_xlpm.잔금표,$E$6:$I$6,_xlpm.잔금회차,IF(ISNUMBER(SEARCH("입주",_xlpm.헤더)),VALUE(RIGHT(_xlpm.헤더,1)),0),_xlpm.열번호,COLUMN(AQ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R26" s="605" t="e" vm="2">
        <f>_xlfn.LET(_xlpm.금액,$F26,_xlpm.계약금비율,$B$5,_xlpm.중도금비율,$C$5,_xlpm.잔금비율,$D$5,_xlpm.계약시기,TEXT($B26,"yyyy-mm"),_xlpm.현재월,TEXT(AR$8,"yyyy-mm"),_xlpm.헤더범위,$G$9:AR$9,_xlpm.헤더,AR$9,_xlpm.잔금표,$E$6:$I$6,_xlpm.잔금회차,IF(ISNUMBER(SEARCH("입주",_xlpm.헤더)),VALUE(RIGHT(_xlpm.헤더,1)),0),_xlpm.열번호,COLUMN(AR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S26" s="605" t="e" vm="2">
        <f>_xlfn.LET(_xlpm.금액,$F26,_xlpm.계약금비율,$B$5,_xlpm.중도금비율,$C$5,_xlpm.잔금비율,$D$5,_xlpm.계약시기,TEXT($B26,"yyyy-mm"),_xlpm.현재월,TEXT(AS$8,"yyyy-mm"),_xlpm.헤더범위,$G$9:AS$9,_xlpm.헤더,AS$9,_xlpm.잔금표,$E$6:$I$6,_xlpm.잔금회차,IF(ISNUMBER(SEARCH("입주",_xlpm.헤더)),VALUE(RIGHT(_xlpm.헤더,1)),0),_xlpm.열번호,COLUMN(AS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T26" s="605" t="e" vm="2">
        <f>_xlfn.LET(_xlpm.금액,$F26,_xlpm.계약금비율,$B$5,_xlpm.중도금비율,$C$5,_xlpm.잔금비율,$D$5,_xlpm.계약시기,TEXT($B26,"yyyy-mm"),_xlpm.현재월,TEXT(AT$8,"yyyy-mm"),_xlpm.헤더범위,$G$9:AT$9,_xlpm.헤더,AT$9,_xlpm.잔금표,$E$6:$I$6,_xlpm.잔금회차,IF(ISNUMBER(SEARCH("입주",_xlpm.헤더)),VALUE(RIGHT(_xlpm.헤더,1)),0),_xlpm.열번호,COLUMN(AT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U26" s="605" t="e" vm="2">
        <f>_xlfn.LET(_xlpm.금액,$F26,_xlpm.계약금비율,$B$5,_xlpm.중도금비율,$C$5,_xlpm.잔금비율,$D$5,_xlpm.계약시기,TEXT($B26,"yyyy-mm"),_xlpm.현재월,TEXT(AU$8,"yyyy-mm"),_xlpm.헤더범위,$G$9:AU$9,_xlpm.헤더,AU$9,_xlpm.잔금표,$E$6:$I$6,_xlpm.잔금회차,IF(ISNUMBER(SEARCH("입주",_xlpm.헤더)),VALUE(RIGHT(_xlpm.헤더,1)),0),_xlpm.열번호,COLUMN(AU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V26" s="605" t="e" vm="2">
        <f>_xlfn.LET(_xlpm.금액,$F26,_xlpm.계약금비율,$B$5,_xlpm.중도금비율,$C$5,_xlpm.잔금비율,$D$5,_xlpm.계약시기,TEXT($B26,"yyyy-mm"),_xlpm.현재월,TEXT(AV$8,"yyyy-mm"),_xlpm.헤더범위,$G$9:AV$9,_xlpm.헤더,AV$9,_xlpm.잔금표,$E$6:$I$6,_xlpm.잔금회차,IF(ISNUMBER(SEARCH("입주",_xlpm.헤더)),VALUE(RIGHT(_xlpm.헤더,1)),0),_xlpm.열번호,COLUMN(AV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#VALUE!</v>
      </c>
      <c r="AW26" s="605">
        <f>_xlfn.LET(_xlpm.금액,$F26,_xlpm.계약금비율,$B$5,_xlpm.중도금비율,$C$5,_xlpm.잔금비율,$D$5,_xlpm.계약시기,TEXT($B26,"yyyy-mm"),_xlpm.현재월,TEXT(AW$8,"yyyy-mm"),_xlpm.헤더범위,$G$9:AW$9,_xlpm.헤더,AW$9,_xlpm.잔금표,$E$6:$I$6,_xlpm.잔금회차,IF(ISNUMBER(SEARCH("입주",_xlpm.헤더)),VALUE(RIGHT(_xlpm.헤더,1)),0),_xlpm.열번호,COLUMN(AW$9),_xlpm.행번호,ROW($G26),_xlpm.전체헤더,$G$9:$BF$9,_xlpm.전체데이터,$G26:$BF26,_xlpm.전체열번호,_xlfn.SEQUENCE(1,COLUMNS(_xlpm.전체헤더),COLUMN($G26),1),_xlpm.중도금조건,ISNUMBER(SEARCH("중도금",_xlpm.전체헤더)),_xlpm.왼쪽열조건,_xlpm.전체열번호&lt;_xlpm.열번호,_xlpm.필터조건,(_xlpm.중도금조건*_xlpm.왼쪽열조건)&gt;0,_xlpm.중도금누계,SUM(_xlfn._xlws.FILTER(_xlpm.전체데이터,_xlpm.필터조건)),_xlpm.결과,IF(_xlpm.현재월=_xlpm.계약시기,_xlpm.금액*_xlpm.계약금비율,IF(AND(_xlpm.현재월&gt;=_xlpm.계약시기,ISNUMBER(SEARCH("중도금",_xlpm.헤더))),IF(_xlpm.헤더="1차중도금",_xlpm.금액*_xlpm.중도금비율/6,IF(_xlpm.헤더="2차중도금",MAX(0,_xlpm.금액*_xlpm.중도금비율*0.3-_xlpm.중도금누계),IF(_xlpm.헤더="3차중도금",MAX(0,_xlpm.금액*_xlpm.중도금비율*0.4-_xlpm.중도금누계),IF(_xlpm.헤더="4차중도금",MAX(0,_xlpm.금액*_xlpm.중도금비율*0.5-_xlpm.중도금누계),IF(_xlpm.헤더="5차중도금",MAX(0,_xlpm.금액*_xlpm.중도금비율*0.6-_xlpm.중도금누계),IF(_xlpm.헤더="6차중도금",MAX(0,_xlpm.금액*_xlpm.중도금비율*0.7-_xlpm.중도금누계),0)))))),IF(AND(_xlpm.현재월&gt;=_xlpm.계약시기,_xlpm.잔금회차&gt;0),(_xlpm.금액-_xlpm.중도금누계-_xlpm.금액*_xlpm.계약금비율)*INDEX(_xlpm.잔금표,_xlpm.잔금회차),0))),_xlpm.결과)</f>
        <v>0</v>
      </c>
      <c r="AX26" s="605">
        <f t="shared" ca="1" si="12"/>
        <v>0</v>
      </c>
      <c r="AY26" s="605">
        <f t="shared" ca="1" si="12"/>
        <v>0</v>
      </c>
      <c r="AZ26" s="605">
        <f t="shared" ref="AJ26:BB27" ca="1" si="14">IF(TEXT(AZ$8,"yyyy-mm")=TEXT($B26,"yyyy-mm"),$F26*$B$5,IF(AND(TEXT(AZ$8,"yyyy-mm")&gt;=TEXT($B26,"yyyy-mm"),ISNUMBER(SEARCH("입주",AZ$9))),($F26-SUM(INDIRECT("$G$10:"&amp;ADDRESS(ROW(),COLUMN()-1))))*INDEX($E$6:$I$6,VALUE(RIGHT(AZ$9,1))),IF(AND(TEXT(AZ$8,"yyyy-mm")&gt;=TEXT($B26,"yyyy-mm"),AZ$9="1차중도금"),$F26*$C$5/6,IF(AND(TEXT(AZ$8,"yyyy-mm")&gt;=TEXT($B26,"yyyy-mm"),AZ$9="2차중도금"),MAX(0,$F26*$C$5*0.3-SUM(INDIRECT("$G$10:"&amp;ADDRESS(ROW(),COLUMN()-1)))),0))))</f>
        <v>0</v>
      </c>
      <c r="BA26" s="605">
        <f t="shared" ca="1" si="14"/>
        <v>0</v>
      </c>
      <c r="BB26" s="605">
        <f t="shared" ca="1" si="14"/>
        <v>0</v>
      </c>
      <c r="BC26" s="605">
        <f ca="1">IF(TEXT(BC$8,"yyyy-mm")=TEXT($B26,"yyyy-mm"),$F26*$B$5,IF(AND(ISNUMBER(SEARCH("중도금",BC$9)),TEXT(BC$8,"yyyy-mm")&gt;=TEXT($B26,"yyyy-mm")),IF(BC$9="1차중도금",$F26*$C$5/6,IF(BC$9="2차중도금",MAX(0,$F26*$C$5*0.3-IF(COLUMN()&gt;7,SUM($G26:OFFSET(BC26,0,COLUMN()-8)),0)),IF(BC$9="3차중도금",MAX(0,$F26*$C$5*0.4-IF(COLUMN()&gt;7,SUM($G26:OFFSET(BC26,0,COLUMN()-8)),0)),IF(BC$9="4차중도금",MAX(0,$F26*$C$5*0.5-IF(COLUMN()&gt;7,SUM($G26:OFFSET(BC26,0,COLUMN()-8)),0)),IF(BC$9="5차중도금",MAX(0,$F26*$C$5*0.6-IF(COLUMN()&gt;7,SUM($G26:OFFSET(BC26,0,COLUMN()-8)),0)),IF(BC$9="6차중도금",MAX(0,$F26*$C$5*0.7-IF(COLUMN()&gt;7,SUM($G26:OFFSET(BC26,0,COLUMN()-8)),0)),0)))))),IF(AND(ISNUMBER(SEARCH("입주",BC$9)),TEXT(BC$8,"yyyy-mm")&gt;=TEXT($B26,"yyyy-mm")),$F26*$D$5*INDEX($E$6:$I$6,VALUE(RIGHT(BC$9,1))),0)))</f>
        <v>0</v>
      </c>
      <c r="BD26" s="605">
        <f ca="1">IF(TEXT(BD$8,"yyyy-mm")=TEXT($B26,"yyyy-mm"),$F26*$B$5,IF(AND(ISNUMBER(SEARCH("중도금",BD$9)),TEXT(BD$8,"yyyy-mm")&gt;=TEXT($B26,"yyyy-mm")),IF(BD$9="1차중도금",$F26*$C$5/6,IF(BD$9="2차중도금",MAX(0,$F26*$C$5*0.3-IF(COLUMN()&gt;7,SUM($G26:OFFSET(BD26,0,COLUMN()-8)),0)),IF(BD$9="3차중도금",MAX(0,$F26*$C$5*0.4-IF(COLUMN()&gt;7,SUM($G26:OFFSET(BD26,0,COLUMN()-8)),0)),IF(BD$9="4차중도금",MAX(0,$F26*$C$5*0.5-IF(COLUMN()&gt;7,SUM($G26:OFFSET(BD26,0,COLUMN()-8)),0)),IF(BD$9="5차중도금",MAX(0,$F26*$C$5*0.6-IF(COLUMN()&gt;7,SUM($G26:OFFSET(BD26,0,COLUMN()-8)),0)),IF(BD$9="6차중도금",MAX(0,$F26*$C$5*0.7-IF(COLUMN()&gt;7,SUM($G26:OFFSET(BD26,0,COLUMN()-8)),0)),0)))))),IF(AND(ISNUMBER(SEARCH("입주",BD$9)),TEXT(BD$8,"yyyy-mm")&gt;=TEXT($B26,"yyyy-mm")),$F26*$D$5*INDEX($E$6:$I$6,VALUE(RIGHT(BD$9,1))),0)))</f>
        <v>0</v>
      </c>
      <c r="BE26" s="605">
        <f ca="1">IF(TEXT(BE$8,"yyyy-mm")=TEXT($B26,"yyyy-mm"),$F26*$B$5,IF(AND(ISNUMBER(SEARCH("중도금",BE$9)),TEXT(BE$8,"yyyy-mm")&gt;=TEXT($B26,"yyyy-mm")),IF(BE$9="1차중도금",$F26*$C$5/6,IF(BE$9="2차중도금",MAX(0,$F26*$C$5*0.3-IF(COLUMN()&gt;7,SUM($G26:OFFSET(BE26,0,COLUMN()-8)),0)),IF(BE$9="3차중도금",MAX(0,$F26*$C$5*0.4-IF(COLUMN()&gt;7,SUM($G26:OFFSET(BE26,0,COLUMN()-8)),0)),IF(BE$9="4차중도금",MAX(0,$F26*$C$5*0.5-IF(COLUMN()&gt;7,SUM($G26:OFFSET(BE26,0,COLUMN()-8)),0)),IF(BE$9="5차중도금",MAX(0,$F26*$C$5*0.6-IF(COLUMN()&gt;7,SUM($G26:OFFSET(BE26,0,COLUMN()-8)),0)),IF(BE$9="6차중도금",MAX(0,$F26*$C$5*0.7-IF(COLUMN()&gt;7,SUM($G26:OFFSET(BE26,0,COLUMN()-8)),0)),0)))))),IF(AND(ISNUMBER(SEARCH("입주",BE$9)),TEXT(BE$8,"yyyy-mm")&gt;=TEXT($B26,"yyyy-mm")),$F26*$D$5*INDEX($E$6:$I$6,VALUE(RIGHT(BE$9,1))),0)))</f>
        <v>0</v>
      </c>
      <c r="BF26" s="609">
        <f t="shared" ca="1" si="8"/>
        <v>417300.09575128555</v>
      </c>
      <c r="BG26" s="556">
        <f t="shared" ca="1" si="5"/>
        <v>7168870.9293957148</v>
      </c>
      <c r="BH26" s="610"/>
    </row>
    <row r="27" spans="1:60">
      <c r="A27" s="1853"/>
      <c r="B27" s="611">
        <f t="shared" si="6"/>
        <v>45352</v>
      </c>
      <c r="C27" s="605">
        <f t="shared" si="7"/>
        <v>252872367.50490001</v>
      </c>
      <c r="D27" s="1501">
        <v>0.02</v>
      </c>
      <c r="E27" s="614">
        <f t="shared" si="9"/>
        <v>1.0000000000000002</v>
      </c>
      <c r="F27" s="608">
        <f t="shared" si="2"/>
        <v>5057447.3500979999</v>
      </c>
      <c r="G27" s="605">
        <f t="shared" ref="G11:V28" ca="1" si="15">IF(TEXT(G$8,"yyyy-mm")=TEXT($B27,"yyyy-mm"),$F27*$B$5,IF(AND(TEXT($B27,"yyyy-mm")&lt;=TEXT(G$8,"yyyy-mm"),ISNUMBER(SEARCH("입주",G$9))),($F27-SUM(INDIRECT("$L$10:"&amp;ADDRESS(ROW(),COLUMN()-1))))*INDEX($E$6:$I$6,VALUE(RIGHT(G$9,1))),IF(AND(TEXT($B27,"yyyy-mm")&lt;=TEXT(G$8,"yyyy-mm"),ISNUMBER(SEARCH("중도금",G$9))),IF(G$9="1차중도금",$F27*$C$5/6,MAX(0,$F27*$C$5*IF(G$9="2차중도금",0.3,IF(G$9="3차중도금",0.4,IF(G$9="4차중도금",0.5,IF(G$9="5차중도금",0.6,0.7))))-SUM(INDIRECT("$L$10:"&amp;ADDRESS(ROW(),COLUMN()-1))))),0)))</f>
        <v>0</v>
      </c>
      <c r="H27" s="605">
        <f t="shared" ca="1" si="12"/>
        <v>0</v>
      </c>
      <c r="I27" s="605">
        <f t="shared" ca="1" si="12"/>
        <v>0</v>
      </c>
      <c r="J27" s="605">
        <f t="shared" ca="1" si="12"/>
        <v>0</v>
      </c>
      <c r="K27" s="605">
        <f t="shared" ca="1" si="12"/>
        <v>0</v>
      </c>
      <c r="L27" s="605">
        <f t="shared" ca="1" si="12"/>
        <v>0</v>
      </c>
      <c r="M27" s="605">
        <f t="shared" ca="1" si="12"/>
        <v>0</v>
      </c>
      <c r="N27" s="605">
        <f t="shared" ca="1" si="12"/>
        <v>0</v>
      </c>
      <c r="O27" s="605">
        <f t="shared" ca="1" si="12"/>
        <v>0</v>
      </c>
      <c r="P27" s="605">
        <f t="shared" ca="1" si="12"/>
        <v>0</v>
      </c>
      <c r="Q27" s="605">
        <f t="shared" ca="1" si="12"/>
        <v>0</v>
      </c>
      <c r="R27" s="605">
        <f t="shared" ca="1" si="12"/>
        <v>0</v>
      </c>
      <c r="S27" s="605">
        <f t="shared" ca="1" si="12"/>
        <v>0</v>
      </c>
      <c r="T27" s="605">
        <f t="shared" ca="1" si="12"/>
        <v>0</v>
      </c>
      <c r="U27" s="605">
        <f t="shared" ca="1" si="12"/>
        <v>0</v>
      </c>
      <c r="V27" s="605">
        <f t="shared" ca="1" si="12"/>
        <v>0</v>
      </c>
      <c r="W27" s="605">
        <f t="shared" ca="1" si="12"/>
        <v>0</v>
      </c>
      <c r="X27" s="605">
        <f t="shared" ca="1" si="12"/>
        <v>505744.7350098</v>
      </c>
      <c r="Y27" s="605">
        <f t="shared" ca="1" si="12"/>
        <v>0</v>
      </c>
      <c r="Z27" s="605">
        <f t="shared" ca="1" si="12"/>
        <v>0</v>
      </c>
      <c r="AA27" s="605">
        <f t="shared" ca="1" si="12"/>
        <v>0</v>
      </c>
      <c r="AB27" s="605">
        <f t="shared" ca="1" si="12"/>
        <v>0</v>
      </c>
      <c r="AC27" s="605">
        <f t="shared" ca="1" si="12"/>
        <v>0</v>
      </c>
      <c r="AD27" s="605">
        <f t="shared" ca="1" si="12"/>
        <v>0</v>
      </c>
      <c r="AE27" s="605">
        <f t="shared" ca="1" si="12"/>
        <v>0</v>
      </c>
      <c r="AF27" s="605">
        <f t="shared" ca="1" si="12"/>
        <v>0</v>
      </c>
      <c r="AG27" s="605">
        <f t="shared" ca="1" si="12"/>
        <v>0</v>
      </c>
      <c r="AH27" s="605">
        <f t="shared" ca="1" si="12"/>
        <v>0</v>
      </c>
      <c r="AI27" s="605">
        <f t="shared" ca="1" si="12"/>
        <v>0</v>
      </c>
      <c r="AJ27" s="605">
        <f t="shared" ca="1" si="12"/>
        <v>0</v>
      </c>
      <c r="AK27" s="605">
        <f t="shared" ca="1" si="12"/>
        <v>0</v>
      </c>
      <c r="AL27" s="605">
        <f t="shared" ca="1" si="12"/>
        <v>0</v>
      </c>
      <c r="AM27" s="605">
        <f t="shared" ca="1" si="12"/>
        <v>0</v>
      </c>
      <c r="AN27" s="605">
        <f t="shared" ref="H27:AY28" ca="1" si="16">IF(TEXT(AN$8,"yyyy-mm")=TEXT($B27,"yyyy-mm"),$F27*$B$5,IF(AND(TEXT($B27,"yyyy-mm")&lt;=TEXT(AN$8,"yyyy-mm"),ISNUMBER(SEARCH("입주",AN$9))),($F27-SUM(INDIRECT("$L$10:"&amp;ADDRESS(ROW(),COLUMN()-1))))*INDEX($E$6:$I$6,VALUE(RIGHT(AN$9,1))),IF(AND(TEXT($B27,"yyyy-mm")&lt;=TEXT(AN$8,"yyyy-mm"),ISNUMBER(SEARCH("중도금",AN$9))),IF(AN$9="1차중도금",$F27*$C$5/6,MAX(0,$F27*$C$5*IF(AN$9="2차중도금",0.3,IF(AN$9="3차중도금",0.4,IF(AN$9="4차중도금",0.5,IF(AN$9="5차중도금",0.6,0.7))))-SUM(INDIRECT("$L$10:"&amp;ADDRESS(ROW(),COLUMN()-1))))),0)))</f>
        <v>0</v>
      </c>
      <c r="AO27" s="605">
        <f t="shared" ca="1" si="16"/>
        <v>0</v>
      </c>
      <c r="AP27" s="605">
        <f t="shared" ca="1" si="16"/>
        <v>0</v>
      </c>
      <c r="AQ27" s="605">
        <f t="shared" ca="1" si="16"/>
        <v>0</v>
      </c>
      <c r="AR27" s="605">
        <f t="shared" ca="1" si="16"/>
        <v>-13351661.004258718</v>
      </c>
      <c r="AS27" s="605">
        <f t="shared" ca="1" si="16"/>
        <v>22141504.498729046</v>
      </c>
      <c r="AT27" s="605">
        <f t="shared" ca="1" si="16"/>
        <v>317607.69358615152</v>
      </c>
      <c r="AU27" s="605">
        <f t="shared" ca="1" si="16"/>
        <v>-9151552.1289493293</v>
      </c>
      <c r="AV27" s="605">
        <f t="shared" ca="1" si="16"/>
        <v>-4236401.1174936946</v>
      </c>
      <c r="AW27" s="605">
        <f t="shared" ca="1" si="16"/>
        <v>0</v>
      </c>
      <c r="AX27" s="605">
        <f t="shared" ca="1" si="16"/>
        <v>0</v>
      </c>
      <c r="AY27" s="605">
        <f t="shared" ca="1" si="16"/>
        <v>0</v>
      </c>
      <c r="AZ27" s="605">
        <f t="shared" ca="1" si="14"/>
        <v>0</v>
      </c>
      <c r="BA27" s="605">
        <f t="shared" ca="1" si="14"/>
        <v>0</v>
      </c>
      <c r="BB27" s="605">
        <f t="shared" ca="1" si="14"/>
        <v>0</v>
      </c>
      <c r="BC27" s="605">
        <f ca="1">IF(TEXT(BC$8,"yyyy-mm")=TEXT($B27,"yyyy-mm"),$F27*$B$5,IF(AND(ISNUMBER(SEARCH("중도금",BC$9)),TEXT(BC$8,"yyyy-mm")&gt;=TEXT($B27,"yyyy-mm")),IF(BC$9="1차중도금",$F27*$C$5/6,IF(BC$9="2차중도금",MAX(0,$F27*$C$5*0.3-IF(COLUMN()&gt;7,SUM($G27:OFFSET(BC27,0,COLUMN()-8)),0)),IF(BC$9="3차중도금",MAX(0,$F27*$C$5*0.4-IF(COLUMN()&gt;7,SUM($G27:OFFSET(BC27,0,COLUMN()-8)),0)),IF(BC$9="4차중도금",MAX(0,$F27*$C$5*0.5-IF(COLUMN()&gt;7,SUM($G27:OFFSET(BC27,0,COLUMN()-8)),0)),IF(BC$9="5차중도금",MAX(0,$F27*$C$5*0.6-IF(COLUMN()&gt;7,SUM($G27:OFFSET(BC27,0,COLUMN()-8)),0)),IF(BC$9="6차중도금",MAX(0,$F27*$C$5*0.7-IF(COLUMN()&gt;7,SUM($G27:OFFSET(BC27,0,COLUMN()-8)),0)),0)))))),IF(AND(ISNUMBER(SEARCH("입주",BC$9)),TEXT(BC$8,"yyyy-mm")&gt;=TEXT($B27,"yyyy-mm")),$F27*$D$5*INDEX($E$6:$I$6,VALUE(RIGHT(BC$9,1))),0)))</f>
        <v>0</v>
      </c>
      <c r="BD27" s="605">
        <f ca="1">IF(TEXT(BD$8,"yyyy-mm")=TEXT($B27,"yyyy-mm"),$F27*$B$5,IF(AND(ISNUMBER(SEARCH("중도금",BD$9)),TEXT(BD$8,"yyyy-mm")&gt;=TEXT($B27,"yyyy-mm")),IF(BD$9="1차중도금",$F27*$C$5/6,IF(BD$9="2차중도금",MAX(0,$F27*$C$5*0.3-IF(COLUMN()&gt;7,SUM($G27:OFFSET(BD27,0,COLUMN()-8)),0)),IF(BD$9="3차중도금",MAX(0,$F27*$C$5*0.4-IF(COLUMN()&gt;7,SUM($G27:OFFSET(BD27,0,COLUMN()-8)),0)),IF(BD$9="4차중도금",MAX(0,$F27*$C$5*0.5-IF(COLUMN()&gt;7,SUM($G27:OFFSET(BD27,0,COLUMN()-8)),0)),IF(BD$9="5차중도금",MAX(0,$F27*$C$5*0.6-IF(COLUMN()&gt;7,SUM($G27:OFFSET(BD27,0,COLUMN()-8)),0)),IF(BD$9="6차중도금",MAX(0,$F27*$C$5*0.7-IF(COLUMN()&gt;7,SUM($G27:OFFSET(BD27,0,COLUMN()-8)),0)),0)))))),IF(AND(ISNUMBER(SEARCH("입주",BD$9)),TEXT(BD$8,"yyyy-mm")&gt;=TEXT($B27,"yyyy-mm")),$F27*$D$5*INDEX($E$6:$I$6,VALUE(RIGHT(BD$9,1))),0)))</f>
        <v>0</v>
      </c>
      <c r="BE27" s="605">
        <f ca="1">IF(TEXT(BE$8,"yyyy-mm")=TEXT($B27,"yyyy-mm"),$F27*$B$5,IF(AND(ISNUMBER(SEARCH("중도금",BE$9)),TEXT(BE$8,"yyyy-mm")&gt;=TEXT($B27,"yyyy-mm")),IF(BE$9="1차중도금",$F27*$C$5/6,IF(BE$9="2차중도금",MAX(0,$F27*$C$5*0.3-IF(COLUMN()&gt;7,SUM($G27:OFFSET(BE27,0,COLUMN()-8)),0)),IF(BE$9="3차중도금",MAX(0,$F27*$C$5*0.4-IF(COLUMN()&gt;7,SUM($G27:OFFSET(BE27,0,COLUMN()-8)),0)),IF(BE$9="4차중도금",MAX(0,$F27*$C$5*0.5-IF(COLUMN()&gt;7,SUM($G27:OFFSET(BE27,0,COLUMN()-8)),0)),IF(BE$9="5차중도금",MAX(0,$F27*$C$5*0.6-IF(COLUMN()&gt;7,SUM($G27:OFFSET(BE27,0,COLUMN()-8)),0)),IF(BE$9="6차중도금",MAX(0,$F27*$C$5*0.7-IF(COLUMN()&gt;7,SUM($G27:OFFSET(BE27,0,COLUMN()-8)),0)),0)))))),IF(AND(ISNUMBER(SEARCH("입주",BE$9)),TEXT(BE$8,"yyyy-mm")&gt;=TEXT($B27,"yyyy-mm")),$F27*$D$5*INDEX($E$6:$I$6,VALUE(RIGHT(BE$9,1))),0)))</f>
        <v>0</v>
      </c>
      <c r="BF27" s="609">
        <f t="shared" ca="1" si="8"/>
        <v>-3774757.3233767431</v>
      </c>
      <c r="BG27" s="556">
        <f t="shared" ca="1" si="5"/>
        <v>8832204.673474744</v>
      </c>
      <c r="BH27" s="610"/>
    </row>
    <row r="28" spans="1:60">
      <c r="A28" s="1853"/>
      <c r="B28" s="611">
        <f t="shared" si="6"/>
        <v>45383</v>
      </c>
      <c r="C28" s="605">
        <f t="shared" si="7"/>
        <v>252872367.50490001</v>
      </c>
      <c r="D28" s="1501"/>
      <c r="E28" s="607">
        <f t="shared" si="9"/>
        <v>1.0000000000000002</v>
      </c>
      <c r="F28" s="608">
        <f t="shared" si="2"/>
        <v>0</v>
      </c>
      <c r="G28" s="605">
        <f t="shared" ca="1" si="15"/>
        <v>0</v>
      </c>
      <c r="H28" s="605">
        <f t="shared" ca="1" si="16"/>
        <v>0</v>
      </c>
      <c r="I28" s="605">
        <f t="shared" ca="1" si="16"/>
        <v>0</v>
      </c>
      <c r="J28" s="605">
        <f t="shared" ca="1" si="16"/>
        <v>0</v>
      </c>
      <c r="K28" s="605">
        <f t="shared" ca="1" si="16"/>
        <v>0</v>
      </c>
      <c r="L28" s="605">
        <f t="shared" ca="1" si="16"/>
        <v>0</v>
      </c>
      <c r="M28" s="605">
        <f t="shared" ca="1" si="16"/>
        <v>0</v>
      </c>
      <c r="N28" s="605">
        <f t="shared" ca="1" si="16"/>
        <v>0</v>
      </c>
      <c r="O28" s="605">
        <f t="shared" ca="1" si="16"/>
        <v>0</v>
      </c>
      <c r="P28" s="605">
        <f t="shared" ca="1" si="16"/>
        <v>0</v>
      </c>
      <c r="Q28" s="605">
        <f t="shared" ca="1" si="16"/>
        <v>0</v>
      </c>
      <c r="R28" s="605">
        <f t="shared" ca="1" si="16"/>
        <v>0</v>
      </c>
      <c r="S28" s="605">
        <f t="shared" ca="1" si="16"/>
        <v>0</v>
      </c>
      <c r="T28" s="605">
        <f t="shared" ca="1" si="16"/>
        <v>0</v>
      </c>
      <c r="U28" s="605">
        <f t="shared" ca="1" si="16"/>
        <v>0</v>
      </c>
      <c r="V28" s="605">
        <f t="shared" ca="1" si="16"/>
        <v>0</v>
      </c>
      <c r="W28" s="605">
        <f t="shared" ca="1" si="16"/>
        <v>0</v>
      </c>
      <c r="X28" s="605">
        <f t="shared" ca="1" si="16"/>
        <v>0</v>
      </c>
      <c r="Y28" s="605">
        <f t="shared" ca="1" si="16"/>
        <v>0</v>
      </c>
      <c r="Z28" s="605">
        <f t="shared" ca="1" si="16"/>
        <v>0</v>
      </c>
      <c r="AA28" s="605">
        <f t="shared" ca="1" si="16"/>
        <v>0</v>
      </c>
      <c r="AB28" s="605">
        <f t="shared" ca="1" si="16"/>
        <v>0</v>
      </c>
      <c r="AC28" s="605">
        <f t="shared" ca="1" si="16"/>
        <v>0</v>
      </c>
      <c r="AD28" s="605">
        <f t="shared" ca="1" si="16"/>
        <v>0</v>
      </c>
      <c r="AE28" s="605">
        <f t="shared" ca="1" si="16"/>
        <v>0</v>
      </c>
      <c r="AF28" s="605">
        <f t="shared" ca="1" si="16"/>
        <v>0</v>
      </c>
      <c r="AG28" s="605">
        <f t="shared" ca="1" si="16"/>
        <v>0</v>
      </c>
      <c r="AH28" s="605">
        <f t="shared" ca="1" si="16"/>
        <v>0</v>
      </c>
      <c r="AI28" s="605">
        <f t="shared" ca="1" si="16"/>
        <v>0</v>
      </c>
      <c r="AJ28" s="605">
        <f t="shared" ca="1" si="16"/>
        <v>0</v>
      </c>
      <c r="AK28" s="605">
        <f t="shared" ca="1" si="16"/>
        <v>0</v>
      </c>
      <c r="AL28" s="605">
        <f t="shared" ca="1" si="16"/>
        <v>0</v>
      </c>
      <c r="AM28" s="605">
        <f t="shared" ca="1" si="16"/>
        <v>0</v>
      </c>
      <c r="AN28" s="605">
        <f t="shared" ca="1" si="16"/>
        <v>0</v>
      </c>
      <c r="AO28" s="605">
        <f t="shared" ca="1" si="16"/>
        <v>0</v>
      </c>
      <c r="AP28" s="605">
        <f t="shared" ca="1" si="16"/>
        <v>0</v>
      </c>
      <c r="AQ28" s="605">
        <f t="shared" ca="1" si="16"/>
        <v>0</v>
      </c>
      <c r="AR28" s="605">
        <f t="shared" ca="1" si="16"/>
        <v>-14868895.209288118</v>
      </c>
      <c r="AS28" s="605">
        <f t="shared" ca="1" si="16"/>
        <v>24103794.070567071</v>
      </c>
      <c r="AT28" s="605">
        <f t="shared" ca="1" si="16"/>
        <v>-2540861.5486892392</v>
      </c>
      <c r="AU28" s="605">
        <f t="shared" ca="1" si="16"/>
        <v>-11501849.061486872</v>
      </c>
      <c r="AV28" s="605">
        <f t="shared" ca="1" si="16"/>
        <v>-4261364.677613779</v>
      </c>
      <c r="AW28" s="605">
        <f t="shared" ca="1" si="16"/>
        <v>0</v>
      </c>
      <c r="AX28" s="605">
        <f t="shared" ca="1" si="16"/>
        <v>0</v>
      </c>
      <c r="AY28" s="605">
        <f t="shared" ca="1" si="16"/>
        <v>0</v>
      </c>
      <c r="AZ28" s="605"/>
      <c r="BA28" s="605"/>
      <c r="BB28" s="605"/>
      <c r="BC28" s="605"/>
      <c r="BD28" s="605"/>
      <c r="BE28" s="605"/>
      <c r="BF28" s="609">
        <f t="shared" ca="1" si="8"/>
        <v>-9069176.4265109375</v>
      </c>
      <c r="BG28" s="556">
        <f t="shared" ca="1" si="5"/>
        <v>9069176.4265109375</v>
      </c>
      <c r="BH28" s="610"/>
    </row>
    <row r="29" spans="1:60">
      <c r="A29" s="1853"/>
      <c r="B29" s="611">
        <f t="shared" si="6"/>
        <v>45413</v>
      </c>
      <c r="C29" s="605">
        <f t="shared" si="7"/>
        <v>252872367.50490001</v>
      </c>
      <c r="D29" s="1501"/>
      <c r="E29" s="607">
        <f t="shared" si="9"/>
        <v>1.0000000000000002</v>
      </c>
      <c r="F29" s="608">
        <f t="shared" si="2"/>
        <v>0</v>
      </c>
      <c r="G29" s="605">
        <f t="shared" ref="G11:V31" ca="1" si="17">IF(TEXT(G$8,"yyyy-mm")=TEXT($B29,"yyyy-mm"),$F29*$B$5,IF(AND(TEXT(G$8,"yyyy-mm")&gt;=TEXT($B29,"yyyy-mm"),ISNUMBER(SEARCH("입주",G$9))),($F29-SUM(INDIRECT("$G$10:"&amp;ADDRESS(ROW(),COLUMN()-1))))*INDEX($E$6:$I$6,VALUE(RIGHT(G$9,1))),IF(AND(TEXT(G$8,"yyyy-mm")&gt;=TEXT($B29,"yyyy-mm"),ISNUMBER(SEARCH("중도금",G$9))),IF(G$9="1차중도금",$F29*$C$5/6,IF(G$9="2차중도금",MAX(0,$F29*$C$5*0.3-SUM(INDIRECT("$G$10:"&amp;ADDRESS(ROW(),COLUMN()-1)))),IF(G$9="3차중도금",MAX(0,$F29*$C$5*0.4-SUM(INDIRECT("$G$10:"&amp;ADDRESS(ROW(),COLUMN()-1)))),IF(G$9="4차중도금",MAX(0,$F29*$C$5*0.5-SUM(INDIRECT("$G$10:"&amp;ADDRESS(ROW(),COLUMN()-1)))),IF(G$9="5차중도금",MAX(0,$F29*$C$5*0.6-SUM(INDIRECT("$G$10:"&amp;ADDRESS(ROW(),COLUMN()-1)))-$F29*$C$5/6),IF(G$9="6차중도금",MAX(0,$F29*$C$5*0.7-SUM(INDIRECT("$G$10:"&amp;ADDRESS(ROW(),COLUMN()-1)))-$F29*$C$5/6),0)))))),0)))</f>
        <v>0</v>
      </c>
      <c r="H29" s="605">
        <f t="shared" ref="H28:AW31" ca="1" si="18">IF(TEXT(H$8,"yyyy-mm")=TEXT($B29,"yyyy-mm"),$F29*$B$5,IF(AND(TEXT(H$8,"yyyy-mm")&gt;=TEXT($B29,"yyyy-mm"),ISNUMBER(SEARCH("입주",H$9))),($F29-SUM(INDIRECT("$G$10:"&amp;ADDRESS(ROW(),COLUMN()-1))))*INDEX($E$6:$I$6,VALUE(RIGHT(H$9,1))),IF(AND(TEXT(H$8,"yyyy-mm")&gt;=TEXT($B29,"yyyy-mm"),ISNUMBER(SEARCH("중도금",H$9))),IF(H$9="1차중도금",$F29*$C$5/6,IF(H$9="2차중도금",MAX(0,$F29*$C$5*0.3-SUM(INDIRECT("$G$10:"&amp;ADDRESS(ROW(),COLUMN()-1)))),IF(H$9="3차중도금",MAX(0,$F29*$C$5*0.4-SUM(INDIRECT("$G$10:"&amp;ADDRESS(ROW(),COLUMN()-1)))),IF(H$9="4차중도금",MAX(0,$F29*$C$5*0.5-SUM(INDIRECT("$G$10:"&amp;ADDRESS(ROW(),COLUMN()-1)))),IF(H$9="5차중도금",MAX(0,$F29*$C$5*0.6-SUM(INDIRECT("$G$10:"&amp;ADDRESS(ROW(),COLUMN()-1)))-$F29*$C$5/6),IF(H$9="6차중도금",MAX(0,$F29*$C$5*0.7-SUM(INDIRECT("$G$10:"&amp;ADDRESS(ROW(),COLUMN()-1)))-$F29*$C$5/6),0)))))),0)))</f>
        <v>0</v>
      </c>
      <c r="I29" s="605">
        <f t="shared" ca="1" si="18"/>
        <v>0</v>
      </c>
      <c r="J29" s="605">
        <f t="shared" ca="1" si="18"/>
        <v>0</v>
      </c>
      <c r="K29" s="605">
        <f t="shared" ca="1" si="18"/>
        <v>0</v>
      </c>
      <c r="L29" s="605">
        <f t="shared" ca="1" si="18"/>
        <v>0</v>
      </c>
      <c r="M29" s="605">
        <f t="shared" ca="1" si="18"/>
        <v>0</v>
      </c>
      <c r="N29" s="605">
        <f t="shared" ca="1" si="18"/>
        <v>0</v>
      </c>
      <c r="O29" s="605">
        <f t="shared" ca="1" si="18"/>
        <v>0</v>
      </c>
      <c r="P29" s="605">
        <f t="shared" ca="1" si="18"/>
        <v>0</v>
      </c>
      <c r="Q29" s="605">
        <f t="shared" ca="1" si="18"/>
        <v>0</v>
      </c>
      <c r="R29" s="605">
        <f t="shared" ca="1" si="18"/>
        <v>0</v>
      </c>
      <c r="S29" s="605">
        <f t="shared" ca="1" si="18"/>
        <v>0</v>
      </c>
      <c r="T29" s="605">
        <f t="shared" ca="1" si="18"/>
        <v>0</v>
      </c>
      <c r="U29" s="605">
        <f t="shared" ca="1" si="18"/>
        <v>0</v>
      </c>
      <c r="V29" s="605">
        <f t="shared" ca="1" si="18"/>
        <v>0</v>
      </c>
      <c r="W29" s="605">
        <f t="shared" ca="1" si="18"/>
        <v>0</v>
      </c>
      <c r="X29" s="605">
        <f t="shared" ca="1" si="18"/>
        <v>0</v>
      </c>
      <c r="Y29" s="605">
        <f t="shared" ca="1" si="18"/>
        <v>0</v>
      </c>
      <c r="Z29" s="605">
        <f t="shared" ca="1" si="18"/>
        <v>0</v>
      </c>
      <c r="AA29" s="605">
        <f t="shared" ca="1" si="18"/>
        <v>0</v>
      </c>
      <c r="AB29" s="605">
        <f t="shared" ca="1" si="18"/>
        <v>0</v>
      </c>
      <c r="AC29" s="605">
        <f t="shared" ca="1" si="18"/>
        <v>0</v>
      </c>
      <c r="AD29" s="605">
        <f t="shared" ca="1" si="18"/>
        <v>0</v>
      </c>
      <c r="AE29" s="605">
        <f t="shared" ca="1" si="18"/>
        <v>0</v>
      </c>
      <c r="AF29" s="605">
        <f t="shared" ca="1" si="18"/>
        <v>0</v>
      </c>
      <c r="AG29" s="605">
        <f t="shared" ca="1" si="18"/>
        <v>0</v>
      </c>
      <c r="AH29" s="605">
        <f t="shared" ca="1" si="18"/>
        <v>0</v>
      </c>
      <c r="AI29" s="605">
        <f t="shared" ca="1" si="18"/>
        <v>0</v>
      </c>
      <c r="AJ29" s="605">
        <f t="shared" ca="1" si="18"/>
        <v>0</v>
      </c>
      <c r="AK29" s="605">
        <f t="shared" ca="1" si="18"/>
        <v>0</v>
      </c>
      <c r="AL29" s="605">
        <f t="shared" ca="1" si="18"/>
        <v>0</v>
      </c>
      <c r="AM29" s="605">
        <f t="shared" ca="1" si="18"/>
        <v>0</v>
      </c>
      <c r="AN29" s="605">
        <f t="shared" ca="1" si="18"/>
        <v>0</v>
      </c>
      <c r="AO29" s="605">
        <f t="shared" ca="1" si="18"/>
        <v>0</v>
      </c>
      <c r="AP29" s="605">
        <f t="shared" ca="1" si="18"/>
        <v>0</v>
      </c>
      <c r="AQ29" s="605"/>
      <c r="AR29" s="605"/>
      <c r="AS29" s="605"/>
      <c r="AT29" s="605"/>
      <c r="AU29" s="605"/>
      <c r="AV29" s="605"/>
      <c r="AW29" s="605"/>
      <c r="AX29" s="605"/>
      <c r="AY29" s="605"/>
      <c r="AZ29" s="605"/>
      <c r="BA29" s="605"/>
      <c r="BB29" s="605"/>
      <c r="BC29" s="605"/>
      <c r="BD29" s="605"/>
      <c r="BE29" s="605"/>
      <c r="BF29" s="609">
        <f t="shared" ca="1" si="8"/>
        <v>0</v>
      </c>
      <c r="BG29" s="556">
        <f t="shared" ca="1" si="5"/>
        <v>0</v>
      </c>
      <c r="BH29" s="610"/>
    </row>
    <row r="30" spans="1:60">
      <c r="A30" s="1853"/>
      <c r="B30" s="611">
        <f t="shared" si="6"/>
        <v>45444</v>
      </c>
      <c r="C30" s="605">
        <f t="shared" si="7"/>
        <v>252872367.50490001</v>
      </c>
      <c r="D30" s="1501"/>
      <c r="E30" s="607">
        <f t="shared" si="9"/>
        <v>1.0000000000000002</v>
      </c>
      <c r="F30" s="608">
        <f t="shared" si="2"/>
        <v>0</v>
      </c>
      <c r="G30" s="605">
        <f t="shared" ca="1" si="17"/>
        <v>0</v>
      </c>
      <c r="H30" s="605">
        <f t="shared" ca="1" si="18"/>
        <v>0</v>
      </c>
      <c r="I30" s="605">
        <f t="shared" ca="1" si="18"/>
        <v>0</v>
      </c>
      <c r="J30" s="605">
        <f t="shared" ca="1" si="18"/>
        <v>0</v>
      </c>
      <c r="K30" s="605">
        <f t="shared" ca="1" si="18"/>
        <v>0</v>
      </c>
      <c r="L30" s="605">
        <f t="shared" ca="1" si="18"/>
        <v>0</v>
      </c>
      <c r="M30" s="605">
        <f t="shared" ca="1" si="18"/>
        <v>0</v>
      </c>
      <c r="N30" s="605">
        <f t="shared" ca="1" si="18"/>
        <v>0</v>
      </c>
      <c r="O30" s="605">
        <f t="shared" ca="1" si="18"/>
        <v>0</v>
      </c>
      <c r="P30" s="605">
        <f t="shared" ca="1" si="18"/>
        <v>0</v>
      </c>
      <c r="Q30" s="605">
        <f t="shared" ca="1" si="18"/>
        <v>0</v>
      </c>
      <c r="R30" s="605">
        <f t="shared" ca="1" si="18"/>
        <v>0</v>
      </c>
      <c r="S30" s="605">
        <f t="shared" ca="1" si="18"/>
        <v>0</v>
      </c>
      <c r="T30" s="605">
        <f t="shared" ca="1" si="18"/>
        <v>0</v>
      </c>
      <c r="U30" s="605">
        <f t="shared" ca="1" si="18"/>
        <v>0</v>
      </c>
      <c r="V30" s="605">
        <f t="shared" ca="1" si="18"/>
        <v>0</v>
      </c>
      <c r="W30" s="605">
        <f t="shared" ca="1" si="18"/>
        <v>0</v>
      </c>
      <c r="X30" s="605">
        <f t="shared" ca="1" si="18"/>
        <v>0</v>
      </c>
      <c r="Y30" s="605">
        <f t="shared" ca="1" si="18"/>
        <v>0</v>
      </c>
      <c r="Z30" s="605">
        <f t="shared" ca="1" si="18"/>
        <v>0</v>
      </c>
      <c r="AA30" s="605">
        <f t="shared" ca="1" si="18"/>
        <v>0</v>
      </c>
      <c r="AB30" s="605">
        <f t="shared" ca="1" si="18"/>
        <v>0</v>
      </c>
      <c r="AC30" s="605">
        <f t="shared" ca="1" si="18"/>
        <v>0</v>
      </c>
      <c r="AD30" s="605">
        <f t="shared" ca="1" si="18"/>
        <v>0</v>
      </c>
      <c r="AE30" s="605">
        <f t="shared" ca="1" si="18"/>
        <v>0</v>
      </c>
      <c r="AF30" s="605">
        <f t="shared" ca="1" si="18"/>
        <v>0</v>
      </c>
      <c r="AG30" s="605">
        <f t="shared" ca="1" si="18"/>
        <v>0</v>
      </c>
      <c r="AH30" s="605">
        <f t="shared" ca="1" si="18"/>
        <v>0</v>
      </c>
      <c r="AI30" s="605">
        <f t="shared" ca="1" si="18"/>
        <v>0</v>
      </c>
      <c r="AJ30" s="605">
        <f t="shared" ca="1" si="18"/>
        <v>0</v>
      </c>
      <c r="AK30" s="605">
        <f t="shared" ca="1" si="18"/>
        <v>0</v>
      </c>
      <c r="AL30" s="605">
        <f t="shared" ca="1" si="18"/>
        <v>0</v>
      </c>
      <c r="AM30" s="605">
        <f t="shared" ca="1" si="18"/>
        <v>0</v>
      </c>
      <c r="AN30" s="605">
        <f t="shared" ca="1" si="18"/>
        <v>0</v>
      </c>
      <c r="AO30" s="605">
        <f t="shared" ca="1" si="18"/>
        <v>0</v>
      </c>
      <c r="AP30" s="605">
        <f t="shared" ca="1" si="18"/>
        <v>0</v>
      </c>
      <c r="AQ30" s="605"/>
      <c r="AR30" s="605"/>
      <c r="AS30" s="605"/>
      <c r="AT30" s="605"/>
      <c r="AU30" s="605"/>
      <c r="AV30" s="605"/>
      <c r="AW30" s="605"/>
      <c r="AX30" s="605"/>
      <c r="AY30" s="605"/>
      <c r="AZ30" s="605"/>
      <c r="BA30" s="605"/>
      <c r="BB30" s="605"/>
      <c r="BC30" s="605"/>
      <c r="BD30" s="605"/>
      <c r="BE30" s="605"/>
      <c r="BF30" s="609">
        <f t="shared" ca="1" si="8"/>
        <v>0</v>
      </c>
      <c r="BG30" s="556">
        <f t="shared" ca="1" si="5"/>
        <v>0</v>
      </c>
      <c r="BH30" s="610"/>
    </row>
    <row r="31" spans="1:60">
      <c r="A31" s="1853"/>
      <c r="B31" s="611">
        <f t="shared" si="6"/>
        <v>45474</v>
      </c>
      <c r="C31" s="605">
        <f t="shared" si="7"/>
        <v>252872367.50490001</v>
      </c>
      <c r="D31" s="1501"/>
      <c r="E31" s="607">
        <f t="shared" si="9"/>
        <v>1.0000000000000002</v>
      </c>
      <c r="F31" s="608">
        <f t="shared" si="2"/>
        <v>0</v>
      </c>
      <c r="G31" s="605">
        <f t="shared" ca="1" si="17"/>
        <v>0</v>
      </c>
      <c r="H31" s="605">
        <f t="shared" ca="1" si="18"/>
        <v>0</v>
      </c>
      <c r="I31" s="605">
        <f t="shared" ca="1" si="18"/>
        <v>0</v>
      </c>
      <c r="J31" s="605">
        <f t="shared" ca="1" si="18"/>
        <v>0</v>
      </c>
      <c r="K31" s="605">
        <f t="shared" ca="1" si="18"/>
        <v>0</v>
      </c>
      <c r="L31" s="605">
        <f t="shared" ca="1" si="18"/>
        <v>0</v>
      </c>
      <c r="M31" s="605">
        <f t="shared" ca="1" si="18"/>
        <v>0</v>
      </c>
      <c r="N31" s="605">
        <f t="shared" ca="1" si="18"/>
        <v>0</v>
      </c>
      <c r="O31" s="605">
        <f t="shared" ca="1" si="18"/>
        <v>0</v>
      </c>
      <c r="P31" s="605">
        <f t="shared" ca="1" si="18"/>
        <v>0</v>
      </c>
      <c r="Q31" s="605">
        <f t="shared" ca="1" si="18"/>
        <v>0</v>
      </c>
      <c r="R31" s="605">
        <f t="shared" ca="1" si="18"/>
        <v>0</v>
      </c>
      <c r="S31" s="605">
        <f t="shared" ca="1" si="18"/>
        <v>0</v>
      </c>
      <c r="T31" s="605">
        <f t="shared" ca="1" si="18"/>
        <v>0</v>
      </c>
      <c r="U31" s="605">
        <f t="shared" ca="1" si="18"/>
        <v>0</v>
      </c>
      <c r="V31" s="605">
        <f t="shared" ca="1" si="18"/>
        <v>0</v>
      </c>
      <c r="W31" s="605">
        <f t="shared" ca="1" si="18"/>
        <v>0</v>
      </c>
      <c r="X31" s="605">
        <f t="shared" ca="1" si="18"/>
        <v>0</v>
      </c>
      <c r="Y31" s="605">
        <f t="shared" ca="1" si="18"/>
        <v>0</v>
      </c>
      <c r="Z31" s="605">
        <f t="shared" ca="1" si="18"/>
        <v>0</v>
      </c>
      <c r="AA31" s="605">
        <f t="shared" ca="1" si="18"/>
        <v>0</v>
      </c>
      <c r="AB31" s="605">
        <f t="shared" ca="1" si="18"/>
        <v>0</v>
      </c>
      <c r="AC31" s="605">
        <f t="shared" ca="1" si="18"/>
        <v>0</v>
      </c>
      <c r="AD31" s="605">
        <f t="shared" ca="1" si="18"/>
        <v>0</v>
      </c>
      <c r="AE31" s="605">
        <f t="shared" ca="1" si="18"/>
        <v>0</v>
      </c>
      <c r="AF31" s="605">
        <f t="shared" ca="1" si="18"/>
        <v>0</v>
      </c>
      <c r="AG31" s="605">
        <f t="shared" ca="1" si="18"/>
        <v>0</v>
      </c>
      <c r="AH31" s="605">
        <f t="shared" ca="1" si="18"/>
        <v>0</v>
      </c>
      <c r="AI31" s="605">
        <f t="shared" ca="1" si="18"/>
        <v>0</v>
      </c>
      <c r="AJ31" s="605">
        <f t="shared" ca="1" si="18"/>
        <v>0</v>
      </c>
      <c r="AK31" s="605">
        <f t="shared" ca="1" si="18"/>
        <v>0</v>
      </c>
      <c r="AL31" s="605">
        <f t="shared" ca="1" si="18"/>
        <v>0</v>
      </c>
      <c r="AM31" s="605">
        <f t="shared" ca="1" si="18"/>
        <v>0</v>
      </c>
      <c r="AN31" s="605">
        <f t="shared" ca="1" si="18"/>
        <v>0</v>
      </c>
      <c r="AO31" s="605">
        <f t="shared" ca="1" si="18"/>
        <v>0</v>
      </c>
      <c r="AP31" s="605">
        <f t="shared" ca="1" si="18"/>
        <v>0</v>
      </c>
      <c r="AQ31" s="605"/>
      <c r="AR31" s="605"/>
      <c r="AS31" s="605"/>
      <c r="AT31" s="605"/>
      <c r="AU31" s="605"/>
      <c r="AV31" s="605"/>
      <c r="AW31" s="605"/>
      <c r="AX31" s="605"/>
      <c r="AY31" s="605"/>
      <c r="AZ31" s="605"/>
      <c r="BA31" s="605"/>
      <c r="BB31" s="605"/>
      <c r="BC31" s="605"/>
      <c r="BD31" s="605"/>
      <c r="BE31" s="605"/>
      <c r="BF31" s="609">
        <f t="shared" ca="1" si="8"/>
        <v>0</v>
      </c>
      <c r="BG31" s="556">
        <f t="shared" ca="1" si="5"/>
        <v>0</v>
      </c>
      <c r="BH31" s="610"/>
    </row>
    <row r="32" spans="1:60">
      <c r="A32" s="1853"/>
      <c r="B32" s="611">
        <f t="shared" si="6"/>
        <v>45505</v>
      </c>
      <c r="C32" s="605">
        <f t="shared" si="7"/>
        <v>252872367.50490001</v>
      </c>
      <c r="D32" s="1501"/>
      <c r="E32" s="607">
        <f t="shared" si="9"/>
        <v>1.0000000000000002</v>
      </c>
      <c r="F32" s="608">
        <f t="shared" si="2"/>
        <v>0</v>
      </c>
      <c r="G32" s="605"/>
      <c r="H32" s="605"/>
      <c r="I32" s="605"/>
      <c r="J32" s="605"/>
      <c r="K32" s="605"/>
      <c r="L32" s="605"/>
      <c r="M32" s="605"/>
      <c r="N32" s="605"/>
      <c r="O32" s="605"/>
      <c r="P32" s="605"/>
      <c r="Q32" s="605"/>
      <c r="R32" s="605"/>
      <c r="S32" s="605"/>
      <c r="T32" s="605"/>
      <c r="U32" s="605"/>
      <c r="V32" s="605"/>
      <c r="W32" s="605"/>
      <c r="X32" s="605"/>
      <c r="Y32" s="605"/>
      <c r="Z32" s="605"/>
      <c r="AA32" s="605"/>
      <c r="AB32" s="605"/>
      <c r="AC32" s="605"/>
      <c r="AD32" s="605"/>
      <c r="AE32" s="605"/>
      <c r="AF32" s="605"/>
      <c r="AG32" s="605"/>
      <c r="AH32" s="605"/>
      <c r="AI32" s="605"/>
      <c r="AJ32" s="605"/>
      <c r="AK32" s="605"/>
      <c r="AL32" s="605"/>
      <c r="AM32" s="605"/>
      <c r="AN32" s="605"/>
      <c r="AO32" s="605"/>
      <c r="AP32" s="605"/>
      <c r="AQ32" s="605"/>
      <c r="AR32" s="605"/>
      <c r="AS32" s="605"/>
      <c r="AT32" s="605"/>
      <c r="AU32" s="605"/>
      <c r="AV32" s="605"/>
      <c r="AW32" s="605"/>
      <c r="AX32" s="605"/>
      <c r="AY32" s="605"/>
      <c r="AZ32" s="605"/>
      <c r="BA32" s="605"/>
      <c r="BB32" s="605"/>
      <c r="BC32" s="605"/>
      <c r="BD32" s="605"/>
      <c r="BE32" s="605"/>
      <c r="BF32" s="609">
        <f t="shared" si="8"/>
        <v>0</v>
      </c>
      <c r="BG32" s="556">
        <f t="shared" si="5"/>
        <v>0</v>
      </c>
      <c r="BH32" s="610"/>
    </row>
    <row r="33" spans="1:60">
      <c r="A33" s="1853"/>
      <c r="B33" s="611">
        <f t="shared" si="6"/>
        <v>45536</v>
      </c>
      <c r="C33" s="605">
        <f t="shared" si="7"/>
        <v>252872367.50490001</v>
      </c>
      <c r="D33" s="1501"/>
      <c r="E33" s="612">
        <f t="shared" si="9"/>
        <v>1.0000000000000002</v>
      </c>
      <c r="F33" s="608">
        <f t="shared" si="2"/>
        <v>0</v>
      </c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605"/>
      <c r="R33" s="60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605"/>
      <c r="AH33" s="605"/>
      <c r="AI33" s="605"/>
      <c r="AJ33" s="605"/>
      <c r="AK33" s="605"/>
      <c r="AL33" s="605"/>
      <c r="AM33" s="605"/>
      <c r="AN33" s="605"/>
      <c r="AO33" s="605"/>
      <c r="AP33" s="605"/>
      <c r="AQ33" s="605"/>
      <c r="AR33" s="605"/>
      <c r="AS33" s="605"/>
      <c r="AT33" s="605"/>
      <c r="AU33" s="605"/>
      <c r="AV33" s="605"/>
      <c r="AW33" s="605"/>
      <c r="AX33" s="605"/>
      <c r="AY33" s="605"/>
      <c r="AZ33" s="605"/>
      <c r="BA33" s="605"/>
      <c r="BB33" s="605"/>
      <c r="BC33" s="605"/>
      <c r="BD33" s="605"/>
      <c r="BE33" s="605"/>
      <c r="BF33" s="609">
        <f t="shared" si="8"/>
        <v>0</v>
      </c>
      <c r="BG33" s="556">
        <f t="shared" si="5"/>
        <v>0</v>
      </c>
      <c r="BH33" s="610"/>
    </row>
    <row r="34" spans="1:60">
      <c r="A34" s="1853"/>
      <c r="B34" s="611">
        <f t="shared" si="6"/>
        <v>45566</v>
      </c>
      <c r="C34" s="605">
        <f t="shared" ref="C34:C60" si="19">C23</f>
        <v>252872367.50490001</v>
      </c>
      <c r="D34" s="1501"/>
      <c r="E34" s="607">
        <f t="shared" si="9"/>
        <v>1.0000000000000002</v>
      </c>
      <c r="F34" s="608">
        <f t="shared" si="2"/>
        <v>0</v>
      </c>
      <c r="G34" s="605"/>
      <c r="H34" s="605"/>
      <c r="I34" s="605"/>
      <c r="J34" s="605"/>
      <c r="K34" s="605"/>
      <c r="L34" s="605"/>
      <c r="M34" s="605"/>
      <c r="N34" s="605"/>
      <c r="O34" s="605"/>
      <c r="P34" s="605"/>
      <c r="Q34" s="605"/>
      <c r="R34" s="605"/>
      <c r="S34" s="605"/>
      <c r="T34" s="605"/>
      <c r="U34" s="605"/>
      <c r="V34" s="605"/>
      <c r="W34" s="605"/>
      <c r="X34" s="605"/>
      <c r="Y34" s="605"/>
      <c r="Z34" s="605"/>
      <c r="AA34" s="605"/>
      <c r="AB34" s="605"/>
      <c r="AC34" s="605"/>
      <c r="AD34" s="605"/>
      <c r="AE34" s="605"/>
      <c r="AF34" s="605"/>
      <c r="AG34" s="605"/>
      <c r="AH34" s="605"/>
      <c r="AI34" s="605"/>
      <c r="AJ34" s="605"/>
      <c r="AK34" s="605"/>
      <c r="AL34" s="605"/>
      <c r="AM34" s="605"/>
      <c r="AN34" s="605"/>
      <c r="AO34" s="605"/>
      <c r="AP34" s="605"/>
      <c r="AQ34" s="605"/>
      <c r="AR34" s="605"/>
      <c r="AS34" s="605"/>
      <c r="AT34" s="605"/>
      <c r="AU34" s="605"/>
      <c r="AV34" s="605"/>
      <c r="AW34" s="605"/>
      <c r="AX34" s="605"/>
      <c r="AY34" s="605"/>
      <c r="AZ34" s="605"/>
      <c r="BA34" s="605"/>
      <c r="BB34" s="605"/>
      <c r="BC34" s="605"/>
      <c r="BD34" s="605"/>
      <c r="BE34" s="605"/>
      <c r="BF34" s="609">
        <f t="shared" si="8"/>
        <v>0</v>
      </c>
      <c r="BG34" s="556">
        <f t="shared" si="5"/>
        <v>0</v>
      </c>
      <c r="BH34" s="610"/>
    </row>
    <row r="35" spans="1:60">
      <c r="A35" s="1853"/>
      <c r="B35" s="611">
        <f t="shared" si="6"/>
        <v>45597</v>
      </c>
      <c r="C35" s="605">
        <f t="shared" si="19"/>
        <v>252872367.50490001</v>
      </c>
      <c r="D35" s="1501"/>
      <c r="E35" s="607">
        <f t="shared" si="9"/>
        <v>1.0000000000000002</v>
      </c>
      <c r="F35" s="608">
        <f t="shared" si="2"/>
        <v>0</v>
      </c>
      <c r="G35" s="605"/>
      <c r="H35" s="605"/>
      <c r="I35" s="605"/>
      <c r="J35" s="605"/>
      <c r="K35" s="605"/>
      <c r="L35" s="605"/>
      <c r="M35" s="605"/>
      <c r="N35" s="605"/>
      <c r="O35" s="605"/>
      <c r="P35" s="605"/>
      <c r="Q35" s="605"/>
      <c r="R35" s="605"/>
      <c r="S35" s="605"/>
      <c r="T35" s="605"/>
      <c r="U35" s="605"/>
      <c r="V35" s="605"/>
      <c r="W35" s="605"/>
      <c r="X35" s="605"/>
      <c r="Y35" s="605"/>
      <c r="Z35" s="605"/>
      <c r="AA35" s="605"/>
      <c r="AB35" s="605"/>
      <c r="AC35" s="605"/>
      <c r="AD35" s="605"/>
      <c r="AE35" s="605"/>
      <c r="AF35" s="605"/>
      <c r="AG35" s="605"/>
      <c r="AH35" s="605"/>
      <c r="AI35" s="605"/>
      <c r="AJ35" s="605"/>
      <c r="AK35" s="605"/>
      <c r="AL35" s="605"/>
      <c r="AM35" s="605"/>
      <c r="AN35" s="605"/>
      <c r="AO35" s="605"/>
      <c r="AP35" s="605"/>
      <c r="AQ35" s="605"/>
      <c r="AR35" s="605"/>
      <c r="AS35" s="605"/>
      <c r="AT35" s="605"/>
      <c r="AU35" s="605"/>
      <c r="AV35" s="605"/>
      <c r="AW35" s="605"/>
      <c r="AX35" s="605"/>
      <c r="AY35" s="605"/>
      <c r="AZ35" s="605"/>
      <c r="BA35" s="605"/>
      <c r="BB35" s="605"/>
      <c r="BC35" s="605"/>
      <c r="BD35" s="605"/>
      <c r="BE35" s="605"/>
      <c r="BF35" s="609">
        <f t="shared" si="8"/>
        <v>0</v>
      </c>
      <c r="BG35" s="556">
        <f t="shared" si="5"/>
        <v>0</v>
      </c>
      <c r="BH35" s="610"/>
    </row>
    <row r="36" spans="1:60">
      <c r="A36" s="1853"/>
      <c r="B36" s="611">
        <f t="shared" si="6"/>
        <v>45627</v>
      </c>
      <c r="C36" s="605">
        <f t="shared" si="19"/>
        <v>252872367.50490001</v>
      </c>
      <c r="D36" s="1501"/>
      <c r="E36" s="607">
        <f t="shared" si="9"/>
        <v>1.0000000000000002</v>
      </c>
      <c r="F36" s="608">
        <f t="shared" si="2"/>
        <v>0</v>
      </c>
      <c r="G36" s="605"/>
      <c r="H36" s="605"/>
      <c r="I36" s="605"/>
      <c r="J36" s="605"/>
      <c r="K36" s="605"/>
      <c r="L36" s="605"/>
      <c r="M36" s="605"/>
      <c r="N36" s="605"/>
      <c r="O36" s="605"/>
      <c r="P36" s="605"/>
      <c r="Q36" s="605"/>
      <c r="R36" s="605"/>
      <c r="S36" s="605"/>
      <c r="T36" s="605"/>
      <c r="U36" s="605"/>
      <c r="V36" s="605"/>
      <c r="W36" s="605"/>
      <c r="X36" s="605"/>
      <c r="Y36" s="605"/>
      <c r="Z36" s="605"/>
      <c r="AA36" s="605"/>
      <c r="AB36" s="605"/>
      <c r="AC36" s="605"/>
      <c r="AD36" s="605"/>
      <c r="AE36" s="605"/>
      <c r="AF36" s="605"/>
      <c r="AG36" s="605"/>
      <c r="AH36" s="605"/>
      <c r="AI36" s="605"/>
      <c r="AJ36" s="605"/>
      <c r="AK36" s="605"/>
      <c r="AL36" s="605"/>
      <c r="AM36" s="605"/>
      <c r="AN36" s="605"/>
      <c r="AO36" s="605"/>
      <c r="AP36" s="605"/>
      <c r="AQ36" s="605"/>
      <c r="AR36" s="605"/>
      <c r="AS36" s="605"/>
      <c r="AT36" s="605"/>
      <c r="AU36" s="605"/>
      <c r="AV36" s="605"/>
      <c r="AW36" s="605"/>
      <c r="AX36" s="605"/>
      <c r="AY36" s="605"/>
      <c r="AZ36" s="605"/>
      <c r="BA36" s="605"/>
      <c r="BB36" s="605"/>
      <c r="BC36" s="605"/>
      <c r="BD36" s="605"/>
      <c r="BE36" s="605"/>
      <c r="BF36" s="609">
        <f t="shared" si="8"/>
        <v>0</v>
      </c>
      <c r="BG36" s="556">
        <f t="shared" si="5"/>
        <v>0</v>
      </c>
      <c r="BH36" s="610"/>
    </row>
    <row r="37" spans="1:60">
      <c r="A37" s="1853"/>
      <c r="B37" s="611">
        <f t="shared" si="6"/>
        <v>45658</v>
      </c>
      <c r="C37" s="605">
        <f t="shared" si="19"/>
        <v>252872367.50490001</v>
      </c>
      <c r="D37" s="1501"/>
      <c r="E37" s="607">
        <f t="shared" si="9"/>
        <v>1.0000000000000002</v>
      </c>
      <c r="F37" s="608">
        <f t="shared" si="2"/>
        <v>0</v>
      </c>
      <c r="G37" s="605"/>
      <c r="H37" s="605"/>
      <c r="I37" s="605"/>
      <c r="J37" s="605"/>
      <c r="K37" s="605"/>
      <c r="L37" s="605"/>
      <c r="M37" s="605"/>
      <c r="N37" s="605"/>
      <c r="O37" s="605"/>
      <c r="P37" s="605"/>
      <c r="Q37" s="605"/>
      <c r="R37" s="605"/>
      <c r="S37" s="605"/>
      <c r="T37" s="605"/>
      <c r="U37" s="605"/>
      <c r="V37" s="605"/>
      <c r="W37" s="605"/>
      <c r="X37" s="605"/>
      <c r="Y37" s="605"/>
      <c r="Z37" s="605"/>
      <c r="AA37" s="605"/>
      <c r="AB37" s="605"/>
      <c r="AC37" s="605"/>
      <c r="AD37" s="605"/>
      <c r="AE37" s="605"/>
      <c r="AF37" s="605"/>
      <c r="AG37" s="605"/>
      <c r="AH37" s="605"/>
      <c r="AI37" s="605"/>
      <c r="AJ37" s="605"/>
      <c r="AK37" s="605"/>
      <c r="AL37" s="605"/>
      <c r="AM37" s="605"/>
      <c r="AN37" s="605"/>
      <c r="AO37" s="605"/>
      <c r="AP37" s="605"/>
      <c r="AQ37" s="605"/>
      <c r="AR37" s="605"/>
      <c r="AS37" s="605"/>
      <c r="AT37" s="605"/>
      <c r="AU37" s="605"/>
      <c r="AV37" s="605"/>
      <c r="AW37" s="605"/>
      <c r="AX37" s="605"/>
      <c r="AY37" s="605"/>
      <c r="AZ37" s="605"/>
      <c r="BA37" s="605"/>
      <c r="BB37" s="605"/>
      <c r="BC37" s="605"/>
      <c r="BD37" s="605"/>
      <c r="BE37" s="605"/>
      <c r="BF37" s="609">
        <f t="shared" si="8"/>
        <v>0</v>
      </c>
      <c r="BG37" s="556">
        <f t="shared" si="5"/>
        <v>0</v>
      </c>
      <c r="BH37" s="610"/>
    </row>
    <row r="38" spans="1:60">
      <c r="A38" s="1853"/>
      <c r="B38" s="611">
        <f t="shared" si="6"/>
        <v>45689</v>
      </c>
      <c r="C38" s="605">
        <f t="shared" si="19"/>
        <v>252872367.50490001</v>
      </c>
      <c r="D38" s="1501"/>
      <c r="E38" s="607">
        <f t="shared" si="9"/>
        <v>1.0000000000000002</v>
      </c>
      <c r="F38" s="608">
        <f t="shared" si="2"/>
        <v>0</v>
      </c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605"/>
      <c r="AB38" s="605"/>
      <c r="AC38" s="605"/>
      <c r="AD38" s="605"/>
      <c r="AE38" s="605"/>
      <c r="AF38" s="605"/>
      <c r="AG38" s="605"/>
      <c r="AH38" s="605"/>
      <c r="AI38" s="605"/>
      <c r="AJ38" s="605"/>
      <c r="AK38" s="605"/>
      <c r="AL38" s="605"/>
      <c r="AM38" s="605"/>
      <c r="AN38" s="605"/>
      <c r="AO38" s="605"/>
      <c r="AP38" s="605"/>
      <c r="AQ38" s="605"/>
      <c r="AR38" s="605"/>
      <c r="AS38" s="605"/>
      <c r="AT38" s="605"/>
      <c r="AU38" s="605"/>
      <c r="AV38" s="605"/>
      <c r="AW38" s="605"/>
      <c r="AX38" s="605"/>
      <c r="AY38" s="605"/>
      <c r="AZ38" s="605"/>
      <c r="BA38" s="605"/>
      <c r="BB38" s="605"/>
      <c r="BC38" s="605"/>
      <c r="BD38" s="605"/>
      <c r="BE38" s="605"/>
      <c r="BF38" s="609">
        <f t="shared" si="8"/>
        <v>0</v>
      </c>
      <c r="BG38" s="556">
        <f t="shared" si="5"/>
        <v>0</v>
      </c>
      <c r="BH38" s="610"/>
    </row>
    <row r="39" spans="1:60">
      <c r="A39" s="1853"/>
      <c r="B39" s="611">
        <f t="shared" si="6"/>
        <v>45717</v>
      </c>
      <c r="C39" s="605">
        <f t="shared" si="19"/>
        <v>252872367.50490001</v>
      </c>
      <c r="D39" s="1501"/>
      <c r="E39" s="607">
        <f t="shared" si="9"/>
        <v>1.0000000000000002</v>
      </c>
      <c r="F39" s="608">
        <f t="shared" si="2"/>
        <v>0</v>
      </c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05"/>
      <c r="AB39" s="605"/>
      <c r="AC39" s="605"/>
      <c r="AD39" s="605"/>
      <c r="AE39" s="605"/>
      <c r="AF39" s="605"/>
      <c r="AG39" s="605"/>
      <c r="AH39" s="605"/>
      <c r="AI39" s="605"/>
      <c r="AJ39" s="605"/>
      <c r="AK39" s="605"/>
      <c r="AL39" s="605"/>
      <c r="AM39" s="605"/>
      <c r="AN39" s="605"/>
      <c r="AO39" s="605"/>
      <c r="AP39" s="605"/>
      <c r="AQ39" s="605"/>
      <c r="AR39" s="605"/>
      <c r="AS39" s="605"/>
      <c r="AT39" s="605"/>
      <c r="AU39" s="605"/>
      <c r="AV39" s="605"/>
      <c r="AW39" s="605"/>
      <c r="AX39" s="605"/>
      <c r="AY39" s="605"/>
      <c r="AZ39" s="605"/>
      <c r="BA39" s="605"/>
      <c r="BB39" s="605"/>
      <c r="BC39" s="605"/>
      <c r="BD39" s="605"/>
      <c r="BE39" s="605"/>
      <c r="BF39" s="609">
        <f t="shared" si="8"/>
        <v>0</v>
      </c>
      <c r="BG39" s="556">
        <f t="shared" si="5"/>
        <v>0</v>
      </c>
      <c r="BH39" s="610"/>
    </row>
    <row r="40" spans="1:60">
      <c r="A40" s="1853"/>
      <c r="B40" s="611">
        <f t="shared" si="6"/>
        <v>45748</v>
      </c>
      <c r="C40" s="605">
        <f t="shared" si="19"/>
        <v>252872367.50490001</v>
      </c>
      <c r="D40" s="1501"/>
      <c r="E40" s="607">
        <f t="shared" si="9"/>
        <v>1.0000000000000002</v>
      </c>
      <c r="F40" s="608">
        <f t="shared" si="2"/>
        <v>0</v>
      </c>
      <c r="G40" s="605"/>
      <c r="H40" s="605"/>
      <c r="I40" s="605"/>
      <c r="J40" s="605"/>
      <c r="K40" s="605"/>
      <c r="L40" s="605"/>
      <c r="M40" s="605"/>
      <c r="N40" s="605"/>
      <c r="O40" s="605"/>
      <c r="P40" s="605"/>
      <c r="Q40" s="605"/>
      <c r="R40" s="605"/>
      <c r="S40" s="605"/>
      <c r="T40" s="605"/>
      <c r="U40" s="605"/>
      <c r="V40" s="605"/>
      <c r="W40" s="605"/>
      <c r="X40" s="605"/>
      <c r="Y40" s="605"/>
      <c r="Z40" s="605"/>
      <c r="AA40" s="605"/>
      <c r="AB40" s="605"/>
      <c r="AC40" s="605"/>
      <c r="AD40" s="605"/>
      <c r="AE40" s="605"/>
      <c r="AF40" s="605"/>
      <c r="AG40" s="605"/>
      <c r="AH40" s="605"/>
      <c r="AI40" s="605"/>
      <c r="AJ40" s="605"/>
      <c r="AK40" s="605"/>
      <c r="AL40" s="605"/>
      <c r="AM40" s="605"/>
      <c r="AN40" s="605"/>
      <c r="AO40" s="605"/>
      <c r="AP40" s="605"/>
      <c r="AQ40" s="605"/>
      <c r="AR40" s="605"/>
      <c r="AS40" s="605"/>
      <c r="AT40" s="605"/>
      <c r="AU40" s="605"/>
      <c r="AV40" s="605"/>
      <c r="AW40" s="605"/>
      <c r="AX40" s="605"/>
      <c r="AY40" s="605"/>
      <c r="AZ40" s="605"/>
      <c r="BA40" s="605"/>
      <c r="BB40" s="605"/>
      <c r="BC40" s="605"/>
      <c r="BD40" s="605"/>
      <c r="BE40" s="605"/>
      <c r="BF40" s="609">
        <f t="shared" si="8"/>
        <v>0</v>
      </c>
      <c r="BG40" s="556">
        <f t="shared" si="5"/>
        <v>0</v>
      </c>
      <c r="BH40" s="610"/>
    </row>
    <row r="41" spans="1:60">
      <c r="A41" s="1853"/>
      <c r="B41" s="611">
        <f t="shared" si="6"/>
        <v>45778</v>
      </c>
      <c r="C41" s="615">
        <f t="shared" si="19"/>
        <v>252872367.50490001</v>
      </c>
      <c r="D41" s="1501"/>
      <c r="E41" s="607">
        <f t="shared" si="9"/>
        <v>1.0000000000000002</v>
      </c>
      <c r="F41" s="608">
        <f t="shared" si="2"/>
        <v>0</v>
      </c>
      <c r="G41" s="605"/>
      <c r="H41" s="605"/>
      <c r="I41" s="605"/>
      <c r="J41" s="605"/>
      <c r="K41" s="605"/>
      <c r="L41" s="605"/>
      <c r="M41" s="605"/>
      <c r="N41" s="605"/>
      <c r="O41" s="605"/>
      <c r="P41" s="605"/>
      <c r="Q41" s="605"/>
      <c r="R41" s="605"/>
      <c r="S41" s="605"/>
      <c r="T41" s="605"/>
      <c r="U41" s="605"/>
      <c r="V41" s="605"/>
      <c r="W41" s="605"/>
      <c r="X41" s="605"/>
      <c r="Y41" s="605"/>
      <c r="Z41" s="605"/>
      <c r="AA41" s="605"/>
      <c r="AB41" s="605"/>
      <c r="AC41" s="605"/>
      <c r="AD41" s="605"/>
      <c r="AE41" s="605"/>
      <c r="AF41" s="605"/>
      <c r="AG41" s="605"/>
      <c r="AH41" s="605"/>
      <c r="AI41" s="605"/>
      <c r="AJ41" s="605"/>
      <c r="AK41" s="605"/>
      <c r="AL41" s="605"/>
      <c r="AM41" s="605"/>
      <c r="AN41" s="605"/>
      <c r="AO41" s="605"/>
      <c r="AP41" s="605"/>
      <c r="AQ41" s="605"/>
      <c r="AR41" s="605"/>
      <c r="AS41" s="605"/>
      <c r="AT41" s="605"/>
      <c r="AU41" s="605"/>
      <c r="AV41" s="605"/>
      <c r="AW41" s="605"/>
      <c r="AX41" s="605"/>
      <c r="AY41" s="605"/>
      <c r="AZ41" s="605"/>
      <c r="BA41" s="605"/>
      <c r="BB41" s="605"/>
      <c r="BC41" s="605"/>
      <c r="BD41" s="605"/>
      <c r="BE41" s="605"/>
      <c r="BF41" s="609">
        <f t="shared" si="8"/>
        <v>0</v>
      </c>
      <c r="BG41" s="556">
        <f t="shared" si="5"/>
        <v>0</v>
      </c>
      <c r="BH41" s="610"/>
    </row>
    <row r="42" spans="1:60">
      <c r="A42" s="1853"/>
      <c r="B42" s="611">
        <f t="shared" si="6"/>
        <v>45809</v>
      </c>
      <c r="C42" s="615">
        <f t="shared" si="19"/>
        <v>252872367.50490001</v>
      </c>
      <c r="D42" s="1501"/>
      <c r="E42" s="607">
        <f t="shared" si="9"/>
        <v>1.0000000000000002</v>
      </c>
      <c r="F42" s="608">
        <f t="shared" si="2"/>
        <v>0</v>
      </c>
      <c r="G42" s="605"/>
      <c r="H42" s="605"/>
      <c r="I42" s="605"/>
      <c r="J42" s="605"/>
      <c r="K42" s="605"/>
      <c r="L42" s="605"/>
      <c r="M42" s="605"/>
      <c r="N42" s="605"/>
      <c r="O42" s="605"/>
      <c r="P42" s="605"/>
      <c r="Q42" s="605"/>
      <c r="R42" s="605"/>
      <c r="S42" s="605"/>
      <c r="T42" s="605"/>
      <c r="U42" s="605"/>
      <c r="V42" s="605"/>
      <c r="W42" s="605"/>
      <c r="X42" s="605"/>
      <c r="Y42" s="605"/>
      <c r="Z42" s="605"/>
      <c r="AA42" s="605"/>
      <c r="AB42" s="605"/>
      <c r="AC42" s="605"/>
      <c r="AD42" s="605"/>
      <c r="AE42" s="605"/>
      <c r="AF42" s="605"/>
      <c r="AG42" s="605"/>
      <c r="AH42" s="605"/>
      <c r="AI42" s="605"/>
      <c r="AJ42" s="605"/>
      <c r="AK42" s="605"/>
      <c r="AL42" s="605"/>
      <c r="AM42" s="605"/>
      <c r="AN42" s="605"/>
      <c r="AO42" s="605"/>
      <c r="AP42" s="605"/>
      <c r="AQ42" s="605"/>
      <c r="AR42" s="605"/>
      <c r="AS42" s="605"/>
      <c r="AT42" s="605"/>
      <c r="AU42" s="605"/>
      <c r="AV42" s="605"/>
      <c r="AW42" s="605"/>
      <c r="AX42" s="605"/>
      <c r="AY42" s="605"/>
      <c r="AZ42" s="605"/>
      <c r="BA42" s="605"/>
      <c r="BB42" s="605"/>
      <c r="BC42" s="605"/>
      <c r="BD42" s="605"/>
      <c r="BE42" s="605"/>
      <c r="BF42" s="609">
        <f t="shared" si="8"/>
        <v>0</v>
      </c>
      <c r="BG42" s="556">
        <f t="shared" si="5"/>
        <v>0</v>
      </c>
      <c r="BH42" s="610"/>
    </row>
    <row r="43" spans="1:60">
      <c r="A43" s="1853"/>
      <c r="B43" s="611">
        <f t="shared" si="6"/>
        <v>45839</v>
      </c>
      <c r="C43" s="615">
        <f t="shared" si="19"/>
        <v>252872367.50490001</v>
      </c>
      <c r="D43" s="1501"/>
      <c r="E43" s="607">
        <f>E42+D43</f>
        <v>1.0000000000000002</v>
      </c>
      <c r="F43" s="608">
        <f>C43*D43</f>
        <v>0</v>
      </c>
      <c r="G43" s="605"/>
      <c r="H43" s="605"/>
      <c r="I43" s="605"/>
      <c r="J43" s="605"/>
      <c r="K43" s="605"/>
      <c r="L43" s="605"/>
      <c r="M43" s="605"/>
      <c r="N43" s="605"/>
      <c r="O43" s="605"/>
      <c r="P43" s="605"/>
      <c r="Q43" s="605"/>
      <c r="R43" s="605"/>
      <c r="S43" s="605"/>
      <c r="T43" s="605"/>
      <c r="U43" s="605"/>
      <c r="V43" s="605"/>
      <c r="W43" s="605"/>
      <c r="X43" s="605"/>
      <c r="Y43" s="605"/>
      <c r="Z43" s="605"/>
      <c r="AA43" s="605"/>
      <c r="AB43" s="605"/>
      <c r="AC43" s="605"/>
      <c r="AD43" s="605"/>
      <c r="AE43" s="605"/>
      <c r="AF43" s="605"/>
      <c r="AG43" s="605"/>
      <c r="AH43" s="605"/>
      <c r="AI43" s="605"/>
      <c r="AJ43" s="605"/>
      <c r="AK43" s="605"/>
      <c r="AL43" s="605"/>
      <c r="AM43" s="605"/>
      <c r="AN43" s="605"/>
      <c r="AO43" s="605"/>
      <c r="AP43" s="605"/>
      <c r="AQ43" s="605"/>
      <c r="AR43" s="605"/>
      <c r="AS43" s="605"/>
      <c r="AT43" s="605"/>
      <c r="AU43" s="605"/>
      <c r="AV43" s="605"/>
      <c r="AW43" s="605"/>
      <c r="AX43" s="605"/>
      <c r="AY43" s="605"/>
      <c r="AZ43" s="605"/>
      <c r="BA43" s="605"/>
      <c r="BB43" s="605"/>
      <c r="BC43" s="605"/>
      <c r="BD43" s="605"/>
      <c r="BE43" s="605"/>
      <c r="BF43" s="609">
        <f t="shared" si="8"/>
        <v>0</v>
      </c>
      <c r="BG43" s="556">
        <f t="shared" si="5"/>
        <v>0</v>
      </c>
      <c r="BH43" s="610"/>
    </row>
    <row r="44" spans="1:60">
      <c r="A44" s="1853"/>
      <c r="B44" s="611">
        <f t="shared" si="6"/>
        <v>45870</v>
      </c>
      <c r="C44" s="615">
        <f t="shared" si="19"/>
        <v>252872367.50490001</v>
      </c>
      <c r="D44" s="1501"/>
      <c r="E44" s="607">
        <f>E43+D44</f>
        <v>1.0000000000000002</v>
      </c>
      <c r="F44" s="608">
        <f>C44*D44</f>
        <v>0</v>
      </c>
      <c r="G44" s="605">
        <f t="shared" ref="G11:V60" ca="1" si="20">IF(TEXT(G$8,"yyyy-mm")&lt;TEXT($B44,"yyyy-mm"),0,IF(TEXT(G$8,"yyyy-mm")=TEXT($B44,"yyyy-mm"),$F44*$B$5,IF(G$9="1차중도금",$F44*$C$5/6,IF(G$9="2차중도금",MAX(0,$F44*$C$5/6*2-SUM(INDIRECT("$G$10:"&amp;ADDRESS(ROW(),COLUMN()-1)))),IF(G$9="3차중도금",MAX(0,$F44*$C$5/6*3-SUM(INDIRECT("$G$10:"&amp;ADDRESS(ROW(),COLUMN()-1)))),IF(G$9="4차중도금",MAX(0,$F44*$C$5/6*4-SUM(INDIRECT("$G$10:"&amp;ADDRESS(ROW(),COLUMN()-1)))),IF(G$9="5차중도금",MAX(0,$F44*$C$5/6*5-SUM(INDIRECT("$G$10:"&amp;ADDRESS(ROW(),COLUMN()-1)))),IF(G$9="6차중도금",MAX(0,$F44*$C$5-SUM(INDIRECT("$G$10:"&amp;ADDRESS(ROW(),COLUMN()-1)))),IF(ISNUMBER(SEARCH("입주",G$9)),$F44*$D$5*INDEX($E$6:$I$6,VALUE(RIGHT(G$9,1))),0)))))))))</f>
        <v>0</v>
      </c>
      <c r="H44" s="605">
        <f t="shared" ref="H40:BE45" ca="1" si="21">IF(TEXT(H$8,"yyyy-mm")&lt;TEXT($B44,"yyyy-mm"),0,IF(TEXT(H$8,"yyyy-mm")=TEXT($B44,"yyyy-mm"),$F44*$B$5,IF(H$9="1차중도금",$F44*$C$5/6,IF(H$9="2차중도금",MAX(0,$F44*$C$5/6*2-SUM(INDIRECT("$G$10:"&amp;ADDRESS(ROW(),COLUMN()-1)))),IF(H$9="3차중도금",MAX(0,$F44*$C$5/6*3-SUM(INDIRECT("$G$10:"&amp;ADDRESS(ROW(),COLUMN()-1)))),IF(H$9="4차중도금",MAX(0,$F44*$C$5/6*4-SUM(INDIRECT("$G$10:"&amp;ADDRESS(ROW(),COLUMN()-1)))),IF(H$9="5차중도금",MAX(0,$F44*$C$5/6*5-SUM(INDIRECT("$G$10:"&amp;ADDRESS(ROW(),COLUMN()-1)))),IF(H$9="6차중도금",MAX(0,$F44*$C$5-SUM(INDIRECT("$G$10:"&amp;ADDRESS(ROW(),COLUMN()-1)))),IF(ISNUMBER(SEARCH("입주",H$9)),$F44*$D$5*INDEX($E$6:$I$6,VALUE(RIGHT(H$9,1))),0)))))))))</f>
        <v>0</v>
      </c>
      <c r="I44" s="605">
        <f t="shared" ca="1" si="21"/>
        <v>0</v>
      </c>
      <c r="J44" s="605">
        <f t="shared" ca="1" si="21"/>
        <v>0</v>
      </c>
      <c r="K44" s="605">
        <f t="shared" ca="1" si="21"/>
        <v>0</v>
      </c>
      <c r="L44" s="605">
        <f t="shared" ca="1" si="21"/>
        <v>0</v>
      </c>
      <c r="M44" s="605">
        <f t="shared" ca="1" si="21"/>
        <v>0</v>
      </c>
      <c r="N44" s="605">
        <f t="shared" ca="1" si="21"/>
        <v>0</v>
      </c>
      <c r="O44" s="605">
        <f t="shared" ca="1" si="21"/>
        <v>0</v>
      </c>
      <c r="P44" s="605">
        <f t="shared" ca="1" si="21"/>
        <v>0</v>
      </c>
      <c r="Q44" s="605">
        <f t="shared" ca="1" si="21"/>
        <v>0</v>
      </c>
      <c r="R44" s="605">
        <f t="shared" ca="1" si="21"/>
        <v>0</v>
      </c>
      <c r="S44" s="605">
        <f t="shared" ca="1" si="21"/>
        <v>0</v>
      </c>
      <c r="T44" s="605">
        <f t="shared" ca="1" si="21"/>
        <v>0</v>
      </c>
      <c r="U44" s="605">
        <f t="shared" ca="1" si="21"/>
        <v>0</v>
      </c>
      <c r="V44" s="605">
        <f t="shared" ca="1" si="21"/>
        <v>0</v>
      </c>
      <c r="W44" s="605">
        <f t="shared" ca="1" si="21"/>
        <v>0</v>
      </c>
      <c r="X44" s="605">
        <f t="shared" ca="1" si="21"/>
        <v>0</v>
      </c>
      <c r="Y44" s="605">
        <f t="shared" ca="1" si="21"/>
        <v>0</v>
      </c>
      <c r="Z44" s="605">
        <f t="shared" ca="1" si="21"/>
        <v>0</v>
      </c>
      <c r="AA44" s="605">
        <f t="shared" ca="1" si="21"/>
        <v>0</v>
      </c>
      <c r="AB44" s="605">
        <f t="shared" ca="1" si="21"/>
        <v>0</v>
      </c>
      <c r="AC44" s="605">
        <f t="shared" ca="1" si="21"/>
        <v>0</v>
      </c>
      <c r="AD44" s="605">
        <f t="shared" ca="1" si="21"/>
        <v>0</v>
      </c>
      <c r="AE44" s="605">
        <f t="shared" ca="1" si="21"/>
        <v>0</v>
      </c>
      <c r="AF44" s="605">
        <f t="shared" ca="1" si="21"/>
        <v>0</v>
      </c>
      <c r="AG44" s="605">
        <f t="shared" ca="1" si="21"/>
        <v>0</v>
      </c>
      <c r="AH44" s="605">
        <f t="shared" ca="1" si="21"/>
        <v>0</v>
      </c>
      <c r="AI44" s="605">
        <f t="shared" ca="1" si="21"/>
        <v>0</v>
      </c>
      <c r="AJ44" s="605">
        <f t="shared" ca="1" si="21"/>
        <v>0</v>
      </c>
      <c r="AK44" s="605">
        <f t="shared" ca="1" si="21"/>
        <v>0</v>
      </c>
      <c r="AL44" s="605">
        <f t="shared" ca="1" si="21"/>
        <v>0</v>
      </c>
      <c r="AM44" s="605">
        <f t="shared" ca="1" si="21"/>
        <v>0</v>
      </c>
      <c r="AN44" s="605">
        <f t="shared" ca="1" si="21"/>
        <v>0</v>
      </c>
      <c r="AO44" s="605">
        <f t="shared" ca="1" si="21"/>
        <v>0</v>
      </c>
      <c r="AP44" s="605">
        <f t="shared" ca="1" si="21"/>
        <v>0</v>
      </c>
      <c r="AQ44" s="605">
        <f t="shared" ca="1" si="21"/>
        <v>0</v>
      </c>
      <c r="AR44" s="605">
        <f t="shared" ca="1" si="21"/>
        <v>0</v>
      </c>
      <c r="AS44" s="605">
        <f t="shared" ca="1" si="21"/>
        <v>0</v>
      </c>
      <c r="AT44" s="605">
        <f t="shared" ca="1" si="21"/>
        <v>0</v>
      </c>
      <c r="AU44" s="605">
        <f t="shared" ca="1" si="21"/>
        <v>0</v>
      </c>
      <c r="AV44" s="605">
        <f t="shared" ca="1" si="21"/>
        <v>0</v>
      </c>
      <c r="AW44" s="605">
        <f t="shared" ca="1" si="21"/>
        <v>0</v>
      </c>
      <c r="AX44" s="605">
        <f t="shared" ca="1" si="21"/>
        <v>0</v>
      </c>
      <c r="AY44" s="605">
        <f t="shared" ca="1" si="21"/>
        <v>0</v>
      </c>
      <c r="AZ44" s="605">
        <f t="shared" ca="1" si="21"/>
        <v>0</v>
      </c>
      <c r="BA44" s="605">
        <f t="shared" ca="1" si="21"/>
        <v>0</v>
      </c>
      <c r="BB44" s="605">
        <f t="shared" ca="1" si="21"/>
        <v>0</v>
      </c>
      <c r="BC44" s="605">
        <f t="shared" ca="1" si="21"/>
        <v>0</v>
      </c>
      <c r="BD44" s="605">
        <f t="shared" ca="1" si="21"/>
        <v>0</v>
      </c>
      <c r="BE44" s="605">
        <f t="shared" ca="1" si="21"/>
        <v>0</v>
      </c>
      <c r="BF44" s="609">
        <f t="shared" ca="1" si="8"/>
        <v>0</v>
      </c>
      <c r="BG44" s="556">
        <f t="shared" ca="1" si="5"/>
        <v>0</v>
      </c>
      <c r="BH44" s="610"/>
    </row>
    <row r="45" spans="1:60">
      <c r="A45" s="1853"/>
      <c r="B45" s="611">
        <f t="shared" si="6"/>
        <v>45901</v>
      </c>
      <c r="C45" s="615">
        <f t="shared" si="19"/>
        <v>252872367.50490001</v>
      </c>
      <c r="D45" s="1501"/>
      <c r="E45" s="612">
        <f t="shared" ref="E45:E56" si="22">E44+D45</f>
        <v>1.0000000000000002</v>
      </c>
      <c r="F45" s="608">
        <f t="shared" ref="F45:F56" si="23">C45*D45</f>
        <v>0</v>
      </c>
      <c r="G45" s="605">
        <f t="shared" ca="1" si="20"/>
        <v>0</v>
      </c>
      <c r="H45" s="605">
        <f t="shared" ca="1" si="21"/>
        <v>0</v>
      </c>
      <c r="I45" s="605">
        <f t="shared" ca="1" si="21"/>
        <v>0</v>
      </c>
      <c r="J45" s="605">
        <f t="shared" ca="1" si="21"/>
        <v>0</v>
      </c>
      <c r="K45" s="605">
        <f t="shared" ca="1" si="21"/>
        <v>0</v>
      </c>
      <c r="L45" s="605">
        <f t="shared" ca="1" si="21"/>
        <v>0</v>
      </c>
      <c r="M45" s="605">
        <f t="shared" ca="1" si="21"/>
        <v>0</v>
      </c>
      <c r="N45" s="605">
        <f t="shared" ca="1" si="21"/>
        <v>0</v>
      </c>
      <c r="O45" s="605">
        <f t="shared" ca="1" si="21"/>
        <v>0</v>
      </c>
      <c r="P45" s="605">
        <f t="shared" ca="1" si="21"/>
        <v>0</v>
      </c>
      <c r="Q45" s="605">
        <f t="shared" ca="1" si="21"/>
        <v>0</v>
      </c>
      <c r="R45" s="605">
        <f t="shared" ca="1" si="21"/>
        <v>0</v>
      </c>
      <c r="S45" s="605">
        <f t="shared" ca="1" si="21"/>
        <v>0</v>
      </c>
      <c r="T45" s="605">
        <f t="shared" ca="1" si="21"/>
        <v>0</v>
      </c>
      <c r="U45" s="605">
        <f t="shared" ca="1" si="21"/>
        <v>0</v>
      </c>
      <c r="V45" s="605">
        <f t="shared" ca="1" si="21"/>
        <v>0</v>
      </c>
      <c r="W45" s="605">
        <f t="shared" ca="1" si="21"/>
        <v>0</v>
      </c>
      <c r="X45" s="605">
        <f t="shared" ca="1" si="21"/>
        <v>0</v>
      </c>
      <c r="Y45" s="605">
        <f t="shared" ca="1" si="21"/>
        <v>0</v>
      </c>
      <c r="Z45" s="605">
        <f t="shared" ca="1" si="21"/>
        <v>0</v>
      </c>
      <c r="AA45" s="605">
        <f t="shared" ca="1" si="21"/>
        <v>0</v>
      </c>
      <c r="AB45" s="605">
        <f t="shared" ca="1" si="21"/>
        <v>0</v>
      </c>
      <c r="AC45" s="605">
        <f t="shared" ca="1" si="21"/>
        <v>0</v>
      </c>
      <c r="AD45" s="605">
        <f t="shared" ca="1" si="21"/>
        <v>0</v>
      </c>
      <c r="AE45" s="605">
        <f t="shared" ca="1" si="21"/>
        <v>0</v>
      </c>
      <c r="AF45" s="605">
        <f t="shared" ca="1" si="21"/>
        <v>0</v>
      </c>
      <c r="AG45" s="605">
        <f t="shared" ca="1" si="21"/>
        <v>0</v>
      </c>
      <c r="AH45" s="605">
        <f t="shared" ca="1" si="21"/>
        <v>0</v>
      </c>
      <c r="AI45" s="605">
        <f t="shared" ca="1" si="21"/>
        <v>0</v>
      </c>
      <c r="AJ45" s="605">
        <f t="shared" ca="1" si="21"/>
        <v>0</v>
      </c>
      <c r="AK45" s="605">
        <f t="shared" ca="1" si="21"/>
        <v>0</v>
      </c>
      <c r="AL45" s="605">
        <f t="shared" ca="1" si="21"/>
        <v>0</v>
      </c>
      <c r="AM45" s="605">
        <f t="shared" ca="1" si="21"/>
        <v>0</v>
      </c>
      <c r="AN45" s="605">
        <f t="shared" ca="1" si="21"/>
        <v>0</v>
      </c>
      <c r="AO45" s="605">
        <f t="shared" ca="1" si="21"/>
        <v>0</v>
      </c>
      <c r="AP45" s="605">
        <f t="shared" ca="1" si="21"/>
        <v>0</v>
      </c>
      <c r="AQ45" s="605">
        <f t="shared" ca="1" si="21"/>
        <v>0</v>
      </c>
      <c r="AR45" s="605">
        <f t="shared" ca="1" si="21"/>
        <v>0</v>
      </c>
      <c r="AS45" s="605">
        <f t="shared" ca="1" si="21"/>
        <v>0</v>
      </c>
      <c r="AT45" s="605">
        <f t="shared" ca="1" si="21"/>
        <v>0</v>
      </c>
      <c r="AU45" s="605">
        <f t="shared" ca="1" si="21"/>
        <v>0</v>
      </c>
      <c r="AV45" s="605">
        <f t="shared" ca="1" si="21"/>
        <v>0</v>
      </c>
      <c r="AW45" s="605">
        <f t="shared" ca="1" si="21"/>
        <v>0</v>
      </c>
      <c r="AX45" s="605">
        <f t="shared" ca="1" si="21"/>
        <v>0</v>
      </c>
      <c r="AY45" s="605">
        <f t="shared" ca="1" si="21"/>
        <v>0</v>
      </c>
      <c r="AZ45" s="605">
        <f t="shared" ca="1" si="21"/>
        <v>0</v>
      </c>
      <c r="BA45" s="605">
        <f t="shared" ca="1" si="21"/>
        <v>0</v>
      </c>
      <c r="BB45" s="605">
        <f t="shared" ca="1" si="21"/>
        <v>0</v>
      </c>
      <c r="BC45" s="605">
        <f t="shared" ca="1" si="21"/>
        <v>0</v>
      </c>
      <c r="BD45" s="605">
        <f t="shared" ca="1" si="21"/>
        <v>0</v>
      </c>
      <c r="BE45" s="605">
        <f t="shared" ca="1" si="21"/>
        <v>0</v>
      </c>
      <c r="BF45" s="609">
        <f t="shared" ca="1" si="8"/>
        <v>0</v>
      </c>
      <c r="BG45" s="556">
        <f t="shared" ca="1" si="5"/>
        <v>0</v>
      </c>
      <c r="BH45" s="610"/>
    </row>
    <row r="46" spans="1:60">
      <c r="A46" s="1853"/>
      <c r="B46" s="611">
        <f t="shared" si="6"/>
        <v>45931</v>
      </c>
      <c r="C46" s="615">
        <f t="shared" si="19"/>
        <v>252872367.50490001</v>
      </c>
      <c r="D46" s="1501"/>
      <c r="E46" s="607">
        <f t="shared" si="22"/>
        <v>1.0000000000000002</v>
      </c>
      <c r="F46" s="608">
        <f t="shared" si="23"/>
        <v>0</v>
      </c>
      <c r="G46" s="605">
        <f t="shared" ca="1" si="20"/>
        <v>0</v>
      </c>
      <c r="H46" s="605">
        <f t="shared" ref="H46:BE51" ca="1" si="24">IF(TEXT(H$8,"yyyy-mm")&lt;TEXT($B46,"yyyy-mm"),0,IF(TEXT(H$8,"yyyy-mm")=TEXT($B46,"yyyy-mm"),$F46*$B$5,IF(H$9="1차중도금",$F46*$C$5/6,IF(H$9="2차중도금",MAX(0,$F46*$C$5/6*2-SUM(INDIRECT("$G$10:"&amp;ADDRESS(ROW(),COLUMN()-1)))),IF(H$9="3차중도금",MAX(0,$F46*$C$5/6*3-SUM(INDIRECT("$G$10:"&amp;ADDRESS(ROW(),COLUMN()-1)))),IF(H$9="4차중도금",MAX(0,$F46*$C$5/6*4-SUM(INDIRECT("$G$10:"&amp;ADDRESS(ROW(),COLUMN()-1)))),IF(H$9="5차중도금",MAX(0,$F46*$C$5/6*5-SUM(INDIRECT("$G$10:"&amp;ADDRESS(ROW(),COLUMN()-1)))),IF(H$9="6차중도금",MAX(0,$F46*$C$5-SUM(INDIRECT("$G$10:"&amp;ADDRESS(ROW(),COLUMN()-1)))),IF(ISNUMBER(SEARCH("입주",H$9)),$F46*$D$5*INDEX($E$6:$I$6,VALUE(RIGHT(H$9,1))),0)))))))))</f>
        <v>0</v>
      </c>
      <c r="I46" s="605">
        <f t="shared" ca="1" si="24"/>
        <v>0</v>
      </c>
      <c r="J46" s="605">
        <f t="shared" ca="1" si="24"/>
        <v>0</v>
      </c>
      <c r="K46" s="605">
        <f t="shared" ca="1" si="24"/>
        <v>0</v>
      </c>
      <c r="L46" s="605">
        <f t="shared" ca="1" si="24"/>
        <v>0</v>
      </c>
      <c r="M46" s="605">
        <f t="shared" ca="1" si="24"/>
        <v>0</v>
      </c>
      <c r="N46" s="605">
        <f t="shared" ca="1" si="24"/>
        <v>0</v>
      </c>
      <c r="O46" s="605">
        <f t="shared" ca="1" si="24"/>
        <v>0</v>
      </c>
      <c r="P46" s="605">
        <f t="shared" ca="1" si="24"/>
        <v>0</v>
      </c>
      <c r="Q46" s="605">
        <f t="shared" ca="1" si="24"/>
        <v>0</v>
      </c>
      <c r="R46" s="605">
        <f t="shared" ca="1" si="24"/>
        <v>0</v>
      </c>
      <c r="S46" s="605">
        <f t="shared" ca="1" si="24"/>
        <v>0</v>
      </c>
      <c r="T46" s="605">
        <f t="shared" ca="1" si="24"/>
        <v>0</v>
      </c>
      <c r="U46" s="605">
        <f t="shared" ca="1" si="24"/>
        <v>0</v>
      </c>
      <c r="V46" s="605">
        <f t="shared" ca="1" si="24"/>
        <v>0</v>
      </c>
      <c r="W46" s="605">
        <f t="shared" ca="1" si="24"/>
        <v>0</v>
      </c>
      <c r="X46" s="605">
        <f t="shared" ca="1" si="24"/>
        <v>0</v>
      </c>
      <c r="Y46" s="605">
        <f t="shared" ca="1" si="24"/>
        <v>0</v>
      </c>
      <c r="Z46" s="605">
        <f t="shared" ca="1" si="24"/>
        <v>0</v>
      </c>
      <c r="AA46" s="605">
        <f t="shared" ca="1" si="24"/>
        <v>0</v>
      </c>
      <c r="AB46" s="605">
        <f t="shared" ca="1" si="24"/>
        <v>0</v>
      </c>
      <c r="AC46" s="605">
        <f t="shared" ca="1" si="24"/>
        <v>0</v>
      </c>
      <c r="AD46" s="605">
        <f t="shared" ca="1" si="24"/>
        <v>0</v>
      </c>
      <c r="AE46" s="605">
        <f t="shared" ca="1" si="24"/>
        <v>0</v>
      </c>
      <c r="AF46" s="605">
        <f t="shared" ca="1" si="24"/>
        <v>0</v>
      </c>
      <c r="AG46" s="605">
        <f t="shared" ca="1" si="24"/>
        <v>0</v>
      </c>
      <c r="AH46" s="605">
        <f t="shared" ca="1" si="24"/>
        <v>0</v>
      </c>
      <c r="AI46" s="605">
        <f t="shared" ca="1" si="24"/>
        <v>0</v>
      </c>
      <c r="AJ46" s="605">
        <f t="shared" ca="1" si="24"/>
        <v>0</v>
      </c>
      <c r="AK46" s="605">
        <f t="shared" ca="1" si="24"/>
        <v>0</v>
      </c>
      <c r="AL46" s="605">
        <f t="shared" ca="1" si="24"/>
        <v>0</v>
      </c>
      <c r="AM46" s="605">
        <f t="shared" ca="1" si="24"/>
        <v>0</v>
      </c>
      <c r="AN46" s="605">
        <f t="shared" ca="1" si="24"/>
        <v>0</v>
      </c>
      <c r="AO46" s="605">
        <f t="shared" ca="1" si="24"/>
        <v>0</v>
      </c>
      <c r="AP46" s="605">
        <f t="shared" ca="1" si="24"/>
        <v>0</v>
      </c>
      <c r="AQ46" s="605">
        <f t="shared" ca="1" si="24"/>
        <v>0</v>
      </c>
      <c r="AR46" s="605">
        <f t="shared" ca="1" si="24"/>
        <v>0</v>
      </c>
      <c r="AS46" s="605">
        <f t="shared" ca="1" si="24"/>
        <v>0</v>
      </c>
      <c r="AT46" s="605">
        <f t="shared" ca="1" si="24"/>
        <v>0</v>
      </c>
      <c r="AU46" s="605">
        <f t="shared" ca="1" si="24"/>
        <v>0</v>
      </c>
      <c r="AV46" s="605">
        <f t="shared" ca="1" si="24"/>
        <v>0</v>
      </c>
      <c r="AW46" s="605">
        <f t="shared" ca="1" si="24"/>
        <v>0</v>
      </c>
      <c r="AX46" s="605">
        <f t="shared" ca="1" si="24"/>
        <v>0</v>
      </c>
      <c r="AY46" s="605">
        <f t="shared" ca="1" si="24"/>
        <v>0</v>
      </c>
      <c r="AZ46" s="605">
        <f t="shared" ca="1" si="24"/>
        <v>0</v>
      </c>
      <c r="BA46" s="605">
        <f t="shared" ca="1" si="24"/>
        <v>0</v>
      </c>
      <c r="BB46" s="605">
        <f t="shared" ca="1" si="24"/>
        <v>0</v>
      </c>
      <c r="BC46" s="605">
        <f t="shared" ca="1" si="24"/>
        <v>0</v>
      </c>
      <c r="BD46" s="605">
        <f t="shared" ca="1" si="24"/>
        <v>0</v>
      </c>
      <c r="BE46" s="605">
        <f t="shared" ca="1" si="24"/>
        <v>0</v>
      </c>
      <c r="BF46" s="609">
        <f t="shared" ca="1" si="8"/>
        <v>0</v>
      </c>
      <c r="BG46" s="556">
        <f t="shared" ca="1" si="5"/>
        <v>0</v>
      </c>
      <c r="BH46" s="610"/>
    </row>
    <row r="47" spans="1:60">
      <c r="A47" s="1853"/>
      <c r="B47" s="611">
        <f t="shared" si="6"/>
        <v>45962</v>
      </c>
      <c r="C47" s="615">
        <f t="shared" si="19"/>
        <v>252872367.50490001</v>
      </c>
      <c r="D47" s="1501"/>
      <c r="E47" s="607">
        <f t="shared" si="22"/>
        <v>1.0000000000000002</v>
      </c>
      <c r="F47" s="608">
        <f t="shared" si="23"/>
        <v>0</v>
      </c>
      <c r="G47" s="605">
        <f t="shared" ca="1" si="20"/>
        <v>0</v>
      </c>
      <c r="H47" s="605">
        <f t="shared" ca="1" si="24"/>
        <v>0</v>
      </c>
      <c r="I47" s="605">
        <f t="shared" ca="1" si="24"/>
        <v>0</v>
      </c>
      <c r="J47" s="605">
        <f t="shared" ca="1" si="24"/>
        <v>0</v>
      </c>
      <c r="K47" s="605">
        <f t="shared" ca="1" si="24"/>
        <v>0</v>
      </c>
      <c r="L47" s="605">
        <f t="shared" ca="1" si="24"/>
        <v>0</v>
      </c>
      <c r="M47" s="605">
        <f t="shared" ca="1" si="24"/>
        <v>0</v>
      </c>
      <c r="N47" s="605">
        <f t="shared" ca="1" si="24"/>
        <v>0</v>
      </c>
      <c r="O47" s="605">
        <f t="shared" ca="1" si="24"/>
        <v>0</v>
      </c>
      <c r="P47" s="605">
        <f t="shared" ca="1" si="24"/>
        <v>0</v>
      </c>
      <c r="Q47" s="605">
        <f t="shared" ca="1" si="24"/>
        <v>0</v>
      </c>
      <c r="R47" s="605">
        <f t="shared" ca="1" si="24"/>
        <v>0</v>
      </c>
      <c r="S47" s="605">
        <f t="shared" ca="1" si="24"/>
        <v>0</v>
      </c>
      <c r="T47" s="605">
        <f t="shared" ca="1" si="24"/>
        <v>0</v>
      </c>
      <c r="U47" s="605">
        <f t="shared" ca="1" si="24"/>
        <v>0</v>
      </c>
      <c r="V47" s="605">
        <f t="shared" ca="1" si="24"/>
        <v>0</v>
      </c>
      <c r="W47" s="605">
        <f t="shared" ca="1" si="24"/>
        <v>0</v>
      </c>
      <c r="X47" s="605">
        <f t="shared" ca="1" si="24"/>
        <v>0</v>
      </c>
      <c r="Y47" s="605">
        <f t="shared" ca="1" si="24"/>
        <v>0</v>
      </c>
      <c r="Z47" s="605">
        <f t="shared" ca="1" si="24"/>
        <v>0</v>
      </c>
      <c r="AA47" s="605">
        <f t="shared" ca="1" si="24"/>
        <v>0</v>
      </c>
      <c r="AB47" s="605">
        <f t="shared" ca="1" si="24"/>
        <v>0</v>
      </c>
      <c r="AC47" s="605">
        <f t="shared" ca="1" si="24"/>
        <v>0</v>
      </c>
      <c r="AD47" s="605">
        <f t="shared" ca="1" si="24"/>
        <v>0</v>
      </c>
      <c r="AE47" s="605">
        <f t="shared" ca="1" si="24"/>
        <v>0</v>
      </c>
      <c r="AF47" s="605">
        <f t="shared" ca="1" si="24"/>
        <v>0</v>
      </c>
      <c r="AG47" s="605">
        <f t="shared" ca="1" si="24"/>
        <v>0</v>
      </c>
      <c r="AH47" s="605">
        <f t="shared" ca="1" si="24"/>
        <v>0</v>
      </c>
      <c r="AI47" s="605">
        <f t="shared" ca="1" si="24"/>
        <v>0</v>
      </c>
      <c r="AJ47" s="605">
        <f t="shared" ca="1" si="24"/>
        <v>0</v>
      </c>
      <c r="AK47" s="605">
        <f t="shared" ca="1" si="24"/>
        <v>0</v>
      </c>
      <c r="AL47" s="605">
        <f t="shared" ca="1" si="24"/>
        <v>0</v>
      </c>
      <c r="AM47" s="605">
        <f t="shared" ca="1" si="24"/>
        <v>0</v>
      </c>
      <c r="AN47" s="605">
        <f t="shared" ca="1" si="24"/>
        <v>0</v>
      </c>
      <c r="AO47" s="605">
        <f t="shared" ca="1" si="24"/>
        <v>0</v>
      </c>
      <c r="AP47" s="605">
        <f t="shared" ca="1" si="24"/>
        <v>0</v>
      </c>
      <c r="AQ47" s="605">
        <f t="shared" ca="1" si="24"/>
        <v>0</v>
      </c>
      <c r="AR47" s="605">
        <f t="shared" ca="1" si="24"/>
        <v>0</v>
      </c>
      <c r="AS47" s="605">
        <f t="shared" ca="1" si="24"/>
        <v>0</v>
      </c>
      <c r="AT47" s="605">
        <f t="shared" ca="1" si="24"/>
        <v>0</v>
      </c>
      <c r="AU47" s="605">
        <f t="shared" ca="1" si="24"/>
        <v>0</v>
      </c>
      <c r="AV47" s="605">
        <f t="shared" ca="1" si="24"/>
        <v>0</v>
      </c>
      <c r="AW47" s="605">
        <f t="shared" ca="1" si="24"/>
        <v>0</v>
      </c>
      <c r="AX47" s="605">
        <f t="shared" ca="1" si="24"/>
        <v>0</v>
      </c>
      <c r="AY47" s="605">
        <f t="shared" ca="1" si="24"/>
        <v>0</v>
      </c>
      <c r="AZ47" s="605">
        <f t="shared" ca="1" si="24"/>
        <v>0</v>
      </c>
      <c r="BA47" s="605">
        <f t="shared" ca="1" si="24"/>
        <v>0</v>
      </c>
      <c r="BB47" s="605">
        <f t="shared" ca="1" si="24"/>
        <v>0</v>
      </c>
      <c r="BC47" s="605">
        <f t="shared" ca="1" si="24"/>
        <v>0</v>
      </c>
      <c r="BD47" s="605">
        <f t="shared" ca="1" si="24"/>
        <v>0</v>
      </c>
      <c r="BE47" s="605">
        <f t="shared" ca="1" si="24"/>
        <v>0</v>
      </c>
      <c r="BF47" s="609">
        <f t="shared" ca="1" si="8"/>
        <v>0</v>
      </c>
      <c r="BG47" s="556">
        <f t="shared" ca="1" si="5"/>
        <v>0</v>
      </c>
      <c r="BH47" s="610"/>
    </row>
    <row r="48" spans="1:60">
      <c r="A48" s="1853"/>
      <c r="B48" s="611">
        <f t="shared" si="6"/>
        <v>45992</v>
      </c>
      <c r="C48" s="615">
        <f t="shared" si="19"/>
        <v>252872367.50490001</v>
      </c>
      <c r="D48" s="1501"/>
      <c r="E48" s="607">
        <f t="shared" si="22"/>
        <v>1.0000000000000002</v>
      </c>
      <c r="F48" s="608">
        <f t="shared" si="23"/>
        <v>0</v>
      </c>
      <c r="G48" s="605">
        <f t="shared" ca="1" si="20"/>
        <v>0</v>
      </c>
      <c r="H48" s="605">
        <f t="shared" ca="1" si="24"/>
        <v>0</v>
      </c>
      <c r="I48" s="605">
        <f t="shared" ca="1" si="24"/>
        <v>0</v>
      </c>
      <c r="J48" s="605">
        <f t="shared" ca="1" si="24"/>
        <v>0</v>
      </c>
      <c r="K48" s="605">
        <f t="shared" ca="1" si="24"/>
        <v>0</v>
      </c>
      <c r="L48" s="605">
        <f t="shared" ca="1" si="24"/>
        <v>0</v>
      </c>
      <c r="M48" s="605">
        <f t="shared" ca="1" si="24"/>
        <v>0</v>
      </c>
      <c r="N48" s="605">
        <f t="shared" ca="1" si="24"/>
        <v>0</v>
      </c>
      <c r="O48" s="605">
        <f t="shared" ca="1" si="24"/>
        <v>0</v>
      </c>
      <c r="P48" s="605">
        <f t="shared" ca="1" si="24"/>
        <v>0</v>
      </c>
      <c r="Q48" s="605">
        <f t="shared" ca="1" si="24"/>
        <v>0</v>
      </c>
      <c r="R48" s="605">
        <f t="shared" ca="1" si="24"/>
        <v>0</v>
      </c>
      <c r="S48" s="605">
        <f t="shared" ca="1" si="24"/>
        <v>0</v>
      </c>
      <c r="T48" s="605">
        <f t="shared" ca="1" si="24"/>
        <v>0</v>
      </c>
      <c r="U48" s="605">
        <f t="shared" ca="1" si="24"/>
        <v>0</v>
      </c>
      <c r="V48" s="605">
        <f t="shared" ca="1" si="24"/>
        <v>0</v>
      </c>
      <c r="W48" s="605">
        <f t="shared" ca="1" si="24"/>
        <v>0</v>
      </c>
      <c r="X48" s="605">
        <f t="shared" ca="1" si="24"/>
        <v>0</v>
      </c>
      <c r="Y48" s="605">
        <f t="shared" ca="1" si="24"/>
        <v>0</v>
      </c>
      <c r="Z48" s="605">
        <f t="shared" ca="1" si="24"/>
        <v>0</v>
      </c>
      <c r="AA48" s="605">
        <f t="shared" ca="1" si="24"/>
        <v>0</v>
      </c>
      <c r="AB48" s="605">
        <f t="shared" ca="1" si="24"/>
        <v>0</v>
      </c>
      <c r="AC48" s="605">
        <f t="shared" ca="1" si="24"/>
        <v>0</v>
      </c>
      <c r="AD48" s="605">
        <f t="shared" ca="1" si="24"/>
        <v>0</v>
      </c>
      <c r="AE48" s="605">
        <f t="shared" ca="1" si="24"/>
        <v>0</v>
      </c>
      <c r="AF48" s="605">
        <f t="shared" ca="1" si="24"/>
        <v>0</v>
      </c>
      <c r="AG48" s="605">
        <f t="shared" ca="1" si="24"/>
        <v>0</v>
      </c>
      <c r="AH48" s="605">
        <f t="shared" ca="1" si="24"/>
        <v>0</v>
      </c>
      <c r="AI48" s="605">
        <f t="shared" ca="1" si="24"/>
        <v>0</v>
      </c>
      <c r="AJ48" s="605">
        <f t="shared" ca="1" si="24"/>
        <v>0</v>
      </c>
      <c r="AK48" s="605">
        <f t="shared" ca="1" si="24"/>
        <v>0</v>
      </c>
      <c r="AL48" s="605">
        <f t="shared" ca="1" si="24"/>
        <v>0</v>
      </c>
      <c r="AM48" s="605">
        <f t="shared" ca="1" si="24"/>
        <v>0</v>
      </c>
      <c r="AN48" s="605">
        <f t="shared" ca="1" si="24"/>
        <v>0</v>
      </c>
      <c r="AO48" s="605">
        <f t="shared" ca="1" si="24"/>
        <v>0</v>
      </c>
      <c r="AP48" s="605">
        <f t="shared" ca="1" si="24"/>
        <v>0</v>
      </c>
      <c r="AQ48" s="605">
        <f t="shared" ca="1" si="24"/>
        <v>0</v>
      </c>
      <c r="AR48" s="605">
        <f t="shared" ca="1" si="24"/>
        <v>0</v>
      </c>
      <c r="AS48" s="605">
        <f t="shared" ca="1" si="24"/>
        <v>0</v>
      </c>
      <c r="AT48" s="605">
        <f t="shared" ca="1" si="24"/>
        <v>0</v>
      </c>
      <c r="AU48" s="605">
        <f t="shared" ca="1" si="24"/>
        <v>0</v>
      </c>
      <c r="AV48" s="605">
        <f t="shared" ca="1" si="24"/>
        <v>0</v>
      </c>
      <c r="AW48" s="605">
        <f t="shared" ca="1" si="24"/>
        <v>0</v>
      </c>
      <c r="AX48" s="605">
        <f t="shared" ca="1" si="24"/>
        <v>0</v>
      </c>
      <c r="AY48" s="605">
        <f t="shared" ca="1" si="24"/>
        <v>0</v>
      </c>
      <c r="AZ48" s="605">
        <f t="shared" ca="1" si="24"/>
        <v>0</v>
      </c>
      <c r="BA48" s="605">
        <f t="shared" ca="1" si="24"/>
        <v>0</v>
      </c>
      <c r="BB48" s="605">
        <f t="shared" ca="1" si="24"/>
        <v>0</v>
      </c>
      <c r="BC48" s="605">
        <f t="shared" ca="1" si="24"/>
        <v>0</v>
      </c>
      <c r="BD48" s="605">
        <f t="shared" ca="1" si="24"/>
        <v>0</v>
      </c>
      <c r="BE48" s="605">
        <f t="shared" ca="1" si="24"/>
        <v>0</v>
      </c>
      <c r="BF48" s="609">
        <f t="shared" ca="1" si="8"/>
        <v>0</v>
      </c>
      <c r="BG48" s="556">
        <f t="shared" ca="1" si="5"/>
        <v>0</v>
      </c>
      <c r="BH48" s="610"/>
    </row>
    <row r="49" spans="1:60">
      <c r="A49" s="1853"/>
      <c r="B49" s="611">
        <f t="shared" si="6"/>
        <v>46023</v>
      </c>
      <c r="C49" s="615">
        <f t="shared" si="19"/>
        <v>252872367.50490001</v>
      </c>
      <c r="D49" s="1501"/>
      <c r="E49" s="607">
        <f t="shared" si="22"/>
        <v>1.0000000000000002</v>
      </c>
      <c r="F49" s="608">
        <f t="shared" si="23"/>
        <v>0</v>
      </c>
      <c r="G49" s="605">
        <f t="shared" ca="1" si="20"/>
        <v>0</v>
      </c>
      <c r="H49" s="605">
        <f t="shared" ca="1" si="24"/>
        <v>0</v>
      </c>
      <c r="I49" s="605">
        <f t="shared" ca="1" si="24"/>
        <v>0</v>
      </c>
      <c r="J49" s="605">
        <f t="shared" ca="1" si="24"/>
        <v>0</v>
      </c>
      <c r="K49" s="605">
        <f t="shared" ca="1" si="24"/>
        <v>0</v>
      </c>
      <c r="L49" s="605">
        <f t="shared" ca="1" si="24"/>
        <v>0</v>
      </c>
      <c r="M49" s="605">
        <f t="shared" ca="1" si="24"/>
        <v>0</v>
      </c>
      <c r="N49" s="605">
        <f t="shared" ca="1" si="24"/>
        <v>0</v>
      </c>
      <c r="O49" s="605">
        <f t="shared" ca="1" si="24"/>
        <v>0</v>
      </c>
      <c r="P49" s="605">
        <f t="shared" ca="1" si="24"/>
        <v>0</v>
      </c>
      <c r="Q49" s="605">
        <f t="shared" ca="1" si="24"/>
        <v>0</v>
      </c>
      <c r="R49" s="605">
        <f t="shared" ca="1" si="24"/>
        <v>0</v>
      </c>
      <c r="S49" s="605">
        <f t="shared" ca="1" si="24"/>
        <v>0</v>
      </c>
      <c r="T49" s="605">
        <f t="shared" ca="1" si="24"/>
        <v>0</v>
      </c>
      <c r="U49" s="605">
        <f t="shared" ca="1" si="24"/>
        <v>0</v>
      </c>
      <c r="V49" s="605">
        <f t="shared" ca="1" si="24"/>
        <v>0</v>
      </c>
      <c r="W49" s="605">
        <f t="shared" ca="1" si="24"/>
        <v>0</v>
      </c>
      <c r="X49" s="605">
        <f t="shared" ca="1" si="24"/>
        <v>0</v>
      </c>
      <c r="Y49" s="605">
        <f t="shared" ca="1" si="24"/>
        <v>0</v>
      </c>
      <c r="Z49" s="605">
        <f t="shared" ca="1" si="24"/>
        <v>0</v>
      </c>
      <c r="AA49" s="605">
        <f t="shared" ca="1" si="24"/>
        <v>0</v>
      </c>
      <c r="AB49" s="605">
        <f t="shared" ca="1" si="24"/>
        <v>0</v>
      </c>
      <c r="AC49" s="605">
        <f t="shared" ca="1" si="24"/>
        <v>0</v>
      </c>
      <c r="AD49" s="605">
        <f t="shared" ca="1" si="24"/>
        <v>0</v>
      </c>
      <c r="AE49" s="605">
        <f t="shared" ca="1" si="24"/>
        <v>0</v>
      </c>
      <c r="AF49" s="605">
        <f t="shared" ca="1" si="24"/>
        <v>0</v>
      </c>
      <c r="AG49" s="605">
        <f t="shared" ca="1" si="24"/>
        <v>0</v>
      </c>
      <c r="AH49" s="605">
        <f t="shared" ca="1" si="24"/>
        <v>0</v>
      </c>
      <c r="AI49" s="605">
        <f t="shared" ca="1" si="24"/>
        <v>0</v>
      </c>
      <c r="AJ49" s="605">
        <f t="shared" ca="1" si="24"/>
        <v>0</v>
      </c>
      <c r="AK49" s="605">
        <f t="shared" ca="1" si="24"/>
        <v>0</v>
      </c>
      <c r="AL49" s="605">
        <f t="shared" ca="1" si="24"/>
        <v>0</v>
      </c>
      <c r="AM49" s="605">
        <f t="shared" ca="1" si="24"/>
        <v>0</v>
      </c>
      <c r="AN49" s="605">
        <f t="shared" ca="1" si="24"/>
        <v>0</v>
      </c>
      <c r="AO49" s="605">
        <f t="shared" ca="1" si="24"/>
        <v>0</v>
      </c>
      <c r="AP49" s="605">
        <f t="shared" ca="1" si="24"/>
        <v>0</v>
      </c>
      <c r="AQ49" s="605">
        <f t="shared" ca="1" si="24"/>
        <v>0</v>
      </c>
      <c r="AR49" s="605">
        <f t="shared" ca="1" si="24"/>
        <v>0</v>
      </c>
      <c r="AS49" s="605">
        <f t="shared" ca="1" si="24"/>
        <v>0</v>
      </c>
      <c r="AT49" s="605">
        <f t="shared" ca="1" si="24"/>
        <v>0</v>
      </c>
      <c r="AU49" s="605">
        <f t="shared" ca="1" si="24"/>
        <v>0</v>
      </c>
      <c r="AV49" s="605">
        <f t="shared" ca="1" si="24"/>
        <v>0</v>
      </c>
      <c r="AW49" s="605">
        <f t="shared" ca="1" si="24"/>
        <v>0</v>
      </c>
      <c r="AX49" s="605">
        <f t="shared" ca="1" si="24"/>
        <v>0</v>
      </c>
      <c r="AY49" s="605">
        <f t="shared" ca="1" si="24"/>
        <v>0</v>
      </c>
      <c r="AZ49" s="605">
        <f t="shared" ca="1" si="24"/>
        <v>0</v>
      </c>
      <c r="BA49" s="605">
        <f t="shared" ca="1" si="24"/>
        <v>0</v>
      </c>
      <c r="BB49" s="605">
        <f t="shared" ca="1" si="24"/>
        <v>0</v>
      </c>
      <c r="BC49" s="605">
        <f t="shared" ca="1" si="24"/>
        <v>0</v>
      </c>
      <c r="BD49" s="605">
        <f t="shared" ca="1" si="24"/>
        <v>0</v>
      </c>
      <c r="BE49" s="605">
        <f t="shared" ca="1" si="24"/>
        <v>0</v>
      </c>
      <c r="BF49" s="609">
        <f t="shared" ca="1" si="8"/>
        <v>0</v>
      </c>
      <c r="BG49" s="556">
        <f t="shared" ca="1" si="5"/>
        <v>0</v>
      </c>
      <c r="BH49" s="610"/>
    </row>
    <row r="50" spans="1:60">
      <c r="A50" s="1853"/>
      <c r="B50" s="611">
        <f t="shared" si="6"/>
        <v>46054</v>
      </c>
      <c r="C50" s="615">
        <f t="shared" si="19"/>
        <v>252872367.50490001</v>
      </c>
      <c r="D50" s="1501">
        <f>1-SUM($D$10:D49)</f>
        <v>0</v>
      </c>
      <c r="E50" s="607">
        <f t="shared" si="22"/>
        <v>1.0000000000000002</v>
      </c>
      <c r="F50" s="608">
        <f t="shared" si="23"/>
        <v>0</v>
      </c>
      <c r="G50" s="605">
        <f t="shared" ca="1" si="20"/>
        <v>0</v>
      </c>
      <c r="H50" s="605">
        <f t="shared" ca="1" si="24"/>
        <v>0</v>
      </c>
      <c r="I50" s="605">
        <f t="shared" ca="1" si="24"/>
        <v>0</v>
      </c>
      <c r="J50" s="605">
        <f t="shared" ca="1" si="24"/>
        <v>0</v>
      </c>
      <c r="K50" s="605">
        <f t="shared" ca="1" si="24"/>
        <v>0</v>
      </c>
      <c r="L50" s="605">
        <f t="shared" ca="1" si="24"/>
        <v>0</v>
      </c>
      <c r="M50" s="605">
        <f t="shared" ca="1" si="24"/>
        <v>0</v>
      </c>
      <c r="N50" s="605">
        <f t="shared" ca="1" si="24"/>
        <v>0</v>
      </c>
      <c r="O50" s="605">
        <f t="shared" ca="1" si="24"/>
        <v>0</v>
      </c>
      <c r="P50" s="605">
        <f t="shared" ca="1" si="24"/>
        <v>0</v>
      </c>
      <c r="Q50" s="605">
        <f t="shared" ca="1" si="24"/>
        <v>0</v>
      </c>
      <c r="R50" s="605">
        <f t="shared" ca="1" si="24"/>
        <v>0</v>
      </c>
      <c r="S50" s="605">
        <f t="shared" ca="1" si="24"/>
        <v>0</v>
      </c>
      <c r="T50" s="605">
        <f t="shared" ca="1" si="24"/>
        <v>0</v>
      </c>
      <c r="U50" s="605">
        <f t="shared" ca="1" si="24"/>
        <v>0</v>
      </c>
      <c r="V50" s="605">
        <f t="shared" ca="1" si="24"/>
        <v>0</v>
      </c>
      <c r="W50" s="605">
        <f t="shared" ca="1" si="24"/>
        <v>0</v>
      </c>
      <c r="X50" s="605">
        <f t="shared" ca="1" si="24"/>
        <v>0</v>
      </c>
      <c r="Y50" s="605">
        <f t="shared" ca="1" si="24"/>
        <v>0</v>
      </c>
      <c r="Z50" s="605">
        <f t="shared" ca="1" si="24"/>
        <v>0</v>
      </c>
      <c r="AA50" s="605">
        <f t="shared" ca="1" si="24"/>
        <v>0</v>
      </c>
      <c r="AB50" s="605">
        <f t="shared" ca="1" si="24"/>
        <v>0</v>
      </c>
      <c r="AC50" s="605">
        <f t="shared" ca="1" si="24"/>
        <v>0</v>
      </c>
      <c r="AD50" s="605">
        <f t="shared" ca="1" si="24"/>
        <v>0</v>
      </c>
      <c r="AE50" s="605">
        <f t="shared" ca="1" si="24"/>
        <v>0</v>
      </c>
      <c r="AF50" s="605">
        <f t="shared" ca="1" si="24"/>
        <v>0</v>
      </c>
      <c r="AG50" s="605">
        <f t="shared" ca="1" si="24"/>
        <v>0</v>
      </c>
      <c r="AH50" s="605">
        <f t="shared" ca="1" si="24"/>
        <v>0</v>
      </c>
      <c r="AI50" s="605">
        <f t="shared" ca="1" si="24"/>
        <v>0</v>
      </c>
      <c r="AJ50" s="605">
        <f t="shared" ca="1" si="24"/>
        <v>0</v>
      </c>
      <c r="AK50" s="605">
        <f t="shared" ca="1" si="24"/>
        <v>0</v>
      </c>
      <c r="AL50" s="605">
        <f t="shared" ca="1" si="24"/>
        <v>0</v>
      </c>
      <c r="AM50" s="605">
        <f t="shared" ca="1" si="24"/>
        <v>0</v>
      </c>
      <c r="AN50" s="605">
        <f t="shared" ca="1" si="24"/>
        <v>0</v>
      </c>
      <c r="AO50" s="605">
        <f t="shared" ca="1" si="24"/>
        <v>0</v>
      </c>
      <c r="AP50" s="605">
        <f t="shared" ca="1" si="24"/>
        <v>0</v>
      </c>
      <c r="AQ50" s="605">
        <f t="shared" ca="1" si="24"/>
        <v>0</v>
      </c>
      <c r="AR50" s="605">
        <f t="shared" ca="1" si="24"/>
        <v>0</v>
      </c>
      <c r="AS50" s="605">
        <f t="shared" ca="1" si="24"/>
        <v>0</v>
      </c>
      <c r="AT50" s="605">
        <f t="shared" ca="1" si="24"/>
        <v>0</v>
      </c>
      <c r="AU50" s="605">
        <f t="shared" ca="1" si="24"/>
        <v>0</v>
      </c>
      <c r="AV50" s="605">
        <f t="shared" ca="1" si="24"/>
        <v>0</v>
      </c>
      <c r="AW50" s="605">
        <f t="shared" ca="1" si="24"/>
        <v>0</v>
      </c>
      <c r="AX50" s="605">
        <f t="shared" ca="1" si="24"/>
        <v>0</v>
      </c>
      <c r="AY50" s="605">
        <f t="shared" ca="1" si="24"/>
        <v>0</v>
      </c>
      <c r="AZ50" s="605">
        <f t="shared" ca="1" si="24"/>
        <v>0</v>
      </c>
      <c r="BA50" s="605">
        <f t="shared" ca="1" si="24"/>
        <v>0</v>
      </c>
      <c r="BB50" s="605">
        <f t="shared" ca="1" si="24"/>
        <v>0</v>
      </c>
      <c r="BC50" s="605">
        <f t="shared" ca="1" si="24"/>
        <v>0</v>
      </c>
      <c r="BD50" s="605">
        <f t="shared" ca="1" si="24"/>
        <v>0</v>
      </c>
      <c r="BE50" s="605">
        <f t="shared" ca="1" si="24"/>
        <v>0</v>
      </c>
      <c r="BF50" s="609">
        <f t="shared" ca="1" si="8"/>
        <v>0</v>
      </c>
      <c r="BG50" s="556">
        <f t="shared" ca="1" si="5"/>
        <v>0</v>
      </c>
      <c r="BH50" s="610"/>
    </row>
    <row r="51" spans="1:60">
      <c r="A51" s="1853"/>
      <c r="B51" s="611">
        <f t="shared" si="6"/>
        <v>46082</v>
      </c>
      <c r="C51" s="615">
        <f t="shared" si="19"/>
        <v>252872367.50490001</v>
      </c>
      <c r="D51" s="1501"/>
      <c r="E51" s="607">
        <f t="shared" si="22"/>
        <v>1.0000000000000002</v>
      </c>
      <c r="F51" s="608">
        <f t="shared" si="23"/>
        <v>0</v>
      </c>
      <c r="G51" s="605">
        <f t="shared" ca="1" si="20"/>
        <v>0</v>
      </c>
      <c r="H51" s="605">
        <f t="shared" ca="1" si="24"/>
        <v>0</v>
      </c>
      <c r="I51" s="605">
        <f t="shared" ca="1" si="24"/>
        <v>0</v>
      </c>
      <c r="J51" s="605">
        <f t="shared" ca="1" si="24"/>
        <v>0</v>
      </c>
      <c r="K51" s="605">
        <f t="shared" ca="1" si="24"/>
        <v>0</v>
      </c>
      <c r="L51" s="605">
        <f t="shared" ca="1" si="24"/>
        <v>0</v>
      </c>
      <c r="M51" s="605">
        <f t="shared" ref="H51:BE56" ca="1" si="25">IF(TEXT(M$8,"yyyy-mm")&lt;TEXT($B51,"yyyy-mm"),0,IF(TEXT(M$8,"yyyy-mm")=TEXT($B51,"yyyy-mm"),$F51*$B$5,IF(M$9="1차중도금",$F51*$C$5/6,IF(M$9="2차중도금",MAX(0,$F51*$C$5/6*2-SUM(INDIRECT("$G$10:"&amp;ADDRESS(ROW(),COLUMN()-1)))),IF(M$9="3차중도금",MAX(0,$F51*$C$5/6*3-SUM(INDIRECT("$G$10:"&amp;ADDRESS(ROW(),COLUMN()-1)))),IF(M$9="4차중도금",MAX(0,$F51*$C$5/6*4-SUM(INDIRECT("$G$10:"&amp;ADDRESS(ROW(),COLUMN()-1)))),IF(M$9="5차중도금",MAX(0,$F51*$C$5/6*5-SUM(INDIRECT("$G$10:"&amp;ADDRESS(ROW(),COLUMN()-1)))),IF(M$9="6차중도금",MAX(0,$F51*$C$5-SUM(INDIRECT("$G$10:"&amp;ADDRESS(ROW(),COLUMN()-1)))),IF(ISNUMBER(SEARCH("입주",M$9)),$F51*$D$5*INDEX($E$6:$I$6,VALUE(RIGHT(M$9,1))),0)))))))))</f>
        <v>0</v>
      </c>
      <c r="N51" s="605">
        <f t="shared" ca="1" si="25"/>
        <v>0</v>
      </c>
      <c r="O51" s="605">
        <f t="shared" ca="1" si="25"/>
        <v>0</v>
      </c>
      <c r="P51" s="605">
        <f t="shared" ca="1" si="25"/>
        <v>0</v>
      </c>
      <c r="Q51" s="605">
        <f t="shared" ca="1" si="25"/>
        <v>0</v>
      </c>
      <c r="R51" s="605">
        <f t="shared" ca="1" si="25"/>
        <v>0</v>
      </c>
      <c r="S51" s="605">
        <f t="shared" ca="1" si="25"/>
        <v>0</v>
      </c>
      <c r="T51" s="605">
        <f t="shared" ca="1" si="25"/>
        <v>0</v>
      </c>
      <c r="U51" s="605">
        <f t="shared" ca="1" si="25"/>
        <v>0</v>
      </c>
      <c r="V51" s="605">
        <f t="shared" ca="1" si="25"/>
        <v>0</v>
      </c>
      <c r="W51" s="605">
        <f t="shared" ca="1" si="25"/>
        <v>0</v>
      </c>
      <c r="X51" s="605">
        <f t="shared" ca="1" si="25"/>
        <v>0</v>
      </c>
      <c r="Y51" s="605">
        <f t="shared" ca="1" si="25"/>
        <v>0</v>
      </c>
      <c r="Z51" s="605">
        <f t="shared" ca="1" si="25"/>
        <v>0</v>
      </c>
      <c r="AA51" s="605">
        <f t="shared" ca="1" si="25"/>
        <v>0</v>
      </c>
      <c r="AB51" s="605">
        <f t="shared" ca="1" si="25"/>
        <v>0</v>
      </c>
      <c r="AC51" s="605">
        <f t="shared" ca="1" si="25"/>
        <v>0</v>
      </c>
      <c r="AD51" s="605">
        <f t="shared" ca="1" si="25"/>
        <v>0</v>
      </c>
      <c r="AE51" s="605">
        <f t="shared" ca="1" si="25"/>
        <v>0</v>
      </c>
      <c r="AF51" s="605">
        <f t="shared" ca="1" si="25"/>
        <v>0</v>
      </c>
      <c r="AG51" s="605">
        <f t="shared" ca="1" si="25"/>
        <v>0</v>
      </c>
      <c r="AH51" s="605">
        <f t="shared" ca="1" si="25"/>
        <v>0</v>
      </c>
      <c r="AI51" s="605">
        <f t="shared" ca="1" si="25"/>
        <v>0</v>
      </c>
      <c r="AJ51" s="605">
        <f t="shared" ca="1" si="25"/>
        <v>0</v>
      </c>
      <c r="AK51" s="605">
        <f t="shared" ca="1" si="25"/>
        <v>0</v>
      </c>
      <c r="AL51" s="605">
        <f t="shared" ca="1" si="25"/>
        <v>0</v>
      </c>
      <c r="AM51" s="605">
        <f t="shared" ca="1" si="25"/>
        <v>0</v>
      </c>
      <c r="AN51" s="605">
        <f t="shared" ca="1" si="25"/>
        <v>0</v>
      </c>
      <c r="AO51" s="605">
        <f t="shared" ca="1" si="25"/>
        <v>0</v>
      </c>
      <c r="AP51" s="605">
        <f t="shared" ca="1" si="25"/>
        <v>0</v>
      </c>
      <c r="AQ51" s="605">
        <f t="shared" ca="1" si="25"/>
        <v>0</v>
      </c>
      <c r="AR51" s="605">
        <f t="shared" ca="1" si="25"/>
        <v>0</v>
      </c>
      <c r="AS51" s="605">
        <f t="shared" ca="1" si="25"/>
        <v>0</v>
      </c>
      <c r="AT51" s="605">
        <f t="shared" ca="1" si="25"/>
        <v>0</v>
      </c>
      <c r="AU51" s="605">
        <f t="shared" ca="1" si="25"/>
        <v>0</v>
      </c>
      <c r="AV51" s="605">
        <f t="shared" ca="1" si="25"/>
        <v>0</v>
      </c>
      <c r="AW51" s="605">
        <f t="shared" ca="1" si="25"/>
        <v>0</v>
      </c>
      <c r="AX51" s="605">
        <f t="shared" ca="1" si="25"/>
        <v>0</v>
      </c>
      <c r="AY51" s="605">
        <f t="shared" ca="1" si="25"/>
        <v>0</v>
      </c>
      <c r="AZ51" s="605">
        <f t="shared" ca="1" si="25"/>
        <v>0</v>
      </c>
      <c r="BA51" s="605">
        <f t="shared" ca="1" si="25"/>
        <v>0</v>
      </c>
      <c r="BB51" s="605">
        <f t="shared" ca="1" si="25"/>
        <v>0</v>
      </c>
      <c r="BC51" s="605">
        <f t="shared" ca="1" si="25"/>
        <v>0</v>
      </c>
      <c r="BD51" s="605">
        <f t="shared" ca="1" si="25"/>
        <v>0</v>
      </c>
      <c r="BE51" s="605">
        <f t="shared" ca="1" si="25"/>
        <v>0</v>
      </c>
      <c r="BF51" s="609">
        <f t="shared" ca="1" si="8"/>
        <v>0</v>
      </c>
      <c r="BG51" s="556">
        <f t="shared" ca="1" si="5"/>
        <v>0</v>
      </c>
      <c r="BH51" s="610"/>
    </row>
    <row r="52" spans="1:60">
      <c r="A52" s="1853"/>
      <c r="B52" s="611">
        <f t="shared" si="6"/>
        <v>46113</v>
      </c>
      <c r="C52" s="615">
        <f t="shared" si="19"/>
        <v>252872367.50490001</v>
      </c>
      <c r="D52" s="1501"/>
      <c r="E52" s="607">
        <f t="shared" si="22"/>
        <v>1.0000000000000002</v>
      </c>
      <c r="F52" s="608">
        <f t="shared" si="23"/>
        <v>0</v>
      </c>
      <c r="G52" s="605">
        <f t="shared" ca="1" si="20"/>
        <v>0</v>
      </c>
      <c r="H52" s="605">
        <f t="shared" ca="1" si="25"/>
        <v>0</v>
      </c>
      <c r="I52" s="605">
        <f t="shared" ca="1" si="25"/>
        <v>0</v>
      </c>
      <c r="J52" s="605">
        <f t="shared" ca="1" si="25"/>
        <v>0</v>
      </c>
      <c r="K52" s="605">
        <f t="shared" ca="1" si="25"/>
        <v>0</v>
      </c>
      <c r="L52" s="605">
        <f t="shared" ca="1" si="25"/>
        <v>0</v>
      </c>
      <c r="M52" s="605">
        <f t="shared" ca="1" si="25"/>
        <v>0</v>
      </c>
      <c r="N52" s="605">
        <f t="shared" ca="1" si="25"/>
        <v>0</v>
      </c>
      <c r="O52" s="605">
        <f t="shared" ca="1" si="25"/>
        <v>0</v>
      </c>
      <c r="P52" s="605">
        <f t="shared" ca="1" si="25"/>
        <v>0</v>
      </c>
      <c r="Q52" s="605">
        <f t="shared" ca="1" si="25"/>
        <v>0</v>
      </c>
      <c r="R52" s="605">
        <f t="shared" ca="1" si="25"/>
        <v>0</v>
      </c>
      <c r="S52" s="605">
        <f t="shared" ca="1" si="25"/>
        <v>0</v>
      </c>
      <c r="T52" s="605">
        <f t="shared" ca="1" si="25"/>
        <v>0</v>
      </c>
      <c r="U52" s="605">
        <f t="shared" ca="1" si="25"/>
        <v>0</v>
      </c>
      <c r="V52" s="605">
        <f t="shared" ca="1" si="25"/>
        <v>0</v>
      </c>
      <c r="W52" s="605">
        <f t="shared" ca="1" si="25"/>
        <v>0</v>
      </c>
      <c r="X52" s="605">
        <f t="shared" ca="1" si="25"/>
        <v>0</v>
      </c>
      <c r="Y52" s="605">
        <f t="shared" ca="1" si="25"/>
        <v>0</v>
      </c>
      <c r="Z52" s="605">
        <f t="shared" ca="1" si="25"/>
        <v>0</v>
      </c>
      <c r="AA52" s="605">
        <f t="shared" ca="1" si="25"/>
        <v>0</v>
      </c>
      <c r="AB52" s="605">
        <f t="shared" ca="1" si="25"/>
        <v>0</v>
      </c>
      <c r="AC52" s="605">
        <f t="shared" ca="1" si="25"/>
        <v>0</v>
      </c>
      <c r="AD52" s="605">
        <f t="shared" ca="1" si="25"/>
        <v>0</v>
      </c>
      <c r="AE52" s="605">
        <f t="shared" ca="1" si="25"/>
        <v>0</v>
      </c>
      <c r="AF52" s="605">
        <f t="shared" ca="1" si="25"/>
        <v>0</v>
      </c>
      <c r="AG52" s="605">
        <f t="shared" ca="1" si="25"/>
        <v>0</v>
      </c>
      <c r="AH52" s="605">
        <f t="shared" ca="1" si="25"/>
        <v>0</v>
      </c>
      <c r="AI52" s="605">
        <f t="shared" ca="1" si="25"/>
        <v>0</v>
      </c>
      <c r="AJ52" s="605">
        <f t="shared" ca="1" si="25"/>
        <v>0</v>
      </c>
      <c r="AK52" s="605">
        <f t="shared" ca="1" si="25"/>
        <v>0</v>
      </c>
      <c r="AL52" s="605">
        <f t="shared" ca="1" si="25"/>
        <v>0</v>
      </c>
      <c r="AM52" s="605">
        <f t="shared" ca="1" si="25"/>
        <v>0</v>
      </c>
      <c r="AN52" s="605">
        <f t="shared" ca="1" si="25"/>
        <v>0</v>
      </c>
      <c r="AO52" s="605">
        <f t="shared" ca="1" si="25"/>
        <v>0</v>
      </c>
      <c r="AP52" s="605">
        <f t="shared" ca="1" si="25"/>
        <v>0</v>
      </c>
      <c r="AQ52" s="605">
        <f t="shared" ca="1" si="25"/>
        <v>0</v>
      </c>
      <c r="AR52" s="605">
        <f t="shared" ca="1" si="25"/>
        <v>0</v>
      </c>
      <c r="AS52" s="605">
        <f t="shared" ca="1" si="25"/>
        <v>0</v>
      </c>
      <c r="AT52" s="605">
        <f t="shared" ca="1" si="25"/>
        <v>0</v>
      </c>
      <c r="AU52" s="605">
        <f t="shared" ca="1" si="25"/>
        <v>0</v>
      </c>
      <c r="AV52" s="605">
        <f t="shared" ca="1" si="25"/>
        <v>0</v>
      </c>
      <c r="AW52" s="605">
        <f t="shared" ca="1" si="25"/>
        <v>0</v>
      </c>
      <c r="AX52" s="605">
        <f t="shared" ca="1" si="25"/>
        <v>0</v>
      </c>
      <c r="AY52" s="605">
        <f t="shared" ca="1" si="25"/>
        <v>0</v>
      </c>
      <c r="AZ52" s="605">
        <f t="shared" ca="1" si="25"/>
        <v>0</v>
      </c>
      <c r="BA52" s="605">
        <f t="shared" ca="1" si="25"/>
        <v>0</v>
      </c>
      <c r="BB52" s="605">
        <f t="shared" ca="1" si="25"/>
        <v>0</v>
      </c>
      <c r="BC52" s="605">
        <f t="shared" ca="1" si="25"/>
        <v>0</v>
      </c>
      <c r="BD52" s="605">
        <f t="shared" ca="1" si="25"/>
        <v>0</v>
      </c>
      <c r="BE52" s="605">
        <f t="shared" ca="1" si="25"/>
        <v>0</v>
      </c>
      <c r="BF52" s="609">
        <f t="shared" ca="1" si="8"/>
        <v>0</v>
      </c>
      <c r="BG52" s="556">
        <f t="shared" ca="1" si="5"/>
        <v>0</v>
      </c>
      <c r="BH52" s="610"/>
    </row>
    <row r="53" spans="1:60">
      <c r="A53" s="1853"/>
      <c r="B53" s="611">
        <f t="shared" si="6"/>
        <v>46143</v>
      </c>
      <c r="C53" s="615">
        <f t="shared" si="19"/>
        <v>252872367.50490001</v>
      </c>
      <c r="D53" s="1501"/>
      <c r="E53" s="607">
        <f t="shared" si="22"/>
        <v>1.0000000000000002</v>
      </c>
      <c r="F53" s="608">
        <f t="shared" si="23"/>
        <v>0</v>
      </c>
      <c r="G53" s="605">
        <f t="shared" ca="1" si="20"/>
        <v>0</v>
      </c>
      <c r="H53" s="605">
        <f t="shared" ca="1" si="25"/>
        <v>0</v>
      </c>
      <c r="I53" s="605">
        <f t="shared" ca="1" si="25"/>
        <v>0</v>
      </c>
      <c r="J53" s="605">
        <f t="shared" ca="1" si="25"/>
        <v>0</v>
      </c>
      <c r="K53" s="605">
        <f t="shared" ca="1" si="25"/>
        <v>0</v>
      </c>
      <c r="L53" s="605">
        <f t="shared" ca="1" si="25"/>
        <v>0</v>
      </c>
      <c r="M53" s="605">
        <f t="shared" ca="1" si="25"/>
        <v>0</v>
      </c>
      <c r="N53" s="605">
        <f t="shared" ca="1" si="25"/>
        <v>0</v>
      </c>
      <c r="O53" s="605">
        <f t="shared" ca="1" si="25"/>
        <v>0</v>
      </c>
      <c r="P53" s="605">
        <f t="shared" ca="1" si="25"/>
        <v>0</v>
      </c>
      <c r="Q53" s="605">
        <f t="shared" ca="1" si="25"/>
        <v>0</v>
      </c>
      <c r="R53" s="605">
        <f t="shared" ca="1" si="25"/>
        <v>0</v>
      </c>
      <c r="S53" s="605">
        <f t="shared" ca="1" si="25"/>
        <v>0</v>
      </c>
      <c r="T53" s="605">
        <f t="shared" ca="1" si="25"/>
        <v>0</v>
      </c>
      <c r="U53" s="605">
        <f t="shared" ca="1" si="25"/>
        <v>0</v>
      </c>
      <c r="V53" s="605">
        <f t="shared" ca="1" si="25"/>
        <v>0</v>
      </c>
      <c r="W53" s="605">
        <f t="shared" ca="1" si="25"/>
        <v>0</v>
      </c>
      <c r="X53" s="605">
        <f t="shared" ca="1" si="25"/>
        <v>0</v>
      </c>
      <c r="Y53" s="605">
        <f t="shared" ca="1" si="25"/>
        <v>0</v>
      </c>
      <c r="Z53" s="605">
        <f t="shared" ca="1" si="25"/>
        <v>0</v>
      </c>
      <c r="AA53" s="605">
        <f t="shared" ca="1" si="25"/>
        <v>0</v>
      </c>
      <c r="AB53" s="605">
        <f t="shared" ca="1" si="25"/>
        <v>0</v>
      </c>
      <c r="AC53" s="605">
        <f t="shared" ca="1" si="25"/>
        <v>0</v>
      </c>
      <c r="AD53" s="605">
        <f t="shared" ca="1" si="25"/>
        <v>0</v>
      </c>
      <c r="AE53" s="605">
        <f t="shared" ca="1" si="25"/>
        <v>0</v>
      </c>
      <c r="AF53" s="605">
        <f t="shared" ca="1" si="25"/>
        <v>0</v>
      </c>
      <c r="AG53" s="605">
        <f t="shared" ca="1" si="25"/>
        <v>0</v>
      </c>
      <c r="AH53" s="605">
        <f t="shared" ca="1" si="25"/>
        <v>0</v>
      </c>
      <c r="AI53" s="605">
        <f t="shared" ca="1" si="25"/>
        <v>0</v>
      </c>
      <c r="AJ53" s="605">
        <f t="shared" ca="1" si="25"/>
        <v>0</v>
      </c>
      <c r="AK53" s="605">
        <f t="shared" ca="1" si="25"/>
        <v>0</v>
      </c>
      <c r="AL53" s="605">
        <f t="shared" ca="1" si="25"/>
        <v>0</v>
      </c>
      <c r="AM53" s="605">
        <f t="shared" ca="1" si="25"/>
        <v>0</v>
      </c>
      <c r="AN53" s="605">
        <f t="shared" ca="1" si="25"/>
        <v>0</v>
      </c>
      <c r="AO53" s="605">
        <f t="shared" ca="1" si="25"/>
        <v>0</v>
      </c>
      <c r="AP53" s="605">
        <f t="shared" ca="1" si="25"/>
        <v>0</v>
      </c>
      <c r="AQ53" s="605">
        <f t="shared" ca="1" si="25"/>
        <v>0</v>
      </c>
      <c r="AR53" s="605">
        <f t="shared" ca="1" si="25"/>
        <v>0</v>
      </c>
      <c r="AS53" s="605">
        <f t="shared" ca="1" si="25"/>
        <v>0</v>
      </c>
      <c r="AT53" s="605">
        <f t="shared" ca="1" si="25"/>
        <v>0</v>
      </c>
      <c r="AU53" s="605">
        <f t="shared" ca="1" si="25"/>
        <v>0</v>
      </c>
      <c r="AV53" s="605">
        <f t="shared" ca="1" si="25"/>
        <v>0</v>
      </c>
      <c r="AW53" s="605">
        <f t="shared" ca="1" si="25"/>
        <v>0</v>
      </c>
      <c r="AX53" s="605">
        <f t="shared" ca="1" si="25"/>
        <v>0</v>
      </c>
      <c r="AY53" s="605">
        <f t="shared" ca="1" si="25"/>
        <v>0</v>
      </c>
      <c r="AZ53" s="605">
        <f t="shared" ca="1" si="25"/>
        <v>0</v>
      </c>
      <c r="BA53" s="605">
        <f t="shared" ca="1" si="25"/>
        <v>0</v>
      </c>
      <c r="BB53" s="605">
        <f t="shared" ca="1" si="25"/>
        <v>0</v>
      </c>
      <c r="BC53" s="605">
        <f t="shared" ca="1" si="25"/>
        <v>0</v>
      </c>
      <c r="BD53" s="605">
        <f t="shared" ca="1" si="25"/>
        <v>0</v>
      </c>
      <c r="BE53" s="605">
        <f t="shared" ca="1" si="25"/>
        <v>0</v>
      </c>
      <c r="BF53" s="609">
        <f t="shared" ca="1" si="8"/>
        <v>0</v>
      </c>
      <c r="BG53" s="556">
        <f t="shared" ca="1" si="5"/>
        <v>0</v>
      </c>
      <c r="BH53" s="610"/>
    </row>
    <row r="54" spans="1:60">
      <c r="A54" s="1853"/>
      <c r="B54" s="611">
        <f t="shared" si="6"/>
        <v>46174</v>
      </c>
      <c r="C54" s="615">
        <f t="shared" si="19"/>
        <v>252872367.50490001</v>
      </c>
      <c r="D54" s="1501"/>
      <c r="E54" s="607">
        <f t="shared" si="22"/>
        <v>1.0000000000000002</v>
      </c>
      <c r="F54" s="608">
        <f t="shared" si="23"/>
        <v>0</v>
      </c>
      <c r="G54" s="605">
        <f t="shared" ca="1" si="20"/>
        <v>0</v>
      </c>
      <c r="H54" s="605">
        <f t="shared" ca="1" si="25"/>
        <v>0</v>
      </c>
      <c r="I54" s="605">
        <f t="shared" ca="1" si="25"/>
        <v>0</v>
      </c>
      <c r="J54" s="605">
        <f t="shared" ca="1" si="25"/>
        <v>0</v>
      </c>
      <c r="K54" s="605">
        <f t="shared" ca="1" si="25"/>
        <v>0</v>
      </c>
      <c r="L54" s="605">
        <f t="shared" ca="1" si="25"/>
        <v>0</v>
      </c>
      <c r="M54" s="605">
        <f t="shared" ca="1" si="25"/>
        <v>0</v>
      </c>
      <c r="N54" s="605">
        <f t="shared" ca="1" si="25"/>
        <v>0</v>
      </c>
      <c r="O54" s="605">
        <f t="shared" ca="1" si="25"/>
        <v>0</v>
      </c>
      <c r="P54" s="605">
        <f t="shared" ca="1" si="25"/>
        <v>0</v>
      </c>
      <c r="Q54" s="605">
        <f t="shared" ca="1" si="25"/>
        <v>0</v>
      </c>
      <c r="R54" s="605">
        <f t="shared" ca="1" si="25"/>
        <v>0</v>
      </c>
      <c r="S54" s="605">
        <f t="shared" ca="1" si="25"/>
        <v>0</v>
      </c>
      <c r="T54" s="605">
        <f t="shared" ca="1" si="25"/>
        <v>0</v>
      </c>
      <c r="U54" s="605">
        <f t="shared" ca="1" si="25"/>
        <v>0</v>
      </c>
      <c r="V54" s="605">
        <f t="shared" ca="1" si="25"/>
        <v>0</v>
      </c>
      <c r="W54" s="605">
        <f t="shared" ca="1" si="25"/>
        <v>0</v>
      </c>
      <c r="X54" s="605">
        <f t="shared" ca="1" si="25"/>
        <v>0</v>
      </c>
      <c r="Y54" s="605">
        <f t="shared" ca="1" si="25"/>
        <v>0</v>
      </c>
      <c r="Z54" s="605">
        <f t="shared" ca="1" si="25"/>
        <v>0</v>
      </c>
      <c r="AA54" s="605">
        <f t="shared" ca="1" si="25"/>
        <v>0</v>
      </c>
      <c r="AB54" s="605">
        <f t="shared" ca="1" si="25"/>
        <v>0</v>
      </c>
      <c r="AC54" s="605">
        <f t="shared" ca="1" si="25"/>
        <v>0</v>
      </c>
      <c r="AD54" s="605">
        <f t="shared" ca="1" si="25"/>
        <v>0</v>
      </c>
      <c r="AE54" s="605">
        <f t="shared" ca="1" si="25"/>
        <v>0</v>
      </c>
      <c r="AF54" s="605">
        <f t="shared" ca="1" si="25"/>
        <v>0</v>
      </c>
      <c r="AG54" s="605">
        <f t="shared" ca="1" si="25"/>
        <v>0</v>
      </c>
      <c r="AH54" s="605">
        <f t="shared" ca="1" si="25"/>
        <v>0</v>
      </c>
      <c r="AI54" s="605">
        <f t="shared" ca="1" si="25"/>
        <v>0</v>
      </c>
      <c r="AJ54" s="605">
        <f t="shared" ca="1" si="25"/>
        <v>0</v>
      </c>
      <c r="AK54" s="605">
        <f t="shared" ca="1" si="25"/>
        <v>0</v>
      </c>
      <c r="AL54" s="605">
        <f t="shared" ca="1" si="25"/>
        <v>0</v>
      </c>
      <c r="AM54" s="605">
        <f t="shared" ca="1" si="25"/>
        <v>0</v>
      </c>
      <c r="AN54" s="605">
        <f t="shared" ca="1" si="25"/>
        <v>0</v>
      </c>
      <c r="AO54" s="605">
        <f t="shared" ca="1" si="25"/>
        <v>0</v>
      </c>
      <c r="AP54" s="605">
        <f t="shared" ca="1" si="25"/>
        <v>0</v>
      </c>
      <c r="AQ54" s="605">
        <f t="shared" ca="1" si="25"/>
        <v>0</v>
      </c>
      <c r="AR54" s="605">
        <f t="shared" ca="1" si="25"/>
        <v>0</v>
      </c>
      <c r="AS54" s="605">
        <f t="shared" ca="1" si="25"/>
        <v>0</v>
      </c>
      <c r="AT54" s="605">
        <f t="shared" ca="1" si="25"/>
        <v>0</v>
      </c>
      <c r="AU54" s="605">
        <f t="shared" ca="1" si="25"/>
        <v>0</v>
      </c>
      <c r="AV54" s="605">
        <f t="shared" ca="1" si="25"/>
        <v>0</v>
      </c>
      <c r="AW54" s="605">
        <f t="shared" ca="1" si="25"/>
        <v>0</v>
      </c>
      <c r="AX54" s="605">
        <f t="shared" ca="1" si="25"/>
        <v>0</v>
      </c>
      <c r="AY54" s="605">
        <f t="shared" ca="1" si="25"/>
        <v>0</v>
      </c>
      <c r="AZ54" s="605">
        <f t="shared" ca="1" si="25"/>
        <v>0</v>
      </c>
      <c r="BA54" s="605">
        <f t="shared" ca="1" si="25"/>
        <v>0</v>
      </c>
      <c r="BB54" s="605">
        <f t="shared" ca="1" si="25"/>
        <v>0</v>
      </c>
      <c r="BC54" s="605">
        <f t="shared" ca="1" si="25"/>
        <v>0</v>
      </c>
      <c r="BD54" s="605">
        <f t="shared" ca="1" si="25"/>
        <v>0</v>
      </c>
      <c r="BE54" s="605">
        <f t="shared" ca="1" si="25"/>
        <v>0</v>
      </c>
      <c r="BF54" s="609">
        <f t="shared" ca="1" si="8"/>
        <v>0</v>
      </c>
      <c r="BG54" s="556">
        <f t="shared" ca="1" si="5"/>
        <v>0</v>
      </c>
      <c r="BH54" s="610"/>
    </row>
    <row r="55" spans="1:60">
      <c r="A55" s="1853"/>
      <c r="B55" s="611">
        <f t="shared" si="6"/>
        <v>46204</v>
      </c>
      <c r="C55" s="615">
        <f t="shared" si="19"/>
        <v>252872367.50490001</v>
      </c>
      <c r="D55" s="1501"/>
      <c r="E55" s="607">
        <f t="shared" si="22"/>
        <v>1.0000000000000002</v>
      </c>
      <c r="F55" s="608">
        <f t="shared" si="23"/>
        <v>0</v>
      </c>
      <c r="G55" s="605">
        <f t="shared" ca="1" si="20"/>
        <v>0</v>
      </c>
      <c r="H55" s="605">
        <f t="shared" ca="1" si="25"/>
        <v>0</v>
      </c>
      <c r="I55" s="605">
        <f t="shared" ca="1" si="25"/>
        <v>0</v>
      </c>
      <c r="J55" s="605">
        <f t="shared" ca="1" si="25"/>
        <v>0</v>
      </c>
      <c r="K55" s="605">
        <f t="shared" ca="1" si="25"/>
        <v>0</v>
      </c>
      <c r="L55" s="605">
        <f t="shared" ca="1" si="25"/>
        <v>0</v>
      </c>
      <c r="M55" s="605">
        <f t="shared" ca="1" si="25"/>
        <v>0</v>
      </c>
      <c r="N55" s="605">
        <f t="shared" ca="1" si="25"/>
        <v>0</v>
      </c>
      <c r="O55" s="605">
        <f t="shared" ca="1" si="25"/>
        <v>0</v>
      </c>
      <c r="P55" s="605">
        <f t="shared" ca="1" si="25"/>
        <v>0</v>
      </c>
      <c r="Q55" s="605">
        <f t="shared" ca="1" si="25"/>
        <v>0</v>
      </c>
      <c r="R55" s="605">
        <f t="shared" ca="1" si="25"/>
        <v>0</v>
      </c>
      <c r="S55" s="605">
        <f t="shared" ca="1" si="25"/>
        <v>0</v>
      </c>
      <c r="T55" s="605">
        <f t="shared" ca="1" si="25"/>
        <v>0</v>
      </c>
      <c r="U55" s="605">
        <f t="shared" ca="1" si="25"/>
        <v>0</v>
      </c>
      <c r="V55" s="605">
        <f t="shared" ca="1" si="25"/>
        <v>0</v>
      </c>
      <c r="W55" s="605">
        <f t="shared" ca="1" si="25"/>
        <v>0</v>
      </c>
      <c r="X55" s="605">
        <f t="shared" ca="1" si="25"/>
        <v>0</v>
      </c>
      <c r="Y55" s="605">
        <f t="shared" ca="1" si="25"/>
        <v>0</v>
      </c>
      <c r="Z55" s="605">
        <f t="shared" ca="1" si="25"/>
        <v>0</v>
      </c>
      <c r="AA55" s="605">
        <f t="shared" ca="1" si="25"/>
        <v>0</v>
      </c>
      <c r="AB55" s="605">
        <f t="shared" ca="1" si="25"/>
        <v>0</v>
      </c>
      <c r="AC55" s="605">
        <f t="shared" ca="1" si="25"/>
        <v>0</v>
      </c>
      <c r="AD55" s="605">
        <f t="shared" ca="1" si="25"/>
        <v>0</v>
      </c>
      <c r="AE55" s="605">
        <f t="shared" ca="1" si="25"/>
        <v>0</v>
      </c>
      <c r="AF55" s="605">
        <f t="shared" ca="1" si="25"/>
        <v>0</v>
      </c>
      <c r="AG55" s="605">
        <f t="shared" ca="1" si="25"/>
        <v>0</v>
      </c>
      <c r="AH55" s="605">
        <f t="shared" ca="1" si="25"/>
        <v>0</v>
      </c>
      <c r="AI55" s="605">
        <f t="shared" ca="1" si="25"/>
        <v>0</v>
      </c>
      <c r="AJ55" s="605">
        <f t="shared" ca="1" si="25"/>
        <v>0</v>
      </c>
      <c r="AK55" s="605">
        <f t="shared" ca="1" si="25"/>
        <v>0</v>
      </c>
      <c r="AL55" s="605">
        <f t="shared" ca="1" si="25"/>
        <v>0</v>
      </c>
      <c r="AM55" s="605">
        <f t="shared" ca="1" si="25"/>
        <v>0</v>
      </c>
      <c r="AN55" s="605">
        <f t="shared" ca="1" si="25"/>
        <v>0</v>
      </c>
      <c r="AO55" s="605">
        <f t="shared" ca="1" si="25"/>
        <v>0</v>
      </c>
      <c r="AP55" s="605">
        <f t="shared" ca="1" si="25"/>
        <v>0</v>
      </c>
      <c r="AQ55" s="605">
        <f t="shared" ca="1" si="25"/>
        <v>0</v>
      </c>
      <c r="AR55" s="605">
        <f t="shared" ca="1" si="25"/>
        <v>0</v>
      </c>
      <c r="AS55" s="605">
        <f t="shared" ca="1" si="25"/>
        <v>0</v>
      </c>
      <c r="AT55" s="605">
        <f t="shared" ca="1" si="25"/>
        <v>0</v>
      </c>
      <c r="AU55" s="605">
        <f t="shared" ca="1" si="25"/>
        <v>0</v>
      </c>
      <c r="AV55" s="605">
        <f t="shared" ca="1" si="25"/>
        <v>0</v>
      </c>
      <c r="AW55" s="605">
        <f t="shared" ca="1" si="25"/>
        <v>0</v>
      </c>
      <c r="AX55" s="605">
        <f t="shared" ca="1" si="25"/>
        <v>0</v>
      </c>
      <c r="AY55" s="605">
        <f t="shared" ca="1" si="25"/>
        <v>0</v>
      </c>
      <c r="AZ55" s="605">
        <f t="shared" ca="1" si="25"/>
        <v>0</v>
      </c>
      <c r="BA55" s="605">
        <f t="shared" ca="1" si="25"/>
        <v>0</v>
      </c>
      <c r="BB55" s="605">
        <f t="shared" ca="1" si="25"/>
        <v>0</v>
      </c>
      <c r="BC55" s="605">
        <f t="shared" ca="1" si="25"/>
        <v>0</v>
      </c>
      <c r="BD55" s="605">
        <f t="shared" ca="1" si="25"/>
        <v>0</v>
      </c>
      <c r="BE55" s="605">
        <f t="shared" ca="1" si="25"/>
        <v>0</v>
      </c>
      <c r="BF55" s="609">
        <f t="shared" ca="1" si="8"/>
        <v>0</v>
      </c>
      <c r="BG55" s="556">
        <f t="shared" ca="1" si="5"/>
        <v>0</v>
      </c>
      <c r="BH55" s="610"/>
    </row>
    <row r="56" spans="1:60">
      <c r="A56" s="1853"/>
      <c r="B56" s="611">
        <f t="shared" si="6"/>
        <v>46235</v>
      </c>
      <c r="C56" s="615">
        <f t="shared" si="19"/>
        <v>252872367.50490001</v>
      </c>
      <c r="D56" s="1501"/>
      <c r="E56" s="607">
        <f t="shared" si="22"/>
        <v>1.0000000000000002</v>
      </c>
      <c r="F56" s="608">
        <f t="shared" si="23"/>
        <v>0</v>
      </c>
      <c r="G56" s="605">
        <f t="shared" ca="1" si="20"/>
        <v>0</v>
      </c>
      <c r="H56" s="605">
        <f t="shared" ca="1" si="25"/>
        <v>0</v>
      </c>
      <c r="I56" s="605">
        <f t="shared" ca="1" si="25"/>
        <v>0</v>
      </c>
      <c r="J56" s="605">
        <f t="shared" ca="1" si="25"/>
        <v>0</v>
      </c>
      <c r="K56" s="605">
        <f t="shared" ca="1" si="25"/>
        <v>0</v>
      </c>
      <c r="L56" s="605">
        <f t="shared" ca="1" si="25"/>
        <v>0</v>
      </c>
      <c r="M56" s="605">
        <f t="shared" ca="1" si="25"/>
        <v>0</v>
      </c>
      <c r="N56" s="605">
        <f t="shared" ca="1" si="25"/>
        <v>0</v>
      </c>
      <c r="O56" s="605">
        <f t="shared" ca="1" si="25"/>
        <v>0</v>
      </c>
      <c r="P56" s="605">
        <f t="shared" ca="1" si="25"/>
        <v>0</v>
      </c>
      <c r="Q56" s="605">
        <f t="shared" ca="1" si="25"/>
        <v>0</v>
      </c>
      <c r="R56" s="605">
        <f t="shared" ref="H56:BE60" ca="1" si="26">IF(TEXT(R$8,"yyyy-mm")&lt;TEXT($B56,"yyyy-mm"),0,IF(TEXT(R$8,"yyyy-mm")=TEXT($B56,"yyyy-mm"),$F56*$B$5,IF(R$9="1차중도금",$F56*$C$5/6,IF(R$9="2차중도금",MAX(0,$F56*$C$5/6*2-SUM(INDIRECT("$G$10:"&amp;ADDRESS(ROW(),COLUMN()-1)))),IF(R$9="3차중도금",MAX(0,$F56*$C$5/6*3-SUM(INDIRECT("$G$10:"&amp;ADDRESS(ROW(),COLUMN()-1)))),IF(R$9="4차중도금",MAX(0,$F56*$C$5/6*4-SUM(INDIRECT("$G$10:"&amp;ADDRESS(ROW(),COLUMN()-1)))),IF(R$9="5차중도금",MAX(0,$F56*$C$5/6*5-SUM(INDIRECT("$G$10:"&amp;ADDRESS(ROW(),COLUMN()-1)))),IF(R$9="6차중도금",MAX(0,$F56*$C$5-SUM(INDIRECT("$G$10:"&amp;ADDRESS(ROW(),COLUMN()-1)))),IF(ISNUMBER(SEARCH("입주",R$9)),$F56*$D$5*INDEX($E$6:$I$6,VALUE(RIGHT(R$9,1))),0)))))))))</f>
        <v>0</v>
      </c>
      <c r="S56" s="605">
        <f t="shared" ca="1" si="26"/>
        <v>0</v>
      </c>
      <c r="T56" s="605">
        <f t="shared" ca="1" si="26"/>
        <v>0</v>
      </c>
      <c r="U56" s="605">
        <f t="shared" ca="1" si="26"/>
        <v>0</v>
      </c>
      <c r="V56" s="605">
        <f t="shared" ca="1" si="26"/>
        <v>0</v>
      </c>
      <c r="W56" s="605">
        <f t="shared" ca="1" si="26"/>
        <v>0</v>
      </c>
      <c r="X56" s="605">
        <f t="shared" ca="1" si="26"/>
        <v>0</v>
      </c>
      <c r="Y56" s="605">
        <f t="shared" ca="1" si="26"/>
        <v>0</v>
      </c>
      <c r="Z56" s="605">
        <f t="shared" ca="1" si="26"/>
        <v>0</v>
      </c>
      <c r="AA56" s="605">
        <f t="shared" ca="1" si="26"/>
        <v>0</v>
      </c>
      <c r="AB56" s="605">
        <f t="shared" ca="1" si="26"/>
        <v>0</v>
      </c>
      <c r="AC56" s="605">
        <f t="shared" ca="1" si="26"/>
        <v>0</v>
      </c>
      <c r="AD56" s="605">
        <f t="shared" ca="1" si="26"/>
        <v>0</v>
      </c>
      <c r="AE56" s="605">
        <f t="shared" ca="1" si="26"/>
        <v>0</v>
      </c>
      <c r="AF56" s="605">
        <f t="shared" ca="1" si="26"/>
        <v>0</v>
      </c>
      <c r="AG56" s="605">
        <f t="shared" ca="1" si="26"/>
        <v>0</v>
      </c>
      <c r="AH56" s="605">
        <f t="shared" ca="1" si="26"/>
        <v>0</v>
      </c>
      <c r="AI56" s="605">
        <f t="shared" ca="1" si="26"/>
        <v>0</v>
      </c>
      <c r="AJ56" s="605">
        <f t="shared" ca="1" si="26"/>
        <v>0</v>
      </c>
      <c r="AK56" s="605">
        <f t="shared" ca="1" si="26"/>
        <v>0</v>
      </c>
      <c r="AL56" s="605">
        <f t="shared" ca="1" si="26"/>
        <v>0</v>
      </c>
      <c r="AM56" s="605">
        <f t="shared" ca="1" si="26"/>
        <v>0</v>
      </c>
      <c r="AN56" s="605">
        <f t="shared" ca="1" si="26"/>
        <v>0</v>
      </c>
      <c r="AO56" s="605">
        <f t="shared" ca="1" si="26"/>
        <v>0</v>
      </c>
      <c r="AP56" s="605">
        <f t="shared" ca="1" si="26"/>
        <v>0</v>
      </c>
      <c r="AQ56" s="605">
        <f t="shared" ca="1" si="26"/>
        <v>0</v>
      </c>
      <c r="AR56" s="605">
        <f t="shared" ca="1" si="26"/>
        <v>0</v>
      </c>
      <c r="AS56" s="605">
        <f t="shared" ca="1" si="26"/>
        <v>0</v>
      </c>
      <c r="AT56" s="605">
        <f t="shared" ca="1" si="26"/>
        <v>0</v>
      </c>
      <c r="AU56" s="605">
        <f t="shared" ca="1" si="26"/>
        <v>0</v>
      </c>
      <c r="AV56" s="605">
        <f t="shared" ca="1" si="26"/>
        <v>0</v>
      </c>
      <c r="AW56" s="605">
        <f t="shared" ca="1" si="26"/>
        <v>0</v>
      </c>
      <c r="AX56" s="605">
        <f t="shared" ca="1" si="26"/>
        <v>0</v>
      </c>
      <c r="AY56" s="605">
        <f t="shared" ca="1" si="26"/>
        <v>0</v>
      </c>
      <c r="AZ56" s="605">
        <f t="shared" ca="1" si="26"/>
        <v>0</v>
      </c>
      <c r="BA56" s="605">
        <f t="shared" ca="1" si="26"/>
        <v>0</v>
      </c>
      <c r="BB56" s="605">
        <f t="shared" ca="1" si="26"/>
        <v>0</v>
      </c>
      <c r="BC56" s="605">
        <f t="shared" ca="1" si="26"/>
        <v>0</v>
      </c>
      <c r="BD56" s="605">
        <f t="shared" ca="1" si="26"/>
        <v>0</v>
      </c>
      <c r="BE56" s="605">
        <f t="shared" ca="1" si="26"/>
        <v>0</v>
      </c>
      <c r="BF56" s="609">
        <f t="shared" ca="1" si="8"/>
        <v>0</v>
      </c>
      <c r="BG56" s="556">
        <f t="shared" ca="1" si="5"/>
        <v>0</v>
      </c>
      <c r="BH56" s="610"/>
    </row>
    <row r="57" spans="1:60">
      <c r="A57" s="1853"/>
      <c r="B57" s="611">
        <f t="shared" si="6"/>
        <v>46266</v>
      </c>
      <c r="C57" s="615">
        <f t="shared" si="19"/>
        <v>252872367.50490001</v>
      </c>
      <c r="D57" s="1501"/>
      <c r="E57" s="607">
        <f>E56+D57</f>
        <v>1.0000000000000002</v>
      </c>
      <c r="F57" s="608">
        <f>C57*D57</f>
        <v>0</v>
      </c>
      <c r="G57" s="605">
        <f t="shared" ca="1" si="20"/>
        <v>0</v>
      </c>
      <c r="H57" s="605">
        <f t="shared" ca="1" si="26"/>
        <v>0</v>
      </c>
      <c r="I57" s="605">
        <f t="shared" ca="1" si="26"/>
        <v>0</v>
      </c>
      <c r="J57" s="605">
        <f t="shared" ca="1" si="26"/>
        <v>0</v>
      </c>
      <c r="K57" s="605">
        <f t="shared" ca="1" si="26"/>
        <v>0</v>
      </c>
      <c r="L57" s="605">
        <f t="shared" ca="1" si="26"/>
        <v>0</v>
      </c>
      <c r="M57" s="605">
        <f t="shared" ca="1" si="26"/>
        <v>0</v>
      </c>
      <c r="N57" s="605">
        <f t="shared" ca="1" si="26"/>
        <v>0</v>
      </c>
      <c r="O57" s="605">
        <f t="shared" ca="1" si="26"/>
        <v>0</v>
      </c>
      <c r="P57" s="605">
        <f t="shared" ca="1" si="26"/>
        <v>0</v>
      </c>
      <c r="Q57" s="605">
        <f t="shared" ca="1" si="26"/>
        <v>0</v>
      </c>
      <c r="R57" s="605">
        <f t="shared" ca="1" si="26"/>
        <v>0</v>
      </c>
      <c r="S57" s="605">
        <f t="shared" ca="1" si="26"/>
        <v>0</v>
      </c>
      <c r="T57" s="605">
        <f t="shared" ca="1" si="26"/>
        <v>0</v>
      </c>
      <c r="U57" s="605">
        <f t="shared" ca="1" si="26"/>
        <v>0</v>
      </c>
      <c r="V57" s="605">
        <f t="shared" ca="1" si="26"/>
        <v>0</v>
      </c>
      <c r="W57" s="605">
        <f t="shared" ca="1" si="26"/>
        <v>0</v>
      </c>
      <c r="X57" s="605">
        <f t="shared" ca="1" si="26"/>
        <v>0</v>
      </c>
      <c r="Y57" s="605">
        <f t="shared" ca="1" si="26"/>
        <v>0</v>
      </c>
      <c r="Z57" s="605">
        <f t="shared" ca="1" si="26"/>
        <v>0</v>
      </c>
      <c r="AA57" s="605">
        <f t="shared" ca="1" si="26"/>
        <v>0</v>
      </c>
      <c r="AB57" s="605">
        <f t="shared" ca="1" si="26"/>
        <v>0</v>
      </c>
      <c r="AC57" s="605">
        <f t="shared" ca="1" si="26"/>
        <v>0</v>
      </c>
      <c r="AD57" s="605">
        <f t="shared" ca="1" si="26"/>
        <v>0</v>
      </c>
      <c r="AE57" s="605">
        <f t="shared" ca="1" si="26"/>
        <v>0</v>
      </c>
      <c r="AF57" s="605">
        <f t="shared" ca="1" si="26"/>
        <v>0</v>
      </c>
      <c r="AG57" s="605">
        <f t="shared" ca="1" si="26"/>
        <v>0</v>
      </c>
      <c r="AH57" s="605">
        <f t="shared" ca="1" si="26"/>
        <v>0</v>
      </c>
      <c r="AI57" s="605">
        <f t="shared" ca="1" si="26"/>
        <v>0</v>
      </c>
      <c r="AJ57" s="605">
        <f t="shared" ca="1" si="26"/>
        <v>0</v>
      </c>
      <c r="AK57" s="605">
        <f t="shared" ca="1" si="26"/>
        <v>0</v>
      </c>
      <c r="AL57" s="605">
        <f t="shared" ca="1" si="26"/>
        <v>0</v>
      </c>
      <c r="AM57" s="605">
        <f t="shared" ca="1" si="26"/>
        <v>0</v>
      </c>
      <c r="AN57" s="605">
        <f t="shared" ca="1" si="26"/>
        <v>0</v>
      </c>
      <c r="AO57" s="605">
        <f t="shared" ca="1" si="26"/>
        <v>0</v>
      </c>
      <c r="AP57" s="605">
        <f t="shared" ca="1" si="26"/>
        <v>0</v>
      </c>
      <c r="AQ57" s="605">
        <f t="shared" ca="1" si="26"/>
        <v>0</v>
      </c>
      <c r="AR57" s="605">
        <f t="shared" ca="1" si="26"/>
        <v>0</v>
      </c>
      <c r="AS57" s="605">
        <f t="shared" ca="1" si="26"/>
        <v>0</v>
      </c>
      <c r="AT57" s="605">
        <f t="shared" ca="1" si="26"/>
        <v>0</v>
      </c>
      <c r="AU57" s="605">
        <f t="shared" ca="1" si="26"/>
        <v>0</v>
      </c>
      <c r="AV57" s="605">
        <f t="shared" ca="1" si="26"/>
        <v>0</v>
      </c>
      <c r="AW57" s="605">
        <f t="shared" ca="1" si="26"/>
        <v>0</v>
      </c>
      <c r="AX57" s="605">
        <f t="shared" ca="1" si="26"/>
        <v>0</v>
      </c>
      <c r="AY57" s="605">
        <f t="shared" ca="1" si="26"/>
        <v>0</v>
      </c>
      <c r="AZ57" s="605">
        <f t="shared" ca="1" si="26"/>
        <v>0</v>
      </c>
      <c r="BA57" s="605">
        <f t="shared" ca="1" si="26"/>
        <v>0</v>
      </c>
      <c r="BB57" s="605">
        <f t="shared" ca="1" si="26"/>
        <v>0</v>
      </c>
      <c r="BC57" s="605">
        <f t="shared" ca="1" si="26"/>
        <v>0</v>
      </c>
      <c r="BD57" s="605">
        <f t="shared" ca="1" si="26"/>
        <v>0</v>
      </c>
      <c r="BE57" s="605">
        <f t="shared" ca="1" si="26"/>
        <v>0</v>
      </c>
      <c r="BF57" s="609">
        <f ca="1">SUM(G57:BE57)</f>
        <v>0</v>
      </c>
      <c r="BG57" s="556">
        <f ca="1">+F57-BF57</f>
        <v>0</v>
      </c>
      <c r="BH57" s="610"/>
    </row>
    <row r="58" spans="1:60">
      <c r="A58" s="1853"/>
      <c r="B58" s="611">
        <f t="shared" si="6"/>
        <v>46296</v>
      </c>
      <c r="C58" s="615">
        <f t="shared" si="19"/>
        <v>252872367.50490001</v>
      </c>
      <c r="D58" s="1501"/>
      <c r="E58" s="607">
        <f>E57+D58</f>
        <v>1.0000000000000002</v>
      </c>
      <c r="F58" s="608">
        <f>C58*D58</f>
        <v>0</v>
      </c>
      <c r="G58" s="605">
        <f t="shared" ca="1" si="20"/>
        <v>0</v>
      </c>
      <c r="H58" s="605">
        <f t="shared" ca="1" si="26"/>
        <v>0</v>
      </c>
      <c r="I58" s="605">
        <f t="shared" ca="1" si="26"/>
        <v>0</v>
      </c>
      <c r="J58" s="605">
        <f t="shared" ca="1" si="26"/>
        <v>0</v>
      </c>
      <c r="K58" s="605">
        <f t="shared" ca="1" si="26"/>
        <v>0</v>
      </c>
      <c r="L58" s="605">
        <f t="shared" ca="1" si="26"/>
        <v>0</v>
      </c>
      <c r="M58" s="605">
        <f t="shared" ca="1" si="26"/>
        <v>0</v>
      </c>
      <c r="N58" s="605">
        <f t="shared" ca="1" si="26"/>
        <v>0</v>
      </c>
      <c r="O58" s="605">
        <f t="shared" ca="1" si="26"/>
        <v>0</v>
      </c>
      <c r="P58" s="605">
        <f t="shared" ca="1" si="26"/>
        <v>0</v>
      </c>
      <c r="Q58" s="605">
        <f t="shared" ca="1" si="26"/>
        <v>0</v>
      </c>
      <c r="R58" s="605">
        <f t="shared" ca="1" si="26"/>
        <v>0</v>
      </c>
      <c r="S58" s="605">
        <f t="shared" ca="1" si="26"/>
        <v>0</v>
      </c>
      <c r="T58" s="605">
        <f t="shared" ca="1" si="26"/>
        <v>0</v>
      </c>
      <c r="U58" s="605">
        <f t="shared" ca="1" si="26"/>
        <v>0</v>
      </c>
      <c r="V58" s="605">
        <f t="shared" ca="1" si="26"/>
        <v>0</v>
      </c>
      <c r="W58" s="605">
        <f t="shared" ca="1" si="26"/>
        <v>0</v>
      </c>
      <c r="X58" s="605">
        <f t="shared" ca="1" si="26"/>
        <v>0</v>
      </c>
      <c r="Y58" s="605">
        <f t="shared" ca="1" si="26"/>
        <v>0</v>
      </c>
      <c r="Z58" s="605">
        <f t="shared" ca="1" si="26"/>
        <v>0</v>
      </c>
      <c r="AA58" s="605">
        <f t="shared" ca="1" si="26"/>
        <v>0</v>
      </c>
      <c r="AB58" s="605">
        <f t="shared" ca="1" si="26"/>
        <v>0</v>
      </c>
      <c r="AC58" s="605">
        <f t="shared" ca="1" si="26"/>
        <v>0</v>
      </c>
      <c r="AD58" s="605">
        <f t="shared" ca="1" si="26"/>
        <v>0</v>
      </c>
      <c r="AE58" s="605">
        <f t="shared" ca="1" si="26"/>
        <v>0</v>
      </c>
      <c r="AF58" s="605">
        <f t="shared" ca="1" si="26"/>
        <v>0</v>
      </c>
      <c r="AG58" s="605">
        <f t="shared" ca="1" si="26"/>
        <v>0</v>
      </c>
      <c r="AH58" s="605">
        <f t="shared" ca="1" si="26"/>
        <v>0</v>
      </c>
      <c r="AI58" s="605">
        <f t="shared" ca="1" si="26"/>
        <v>0</v>
      </c>
      <c r="AJ58" s="605">
        <f t="shared" ca="1" si="26"/>
        <v>0</v>
      </c>
      <c r="AK58" s="605">
        <f t="shared" ca="1" si="26"/>
        <v>0</v>
      </c>
      <c r="AL58" s="605">
        <f t="shared" ca="1" si="26"/>
        <v>0</v>
      </c>
      <c r="AM58" s="605">
        <f t="shared" ca="1" si="26"/>
        <v>0</v>
      </c>
      <c r="AN58" s="605">
        <f t="shared" ca="1" si="26"/>
        <v>0</v>
      </c>
      <c r="AO58" s="605">
        <f t="shared" ca="1" si="26"/>
        <v>0</v>
      </c>
      <c r="AP58" s="605">
        <f t="shared" ca="1" si="26"/>
        <v>0</v>
      </c>
      <c r="AQ58" s="605">
        <f t="shared" ca="1" si="26"/>
        <v>0</v>
      </c>
      <c r="AR58" s="605">
        <f t="shared" ca="1" si="26"/>
        <v>0</v>
      </c>
      <c r="AS58" s="605">
        <f t="shared" ca="1" si="26"/>
        <v>0</v>
      </c>
      <c r="AT58" s="605">
        <f t="shared" ca="1" si="26"/>
        <v>0</v>
      </c>
      <c r="AU58" s="605">
        <f t="shared" ca="1" si="26"/>
        <v>0</v>
      </c>
      <c r="AV58" s="605">
        <f t="shared" ca="1" si="26"/>
        <v>0</v>
      </c>
      <c r="AW58" s="605">
        <f t="shared" ca="1" si="26"/>
        <v>0</v>
      </c>
      <c r="AX58" s="605">
        <f t="shared" ca="1" si="26"/>
        <v>0</v>
      </c>
      <c r="AY58" s="605">
        <f t="shared" ca="1" si="26"/>
        <v>0</v>
      </c>
      <c r="AZ58" s="605">
        <f t="shared" ca="1" si="26"/>
        <v>0</v>
      </c>
      <c r="BA58" s="605">
        <f t="shared" ca="1" si="26"/>
        <v>0</v>
      </c>
      <c r="BB58" s="605">
        <f t="shared" ca="1" si="26"/>
        <v>0</v>
      </c>
      <c r="BC58" s="605">
        <f t="shared" ca="1" si="26"/>
        <v>0</v>
      </c>
      <c r="BD58" s="605">
        <f t="shared" ca="1" si="26"/>
        <v>0</v>
      </c>
      <c r="BE58" s="605">
        <f t="shared" ca="1" si="26"/>
        <v>0</v>
      </c>
      <c r="BF58" s="609">
        <f ca="1">SUM(G58:BE58)</f>
        <v>0</v>
      </c>
      <c r="BG58" s="556">
        <f ca="1">+F58-BF58</f>
        <v>0</v>
      </c>
      <c r="BH58" s="610"/>
    </row>
    <row r="59" spans="1:60">
      <c r="A59" s="1853"/>
      <c r="B59" s="611">
        <f t="shared" si="6"/>
        <v>46327</v>
      </c>
      <c r="C59" s="615">
        <f t="shared" si="19"/>
        <v>252872367.50490001</v>
      </c>
      <c r="D59" s="1501"/>
      <c r="E59" s="607">
        <f>E58+D59</f>
        <v>1.0000000000000002</v>
      </c>
      <c r="F59" s="608">
        <f>C59*D59</f>
        <v>0</v>
      </c>
      <c r="G59" s="605">
        <f t="shared" ca="1" si="20"/>
        <v>0</v>
      </c>
      <c r="H59" s="605">
        <f t="shared" ca="1" si="26"/>
        <v>0</v>
      </c>
      <c r="I59" s="605">
        <f t="shared" ca="1" si="26"/>
        <v>0</v>
      </c>
      <c r="J59" s="605">
        <f t="shared" ca="1" si="26"/>
        <v>0</v>
      </c>
      <c r="K59" s="605">
        <f t="shared" ca="1" si="26"/>
        <v>0</v>
      </c>
      <c r="L59" s="605">
        <f t="shared" ca="1" si="26"/>
        <v>0</v>
      </c>
      <c r="M59" s="605">
        <f t="shared" ca="1" si="26"/>
        <v>0</v>
      </c>
      <c r="N59" s="605">
        <f t="shared" ca="1" si="26"/>
        <v>0</v>
      </c>
      <c r="O59" s="605">
        <f t="shared" ca="1" si="26"/>
        <v>0</v>
      </c>
      <c r="P59" s="605">
        <f t="shared" ca="1" si="26"/>
        <v>0</v>
      </c>
      <c r="Q59" s="605">
        <f t="shared" ca="1" si="26"/>
        <v>0</v>
      </c>
      <c r="R59" s="605">
        <f t="shared" ca="1" si="26"/>
        <v>0</v>
      </c>
      <c r="S59" s="605">
        <f t="shared" ca="1" si="26"/>
        <v>0</v>
      </c>
      <c r="T59" s="605">
        <f t="shared" ca="1" si="26"/>
        <v>0</v>
      </c>
      <c r="U59" s="605">
        <f t="shared" ca="1" si="26"/>
        <v>0</v>
      </c>
      <c r="V59" s="605">
        <f t="shared" ca="1" si="26"/>
        <v>0</v>
      </c>
      <c r="W59" s="605">
        <f t="shared" ca="1" si="26"/>
        <v>0</v>
      </c>
      <c r="X59" s="605">
        <f t="shared" ca="1" si="26"/>
        <v>0</v>
      </c>
      <c r="Y59" s="605">
        <f t="shared" ca="1" si="26"/>
        <v>0</v>
      </c>
      <c r="Z59" s="605">
        <f t="shared" ca="1" si="26"/>
        <v>0</v>
      </c>
      <c r="AA59" s="605">
        <f t="shared" ca="1" si="26"/>
        <v>0</v>
      </c>
      <c r="AB59" s="605">
        <f t="shared" ca="1" si="26"/>
        <v>0</v>
      </c>
      <c r="AC59" s="605">
        <f t="shared" ca="1" si="26"/>
        <v>0</v>
      </c>
      <c r="AD59" s="605">
        <f t="shared" ca="1" si="26"/>
        <v>0</v>
      </c>
      <c r="AE59" s="605">
        <f t="shared" ca="1" si="26"/>
        <v>0</v>
      </c>
      <c r="AF59" s="605">
        <f t="shared" ca="1" si="26"/>
        <v>0</v>
      </c>
      <c r="AG59" s="605">
        <f t="shared" ca="1" si="26"/>
        <v>0</v>
      </c>
      <c r="AH59" s="605">
        <f t="shared" ca="1" si="26"/>
        <v>0</v>
      </c>
      <c r="AI59" s="605">
        <f t="shared" ca="1" si="26"/>
        <v>0</v>
      </c>
      <c r="AJ59" s="605">
        <f t="shared" ca="1" si="26"/>
        <v>0</v>
      </c>
      <c r="AK59" s="605">
        <f t="shared" ca="1" si="26"/>
        <v>0</v>
      </c>
      <c r="AL59" s="605">
        <f t="shared" ca="1" si="26"/>
        <v>0</v>
      </c>
      <c r="AM59" s="605">
        <f t="shared" ca="1" si="26"/>
        <v>0</v>
      </c>
      <c r="AN59" s="605">
        <f t="shared" ca="1" si="26"/>
        <v>0</v>
      </c>
      <c r="AO59" s="605">
        <f t="shared" ca="1" si="26"/>
        <v>0</v>
      </c>
      <c r="AP59" s="605">
        <f t="shared" ca="1" si="26"/>
        <v>0</v>
      </c>
      <c r="AQ59" s="605">
        <f t="shared" ca="1" si="26"/>
        <v>0</v>
      </c>
      <c r="AR59" s="605">
        <f t="shared" ca="1" si="26"/>
        <v>0</v>
      </c>
      <c r="AS59" s="605">
        <f t="shared" ca="1" si="26"/>
        <v>0</v>
      </c>
      <c r="AT59" s="605">
        <f t="shared" ca="1" si="26"/>
        <v>0</v>
      </c>
      <c r="AU59" s="605">
        <f t="shared" ca="1" si="26"/>
        <v>0</v>
      </c>
      <c r="AV59" s="605">
        <f t="shared" ca="1" si="26"/>
        <v>0</v>
      </c>
      <c r="AW59" s="605">
        <f t="shared" ca="1" si="26"/>
        <v>0</v>
      </c>
      <c r="AX59" s="605">
        <f t="shared" ca="1" si="26"/>
        <v>0</v>
      </c>
      <c r="AY59" s="605">
        <f t="shared" ca="1" si="26"/>
        <v>0</v>
      </c>
      <c r="AZ59" s="605">
        <f t="shared" ca="1" si="26"/>
        <v>0</v>
      </c>
      <c r="BA59" s="605">
        <f t="shared" ca="1" si="26"/>
        <v>0</v>
      </c>
      <c r="BB59" s="605">
        <f t="shared" ca="1" si="26"/>
        <v>0</v>
      </c>
      <c r="BC59" s="605">
        <f t="shared" ca="1" si="26"/>
        <v>0</v>
      </c>
      <c r="BD59" s="605">
        <f t="shared" ca="1" si="26"/>
        <v>0</v>
      </c>
      <c r="BE59" s="605">
        <f t="shared" ca="1" si="26"/>
        <v>0</v>
      </c>
      <c r="BF59" s="609">
        <f ca="1">SUM(G59:BE59)</f>
        <v>0</v>
      </c>
      <c r="BG59" s="556">
        <f ca="1">+F59-BF59</f>
        <v>0</v>
      </c>
      <c r="BH59" s="610"/>
    </row>
    <row r="60" spans="1:60">
      <c r="A60" s="1854"/>
      <c r="B60" s="611">
        <f t="shared" si="6"/>
        <v>46357</v>
      </c>
      <c r="C60" s="615">
        <f t="shared" si="19"/>
        <v>252872367.50490001</v>
      </c>
      <c r="D60" s="1501"/>
      <c r="E60" s="607">
        <f>E59+D60</f>
        <v>1.0000000000000002</v>
      </c>
      <c r="F60" s="608">
        <f>C60*D60</f>
        <v>0</v>
      </c>
      <c r="G60" s="605">
        <f t="shared" ca="1" si="20"/>
        <v>0</v>
      </c>
      <c r="H60" s="605">
        <f t="shared" ca="1" si="26"/>
        <v>0</v>
      </c>
      <c r="I60" s="605">
        <f t="shared" ca="1" si="26"/>
        <v>0</v>
      </c>
      <c r="J60" s="605">
        <f t="shared" ca="1" si="26"/>
        <v>0</v>
      </c>
      <c r="K60" s="605">
        <f t="shared" ca="1" si="26"/>
        <v>0</v>
      </c>
      <c r="L60" s="605">
        <f t="shared" ca="1" si="26"/>
        <v>0</v>
      </c>
      <c r="M60" s="605">
        <f t="shared" ca="1" si="26"/>
        <v>0</v>
      </c>
      <c r="N60" s="605">
        <f t="shared" ca="1" si="26"/>
        <v>0</v>
      </c>
      <c r="O60" s="605">
        <f t="shared" ca="1" si="26"/>
        <v>0</v>
      </c>
      <c r="P60" s="605">
        <f t="shared" ca="1" si="26"/>
        <v>0</v>
      </c>
      <c r="Q60" s="605">
        <f t="shared" ca="1" si="26"/>
        <v>0</v>
      </c>
      <c r="R60" s="605">
        <f t="shared" ca="1" si="26"/>
        <v>0</v>
      </c>
      <c r="S60" s="605">
        <f t="shared" ca="1" si="26"/>
        <v>0</v>
      </c>
      <c r="T60" s="605">
        <f t="shared" ca="1" si="26"/>
        <v>0</v>
      </c>
      <c r="U60" s="605">
        <f t="shared" ca="1" si="26"/>
        <v>0</v>
      </c>
      <c r="V60" s="605">
        <f t="shared" ca="1" si="26"/>
        <v>0</v>
      </c>
      <c r="W60" s="605">
        <f t="shared" ca="1" si="26"/>
        <v>0</v>
      </c>
      <c r="X60" s="605">
        <f t="shared" ca="1" si="26"/>
        <v>0</v>
      </c>
      <c r="Y60" s="605">
        <f t="shared" ca="1" si="26"/>
        <v>0</v>
      </c>
      <c r="Z60" s="605">
        <f t="shared" ca="1" si="26"/>
        <v>0</v>
      </c>
      <c r="AA60" s="605">
        <f t="shared" ca="1" si="26"/>
        <v>0</v>
      </c>
      <c r="AB60" s="605">
        <f t="shared" ca="1" si="26"/>
        <v>0</v>
      </c>
      <c r="AC60" s="605">
        <f t="shared" ca="1" si="26"/>
        <v>0</v>
      </c>
      <c r="AD60" s="605">
        <f t="shared" ca="1" si="26"/>
        <v>0</v>
      </c>
      <c r="AE60" s="605">
        <f t="shared" ca="1" si="26"/>
        <v>0</v>
      </c>
      <c r="AF60" s="605">
        <f t="shared" ca="1" si="26"/>
        <v>0</v>
      </c>
      <c r="AG60" s="605">
        <f t="shared" ca="1" si="26"/>
        <v>0</v>
      </c>
      <c r="AH60" s="605">
        <f t="shared" ca="1" si="26"/>
        <v>0</v>
      </c>
      <c r="AI60" s="605">
        <f t="shared" ca="1" si="26"/>
        <v>0</v>
      </c>
      <c r="AJ60" s="605">
        <f t="shared" ca="1" si="26"/>
        <v>0</v>
      </c>
      <c r="AK60" s="605">
        <f t="shared" ca="1" si="26"/>
        <v>0</v>
      </c>
      <c r="AL60" s="605">
        <f t="shared" ca="1" si="26"/>
        <v>0</v>
      </c>
      <c r="AM60" s="605">
        <f t="shared" ca="1" si="26"/>
        <v>0</v>
      </c>
      <c r="AN60" s="605">
        <f t="shared" ca="1" si="26"/>
        <v>0</v>
      </c>
      <c r="AO60" s="605">
        <f t="shared" ca="1" si="26"/>
        <v>0</v>
      </c>
      <c r="AP60" s="605">
        <f t="shared" ca="1" si="26"/>
        <v>0</v>
      </c>
      <c r="AQ60" s="605">
        <f t="shared" ca="1" si="26"/>
        <v>0</v>
      </c>
      <c r="AR60" s="605">
        <f t="shared" ca="1" si="26"/>
        <v>0</v>
      </c>
      <c r="AS60" s="605">
        <f t="shared" ca="1" si="26"/>
        <v>0</v>
      </c>
      <c r="AT60" s="605">
        <f t="shared" ca="1" si="26"/>
        <v>0</v>
      </c>
      <c r="AU60" s="605">
        <f t="shared" ca="1" si="26"/>
        <v>0</v>
      </c>
      <c r="AV60" s="605">
        <f t="shared" ca="1" si="26"/>
        <v>0</v>
      </c>
      <c r="AW60" s="605">
        <f t="shared" ca="1" si="26"/>
        <v>0</v>
      </c>
      <c r="AX60" s="605">
        <f t="shared" ca="1" si="26"/>
        <v>0</v>
      </c>
      <c r="AY60" s="605">
        <f t="shared" ca="1" si="26"/>
        <v>0</v>
      </c>
      <c r="AZ60" s="605">
        <f t="shared" ca="1" si="26"/>
        <v>0</v>
      </c>
      <c r="BA60" s="605">
        <f t="shared" ca="1" si="26"/>
        <v>0</v>
      </c>
      <c r="BB60" s="605">
        <f t="shared" ca="1" si="26"/>
        <v>0</v>
      </c>
      <c r="BC60" s="605">
        <f t="shared" ca="1" si="26"/>
        <v>0</v>
      </c>
      <c r="BD60" s="605">
        <f t="shared" ca="1" si="26"/>
        <v>0</v>
      </c>
      <c r="BE60" s="605">
        <f t="shared" ca="1" si="26"/>
        <v>0</v>
      </c>
      <c r="BF60" s="609">
        <f ca="1">SUM(G60:BE60)</f>
        <v>0</v>
      </c>
      <c r="BG60" s="556">
        <f ca="1">+F60-BF60</f>
        <v>0</v>
      </c>
      <c r="BH60" s="610"/>
    </row>
    <row r="61" spans="1:60">
      <c r="A61" s="1852" t="s">
        <v>366</v>
      </c>
      <c r="B61" s="616" t="s">
        <v>355</v>
      </c>
      <c r="C61" s="617">
        <f>C60</f>
        <v>252872367.50490001</v>
      </c>
      <c r="D61" s="618"/>
      <c r="E61" s="618"/>
      <c r="F61" s="617">
        <f t="shared" ref="F61:BE61" si="27">SUM(F10:F60)</f>
        <v>252872367.50489992</v>
      </c>
      <c r="G61" s="619">
        <f t="shared" ca="1" si="27"/>
        <v>7586171.0251470003</v>
      </c>
      <c r="H61" s="619">
        <f t="shared" ca="1" si="27"/>
        <v>3793085.5125735002</v>
      </c>
      <c r="I61" s="619">
        <f t="shared" ca="1" si="27"/>
        <v>1264361.8375245002</v>
      </c>
      <c r="J61" s="619">
        <f t="shared" ca="1" si="27"/>
        <v>1264361.8375245002</v>
      </c>
      <c r="K61" s="619">
        <f t="shared" ca="1" si="27"/>
        <v>1264361.8375245002</v>
      </c>
      <c r="L61" s="619">
        <f t="shared" ca="1" si="27"/>
        <v>16436703.887818499</v>
      </c>
      <c r="M61" s="619">
        <f t="shared" ca="1" si="27"/>
        <v>758617.10251470003</v>
      </c>
      <c r="N61" s="619">
        <f t="shared" ca="1" si="27"/>
        <v>758617.10251470003</v>
      </c>
      <c r="O61" s="619">
        <f t="shared" ca="1" si="27"/>
        <v>758617.10251470003</v>
      </c>
      <c r="P61" s="619">
        <f t="shared" ca="1" si="27"/>
        <v>758617.10251470003</v>
      </c>
      <c r="Q61" s="619">
        <f t="shared" ca="1" si="27"/>
        <v>6827553.9226322994</v>
      </c>
      <c r="R61" s="619">
        <f t="shared" ca="1" si="27"/>
        <v>758617.10251470003</v>
      </c>
      <c r="S61" s="619">
        <f t="shared" ca="1" si="27"/>
        <v>758617.10251470003</v>
      </c>
      <c r="T61" s="619">
        <f t="shared" ca="1" si="27"/>
        <v>758617.10251470003</v>
      </c>
      <c r="U61" s="619">
        <f t="shared" ca="1" si="27"/>
        <v>758617.10251470003</v>
      </c>
      <c r="V61" s="619">
        <f t="shared" ca="1" si="27"/>
        <v>5310319.7176029021</v>
      </c>
      <c r="W61" s="619">
        <f t="shared" ca="1" si="27"/>
        <v>758617.10251470003</v>
      </c>
      <c r="X61" s="619">
        <f t="shared" ca="1" si="27"/>
        <v>505744.7350098</v>
      </c>
      <c r="Y61" s="619">
        <f t="shared" ca="1" si="27"/>
        <v>0</v>
      </c>
      <c r="Z61" s="619">
        <f t="shared" ca="1" si="27"/>
        <v>0</v>
      </c>
      <c r="AA61" s="619">
        <f t="shared" ca="1" si="27"/>
        <v>0</v>
      </c>
      <c r="AB61" s="619">
        <f t="shared" ca="1" si="27"/>
        <v>4551702.6150881983</v>
      </c>
      <c r="AC61" s="619">
        <f t="shared" ca="1" si="27"/>
        <v>0</v>
      </c>
      <c r="AD61" s="619">
        <f t="shared" ca="1" si="27"/>
        <v>0</v>
      </c>
      <c r="AE61" s="619">
        <f t="shared" ca="1" si="27"/>
        <v>0</v>
      </c>
      <c r="AF61" s="619">
        <f t="shared" ca="1" si="27"/>
        <v>0</v>
      </c>
      <c r="AG61" s="619">
        <f t="shared" ca="1" si="27"/>
        <v>4551702.6150881983</v>
      </c>
      <c r="AH61" s="619">
        <f t="shared" ca="1" si="27"/>
        <v>0</v>
      </c>
      <c r="AI61" s="619">
        <f t="shared" ca="1" si="27"/>
        <v>0</v>
      </c>
      <c r="AJ61" s="619">
        <f t="shared" ca="1" si="27"/>
        <v>0</v>
      </c>
      <c r="AK61" s="619">
        <f t="shared" ca="1" si="27"/>
        <v>0</v>
      </c>
      <c r="AL61" s="619">
        <f t="shared" ca="1" si="27"/>
        <v>4551702.6150881983</v>
      </c>
      <c r="AM61" s="619">
        <f t="shared" ca="1" si="27"/>
        <v>0</v>
      </c>
      <c r="AN61" s="619">
        <f t="shared" ca="1" si="27"/>
        <v>0</v>
      </c>
      <c r="AO61" s="619">
        <f t="shared" ca="1" si="27"/>
        <v>0</v>
      </c>
      <c r="AP61" s="619">
        <f t="shared" ca="1" si="27"/>
        <v>0</v>
      </c>
      <c r="AQ61" s="619">
        <f t="shared" ca="1" si="27"/>
        <v>0</v>
      </c>
      <c r="AR61" s="619" t="e" vm="1">
        <f t="shared" si="27"/>
        <v>#VALUE!</v>
      </c>
      <c r="AS61" s="619" t="e" vm="1">
        <f t="shared" si="27"/>
        <v>#VALUE!</v>
      </c>
      <c r="AT61" s="619" t="e" vm="1">
        <f t="shared" si="27"/>
        <v>#VALUE!</v>
      </c>
      <c r="AU61" s="619" t="e" vm="1">
        <f t="shared" si="27"/>
        <v>#VALUE!</v>
      </c>
      <c r="AV61" s="619" t="e" vm="1">
        <f t="shared" si="27"/>
        <v>#VALUE!</v>
      </c>
      <c r="AW61" s="619">
        <f t="shared" ca="1" si="27"/>
        <v>0</v>
      </c>
      <c r="AX61" s="619">
        <f t="shared" ca="1" si="27"/>
        <v>0</v>
      </c>
      <c r="AY61" s="619">
        <f t="shared" ca="1" si="27"/>
        <v>0</v>
      </c>
      <c r="AZ61" s="619">
        <f t="shared" ca="1" si="27"/>
        <v>0</v>
      </c>
      <c r="BA61" s="619">
        <f t="shared" ca="1" si="27"/>
        <v>0</v>
      </c>
      <c r="BB61" s="620">
        <f t="shared" ca="1" si="27"/>
        <v>0</v>
      </c>
      <c r="BC61" s="620">
        <f t="shared" ca="1" si="27"/>
        <v>0</v>
      </c>
      <c r="BD61" s="620">
        <f t="shared" ca="1" si="27"/>
        <v>0</v>
      </c>
      <c r="BE61" s="620">
        <f t="shared" ca="1" si="27"/>
        <v>0</v>
      </c>
      <c r="BF61" s="619">
        <f t="shared" ca="1" si="8"/>
        <v>40832899.334378816</v>
      </c>
      <c r="BG61" s="556">
        <f t="shared" ca="1" si="5"/>
        <v>212039468.17052111</v>
      </c>
      <c r="BH61" s="610"/>
    </row>
    <row r="62" spans="1:60">
      <c r="A62" s="1853"/>
      <c r="B62" s="621" t="s">
        <v>356</v>
      </c>
      <c r="C62" s="622">
        <f>C61</f>
        <v>252872367.50490001</v>
      </c>
      <c r="D62" s="623">
        <f>SUM(D10:D60)</f>
        <v>1.0000000000000002</v>
      </c>
      <c r="E62" s="623"/>
      <c r="F62" s="622">
        <f>F61</f>
        <v>252872367.50489992</v>
      </c>
      <c r="G62" s="624">
        <f ca="1">G61/$F61</f>
        <v>3.0000000000000009E-2</v>
      </c>
      <c r="H62" s="624">
        <f t="shared" ref="H62:BA62" ca="1" si="28">H61/$F61</f>
        <v>1.5000000000000005E-2</v>
      </c>
      <c r="I62" s="624">
        <f t="shared" ca="1" si="28"/>
        <v>5.0000000000000027E-3</v>
      </c>
      <c r="J62" s="624">
        <f t="shared" ca="1" si="28"/>
        <v>5.0000000000000027E-3</v>
      </c>
      <c r="K62" s="624">
        <f t="shared" ca="1" si="28"/>
        <v>5.0000000000000027E-3</v>
      </c>
      <c r="L62" s="624">
        <f t="shared" ca="1" si="28"/>
        <v>6.5000000000000016E-2</v>
      </c>
      <c r="M62" s="624">
        <f t="shared" ca="1" si="28"/>
        <v>3.0000000000000009E-3</v>
      </c>
      <c r="N62" s="624">
        <f t="shared" ca="1" si="28"/>
        <v>3.0000000000000009E-3</v>
      </c>
      <c r="O62" s="624">
        <f t="shared" ca="1" si="28"/>
        <v>3.0000000000000009E-3</v>
      </c>
      <c r="P62" s="624">
        <f t="shared" ca="1" si="28"/>
        <v>3.0000000000000009E-3</v>
      </c>
      <c r="Q62" s="624">
        <f t="shared" ca="1" si="28"/>
        <v>2.7000000000000007E-2</v>
      </c>
      <c r="R62" s="624">
        <f t="shared" ca="1" si="28"/>
        <v>3.0000000000000009E-3</v>
      </c>
      <c r="S62" s="624">
        <f t="shared" ca="1" si="28"/>
        <v>3.0000000000000009E-3</v>
      </c>
      <c r="T62" s="624">
        <f t="shared" ca="1" si="28"/>
        <v>3.0000000000000009E-3</v>
      </c>
      <c r="U62" s="624">
        <f t="shared" ca="1" si="28"/>
        <v>3.0000000000000009E-3</v>
      </c>
      <c r="V62" s="624">
        <f t="shared" ca="1" si="28"/>
        <v>2.1000000000000015E-2</v>
      </c>
      <c r="W62" s="624">
        <f t="shared" ca="1" si="28"/>
        <v>3.0000000000000009E-3</v>
      </c>
      <c r="X62" s="624">
        <f t="shared" ca="1" si="28"/>
        <v>2.0000000000000005E-3</v>
      </c>
      <c r="Y62" s="624">
        <f t="shared" ca="1" si="28"/>
        <v>0</v>
      </c>
      <c r="Z62" s="624">
        <f t="shared" ca="1" si="28"/>
        <v>0</v>
      </c>
      <c r="AA62" s="624">
        <f t="shared" ca="1" si="28"/>
        <v>0</v>
      </c>
      <c r="AB62" s="624">
        <f t="shared" ca="1" si="28"/>
        <v>1.7999999999999999E-2</v>
      </c>
      <c r="AC62" s="624">
        <f t="shared" ca="1" si="28"/>
        <v>0</v>
      </c>
      <c r="AD62" s="624">
        <f t="shared" ca="1" si="28"/>
        <v>0</v>
      </c>
      <c r="AE62" s="624">
        <f t="shared" ca="1" si="28"/>
        <v>0</v>
      </c>
      <c r="AF62" s="624">
        <f t="shared" ca="1" si="28"/>
        <v>0</v>
      </c>
      <c r="AG62" s="624">
        <f t="shared" ca="1" si="28"/>
        <v>1.7999999999999999E-2</v>
      </c>
      <c r="AH62" s="624">
        <f t="shared" ca="1" si="28"/>
        <v>0</v>
      </c>
      <c r="AI62" s="624">
        <f t="shared" ca="1" si="28"/>
        <v>0</v>
      </c>
      <c r="AJ62" s="624">
        <f t="shared" ca="1" si="28"/>
        <v>0</v>
      </c>
      <c r="AK62" s="624">
        <f t="shared" ca="1" si="28"/>
        <v>0</v>
      </c>
      <c r="AL62" s="624">
        <f t="shared" ca="1" si="28"/>
        <v>1.7999999999999999E-2</v>
      </c>
      <c r="AM62" s="624">
        <f t="shared" ca="1" si="28"/>
        <v>0</v>
      </c>
      <c r="AN62" s="624">
        <f t="shared" ca="1" si="28"/>
        <v>0</v>
      </c>
      <c r="AO62" s="624">
        <f t="shared" ca="1" si="28"/>
        <v>0</v>
      </c>
      <c r="AP62" s="624">
        <f t="shared" ca="1" si="28"/>
        <v>0</v>
      </c>
      <c r="AQ62" s="624">
        <f t="shared" ca="1" si="28"/>
        <v>0</v>
      </c>
      <c r="AR62" s="624" t="e" vm="1">
        <f t="shared" si="28"/>
        <v>#VALUE!</v>
      </c>
      <c r="AS62" s="624" t="e" vm="1">
        <f t="shared" si="28"/>
        <v>#VALUE!</v>
      </c>
      <c r="AT62" s="624" t="e" vm="1">
        <f t="shared" si="28"/>
        <v>#VALUE!</v>
      </c>
      <c r="AU62" s="624" t="e" vm="1">
        <f t="shared" si="28"/>
        <v>#VALUE!</v>
      </c>
      <c r="AV62" s="624" t="e" vm="1">
        <f t="shared" si="28"/>
        <v>#VALUE!</v>
      </c>
      <c r="AW62" s="624">
        <f t="shared" ca="1" si="28"/>
        <v>0</v>
      </c>
      <c r="AX62" s="624">
        <f ca="1">AX61/$F61</f>
        <v>0</v>
      </c>
      <c r="AY62" s="624">
        <f ca="1">AY61/$F61</f>
        <v>0</v>
      </c>
      <c r="AZ62" s="624">
        <f t="shared" ca="1" si="28"/>
        <v>0</v>
      </c>
      <c r="BA62" s="624">
        <f t="shared" ca="1" si="28"/>
        <v>0</v>
      </c>
      <c r="BB62" s="624">
        <f ca="1">BB61/$F61</f>
        <v>0</v>
      </c>
      <c r="BC62" s="624">
        <f ca="1">BC61/$F61</f>
        <v>0</v>
      </c>
      <c r="BD62" s="624">
        <f ca="1">BD61/$F61</f>
        <v>0</v>
      </c>
      <c r="BE62" s="624">
        <f ca="1">BE61/$F61</f>
        <v>0</v>
      </c>
      <c r="BF62" s="625">
        <f ca="1">BF61/$F61</f>
        <v>0.16147631999999998</v>
      </c>
      <c r="BG62" s="556"/>
      <c r="BH62" s="556"/>
    </row>
    <row r="63" spans="1:60">
      <c r="A63" s="1853"/>
      <c r="B63" s="1855" t="s">
        <v>367</v>
      </c>
      <c r="C63" s="1856"/>
      <c r="D63" s="1859" t="s">
        <v>368</v>
      </c>
      <c r="E63" s="1861">
        <f>'CASH FLOW'!C82</f>
        <v>4.4999999999999998E-2</v>
      </c>
      <c r="F63" s="626" t="s">
        <v>369</v>
      </c>
      <c r="G63" s="627"/>
      <c r="H63" s="627">
        <f ca="1">IF(H$7&lt;=손익!$M$5,SUM(OFFSET($G$10:$BE$60,0,0,2+COLUMN(H10)-9,COLUMN(H10)-6))-($C$10*SUMIF($B$10:$B$60,G$8,$E$10:$E$60)*10%),0)</f>
        <v>0</v>
      </c>
      <c r="I63" s="627">
        <f ca="1">IF(I$7&lt;=손익!$M$5,SUM(OFFSET($G$10:$BE$60,0,0,2+COLUMN(I10)-9,COLUMN(I10)-6))-($C$10*SUMIF($B$10:$B$60,H$8,$E$10:$E$60)*10%),0)</f>
        <v>0</v>
      </c>
      <c r="J63" s="627">
        <f ca="1">IF(J$7&lt;=손익!$M$5,SUM(OFFSET($G$10:$BE$60,0,0,2+COLUMN(J10)-9,COLUMN(J10)-6))-($C$10*SUMIF($B$10:$B$60,I$8,$E$10:$E$60)*10%),0)</f>
        <v>1.862645149230957E-9</v>
      </c>
      <c r="K63" s="627">
        <f ca="1">IF(K$7&lt;=손익!$M$5,SUM(OFFSET($G$10:$BE$60,0,0,2+COLUMN(K10)-9,COLUMN(K10)-6))-($C$10*SUMIF($B$10:$B$60,J$8,$E$10:$E$60)*10%),0)</f>
        <v>0</v>
      </c>
      <c r="L63" s="627">
        <f ca="1">IF(L$7&lt;=손익!$M$5,SUM(OFFSET($G$10:$BE$60,0,0,2+COLUMN(L10)-9,COLUMN(L10)-6))-($C$10*SUMIF($B$10:$B$60,K$8,$E$10:$E$60)*10%),0)</f>
        <v>15172342.050293997</v>
      </c>
      <c r="M63" s="627">
        <f ca="1">IF(M$7&lt;=손익!$M$5,SUM(OFFSET($G$10:$BE$60,0,0,2+COLUMN(M10)-9,COLUMN(M10)-6))-($C$10*SUMIF($B$10:$B$60,L$8,$E$10:$E$60)*10%),0)</f>
        <v>15172342.050293997</v>
      </c>
      <c r="N63" s="627">
        <f ca="1">IF(N$7&lt;=손익!$M$5,SUM(OFFSET($G$10:$BE$60,0,0,2+COLUMN(N10)-9,COLUMN(N10)-6))-($C$10*SUMIF($B$10:$B$60,M$8,$E$10:$E$60)*10%),0)</f>
        <v>15172342.050293993</v>
      </c>
      <c r="O63" s="627">
        <f ca="1">IF(O$7&lt;=손익!$M$5,SUM(OFFSET($G$10:$BE$60,0,0,2+COLUMN(O10)-9,COLUMN(O10)-6))-($C$10*SUMIF($B$10:$B$60,N$8,$E$10:$E$60)*10%),0)</f>
        <v>15172342.050293993</v>
      </c>
      <c r="P63" s="627">
        <f ca="1">IF(P$7&lt;=손익!$M$5,SUM(OFFSET($G$10:$BE$60,0,0,2+COLUMN(P10)-9,COLUMN(P10)-6))-($C$10*SUMIF($B$10:$B$60,O$8,$E$10:$E$60)*10%),0)</f>
        <v>15172342.050293989</v>
      </c>
      <c r="Q63" s="627">
        <f ca="1">IF(Q$7&lt;=손익!$M$5,SUM(OFFSET($G$10:$BE$60,0,0,2+COLUMN(Q10)-9,COLUMN(Q10)-6))-($C$10*SUMIF($B$10:$B$60,P$8,$E$10:$E$60)*10%),0)</f>
        <v>21241278.870411605</v>
      </c>
      <c r="R63" s="627">
        <f ca="1">IF(R$7&lt;=손익!$M$5,SUM(OFFSET($G$10:$BE$60,0,0,2+COLUMN(R10)-9,COLUMN(R10)-6))-($C$10*SUMIF($B$10:$B$60,Q$8,$E$10:$E$60)*10%),0)</f>
        <v>21241278.870411601</v>
      </c>
      <c r="S63" s="627">
        <f ca="1">IF(S$7&lt;=손익!$M$5,SUM(OFFSET($G$10:$BE$60,0,0,2+COLUMN(S10)-9,COLUMN(S10)-6))-($C$10*SUMIF($B$10:$B$60,R$8,$E$10:$E$60)*10%),0)</f>
        <v>21241278.870411601</v>
      </c>
      <c r="T63" s="627">
        <f ca="1">IF(T$7&lt;=손익!$M$5,SUM(OFFSET($G$10:$BE$60,0,0,2+COLUMN(T10)-9,COLUMN(T10)-6))-($C$10*SUMIF($B$10:$B$60,S$8,$E$10:$E$60)*10%),0)</f>
        <v>21241278.870411597</v>
      </c>
      <c r="U63" s="627">
        <f ca="1">IF(U$7&lt;=손익!$M$5,SUM(OFFSET($G$10:$BE$60,0,0,2+COLUMN(U10)-9,COLUMN(U10)-6))-($C$10*SUMIF($B$10:$B$60,T$8,$E$10:$E$60)*10%),0)</f>
        <v>21241278.870411597</v>
      </c>
      <c r="V63" s="627">
        <f ca="1">IF(V$7&lt;=손익!$M$5,SUM(OFFSET($G$10:$BE$60,0,0,2+COLUMN(V10)-9,COLUMN(V10)-6))-($C$10*SUMIF($B$10:$B$60,U$8,$E$10:$E$60)*10%),0)</f>
        <v>25792981.485499807</v>
      </c>
      <c r="W63" s="627">
        <f ca="1">IF(W$7&lt;=손익!$M$5,SUM(OFFSET($G$10:$BE$60,0,0,2+COLUMN(W10)-9,COLUMN(W10)-6))-($C$10*SUMIF($B$10:$B$60,V$8,$E$10:$E$60)*10%),0)</f>
        <v>25792981.485499803</v>
      </c>
      <c r="X63" s="627">
        <f ca="1">IF(X$7&lt;=손익!$M$5,SUM(OFFSET($G$10:$BE$60,0,0,2+COLUMN(X10)-9,COLUMN(X10)-6))-($C$10*SUMIF($B$10:$B$60,W$8,$E$10:$E$60)*10%),0)</f>
        <v>25792981.485499803</v>
      </c>
      <c r="Y63" s="627">
        <f ca="1">IF(Y$7&lt;=손익!$M$5,SUM(OFFSET($G$10:$BE$60,0,0,2+COLUMN(Y10)-9,COLUMN(Y10)-6))-($C$10*SUMIF($B$10:$B$60,X$8,$E$10:$E$60)*10%),0)</f>
        <v>25792981.485499799</v>
      </c>
      <c r="Z63" s="627">
        <f ca="1">IF(Z$7&lt;=손익!$M$5,SUM(OFFSET($G$10:$BE$60,0,0,2+COLUMN(Z10)-9,COLUMN(Z10)-6))-($C$10*SUMIF($B$10:$B$60,Y$8,$E$10:$E$60)*10%),0)</f>
        <v>25792981.485499799</v>
      </c>
      <c r="AA63" s="627">
        <f ca="1">IF(AA$7&lt;=손익!$M$5,SUM(OFFSET($G$10:$BE$60,0,0,2+COLUMN(AA10)-9,COLUMN(AA10)-6))-($C$10*SUMIF($B$10:$B$60,Z$8,$E$10:$E$60)*10%),0)</f>
        <v>25792981.485499799</v>
      </c>
      <c r="AB63" s="627">
        <f ca="1">IF(AB$7&lt;=손익!$M$5,SUM(OFFSET($G$10:$BE$60,0,0,2+COLUMN(AB10)-9,COLUMN(AB10)-6))-($C$10*SUMIF($B$10:$B$60,AA$8,$E$10:$E$60)*10%),0)</f>
        <v>30344684.100588009</v>
      </c>
      <c r="AC63" s="627">
        <f ca="1">IF(AC$7&lt;=손익!$M$5,SUM(OFFSET($G$10:$BE$60,0,0,2+COLUMN(AC10)-9,COLUMN(AC10)-6))-($C$10*SUMIF($B$10:$B$60,AB$8,$E$10:$E$60)*10%),0)</f>
        <v>30344684.100588009</v>
      </c>
      <c r="AD63" s="627">
        <f ca="1">IF(AD$7&lt;=손익!$M$5,SUM(OFFSET($G$10:$BE$60,0,0,2+COLUMN(AD10)-9,COLUMN(AD10)-6))-($C$10*SUMIF($B$10:$B$60,AC$8,$E$10:$E$60)*10%),0)</f>
        <v>30344684.100588009</v>
      </c>
      <c r="AE63" s="627">
        <f ca="1">IF(AE$7&lt;=손익!$M$5,SUM(OFFSET($G$10:$BE$60,0,0,2+COLUMN(AE10)-9,COLUMN(AE10)-6))-($C$10*SUMIF($B$10:$B$60,AD$8,$E$10:$E$60)*10%),0)</f>
        <v>30344684.100588009</v>
      </c>
      <c r="AF63" s="627">
        <f ca="1">IF(AF$7&lt;=손익!$M$5,SUM(OFFSET($G$10:$BE$60,0,0,2+COLUMN(AF10)-9,COLUMN(AF10)-6))-($C$10*SUMIF($B$10:$B$60,AE$8,$E$10:$E$60)*10%),0)</f>
        <v>30344684.100588009</v>
      </c>
      <c r="AG63" s="627">
        <f ca="1">IF(AG$7&lt;=손익!$M$5,SUM(OFFSET($G$10:$BE$60,0,0,2+COLUMN(AG10)-9,COLUMN(AG10)-6))-($C$10*SUMIF($B$10:$B$60,AF$8,$E$10:$E$60)*10%),0)</f>
        <v>34896386.715676211</v>
      </c>
      <c r="AH63" s="627">
        <f ca="1">IF(AH$7&lt;=손익!$M$5,SUM(OFFSET($G$10:$BE$60,0,0,2+COLUMN(AH10)-9,COLUMN(AH10)-6))-($C$10*SUMIF($B$10:$B$60,AG$8,$E$10:$E$60)*10%),0)</f>
        <v>34896386.715676211</v>
      </c>
      <c r="AI63" s="627">
        <f ca="1">IF(AI$7&lt;=손익!$M$5,SUM(OFFSET($G$10:$BE$60,0,0,2+COLUMN(AI10)-9,COLUMN(AI10)-6))-($C$10*SUMIF($B$10:$B$60,AH$8,$E$10:$E$60)*10%),0)</f>
        <v>34896386.715676211</v>
      </c>
      <c r="AJ63" s="627">
        <f ca="1">IF(AJ$7&lt;=손익!$M$5,SUM(OFFSET($G$10:$BE$60,0,0,2+COLUMN(AJ10)-9,COLUMN(AJ10)-6))-($C$10*SUMIF($B$10:$B$60,AI$8,$E$10:$E$60)*10%),0)</f>
        <v>34896386.715676211</v>
      </c>
      <c r="AK63" s="627">
        <f ca="1">IF(AK$7&lt;=손익!$M$5,SUM(OFFSET($G$10:$BE$60,0,0,2+COLUMN(AK10)-9,COLUMN(AK10)-6))-($C$10*SUMIF($B$10:$B$60,AJ$8,$E$10:$E$60)*10%),0)</f>
        <v>34896386.715676211</v>
      </c>
      <c r="AL63" s="627">
        <f ca="1">IF(AL$7&lt;=손익!$M$5,SUM(OFFSET($G$10:$BE$60,0,0,2+COLUMN(AL10)-9,COLUMN(AL10)-6))-($C$10*SUMIF($B$10:$B$60,AK$8,$E$10:$E$60)*10%),0)</f>
        <v>39448089.330764405</v>
      </c>
      <c r="AM63" s="627">
        <f ca="1">IF(AM$7&lt;=손익!$M$5,SUM(OFFSET($G$10:$BE$60,0,0,2+COLUMN(AM10)-9,COLUMN(AM10)-6))-($C$10*SUMIF($B$10:$B$60,AL$8,$E$10:$E$60)*10%),0)</f>
        <v>39448089.330764405</v>
      </c>
      <c r="AN63" s="627">
        <f ca="1">IF(AN$7&lt;=손익!$M$5,SUM(OFFSET($G$10:$BE$60,0,0,2+COLUMN(AN10)-9,COLUMN(AN10)-6))-($C$10*SUMIF($B$10:$B$60,AM$8,$E$10:$E$60)*10%),0)</f>
        <v>39448089.330764405</v>
      </c>
      <c r="AO63" s="627">
        <f ca="1">IF(AO$7&lt;=손익!$M$5,SUM(OFFSET($G$10:$BE$60,0,0,2+COLUMN(AO10)-9,COLUMN(AO10)-6))-($C$10*SUMIF($B$10:$B$60,AN$8,$E$10:$E$60)*10%),0)</f>
        <v>39448089.330764405</v>
      </c>
      <c r="AP63" s="627">
        <f ca="1">IF(AP$7&lt;=손익!$M$5,SUM(OFFSET($G$10:$BE$60,0,0,2+COLUMN(AP10)-9,COLUMN(AP10)-6))-($C$10*SUMIF($B$10:$B$60,AO$8,$E$10:$E$60)*10%),0)</f>
        <v>39448089.330764405</v>
      </c>
      <c r="AQ63" s="627">
        <f ca="1">IF(AQ$7&lt;=손익!$M$5,SUM(OFFSET($G$10:$BE$60,0,0,2+COLUMN(AQ10)-9,COLUMN(AQ10)-6))-($C$10*SUMIF($B$10:$B$60,AP$8,$E$10:$E$60)*10%),0)</f>
        <v>39448089.330764405</v>
      </c>
      <c r="AR63" s="627">
        <f ca="1">IF(AR$7&lt;=손익!$M$5,SUM(OFFSET($G$10:$BE$60,0,0,2+COLUMN(AR10)-9,COLUMN(AR10)-6))-($C$10*SUMIF($B$10:$B$60,AQ$8,$E$10:$E$60)*10%),0)</f>
        <v>0</v>
      </c>
      <c r="AS63" s="627">
        <f ca="1">IF(AS$7&lt;=손익!$M$5,SUM(OFFSET($G$10:$BE$60,0,0,2+COLUMN(AS10)-9,COLUMN(AS10)-6))-($C$10*SUMIF($B$10:$B$60,AR$8,$E$10:$E$60)*10%),0)</f>
        <v>0</v>
      </c>
      <c r="AT63" s="627">
        <f ca="1">IF(AT$7&lt;=손익!$M$5+1,SUM(OFFSET($G$10:$BE$60,0,0,2+COLUMN(AT10)-9,COLUMN(AT10)-6))-($C$10*SUMIF($B$10:$B$60,AS$8,$E$10:$E$60)*10%),0)</f>
        <v>0</v>
      </c>
      <c r="AU63" s="627">
        <f ca="1">IF(AU$7&lt;=손익!$M$5,SUM(OFFSET($G$10:$BE$60,0,0,2+COLUMN(AU10)-9,COLUMN(AU10)-6))-($C$10*SUMIF($B$10:$B$60,AT$8,$E$10:$E$60)*10%),0)</f>
        <v>0</v>
      </c>
      <c r="AV63" s="627">
        <f ca="1">IF(AV$7&lt;=손익!$M$5,SUM(OFFSET($G$10:$BE$60,0,0,2+COLUMN(AV10)-9,COLUMN(AV10)-6))-($C$10*SUMIF($B$10:$B$60,AU$8,$E$10:$E$60)*10%),0)</f>
        <v>0</v>
      </c>
      <c r="AW63" s="627">
        <f ca="1">IF(AW$7&lt;=손익!$M$5,SUM(OFFSET($G$10:$BE$60,0,0,2+COLUMN(AW10)-9,COLUMN(AW10)-6))-($C$10*SUMIF($B$10:$B$60,AV$8,$E$10:$E$60)*10%),0)</f>
        <v>0</v>
      </c>
      <c r="AX63" s="627">
        <f ca="1">IF(AX$7&lt;=손익!$M$5,SUM(OFFSET($G$10:$BE$60,0,0,2+COLUMN(AX10)-9,COLUMN(AX10)-6))-($C$10*SUMIF($B$10:$B$60,AW$8,$E$10:$E$60)*10%),0)</f>
        <v>0</v>
      </c>
      <c r="AY63" s="627">
        <f ca="1">IF(AY$7&lt;=손익!$M$5,SUM(OFFSET($G$10:$BE$60,0,0,2+COLUMN(AY10)-9,COLUMN(AY10)-6))-($C$10*SUMIF($B$10:$B$60,AX$8,$E$10:$E$60)*10%),0)</f>
        <v>0</v>
      </c>
      <c r="AZ63" s="627">
        <f ca="1">IF(AZ$7&lt;=손익!$M$5,SUM(OFFSET($G$10:$BE$60,0,0,2+COLUMN(AZ10)-9,COLUMN(AZ10)-6))-($C$10*SUMIF($B$10:$B$60,AY$8,$E$10:$E$60)*10%),0)</f>
        <v>0</v>
      </c>
      <c r="BA63" s="627">
        <f ca="1">IF(BA$7&lt;=손익!$M$5,SUM(OFFSET($G$10:$BE$60,0,0,2+COLUMN(BA10)-9,COLUMN(BA10)-6))-($C$10*SUMIF($B$10:$B$60,AZ$8,$E$10:$E$60)*10%),0)</f>
        <v>0</v>
      </c>
      <c r="BB63" s="627">
        <f ca="1">IF(BB$7&lt;=손익!$M$5,SUM(OFFSET($G$10:$BE$60,0,0,2+COLUMN(BB10)-9,COLUMN(BB10)-6))-($C$10*SUMIF($B$10:$B$60,BA$8,$E$10:$E$60)*10%),0)</f>
        <v>0</v>
      </c>
      <c r="BC63" s="627">
        <f ca="1">IF(BC$7&lt;=손익!$M$5,SUM(OFFSET($G$10:$BE$60,0,0,2+COLUMN(BC10)-9,COLUMN(BC10)-6))-($C$10*SUMIF($B$10:$B$60,BB$8,$E$10:$E$60)*10%),0)</f>
        <v>0</v>
      </c>
      <c r="BD63" s="627">
        <f ca="1">IF(BD$7&lt;=손익!$M$5,SUM(OFFSET($G$10:$BE$60,0,0,2+COLUMN(BD10)-9,COLUMN(BD10)-6))-($C$10*SUMIF($B$10:$B$60,BC$8,$E$10:$E$60)*10%),0)</f>
        <v>0</v>
      </c>
      <c r="BE63" s="627">
        <f ca="1">IF(BE$7&lt;=손익!$M$5,SUM(OFFSET($G$10:$BE$60,0,0,2+COLUMN(BE10)-9,COLUMN(BE10)-6))-($C$10*SUMIF($B$10:$B$60,BD$8,$E$10:$E$60)*10%),0)</f>
        <v>0</v>
      </c>
      <c r="BF63" s="628"/>
      <c r="BG63" s="556"/>
      <c r="BH63" s="556"/>
    </row>
    <row r="64" spans="1:60">
      <c r="A64" s="1854"/>
      <c r="B64" s="1857"/>
      <c r="C64" s="1858"/>
      <c r="D64" s="1860"/>
      <c r="E64" s="1862"/>
      <c r="F64" s="629" t="s">
        <v>370</v>
      </c>
      <c r="G64" s="630"/>
      <c r="H64" s="630"/>
      <c r="I64" s="630">
        <f ca="1">ROUNDDOWN(H63*$E$63*(I$8-H$8)/365,0)</f>
        <v>0</v>
      </c>
      <c r="J64" s="630">
        <f t="shared" ref="J64:BE64" ca="1" si="29">ROUNDDOWN(I63*$E$63*(J8-I8)/365,0)</f>
        <v>0</v>
      </c>
      <c r="K64" s="630">
        <f t="shared" ca="1" si="29"/>
        <v>0</v>
      </c>
      <c r="L64" s="630">
        <f t="shared" ca="1" si="29"/>
        <v>0</v>
      </c>
      <c r="M64" s="630">
        <f t="shared" ca="1" si="29"/>
        <v>57987</v>
      </c>
      <c r="N64" s="630">
        <f t="shared" ca="1" si="29"/>
        <v>56116</v>
      </c>
      <c r="O64" s="630">
        <f t="shared" ca="1" si="29"/>
        <v>57987</v>
      </c>
      <c r="P64" s="630">
        <f t="shared" ca="1" si="29"/>
        <v>56116</v>
      </c>
      <c r="Q64" s="630">
        <f t="shared" ca="1" si="29"/>
        <v>57987</v>
      </c>
      <c r="R64" s="630">
        <f t="shared" ca="1" si="29"/>
        <v>81182</v>
      </c>
      <c r="S64" s="630">
        <f t="shared" ca="1" si="29"/>
        <v>78563</v>
      </c>
      <c r="T64" s="630">
        <f t="shared" ca="1" si="29"/>
        <v>81182</v>
      </c>
      <c r="U64" s="630">
        <f t="shared" ca="1" si="29"/>
        <v>78563</v>
      </c>
      <c r="V64" s="630">
        <f t="shared" ca="1" si="29"/>
        <v>81182</v>
      </c>
      <c r="W64" s="630">
        <f t="shared" ca="1" si="29"/>
        <v>98578</v>
      </c>
      <c r="X64" s="630">
        <f t="shared" ca="1" si="29"/>
        <v>92218</v>
      </c>
      <c r="Y64" s="630">
        <f t="shared" ca="1" si="29"/>
        <v>98578</v>
      </c>
      <c r="Z64" s="630">
        <f t="shared" ca="1" si="29"/>
        <v>95398</v>
      </c>
      <c r="AA64" s="630">
        <f t="shared" ca="1" si="29"/>
        <v>98578</v>
      </c>
      <c r="AB64" s="630">
        <f t="shared" ca="1" si="29"/>
        <v>95398</v>
      </c>
      <c r="AC64" s="630">
        <f t="shared" ca="1" si="29"/>
        <v>115974</v>
      </c>
      <c r="AD64" s="630">
        <f t="shared" ca="1" si="29"/>
        <v>115974</v>
      </c>
      <c r="AE64" s="630">
        <f t="shared" ca="1" si="29"/>
        <v>112233</v>
      </c>
      <c r="AF64" s="630">
        <f t="shared" ca="1" si="29"/>
        <v>115974</v>
      </c>
      <c r="AG64" s="630">
        <f t="shared" ca="1" si="29"/>
        <v>112233</v>
      </c>
      <c r="AH64" s="630">
        <f t="shared" ca="1" si="29"/>
        <v>133371</v>
      </c>
      <c r="AI64" s="630">
        <f t="shared" ca="1" si="29"/>
        <v>133371</v>
      </c>
      <c r="AJ64" s="630">
        <f t="shared" ca="1" si="29"/>
        <v>120464</v>
      </c>
      <c r="AK64" s="630">
        <f t="shared" ca="1" si="29"/>
        <v>133371</v>
      </c>
      <c r="AL64" s="630">
        <f t="shared" ca="1" si="29"/>
        <v>129068</v>
      </c>
      <c r="AM64" s="630">
        <f t="shared" ca="1" si="29"/>
        <v>150767</v>
      </c>
      <c r="AN64" s="630">
        <f t="shared" ca="1" si="29"/>
        <v>145903</v>
      </c>
      <c r="AO64" s="630">
        <f t="shared" ca="1" si="29"/>
        <v>150767</v>
      </c>
      <c r="AP64" s="630">
        <f t="shared" ca="1" si="29"/>
        <v>150767</v>
      </c>
      <c r="AQ64" s="630">
        <f t="shared" ca="1" si="29"/>
        <v>145903</v>
      </c>
      <c r="AR64" s="630">
        <f t="shared" ca="1" si="29"/>
        <v>150767</v>
      </c>
      <c r="AS64" s="630">
        <f t="shared" ca="1" si="29"/>
        <v>0</v>
      </c>
      <c r="AT64" s="630">
        <f t="shared" ca="1" si="29"/>
        <v>0</v>
      </c>
      <c r="AU64" s="630">
        <f t="shared" ca="1" si="29"/>
        <v>0</v>
      </c>
      <c r="AV64" s="630">
        <f t="shared" ca="1" si="29"/>
        <v>0</v>
      </c>
      <c r="AW64" s="630">
        <f t="shared" ca="1" si="29"/>
        <v>0</v>
      </c>
      <c r="AX64" s="630">
        <f t="shared" ca="1" si="29"/>
        <v>0</v>
      </c>
      <c r="AY64" s="630">
        <f t="shared" ca="1" si="29"/>
        <v>0</v>
      </c>
      <c r="AZ64" s="630">
        <f t="shared" ca="1" si="29"/>
        <v>0</v>
      </c>
      <c r="BA64" s="630">
        <f t="shared" ca="1" si="29"/>
        <v>0</v>
      </c>
      <c r="BB64" s="630">
        <f t="shared" ca="1" si="29"/>
        <v>0</v>
      </c>
      <c r="BC64" s="630">
        <f t="shared" ca="1" si="29"/>
        <v>0</v>
      </c>
      <c r="BD64" s="630">
        <f t="shared" ca="1" si="29"/>
        <v>0</v>
      </c>
      <c r="BE64" s="630">
        <f t="shared" ca="1" si="29"/>
        <v>0</v>
      </c>
      <c r="BF64" s="631">
        <f t="shared" ref="BF64:BF117" ca="1" si="30">SUM(G64:BE64)</f>
        <v>3382520</v>
      </c>
      <c r="BG64" s="556"/>
      <c r="BH64" s="556"/>
    </row>
    <row r="65" spans="1:60">
      <c r="A65" s="1852" t="str">
        <f>'CASH FLOW'!B12</f>
        <v xml:space="preserve"> 오피스텔</v>
      </c>
      <c r="B65" s="632" t="s">
        <v>371</v>
      </c>
      <c r="C65" s="602" t="s">
        <v>355</v>
      </c>
      <c r="D65" s="603" t="s">
        <v>356</v>
      </c>
      <c r="E65" s="603" t="s">
        <v>357</v>
      </c>
      <c r="F65" s="602" t="s">
        <v>355</v>
      </c>
      <c r="G65" s="1502"/>
      <c r="H65" s="1502"/>
      <c r="I65" s="1502"/>
      <c r="J65" s="1502"/>
      <c r="K65" s="1502"/>
      <c r="L65" s="1502"/>
      <c r="M65" s="1502" t="s">
        <v>358</v>
      </c>
      <c r="N65" s="1502"/>
      <c r="O65" s="1502"/>
      <c r="P65" s="1502"/>
      <c r="Q65" s="1502" t="s">
        <v>359</v>
      </c>
      <c r="R65" s="1502"/>
      <c r="S65" s="1502"/>
      <c r="T65" s="1502"/>
      <c r="U65" s="1502" t="s">
        <v>360</v>
      </c>
      <c r="V65" s="1502"/>
      <c r="W65" s="1502"/>
      <c r="X65" s="1502"/>
      <c r="Y65" s="1502" t="s">
        <v>372</v>
      </c>
      <c r="Z65" s="1502"/>
      <c r="AA65" s="1502"/>
      <c r="AB65" s="1502"/>
      <c r="AC65" s="1502" t="s">
        <v>362</v>
      </c>
      <c r="AD65" s="1502"/>
      <c r="AE65" s="1502"/>
      <c r="AF65" s="1502"/>
      <c r="AG65" s="1502"/>
      <c r="AH65" s="1502" t="s">
        <v>363</v>
      </c>
      <c r="AI65" s="1502"/>
      <c r="AJ65" s="1502"/>
      <c r="AK65" s="1502"/>
      <c r="AL65" s="1502"/>
      <c r="AM65" s="1502" t="s">
        <v>373</v>
      </c>
      <c r="AN65" s="1502"/>
      <c r="AO65" s="1502"/>
      <c r="AP65" s="1502"/>
      <c r="AQ65" s="1502"/>
      <c r="AR65" s="1502" t="s">
        <v>365</v>
      </c>
      <c r="AS65" s="1502"/>
      <c r="AT65" s="1502"/>
      <c r="AU65" s="1502"/>
      <c r="AV65" s="1502"/>
      <c r="AW65" s="1502"/>
      <c r="AX65" s="1502"/>
      <c r="AY65" s="1502"/>
      <c r="AZ65" s="1502"/>
      <c r="BA65" s="1502"/>
      <c r="BB65" s="1502"/>
      <c r="BC65" s="1502"/>
      <c r="BD65" s="1502"/>
      <c r="BE65" s="1502"/>
      <c r="BF65" s="633"/>
      <c r="BG65" s="588"/>
      <c r="BH65" s="588"/>
    </row>
    <row r="66" spans="1:60">
      <c r="A66" s="1853"/>
      <c r="B66" s="611">
        <f>B10</f>
        <v>44835</v>
      </c>
      <c r="C66" s="634">
        <f>'CASH FLOW'!E12*1000</f>
        <v>157992364.97659996</v>
      </c>
      <c r="D66" s="1501"/>
      <c r="E66" s="607">
        <f>D66</f>
        <v>0</v>
      </c>
      <c r="F66" s="635">
        <f t="shared" ref="F66:F98" si="31">C66*D66</f>
        <v>0</v>
      </c>
      <c r="G66" s="605">
        <f>$F66*10%</f>
        <v>0</v>
      </c>
      <c r="H66" s="605">
        <f>IF(H$65="입주/잔금",($F66-SUM($G66:G66))*30%,IF(G$65="입주/잔금",($F66-SUM(F66:$G66))*50%,IF(F$65="입주/잔금",($F66-SUM(E66:$G66))*20%,IF(H$65=0,0,IF(H$65="2차중도금",$F66*30%-SUM($G66:G66),IF(H$65="3차중도금",$F66*40%-SUM($G66:G66),IF(H$65="4차중도금",$F66*50%-SUM($G66:G66),$F66*10%)))))))+(IF(H$65="5차중도금",$F66*60%-SUM($G66:G66)-$F66*10%,IF(H$65="6차중도금",$F66*70%-SUM($G66:G66)-$F66*10%,0)))</f>
        <v>0</v>
      </c>
      <c r="I66" s="605">
        <f>IF(I$65="입주/잔금",($F66-SUM($G66:H66))*30%,IF(H$65="입주/잔금",($F66-SUM(G66:$G66))*50%,IF(G$65="입주/잔금",($F66-SUM(F66:$G66))*20%,IF(I$65=0,0,IF(I$65="2차중도금",$F66*30%-SUM($G66:H66),IF(I$65="3차중도금",$F66*40%-SUM($G66:H66),IF(I$65="4차중도금",$F66*50%-SUM($G66:H66),$F66*10%)))))))+(IF(I$65="5차중도금",$F66*60%-SUM($G66:H66)-$F66*10%,IF(I$65="6차중도금",$F66*70%-SUM($G66:H66)-$F66*10%,0)))</f>
        <v>0</v>
      </c>
      <c r="J66" s="605">
        <f>IF(J$65="입주/잔금",($F66-SUM($G66:I66))*30%,IF(I$65="입주/잔금",($F66-SUM($G66:H66))*50%,IF(H$65="입주/잔금",($F66-SUM(G66:$G66))*20%,IF(J$65=0,0,IF(J$65="2차중도금",$F66*30%-SUM($G66:I66),IF(J$65="3차중도금",$F66*40%-SUM($G66:I66),IF(J$65="4차중도금",$F66*50%-SUM($G66:I66),$F66*10%)))))))+(IF(J$65="5차중도금",$F66*60%-SUM($G66:I66)-$F66*10%,IF(J$65="6차중도금",$F66*70%-SUM($G66:I66)-$F66*10%,0)))</f>
        <v>0</v>
      </c>
      <c r="K66" s="605">
        <f>IF(K$65="입주/잔금",($F66-SUM($G66:J66))*30%,IF(J$65="입주/잔금",($F66-SUM($G66:I66))*50%,IF(I$65="입주/잔금",($F66-SUM($G66:H66))*20%,IF(K$65=0,0,IF(K$65="2차중도금",$F66*30%-SUM($G66:J66),IF(K$65="3차중도금",$F66*40%-SUM($G66:J66),IF(K$65="4차중도금",$F66*50%-SUM($G66:J66),$F66*10%)))))))+(IF(K$65="5차중도금",$F66*60%-SUM($G66:J66)-$F66*10%,IF(K$65="6차중도금",$F66*70%-SUM($G66:J66)-$F66*10%,0)))</f>
        <v>0</v>
      </c>
      <c r="L66" s="605">
        <f>IF(L$65="입주/잔금",($F66-SUM($G66:K66))*30%,IF(K$65="입주/잔금",($F66-SUM($G66:J66))*50%,IF(J$65="입주/잔금",($F66-SUM($G66:I66))*20%,IF(L$65=0,0,IF(L$65="2차중도금",$F66*30%-SUM($G66:K66),IF(L$65="3차중도금",$F66*40%-SUM($G66:K66),IF(L$65="4차중도금",$F66*50%-SUM($G66:K66),$F66*10%)))))))+(IF(L$65="5차중도금",$F66*60%-SUM($G66:K66)-$F66*10%,IF(L$65="6차중도금",$F66*70%-SUM($G66:K66)-$F66*10%,0)))</f>
        <v>0</v>
      </c>
      <c r="M66" s="605">
        <f>IF(M$65="입주/잔금",($F66-SUM($G66:L66))*30%,IF(L$65="입주/잔금",($F66-SUM($G66:K66))*50%,IF(K$65="입주/잔금",($F66-SUM($G66:J66))*20%,IF(M$65=0,0,IF(M$65="2차중도금",$F66*30%-SUM($G66:L66),IF(M$65="3차중도금",$F66*40%-SUM($G66:L66),IF(M$65="4차중도금",$F66*50%-SUM($G66:L66),$F66*10%)))))))+(IF(M$65="5차중도금",$F66*60%-SUM($G66:L66)-$F66*10%,IF(M$65="6차중도금",$F66*70%-SUM($G66:L66)-$F66*10%,0)))</f>
        <v>0</v>
      </c>
      <c r="N66" s="605">
        <f>IF(N$65="입주/잔금",($F66-SUM($G66:M66))*30%,IF(M$65="입주/잔금",($F66-SUM($G66:L66))*50%,IF(L$65="입주/잔금",($F66-SUM($G66:K66))*20%,IF(N$65=0,0,IF(N$65="2차중도금",$F66*30%-SUM($G66:M66),IF(N$65="3차중도금",$F66*40%-SUM($G66:M66),IF(N$65="4차중도금",$F66*50%-SUM($G66:M66),$F66*10%)))))))+(IF(N$65="5차중도금",$F66*60%-SUM($G66:M66)-$F66*10%,IF(N$65="6차중도금",$F66*70%-SUM($G66:M66)-$F66*10%,0)))</f>
        <v>0</v>
      </c>
      <c r="O66" s="605">
        <f>IF(O$65="입주/잔금",($F66-SUM($G66:N66))*30%,IF(N$65="입주/잔금",($F66-SUM($G66:M66))*50%,IF(M$65="입주/잔금",($F66-SUM($G66:L66))*20%,IF(O$65=0,0,IF(O$65="2차중도금",$F66*30%-SUM($G66:N66),IF(O$65="3차중도금",$F66*40%-SUM($G66:N66),IF(O$65="4차중도금",$F66*50%-SUM($G66:N66),$F66*10%)))))))+(IF(O$65="5차중도금",$F66*60%-SUM($G66:N66)-$F66*10%,IF(O$65="6차중도금",$F66*70%-SUM($G66:N66)-$F66*10%,0)))</f>
        <v>0</v>
      </c>
      <c r="P66" s="605">
        <f>IF(P$65="입주/잔금",($F66-SUM($G66:O66))*30%,IF(O$65="입주/잔금",($F66-SUM($G66:N66))*50%,IF(N$65="입주/잔금",($F66-SUM($G66:M66))*20%,IF(P$65=0,0,IF(P$65="2차중도금",$F66*30%-SUM($G66:O66),IF(P$65="3차중도금",$F66*40%-SUM($G66:O66),IF(P$65="4차중도금",$F66*50%-SUM($G66:O66),$F66*10%)))))))+(IF(P$65="5차중도금",$F66*60%-SUM($G66:O66)-$F66*10%,IF(P$65="6차중도금",$F66*70%-SUM($G66:O66)-$F66*10%,0)))</f>
        <v>0</v>
      </c>
      <c r="Q66" s="605">
        <f>IF(Q$65="입주/잔금",($F66-SUM($G66:P66))*30%,IF(P$65="입주/잔금",($F66-SUM($G66:O66))*50%,IF(O$65="입주/잔금",($F66-SUM($G66:N66))*20%,IF(Q$65=0,0,IF(Q$65="2차중도금",$F66*30%-SUM($G66:P66),IF(Q$65="3차중도금",$F66*40%-SUM($G66:P66),IF(Q$65="4차중도금",$F66*50%-SUM($G66:P66),$F66*10%)))))))+(IF(Q$65="5차중도금",$F66*60%-SUM($G66:P66)-$F66*10%,IF(Q$65="6차중도금",$F66*70%-SUM($G66:P66)-$F66*10%,0)))</f>
        <v>0</v>
      </c>
      <c r="R66" s="605">
        <f>IF(R$65="입주/잔금",($F66-SUM($G66:Q66))*30%,IF(Q$65="입주/잔금",($F66-SUM($G66:P66))*50%,IF(P$65="입주/잔금",($F66-SUM($G66:O66))*20%,IF(R$65=0,0,IF(R$65="2차중도금",$F66*30%-SUM($G66:Q66),IF(R$65="3차중도금",$F66*40%-SUM($G66:Q66),IF(R$65="4차중도금",$F66*50%-SUM($G66:Q66),$F66*10%)))))))+(IF(R$65="5차중도금",$F66*60%-SUM($G66:Q66)-$F66*10%,IF(R$65="6차중도금",$F66*70%-SUM($G66:Q66)-$F66*10%,0)))</f>
        <v>0</v>
      </c>
      <c r="S66" s="605">
        <f>IF(S$65="입주/잔금",($F66-SUM($G66:R66))*30%,IF(R$65="입주/잔금",($F66-SUM($G66:Q66))*50%,IF(Q$65="입주/잔금",($F66-SUM($G66:P66))*20%,IF(S$65=0,0,IF(S$65="2차중도금",$F66*30%-SUM($G66:R66),IF(S$65="3차중도금",$F66*40%-SUM($G66:R66),IF(S$65="4차중도금",$F66*50%-SUM($G66:R66),$F66*10%)))))))+(IF(S$65="5차중도금",$F66*60%-SUM($G66:R66)-$F66*10%,IF(S$65="6차중도금",$F66*70%-SUM($G66:R66)-$F66*10%,0)))</f>
        <v>0</v>
      </c>
      <c r="T66" s="605">
        <f>IF(T$65="입주/잔금",($F66-SUM($G66:S66))*30%,IF(S$65="입주/잔금",($F66-SUM($G66:R66))*50%,IF(R$65="입주/잔금",($F66-SUM($G66:Q66))*20%,IF(T$65=0,0,IF(T$65="2차중도금",$F66*30%-SUM($G66:S66),IF(T$65="3차중도금",$F66*40%-SUM($G66:S66),IF(T$65="4차중도금",$F66*50%-SUM($G66:S66),$F66*10%)))))))+(IF(T$65="5차중도금",$F66*60%-SUM($G66:S66)-$F66*10%,IF(T$65="6차중도금",$F66*70%-SUM($G66:S66)-$F66*10%,0)))</f>
        <v>0</v>
      </c>
      <c r="U66" s="605">
        <f>IF(U$65="입주/잔금",($F66-SUM($G66:T66))*30%,IF(T$65="입주/잔금",($F66-SUM($G66:S66))*50%,IF(S$65="입주/잔금",($F66-SUM($G66:R66))*20%,IF(U$65=0,0,IF(U$65="2차중도금",$F66*30%-SUM($G66:T66),IF(U$65="3차중도금",$F66*40%-SUM($G66:T66),IF(U$65="4차중도금",$F66*50%-SUM($G66:T66),$F66*10%)))))))+(IF(U$65="5차중도금",$F66*60%-SUM($G66:T66)-$F66*10%,IF(U$65="6차중도금",$F66*70%-SUM($G66:T66)-$F66*10%,0)))</f>
        <v>0</v>
      </c>
      <c r="V66" s="605">
        <f>IF(V$65="입주/잔금",($F66-SUM($G66:U66))*30%,IF(U$65="입주/잔금",($F66-SUM($G66:T66))*50%,IF(T$65="입주/잔금",($F66-SUM($G66:S66))*20%,IF(V$65=0,0,IF(V$65="2차중도금",$F66*30%-SUM($G66:U66),IF(V$65="3차중도금",$F66*40%-SUM($G66:U66),IF(V$65="4차중도금",$F66*50%-SUM($G66:U66),$F66*10%)))))))+(IF(V$65="5차중도금",$F66*60%-SUM($G66:U66)-$F66*10%,IF(V$65="6차중도금",$F66*70%-SUM($G66:U66)-$F66*10%,0)))</f>
        <v>0</v>
      </c>
      <c r="W66" s="605">
        <f>IF(W$65="입주/잔금",($F66-SUM($G66:V66))*30%,IF(V$65="입주/잔금",($F66-SUM($G66:U66))*50%,IF(U$65="입주/잔금",($F66-SUM($G66:T66))*20%,IF(W$65=0,0,IF(W$65="2차중도금",$F66*30%-SUM($G66:V66),IF(W$65="3차중도금",$F66*40%-SUM($G66:V66),IF(W$65="4차중도금",$F66*50%-SUM($G66:V66),$F66*10%)))))))+(IF(W$65="5차중도금",$F66*60%-SUM($G66:V66)-$F66*10%,IF(W$65="6차중도금",$F66*70%-SUM($G66:V66)-$F66*10%,0)))</f>
        <v>0</v>
      </c>
      <c r="X66" s="605">
        <f>IF(X$65="입주/잔금",($F66-SUM($G66:W66))*30%,IF(W$65="입주/잔금",($F66-SUM($G66:V66))*50%,IF(V$65="입주/잔금",($F66-SUM($G66:U66))*20%,IF(X$65=0,0,IF(X$65="2차중도금",$F66*30%-SUM($G66:W66),IF(X$65="3차중도금",$F66*40%-SUM($G66:W66),IF(X$65="4차중도금",$F66*50%-SUM($G66:W66),$F66*10%)))))))+(IF(X$65="5차중도금",$F66*60%-SUM($G66:W66)-$F66*10%,IF(X$65="6차중도금",$F66*70%-SUM($G66:W66)-$F66*10%,0)))</f>
        <v>0</v>
      </c>
      <c r="Y66" s="605">
        <f>IF(Y$65="입주/잔금",($F66-SUM($G66:X66))*30%,IF(X$65="입주/잔금",($F66-SUM($G66:W66))*50%,IF(W$65="입주/잔금",($F66-SUM($G66:V66))*20%,IF(Y$65=0,0,IF(Y$65="2차중도금",$F66*30%-SUM($G66:X66),IF(Y$65="3차중도금",$F66*40%-SUM($G66:X66),IF(Y$65="4차중도금",$F66*50%-SUM($G66:X66),$F66*10%)))))))+(IF(Y$65="5차중도금",$F66*60%-SUM($G66:X66)-$F66*10%,IF(Y$65="6차중도금",$F66*70%-SUM($G66:X66)-$F66*10%,0)))</f>
        <v>0</v>
      </c>
      <c r="Z66" s="605">
        <f>IF(Z$65="입주/잔금",($F66-SUM($G66:Y66))*30%,IF(Y$65="입주/잔금",($F66-SUM($G66:X66))*50%,IF(X$65="입주/잔금",($F66-SUM($G66:W66))*20%,IF(Z$65=0,0,IF(Z$65="2차중도금",$F66*30%-SUM($G66:Y66),IF(Z$65="3차중도금",$F66*40%-SUM($G66:Y66),IF(Z$65="4차중도금",$F66*50%-SUM($G66:Y66),$F66*10%)))))))+(IF(Z$65="5차중도금",$F66*60%-SUM($G66:Y66)-$F66*10%,IF(Z$65="6차중도금",$F66*70%-SUM($G66:Y66)-$F66*10%,0)))</f>
        <v>0</v>
      </c>
      <c r="AA66" s="605">
        <f>IF(AA$65="입주/잔금",($F66-SUM($G66:Z66))*30%,IF(Z$65="입주/잔금",($F66-SUM($G66:Y66))*50%,IF(Y$65="입주/잔금",($F66-SUM($G66:X66))*20%,IF(AA$65=0,0,IF(AA$65="2차중도금",$F66*30%-SUM($G66:Z66),IF(AA$65="3차중도금",$F66*40%-SUM($G66:Z66),IF(AA$65="4차중도금",$F66*50%-SUM($G66:Z66),$F66*10%)))))))+(IF(AA$65="5차중도금",$F66*60%-SUM($G66:Z66)-$F66*10%,IF(AA$65="6차중도금",$F66*70%-SUM($G66:Z66)-$F66*10%,0)))</f>
        <v>0</v>
      </c>
      <c r="AB66" s="605">
        <f>IF(AB$65="입주/잔금",($F66-SUM($G66:AA66))*30%,IF(AA$65="입주/잔금",($F66-SUM($G66:Z66))*50%,IF(Z$65="입주/잔금",($F66-SUM($G66:Y66))*20%,IF(AB$65=0,0,IF(AB$65="2차중도금",$F66*30%-SUM($G66:AA66),IF(AB$65="3차중도금",$F66*40%-SUM($G66:AA66),IF(AB$65="4차중도금",$F66*50%-SUM($G66:AA66),$F66*10%)))))))+(IF(AB$65="5차중도금",$F66*60%-SUM($G66:AA66)-$F66*10%,IF(AB$65="6차중도금",$F66*70%-SUM($G66:AA66)-$F66*10%,0)))</f>
        <v>0</v>
      </c>
      <c r="AC66" s="605">
        <f>IF(AC$65="입주/잔금",($F66-SUM($G66:AB66))*30%,IF(AB$65="입주/잔금",($F66-SUM($G66:AA66))*50%,IF(AA$65="입주/잔금",($F66-SUM($G66:Z66))*20%,IF(AC$65=0,0,IF(AC$65="2차중도금",$F66*30%-SUM($G66:AB66),IF(AC$65="3차중도금",$F66*40%-SUM($G66:AB66),IF(AC$65="4차중도금",$F66*50%-SUM($G66:AB66),$F66*10%)))))))+(IF(AC$65="5차중도금",$F66*60%-SUM($G66:AB66)-$F66*10%,IF(AC$65="6차중도금",$F66*70%-SUM($G66:AB66)-$F66*10%,0)))</f>
        <v>0</v>
      </c>
      <c r="AD66" s="605">
        <f>IF(AD$65="입주/잔금",($F66-SUM($G66:AC66))*30%,IF(AC$65="입주/잔금",($F66-SUM($G66:AB66))*50%,IF(AB$65="입주/잔금",($F66-SUM($G66:AA66))*20%,IF(AD$65=0,0,IF(AD$65="2차중도금",$F66*30%-SUM($G66:AC66),IF(AD$65="3차중도금",$F66*40%-SUM($G66:AC66),IF(AD$65="4차중도금",$F66*50%-SUM($G66:AC66),$F66*10%)))))))+(IF(AD$65="5차중도금",$F66*60%-SUM($G66:AC66)-$F66*10%,IF(AD$65="6차중도금",$F66*70%-SUM($G66:AC66)-$F66*10%,0)))</f>
        <v>0</v>
      </c>
      <c r="AE66" s="605">
        <f>IF(AE$65="입주/잔금",($F66-SUM($G66:AD66))*30%,IF(AD$65="입주/잔금",($F66-SUM($G66:AC66))*50%,IF(AC$65="입주/잔금",($F66-SUM($G66:AB66))*20%,IF(AE$65=0,0,IF(AE$65="2차중도금",$F66*30%-SUM($G66:AD66),IF(AE$65="3차중도금",$F66*40%-SUM($G66:AD66),IF(AE$65="4차중도금",$F66*50%-SUM($G66:AD66),$F66*10%)))))))+(IF(AE$65="5차중도금",$F66*60%-SUM($G66:AD66)-$F66*10%,IF(AE$65="6차중도금",$F66*70%-SUM($G66:AD66)-$F66*10%,0)))</f>
        <v>0</v>
      </c>
      <c r="AF66" s="605">
        <f>IF(AF$65="입주/잔금",($F66-SUM($G66:AE66))*30%,IF(AE$65="입주/잔금",($F66-SUM($G66:AD66))*50%,IF(AD$65="입주/잔금",($F66-SUM($G66:AC66))*20%,IF(AF$65=0,0,IF(AF$65="2차중도금",$F66*30%-SUM($G66:AE66),IF(AF$65="3차중도금",$F66*40%-SUM($G66:AE66),IF(AF$65="4차중도금",$F66*50%-SUM($G66:AE66),$F66*10%)))))))+(IF(AF$65="5차중도금",$F66*60%-SUM($G66:AE66)-$F66*10%,IF(AF$65="6차중도금",$F66*70%-SUM($G66:AE66)-$F66*10%,0)))</f>
        <v>0</v>
      </c>
      <c r="AG66" s="605">
        <f>IF(AG$65="입주/잔금",($F66-SUM($G66:AF66))*30%,IF(AF$65="입주/잔금",($F66-SUM($G66:AE66))*50%,IF(AE$65="입주/잔금",($F66-SUM($G66:AD66))*20%,IF(AG$65=0,0,IF(AG$65="2차중도금",$F66*30%-SUM($G66:AF66),IF(AG$65="3차중도금",$F66*40%-SUM($G66:AF66),IF(AG$65="4차중도금",$F66*50%-SUM($G66:AF66),$F66*10%)))))))+(IF(AG$65="5차중도금",$F66*60%-SUM($G66:AF66)-$F66*10%,IF(AG$65="6차중도금",$F66*70%-SUM($G66:AF66)-$F66*10%,0)))</f>
        <v>0</v>
      </c>
      <c r="AH66" s="605">
        <f>IF(AH$65="입주/잔금",($F66-SUM($G66:AG66))*30%,IF(AG$65="입주/잔금",($F66-SUM($G66:AF66))*50%,IF(AF$65="입주/잔금",($F66-SUM($G66:AE66))*20%,IF(AH$65=0,0,IF(AH$65="2차중도금",$F66*30%-SUM($G66:AG66),IF(AH$65="3차중도금",$F66*40%-SUM($G66:AG66),IF(AH$65="4차중도금",$F66*50%-SUM($G66:AG66),$F66*10%)))))))+(IF(AH$65="5차중도금",$F66*60%-SUM($G66:AG66)-$F66*10%,IF(AH$65="6차중도금",$F66*70%-SUM($G66:AG66)-$F66*10%,0)))</f>
        <v>0</v>
      </c>
      <c r="AI66" s="605">
        <f>IF(AI$65="입주/잔금",($F66-SUM($G66:AH66))*30%,IF(AH$65="입주/잔금",($F66-SUM($G66:AG66))*50%,IF(AG$65="입주/잔금",($F66-SUM($G66:AF66))*20%,IF(AI$65=0,0,IF(AI$65="2차중도금",$F66*30%-SUM($G66:AH66),IF(AI$65="3차중도금",$F66*40%-SUM($G66:AH66),IF(AI$65="4차중도금",$F66*50%-SUM($G66:AH66),$F66*10%)))))))+(IF(AI$65="5차중도금",$F66*60%-SUM($G66:AH66)-$F66*10%,IF(AI$65="6차중도금",$F66*70%-SUM($G66:AH66)-$F66*10%,0)))</f>
        <v>0</v>
      </c>
      <c r="AJ66" s="605">
        <f>IF(AJ$65="입주/잔금",($F66-SUM($G66:AI66))*30%,IF(AI$65="입주/잔금",($F66-SUM($G66:AH66))*50%,IF(AH$65="입주/잔금",($F66-SUM($G66:AG66))*20%,IF(AJ$65=0,0,IF(AJ$65="2차중도금",$F66*30%-SUM($G66:AI66),IF(AJ$65="3차중도금",$F66*40%-SUM($G66:AI66),IF(AJ$65="4차중도금",$F66*50%-SUM($G66:AI66),$F66*10%)))))))+(IF(AJ$65="5차중도금",$F66*60%-SUM($G66:AI66)-$F66*10%,IF(AJ$65="6차중도금",$F66*70%-SUM($G66:AI66)-$F66*10%,0)))</f>
        <v>0</v>
      </c>
      <c r="AK66" s="605">
        <f>IF(AK$65="입주/잔금",($F66-SUM($G66:AJ66))*30%,IF(AJ$65="입주/잔금",($F66-SUM($G66:AI66))*50%,IF(AI$65="입주/잔금",($F66-SUM($G66:AH66))*20%,IF(AK$65=0,0,IF(AK$65="2차중도금",$F66*30%-SUM($G66:AJ66),IF(AK$65="3차중도금",$F66*40%-SUM($G66:AJ66),IF(AK$65="4차중도금",$F66*50%-SUM($G66:AJ66),$F66*10%)))))))+(IF(AK$65="5차중도금",$F66*60%-SUM($G66:AJ66)-$F66*10%,IF(AK$65="6차중도금",$F66*70%-SUM($G66:AJ66)-$F66*10%,0)))</f>
        <v>0</v>
      </c>
      <c r="AL66" s="605">
        <f>IF(AL$65="입주/잔금",($F66-SUM($G66:AK66))*30%,IF(AK$65="입주/잔금",($F66-SUM($G66:AJ66))*50%,IF(AJ$65="입주/잔금",($F66-SUM($G66:AI66))*20%,IF(AL$65=0,0,IF(AL$65="2차중도금",$F66*30%-SUM($G66:AK66),IF(AL$65="3차중도금",$F66*40%-SUM($G66:AK66),IF(AL$65="4차중도금",$F66*50%-SUM($G66:AK66),$F66*10%)))))))+(IF(AL$65="5차중도금",$F66*60%-SUM($G66:AK66)-$F66*10%,IF(AL$65="6차중도금",$F66*70%-SUM($G66:AK66)-$F66*10%,0)))</f>
        <v>0</v>
      </c>
      <c r="AM66" s="605">
        <f>IF(AM$65="입주/잔금",($F66-SUM($G66:AL66))*30%,IF(AL$65="입주/잔금",($F66-SUM($G66:AK66))*50%,IF(AK$65="입주/잔금",($F66-SUM($G66:AJ66))*20%,IF(AM$65=0,0,IF(AM$65="2차중도금",$F66*30%-SUM($G66:AL66),IF(AM$65="3차중도금",$F66*40%-SUM($G66:AL66),IF(AM$65="4차중도금",$F66*50%-SUM($G66:AL66),$F66*10%)))))))+(IF(AM$65="5차중도금",$F66*60%-SUM($G66:AL66)-$F66*10%,IF(AM$65="6차중도금",$F66*70%-SUM($G66:AL66)-$F66*10%,0)))</f>
        <v>0</v>
      </c>
      <c r="AN66" s="605">
        <f>IF(AN$65="입주/잔금",($F66-SUM($G66:AM66))*30%,IF(AM$65="입주/잔금",($F66-SUM($G66:AL66))*50%,IF(AL$65="입주/잔금",($F66-SUM($G66:AK66))*20%,IF(AN$65=0,0,IF(AN$65="2차중도금",$F66*30%-SUM($G66:AM66),IF(AN$65="3차중도금",$F66*40%-SUM($G66:AM66),IF(AN$65="4차중도금",$F66*50%-SUM($G66:AM66),$F66*10%)))))))+(IF(AN$65="5차중도금",$F66*60%-SUM($G66:AM66)-$F66*10%,IF(AN$65="6차중도금",$F66*70%-SUM($G66:AM66)-$F66*10%,0)))</f>
        <v>0</v>
      </c>
      <c r="AO66" s="605">
        <f>IF(AO$65="입주/잔금",($F66-SUM($G66:AN66))*30%,IF(AN$65="입주/잔금",($F66-SUM($G66:AM66))*50%,IF(AM$65="입주/잔금",($F66-SUM($G66:AL66))*20%,IF(AO$65=0,0,IF(AO$65="2차중도금",$F66*30%-SUM($G66:AN66),IF(AO$65="3차중도금",$F66*40%-SUM($G66:AN66),IF(AO$65="4차중도금",$F66*50%-SUM($G66:AN66),$F66*10%)))))))+(IF(AO$65="5차중도금",$F66*60%-SUM($G66:AN66)-$F66*10%,IF(AO$65="6차중도금",$F66*70%-SUM($G66:AN66)-$F66*10%,0)))</f>
        <v>0</v>
      </c>
      <c r="AP66" s="605">
        <f>IF(AP$65="입주/잔금",($F66-SUM($G66:AO66))*30%,IF(AO$65="입주/잔금",($F66-SUM($G66:AN66))*50%,IF(AN$65="입주/잔금",($F66-SUM($G66:AM66))*20%,IF(AP$65=0,0,IF(AP$65="2차중도금",$F66*30%-SUM($G66:AO66),IF(AP$65="3차중도금",$F66*40%-SUM($G66:AO66),IF(AP$65="4차중도금",$F66*50%-SUM($G66:AO66),$F66*10%)))))))+(IF(AP$65="5차중도금",$F66*60%-SUM($G66:AO66)-$F66*10%,IF(AP$65="6차중도금",$F66*70%-SUM($G66:AO66)-$F66*10%,0)))</f>
        <v>0</v>
      </c>
      <c r="AQ66" s="605">
        <f>IF(AQ$65="입주/잔금",($F66-SUM($G66:AP66))*30%,IF(AP$65="입주/잔금",($F66-SUM($G66:AO66))*50%,IF(AO$65="입주/잔금",($F66-SUM($G66:AN66))*20%,IF(AQ$65=0,0,IF(AQ$65="2차중도금",$F66*30%-SUM($G66:AP66),IF(AQ$65="3차중도금",$F66*40%-SUM($G66:AP66),IF(AQ$65="4차중도금",$F66*50%-SUM($G66:AP66),$F66*10%)))))))+(IF(AQ$65="5차중도금",$F66*60%-SUM($G66:AP66)-$F66*10%,IF(AQ$65="6차중도금",$F66*70%-SUM($G66:AP66)-$F66*10%,0)))</f>
        <v>0</v>
      </c>
      <c r="AR66" s="605">
        <f>IF(AR$65="입주/잔금",($F66-SUM($G66:AQ66))*30%,IF(AQ$65="입주/잔금",($F66-SUM($G66:AP66))*50%,IF(AP$65="입주/잔금",($F66-SUM($G66:AO66))*20%,IF(AR$65=0,0,IF(AR$65="2차중도금",$F66*30%-SUM($G66:AQ66),IF(AR$65="3차중도금",$F66*40%-SUM($G66:AQ66),IF(AR$65="4차중도금",$F66*50%-SUM($G66:AQ66),$F66*10%)))))))+(IF(AR$65="5차중도금",$F66*60%-SUM($G66:AQ66)-$F66*10%,IF(AR$65="6차중도금",$F66*70%-SUM($G66:AQ66)-$F66*10%,0)))</f>
        <v>0</v>
      </c>
      <c r="AS66" s="605">
        <f>IF(AS$65="입주/잔금",($F66-SUM($G66:AR66))*30%,IF(AR$65="입주/잔금",($F66-SUM($G66:AQ66))*50%,IF(AQ$65="입주/잔금",($F66-SUM($G66:AP66))*20%,IF(AS$65=0,0,IF(AS$65="2차중도금",$F66*30%-SUM($G66:AR66),IF(AS$65="3차중도금",$F66*40%-SUM($G66:AR66),IF(AS$65="4차중도금",$F66*50%-SUM($G66:AR66),$F66*10%)))))))+(IF(AS$65="5차중도금",$F66*60%-SUM($G66:AR66)-$F66*10%,IF(AS$65="6차중도금",$F66*70%-SUM($G66:AR66)-$F66*10%,0)))</f>
        <v>0</v>
      </c>
      <c r="AT66" s="605">
        <f>IF(AT$65="입주/잔금",($F66-SUM($G66:AS66))*30%,IF(AS$65="입주/잔금",($F66-SUM($G66:AR66))*50%,IF(AR$65="입주/잔금",($F66-SUM($G66:AQ66))*20%,IF(AT$65=0,0,IF(AT$65="2차중도금",$F66*30%-SUM($G66:AS66),IF(AT$65="3차중도금",$F66*40%-SUM($G66:AS66),IF(AT$65="4차중도금",$F66*50%-SUM($G66:AS66),$F66*10%)))))))+(IF(AT$65="5차중도금",$F66*60%-SUM($G66:AS66)-$F66*10%,IF(AT$65="6차중도금",$F66*70%-SUM($G66:AS66)-$F66*10%,0)))</f>
        <v>0</v>
      </c>
      <c r="AU66" s="605">
        <f>IF(AU$65="입주/잔금",($F66-SUM($G66:AT66))*30%,IF(AT$65="입주/잔금",($F66-SUM($G66:AS66))*50%,IF(AS$65="입주/잔금",($F66-SUM($G66:AR66))*20%,IF(AU$65=0,0,IF(AU$65="2차중도금",$F66*30%-SUM($G66:AT66),IF(AU$65="3차중도금",$F66*40%-SUM($G66:AT66),IF(AU$65="4차중도금",$F66*50%-SUM($G66:AT66),$F66*10%)))))))+(IF(AU$65="5차중도금",$F66*60%-SUM($G66:AT66)-$F66*10%,IF(AU$65="6차중도금",$F66*70%-SUM($G66:AT66)-$F66*10%,0)))</f>
        <v>0</v>
      </c>
      <c r="AV66" s="605">
        <f>IF(AV$65="입주/잔금",($F66-SUM($G66:AU66))*30%,IF(AU$65="입주/잔금",($F66-SUM($G66:AT66))*50%,IF(AT$65="입주/잔금",($F66-SUM($G66:AS66))*20%,IF(AV$65=0,0,IF(AV$65="2차중도금",$F66*30%-SUM($G66:AU66),IF(AV$65="3차중도금",$F66*40%-SUM($G66:AU66),IF(AV$65="4차중도금",$F66*50%-SUM($G66:AU66),$F66*10%)))))))+(IF(AV$65="5차중도금",$F66*60%-SUM($G66:AU66)-$F66*10%,IF(AV$65="6차중도금",$F66*70%-SUM($G66:AU66)-$F66*10%,0)))</f>
        <v>0</v>
      </c>
      <c r="AW66" s="605">
        <f>IF(AW$65="입주/잔금",($F66-SUM($G66:AV66))*30%,IF(AV$65="입주/잔금",($F66-SUM($G66:AU66))*50%,IF(AU$65="입주/잔금",($F66-SUM($G66:AT66))*20%,IF(AW$65=0,0,IF(AW$65="2차중도금",$F66*30%-SUM($G66:AV66),IF(AW$65="3차중도금",$F66*40%-SUM($G66:AV66),IF(AW$65="4차중도금",$F66*50%-SUM($G66:AV66),$F66*10%)))))))+(IF(AW$65="5차중도금",$F66*60%-SUM($G66:AV66)-$F66*10%,IF(AW$65="6차중도금",$F66*70%-SUM($G66:AV66)-$F66*10%,0)))</f>
        <v>0</v>
      </c>
      <c r="AX66" s="605">
        <f>IF(AX$65="입주/잔금",($F66-SUM($G66:AW66))*30%,IF(AW$65="입주/잔금",($F66-SUM($G66:AV66))*50%,IF(AV$65="입주/잔금",($F66-SUM($G66:AU66))*20%,IF(AX$65=0,0,IF(AX$65="2차중도금",$F66*30%-SUM($G66:AW66),IF(AX$65="3차중도금",$F66*40%-SUM($G66:AW66),IF(AX$65="4차중도금",$F66*50%-SUM($G66:AW66),$F66*10%)))))))+(IF(AX$65="5차중도금",$F66*60%-SUM($G66:AW66)-$F66*10%,IF(AX$65="6차중도금",$F66*70%-SUM($G66:AW66)-$F66*10%,0)))</f>
        <v>0</v>
      </c>
      <c r="AY66" s="605">
        <f>IF(AY$65="입주/잔금",($F66-SUM($G66:AX66))*30%,IF(AX$65="입주/잔금",($F66-SUM($G66:AW66))*50%,IF(AW$65="입주/잔금",($F66-SUM($G66:AV66))*20%,IF(AY$65=0,0,IF(AY$65="2차중도금",$F66*30%-SUM($G66:AX66),IF(AY$65="3차중도금",$F66*40%-SUM($G66:AX66),IF(AY$65="4차중도금",$F66*50%-SUM($G66:AX66),$F66*10%)))))))+(IF(AY$65="5차중도금",$F66*60%-SUM($G66:AX66)-$F66*10%,IF(AY$65="6차중도금",$F66*70%-SUM($G66:AX66)-$F66*10%,0)))</f>
        <v>0</v>
      </c>
      <c r="AZ66" s="605">
        <f>IF(AZ$65="입주/잔금",($F66-SUM($G66:AY66))*30%,IF(AY$65="입주/잔금",($F66-SUM($G66:AX66))*50%,IF(AX$65="입주/잔금",($F66-SUM($G66:AW66))*20%,IF(AZ$65=0,0,IF(AZ$65="2차중도금",$F66*30%-SUM($G66:AY66),IF(AZ$65="3차중도금",$F66*40%-SUM($G66:AY66),IF(AZ$65="4차중도금",$F66*50%-SUM($G66:AY66),$F66*10%)))))))+(IF(AZ$65="5차중도금",$F66*60%-SUM($G66:AY66)-$F66*10%,IF(AZ$65="6차중도금",$F66*70%-SUM($G66:AY66)-$F66*10%,0)))</f>
        <v>0</v>
      </c>
      <c r="BA66" s="605">
        <f>IF(BA$65="입주/잔금",($F66-SUM($G66:AZ66))*30%,IF(AZ$65="입주/잔금",($F66-SUM($G66:AY66))*50%,IF(AY$65="입주/잔금",($F66-SUM($G66:AX66))*20%,IF(BA$65=0,0,IF(BA$65="2차중도금",$F66*30%-SUM($G66:AZ66),IF(BA$65="3차중도금",$F66*40%-SUM($G66:AZ66),IF(BA$65="4차중도금",$F66*50%-SUM($G66:AZ66),$F66*10%)))))))+(IF(BA$65="5차중도금",$F66*60%-SUM($G66:AZ66)-$F66*10%,IF(BA$65="6차중도금",$F66*70%-SUM($G66:AZ66)-$F66*10%,0)))</f>
        <v>0</v>
      </c>
      <c r="BB66" s="605">
        <f>IF(BB$65="입주/잔금",($F66-SUM($G66:BA66))*30%,IF(BA$65="입주/잔금",($F66-SUM($G66:AZ66))*50%,IF(AZ$65="입주/잔금",($F66-SUM($G66:AY66))*20%,IF(BB$65=0,0,IF(BB$65="2차중도금",$F66*30%-SUM($G66:BA66),IF(BB$65="3차중도금",$F66*40%-SUM($G66:BA66),IF(BB$65="4차중도금",$F66*50%-SUM($G66:BA66),$F66*10%)))))))+(IF(BB$65="5차중도금",$F66*60%-SUM($G66:BA66)-$F66*10%,IF(BB$65="6차중도금",$F66*70%-SUM($G66:BA66)-$F66*10%,0)))</f>
        <v>0</v>
      </c>
      <c r="BC66" s="605">
        <f>IF(BC$65="입주/잔금",($F66-SUM($G66:BB66))*30%,IF(BB$65="입주/잔금",($F66-SUM($G66:BA66))*50%,IF(BA$65="입주/잔금",($F66-SUM($G66:AZ66))*20%,IF(BC$65=0,0,IF(BC$65="2차중도금",$F66*30%-SUM($G66:BB66),IF(BC$65="3차중도금",$F66*40%-SUM($G66:BB66),IF(BC$65="4차중도금",$F66*50%-SUM($G66:BB66),$F66*10%)))))))+(IF(BC$65="5차중도금",$F66*60%-SUM($G66:BB66)-$F66*10%,IF(BC$65="6차중도금",$F66*70%-SUM($G66:BB66)-$F66*10%,0)))</f>
        <v>0</v>
      </c>
      <c r="BD66" s="605">
        <f>IF(BD$65="입주/잔금",($F66-SUM($G66:BC66))*30%,IF(BC$65="입주/잔금",($F66-SUM($G66:BB66))*50%,IF(BB$65="입주/잔금",($F66-SUM($G66:BA66))*20%,IF(BD$65=0,0,IF(BD$65="2차중도금",$F66*30%-SUM($G66:BC66),IF(BD$65="3차중도금",$F66*40%-SUM($G66:BC66),IF(BD$65="4차중도금",$F66*50%-SUM($G66:BC66),$F66*10%)))))))+(IF(BD$65="5차중도금",$F66*60%-SUM($G66:BC66)-$F66*10%,IF(BD$65="6차중도금",$F66*70%-SUM($G66:BC66)-$F66*10%,0)))</f>
        <v>0</v>
      </c>
      <c r="BE66" s="605">
        <f>IF(BE$65="입주/잔금",($F66-SUM($G66:BD66))*30%,IF(BD$65="입주/잔금",($F66-SUM($G66:BC66))*50%,IF(BC$65="입주/잔금",($F66-SUM($G66:BB66))*20%,IF(BE$65=0,0,IF(BE$65="2차중도금",$F66*30%-SUM($G66:BD66),IF(BE$65="3차중도금",$F66*40%-SUM($G66:BD66),IF(BE$65="4차중도금",$F66*50%-SUM($G66:BD66),$F66*10%)))))))+(IF(BE$65="5차중도금",$F66*60%-SUM($G66:BD66)-$F66*10%,IF(BE$65="6차중도금",$F66*70%-SUM($G66:BD66)-$F66*10%,0)))</f>
        <v>0</v>
      </c>
      <c r="BF66" s="636">
        <f t="shared" si="30"/>
        <v>0</v>
      </c>
      <c r="BG66" s="556">
        <f t="shared" ref="BG66:BG117" si="32">+F66-BF66</f>
        <v>0</v>
      </c>
      <c r="BH66" s="610"/>
    </row>
    <row r="67" spans="1:60">
      <c r="A67" s="1853"/>
      <c r="B67" s="611">
        <f t="shared" ref="B67:B116" si="33">DATE(YEAR(B66),MONTH(B66)+1,DAY(B66))</f>
        <v>44866</v>
      </c>
      <c r="C67" s="605">
        <f t="shared" ref="C67:C89" si="34">C66</f>
        <v>157992364.97659996</v>
      </c>
      <c r="D67" s="1501"/>
      <c r="E67" s="607">
        <f>E66+D67</f>
        <v>0</v>
      </c>
      <c r="F67" s="608">
        <f t="shared" si="31"/>
        <v>0</v>
      </c>
      <c r="G67" s="605"/>
      <c r="H67" s="605">
        <f>$F67*10%</f>
        <v>0</v>
      </c>
      <c r="I67" s="605">
        <f>IF(I$65="입주/잔금",($F67-SUM($G67:H67))*30%,IF(H$65="입주/잔금",($F67-SUM(G67:$G67))*50%,IF(G$65="입주/잔금",($F67-SUM(F67:$G67))*20%,IF(I$65=0,0,IF(I$65="2차중도금",$F67*30%-SUM($G67:H67),IF(I$65="3차중도금",$F67*40%-SUM($G67:H67),IF(I$65="4차중도금",$F67*50%-SUM($G67:H67),$F67*10%)))))))+(IF(I$65="5차중도금",$F67*60%-SUM($G67:H67)-$F67*10%,IF(I$65="6차중도금",$F67*70%-SUM($G67:H67)-$F67*10%,0)))</f>
        <v>0</v>
      </c>
      <c r="J67" s="605">
        <f>IF(J$65="입주/잔금",($F67-SUM($G67:I67))*30%,IF(I$65="입주/잔금",($F67-SUM($G67:H67))*50%,IF(H$65="입주/잔금",($F67-SUM(G67:$G67))*20%,IF(J$65=0,0,IF(J$65="2차중도금",$F67*30%-SUM($G67:I67),IF(J$65="3차중도금",$F67*40%-SUM($G67:I67),IF(J$65="4차중도금",$F67*50%-SUM($G67:I67),$F67*10%)))))))+(IF(J$65="5차중도금",$F67*60%-SUM($G67:I67)-$F67*10%,IF(J$65="6차중도금",$F67*70%-SUM($G67:I67)-$F67*10%,0)))</f>
        <v>0</v>
      </c>
      <c r="K67" s="605">
        <f>IF(K$65="입주/잔금",($F67-SUM($G67:J67))*30%,IF(J$65="입주/잔금",($F67-SUM($G67:I67))*50%,IF(I$65="입주/잔금",($F67-SUM($G67:H67))*20%,IF(K$65=0,0,IF(K$65="2차중도금",$F67*30%-SUM($G67:J67),IF(K$65="3차중도금",$F67*40%-SUM($G67:J67),IF(K$65="4차중도금",$F67*50%-SUM($G67:J67),$F67*10%)))))))+(IF(K$65="5차중도금",$F67*60%-SUM($G67:J67)-$F67*10%,IF(K$65="6차중도금",$F67*70%-SUM($G67:J67)-$F67*10%,0)))</f>
        <v>0</v>
      </c>
      <c r="L67" s="605">
        <f>IF(L$65="입주/잔금",($F67-SUM($G67:K67))*30%,IF(K$65="입주/잔금",($F67-SUM($G67:J67))*50%,IF(J$65="입주/잔금",($F67-SUM($G67:I67))*20%,IF(L$65=0,0,IF(L$65="2차중도금",$F67*30%-SUM($G67:K67),IF(L$65="3차중도금",$F67*40%-SUM($G67:K67),IF(L$65="4차중도금",$F67*50%-SUM($G67:K67),$F67*10%)))))))+(IF(L$65="5차중도금",$F67*60%-SUM($G67:K67)-$F67*10%,IF(L$65="6차중도금",$F67*70%-SUM($G67:K67)-$F67*10%,0)))</f>
        <v>0</v>
      </c>
      <c r="M67" s="605">
        <f>IF(M$65="입주/잔금",($F67-SUM($G67:L67))*30%,IF(L$65="입주/잔금",($F67-SUM($G67:K67))*50%,IF(K$65="입주/잔금",($F67-SUM($G67:J67))*20%,IF(M$65=0,0,IF(M$65="2차중도금",$F67*30%-SUM($G67:L67),IF(M$65="3차중도금",$F67*40%-SUM($G67:L67),IF(M$65="4차중도금",$F67*50%-SUM($G67:L67),$F67*10%)))))))+(IF(M$65="5차중도금",$F67*60%-SUM($G67:L67)-$F67*10%,IF(M$65="6차중도금",$F67*70%-SUM($G67:L67)-$F67*10%,0)))</f>
        <v>0</v>
      </c>
      <c r="N67" s="605">
        <f>IF(N$65="입주/잔금",($F67-SUM($G67:M67))*30%,IF(M$65="입주/잔금",($F67-SUM($G67:L67))*50%,IF(L$65="입주/잔금",($F67-SUM($G67:K67))*20%,IF(N$65=0,0,IF(N$65="2차중도금",$F67*30%-SUM($G67:M67),IF(N$65="3차중도금",$F67*40%-SUM($G67:M67),IF(N$65="4차중도금",$F67*50%-SUM($G67:M67),$F67*10%)))))))+(IF(N$65="5차중도금",$F67*60%-SUM($G67:M67)-$F67*10%,IF(N$65="6차중도금",$F67*70%-SUM($G67:M67)-$F67*10%,0)))</f>
        <v>0</v>
      </c>
      <c r="O67" s="605">
        <f>IF(O$65="입주/잔금",($F67-SUM($G67:N67))*30%,IF(N$65="입주/잔금",($F67-SUM($G67:M67))*50%,IF(M$65="입주/잔금",($F67-SUM($G67:L67))*20%,IF(O$65=0,0,IF(O$65="2차중도금",$F67*30%-SUM($G67:N67),IF(O$65="3차중도금",$F67*40%-SUM($G67:N67),IF(O$65="4차중도금",$F67*50%-SUM($G67:N67),$F67*10%)))))))+(IF(O$65="5차중도금",$F67*60%-SUM($G67:N67)-$F67*10%,IF(O$65="6차중도금",$F67*70%-SUM($G67:N67)-$F67*10%,0)))</f>
        <v>0</v>
      </c>
      <c r="P67" s="605">
        <f>IF(P$65="입주/잔금",($F67-SUM($G67:O67))*30%,IF(O$65="입주/잔금",($F67-SUM($G67:N67))*50%,IF(N$65="입주/잔금",($F67-SUM($G67:M67))*20%,IF(P$65=0,0,IF(P$65="2차중도금",$F67*30%-SUM($G67:O67),IF(P$65="3차중도금",$F67*40%-SUM($G67:O67),IF(P$65="4차중도금",$F67*50%-SUM($G67:O67),$F67*10%)))))))+(IF(P$65="5차중도금",$F67*60%-SUM($G67:O67)-$F67*10%,IF(P$65="6차중도금",$F67*70%-SUM($G67:O67)-$F67*10%,0)))</f>
        <v>0</v>
      </c>
      <c r="Q67" s="605">
        <f>IF(Q$65="입주/잔금",($F67-SUM($G67:P67))*30%,IF(P$65="입주/잔금",($F67-SUM($G67:O67))*50%,IF(O$65="입주/잔금",($F67-SUM($G67:N67))*20%,IF(Q$65=0,0,IF(Q$65="2차중도금",$F67*30%-SUM($G67:P67),IF(Q$65="3차중도금",$F67*40%-SUM($G67:P67),IF(Q$65="4차중도금",$F67*50%-SUM($G67:P67),$F67*10%)))))))+(IF(Q$65="5차중도금",$F67*60%-SUM($G67:P67)-$F67*10%,IF(Q$65="6차중도금",$F67*70%-SUM($G67:P67)-$F67*10%,0)))</f>
        <v>0</v>
      </c>
      <c r="R67" s="605">
        <f>IF(R$65="입주/잔금",($F67-SUM($G67:Q67))*30%,IF(Q$65="입주/잔금",($F67-SUM($G67:P67))*50%,IF(P$65="입주/잔금",($F67-SUM($G67:O67))*20%,IF(R$65=0,0,IF(R$65="2차중도금",$F67*30%-SUM($G67:Q67),IF(R$65="3차중도금",$F67*40%-SUM($G67:Q67),IF(R$65="4차중도금",$F67*50%-SUM($G67:Q67),$F67*10%)))))))+(IF(R$65="5차중도금",$F67*60%-SUM($G67:Q67)-$F67*10%,IF(R$65="6차중도금",$F67*70%-SUM($G67:Q67)-$F67*10%,0)))</f>
        <v>0</v>
      </c>
      <c r="S67" s="605">
        <f>IF(S$65="입주/잔금",($F67-SUM($G67:R67))*30%,IF(R$65="입주/잔금",($F67-SUM($G67:Q67))*50%,IF(Q$65="입주/잔금",($F67-SUM($G67:P67))*20%,IF(S$65=0,0,IF(S$65="2차중도금",$F67*30%-SUM($G67:R67),IF(S$65="3차중도금",$F67*40%-SUM($G67:R67),IF(S$65="4차중도금",$F67*50%-SUM($G67:R67),$F67*10%)))))))+(IF(S$65="5차중도금",$F67*60%-SUM($G67:R67)-$F67*10%,IF(S$65="6차중도금",$F67*70%-SUM($G67:R67)-$F67*10%,0)))</f>
        <v>0</v>
      </c>
      <c r="T67" s="605">
        <f>IF(T$65="입주/잔금",($F67-SUM($G67:S67))*30%,IF(S$65="입주/잔금",($F67-SUM($G67:R67))*50%,IF(R$65="입주/잔금",($F67-SUM($G67:Q67))*20%,IF(T$65=0,0,IF(T$65="2차중도금",$F67*30%-SUM($G67:S67),IF(T$65="3차중도금",$F67*40%-SUM($G67:S67),IF(T$65="4차중도금",$F67*50%-SUM($G67:S67),$F67*10%)))))))+(IF(T$65="5차중도금",$F67*60%-SUM($G67:S67)-$F67*10%,IF(T$65="6차중도금",$F67*70%-SUM($G67:S67)-$F67*10%,0)))</f>
        <v>0</v>
      </c>
      <c r="U67" s="605">
        <f>IF(U$65="입주/잔금",($F67-SUM($G67:T67))*30%,IF(T$65="입주/잔금",($F67-SUM($G67:S67))*50%,IF(S$65="입주/잔금",($F67-SUM($G67:R67))*20%,IF(U$65=0,0,IF(U$65="2차중도금",$F67*30%-SUM($G67:T67),IF(U$65="3차중도금",$F67*40%-SUM($G67:T67),IF(U$65="4차중도금",$F67*50%-SUM($G67:T67),$F67*10%)))))))+(IF(U$65="5차중도금",$F67*60%-SUM($G67:T67)-$F67*10%,IF(U$65="6차중도금",$F67*70%-SUM($G67:T67)-$F67*10%,0)))</f>
        <v>0</v>
      </c>
      <c r="V67" s="605">
        <f>IF(V$65="입주/잔금",($F67-SUM($G67:U67))*30%,IF(U$65="입주/잔금",($F67-SUM($G67:T67))*50%,IF(T$65="입주/잔금",($F67-SUM($G67:S67))*20%,IF(V$65=0,0,IF(V$65="2차중도금",$F67*30%-SUM($G67:U67),IF(V$65="3차중도금",$F67*40%-SUM($G67:U67),IF(V$65="4차중도금",$F67*50%-SUM($G67:U67),$F67*10%)))))))+(IF(V$65="5차중도금",$F67*60%-SUM($G67:U67)-$F67*10%,IF(V$65="6차중도금",$F67*70%-SUM($G67:U67)-$F67*10%,0)))</f>
        <v>0</v>
      </c>
      <c r="W67" s="605">
        <f>IF(W$65="입주/잔금",($F67-SUM($G67:V67))*30%,IF(V$65="입주/잔금",($F67-SUM($G67:U67))*50%,IF(U$65="입주/잔금",($F67-SUM($G67:T67))*20%,IF(W$65=0,0,IF(W$65="2차중도금",$F67*30%-SUM($G67:V67),IF(W$65="3차중도금",$F67*40%-SUM($G67:V67),IF(W$65="4차중도금",$F67*50%-SUM($G67:V67),$F67*10%)))))))+(IF(W$65="5차중도금",$F67*60%-SUM($G67:V67)-$F67*10%,IF(W$65="6차중도금",$F67*70%-SUM($G67:V67)-$F67*10%,0)))</f>
        <v>0</v>
      </c>
      <c r="X67" s="605">
        <f>IF(X$65="입주/잔금",($F67-SUM($G67:W67))*30%,IF(W$65="입주/잔금",($F67-SUM($G67:V67))*50%,IF(V$65="입주/잔금",($F67-SUM($G67:U67))*20%,IF(X$65=0,0,IF(X$65="2차중도금",$F67*30%-SUM($G67:W67),IF(X$65="3차중도금",$F67*40%-SUM($G67:W67),IF(X$65="4차중도금",$F67*50%-SUM($G67:W67),$F67*10%)))))))+(IF(X$65="5차중도금",$F67*60%-SUM($G67:W67)-$F67*10%,IF(X$65="6차중도금",$F67*70%-SUM($G67:W67)-$F67*10%,0)))</f>
        <v>0</v>
      </c>
      <c r="Y67" s="605">
        <f>IF(Y$65="입주/잔금",($F67-SUM($G67:X67))*30%,IF(X$65="입주/잔금",($F67-SUM($G67:W67))*50%,IF(W$65="입주/잔금",($F67-SUM($G67:V67))*20%,IF(Y$65=0,0,IF(Y$65="2차중도금",$F67*30%-SUM($G67:X67),IF(Y$65="3차중도금",$F67*40%-SUM($G67:X67),IF(Y$65="4차중도금",$F67*50%-SUM($G67:X67),$F67*10%)))))))+(IF(Y$65="5차중도금",$F67*60%-SUM($G67:X67)-$F67*10%,IF(Y$65="6차중도금",$F67*70%-SUM($G67:X67)-$F67*10%,0)))</f>
        <v>0</v>
      </c>
      <c r="Z67" s="605">
        <f>IF(Z$65="입주/잔금",($F67-SUM($G67:Y67))*30%,IF(Y$65="입주/잔금",($F67-SUM($G67:X67))*50%,IF(X$65="입주/잔금",($F67-SUM($G67:W67))*20%,IF(Z$65=0,0,IF(Z$65="2차중도금",$F67*30%-SUM($G67:Y67),IF(Z$65="3차중도금",$F67*40%-SUM($G67:Y67),IF(Z$65="4차중도금",$F67*50%-SUM($G67:Y67),$F67*10%)))))))+(IF(Z$65="5차중도금",$F67*60%-SUM($G67:Y67)-$F67*10%,IF(Z$65="6차중도금",$F67*70%-SUM($G67:Y67)-$F67*10%,0)))</f>
        <v>0</v>
      </c>
      <c r="AA67" s="605">
        <f>IF(AA$65="입주/잔금",($F67-SUM($G67:Z67))*30%,IF(Z$65="입주/잔금",($F67-SUM($G67:Y67))*50%,IF(Y$65="입주/잔금",($F67-SUM($G67:X67))*20%,IF(AA$65=0,0,IF(AA$65="2차중도금",$F67*30%-SUM($G67:Z67),IF(AA$65="3차중도금",$F67*40%-SUM($G67:Z67),IF(AA$65="4차중도금",$F67*50%-SUM($G67:Z67),$F67*10%)))))))+(IF(AA$65="5차중도금",$F67*60%-SUM($G67:Z67)-$F67*10%,IF(AA$65="6차중도금",$F67*70%-SUM($G67:Z67)-$F67*10%,0)))</f>
        <v>0</v>
      </c>
      <c r="AB67" s="605">
        <f>IF(AB$65="입주/잔금",($F67-SUM($G67:AA67))*30%,IF(AA$65="입주/잔금",($F67-SUM($G67:Z67))*50%,IF(Z$65="입주/잔금",($F67-SUM($G67:Y67))*20%,IF(AB$65=0,0,IF(AB$65="2차중도금",$F67*30%-SUM($G67:AA67),IF(AB$65="3차중도금",$F67*40%-SUM($G67:AA67),IF(AB$65="4차중도금",$F67*50%-SUM($G67:AA67),$F67*10%)))))))+(IF(AB$65="5차중도금",$F67*60%-SUM($G67:AA67)-$F67*10%,IF(AB$65="6차중도금",$F67*70%-SUM($G67:AA67)-$F67*10%,0)))</f>
        <v>0</v>
      </c>
      <c r="AC67" s="605">
        <f>IF(AC$65="입주/잔금",($F67-SUM($G67:AB67))*30%,IF(AB$65="입주/잔금",($F67-SUM($G67:AA67))*50%,IF(AA$65="입주/잔금",($F67-SUM($G67:Z67))*20%,IF(AC$65=0,0,IF(AC$65="2차중도금",$F67*30%-SUM($G67:AB67),IF(AC$65="3차중도금",$F67*40%-SUM($G67:AB67),IF(AC$65="4차중도금",$F67*50%-SUM($G67:AB67),$F67*10%)))))))+(IF(AC$65="5차중도금",$F67*60%-SUM($G67:AB67)-$F67*10%,IF(AC$65="6차중도금",$F67*70%-SUM($G67:AB67)-$F67*10%,0)))</f>
        <v>0</v>
      </c>
      <c r="AD67" s="605">
        <f>IF(AD$65="입주/잔금",($F67-SUM($G67:AC67))*30%,IF(AC$65="입주/잔금",($F67-SUM($G67:AB67))*50%,IF(AB$65="입주/잔금",($F67-SUM($G67:AA67))*20%,IF(AD$65=0,0,IF(AD$65="2차중도금",$F67*30%-SUM($G67:AC67),IF(AD$65="3차중도금",$F67*40%-SUM($G67:AC67),IF(AD$65="4차중도금",$F67*50%-SUM($G67:AC67),$F67*10%)))))))+(IF(AD$65="5차중도금",$F67*60%-SUM($G67:AC67)-$F67*10%,IF(AD$65="6차중도금",$F67*70%-SUM($G67:AC67)-$F67*10%,0)))</f>
        <v>0</v>
      </c>
      <c r="AE67" s="605">
        <f>IF(AE$65="입주/잔금",($F67-SUM($G67:AD67))*30%,IF(AD$65="입주/잔금",($F67-SUM($G67:AC67))*50%,IF(AC$65="입주/잔금",($F67-SUM($G67:AB67))*20%,IF(AE$65=0,0,IF(AE$65="2차중도금",$F67*30%-SUM($G67:AD67),IF(AE$65="3차중도금",$F67*40%-SUM($G67:AD67),IF(AE$65="4차중도금",$F67*50%-SUM($G67:AD67),$F67*10%)))))))+(IF(AE$65="5차중도금",$F67*60%-SUM($G67:AD67)-$F67*10%,IF(AE$65="6차중도금",$F67*70%-SUM($G67:AD67)-$F67*10%,0)))</f>
        <v>0</v>
      </c>
      <c r="AF67" s="605">
        <f>IF(AF$65="입주/잔금",($F67-SUM($G67:AE67))*30%,IF(AE$65="입주/잔금",($F67-SUM($G67:AD67))*50%,IF(AD$65="입주/잔금",($F67-SUM($G67:AC67))*20%,IF(AF$65=0,0,IF(AF$65="2차중도금",$F67*30%-SUM($G67:AE67),IF(AF$65="3차중도금",$F67*40%-SUM($G67:AE67),IF(AF$65="4차중도금",$F67*50%-SUM($G67:AE67),$F67*10%)))))))+(IF(AF$65="5차중도금",$F67*60%-SUM($G67:AE67)-$F67*10%,IF(AF$65="6차중도금",$F67*70%-SUM($G67:AE67)-$F67*10%,0)))</f>
        <v>0</v>
      </c>
      <c r="AG67" s="605">
        <f>IF(AG$65="입주/잔금",($F67-SUM($G67:AF67))*30%,IF(AF$65="입주/잔금",($F67-SUM($G67:AE67))*50%,IF(AE$65="입주/잔금",($F67-SUM($G67:AD67))*20%,IF(AG$65=0,0,IF(AG$65="2차중도금",$F67*30%-SUM($G67:AF67),IF(AG$65="3차중도금",$F67*40%-SUM($G67:AF67),IF(AG$65="4차중도금",$F67*50%-SUM($G67:AF67),$F67*10%)))))))+(IF(AG$65="5차중도금",$F67*60%-SUM($G67:AF67)-$F67*10%,IF(AG$65="6차중도금",$F67*70%-SUM($G67:AF67)-$F67*10%,0)))</f>
        <v>0</v>
      </c>
      <c r="AH67" s="605">
        <f>IF(AH$65="입주/잔금",($F67-SUM($G67:AG67))*30%,IF(AG$65="입주/잔금",($F67-SUM($G67:AF67))*50%,IF(AF$65="입주/잔금",($F67-SUM($G67:AE67))*20%,IF(AH$65=0,0,IF(AH$65="2차중도금",$F67*30%-SUM($G67:AG67),IF(AH$65="3차중도금",$F67*40%-SUM($G67:AG67),IF(AH$65="4차중도금",$F67*50%-SUM($G67:AG67),$F67*10%)))))))+(IF(AH$65="5차중도금",$F67*60%-SUM($G67:AG67)-$F67*10%,IF(AH$65="6차중도금",$F67*70%-SUM($G67:AG67)-$F67*10%,0)))</f>
        <v>0</v>
      </c>
      <c r="AI67" s="605">
        <f>IF(AI$65="입주/잔금",($F67-SUM($G67:AH67))*30%,IF(AH$65="입주/잔금",($F67-SUM($G67:AG67))*50%,IF(AG$65="입주/잔금",($F67-SUM($G67:AF67))*20%,IF(AI$65=0,0,IF(AI$65="2차중도금",$F67*30%-SUM($G67:AH67),IF(AI$65="3차중도금",$F67*40%-SUM($G67:AH67),IF(AI$65="4차중도금",$F67*50%-SUM($G67:AH67),$F67*10%)))))))+(IF(AI$65="5차중도금",$F67*60%-SUM($G67:AH67)-$F67*10%,IF(AI$65="6차중도금",$F67*70%-SUM($G67:AH67)-$F67*10%,0)))</f>
        <v>0</v>
      </c>
      <c r="AJ67" s="605">
        <f>IF(AJ$65="입주/잔금",($F67-SUM($G67:AI67))*30%,IF(AI$65="입주/잔금",($F67-SUM($G67:AH67))*50%,IF(AH$65="입주/잔금",($F67-SUM($G67:AG67))*20%,IF(AJ$65=0,0,IF(AJ$65="2차중도금",$F67*30%-SUM($G67:AI67),IF(AJ$65="3차중도금",$F67*40%-SUM($G67:AI67),IF(AJ$65="4차중도금",$F67*50%-SUM($G67:AI67),$F67*10%)))))))+(IF(AJ$65="5차중도금",$F67*60%-SUM($G67:AI67)-$F67*10%,IF(AJ$65="6차중도금",$F67*70%-SUM($G67:AI67)-$F67*10%,0)))</f>
        <v>0</v>
      </c>
      <c r="AK67" s="605">
        <f>IF(AK$65="입주/잔금",($F67-SUM($G67:AJ67))*30%,IF(AJ$65="입주/잔금",($F67-SUM($G67:AI67))*50%,IF(AI$65="입주/잔금",($F67-SUM($G67:AH67))*20%,IF(AK$65=0,0,IF(AK$65="2차중도금",$F67*30%-SUM($G67:AJ67),IF(AK$65="3차중도금",$F67*40%-SUM($G67:AJ67),IF(AK$65="4차중도금",$F67*50%-SUM($G67:AJ67),$F67*10%)))))))+(IF(AK$65="5차중도금",$F67*60%-SUM($G67:AJ67)-$F67*10%,IF(AK$65="6차중도금",$F67*70%-SUM($G67:AJ67)-$F67*10%,0)))</f>
        <v>0</v>
      </c>
      <c r="AL67" s="605">
        <f>IF(AL$65="입주/잔금",($F67-SUM($G67:AK67))*30%,IF(AK$65="입주/잔금",($F67-SUM($G67:AJ67))*50%,IF(AJ$65="입주/잔금",($F67-SUM($G67:AI67))*20%,IF(AL$65=0,0,IF(AL$65="2차중도금",$F67*30%-SUM($G67:AK67),IF(AL$65="3차중도금",$F67*40%-SUM($G67:AK67),IF(AL$65="4차중도금",$F67*50%-SUM($G67:AK67),$F67*10%)))))))+(IF(AL$65="5차중도금",$F67*60%-SUM($G67:AK67)-$F67*10%,IF(AL$65="6차중도금",$F67*70%-SUM($G67:AK67)-$F67*10%,0)))</f>
        <v>0</v>
      </c>
      <c r="AM67" s="605">
        <f>IF(AM$65="입주/잔금",($F67-SUM($G67:AL67))*30%,IF(AL$65="입주/잔금",($F67-SUM($G67:AK67))*50%,IF(AK$65="입주/잔금",($F67-SUM($G67:AJ67))*20%,IF(AM$65=0,0,IF(AM$65="2차중도금",$F67*30%-SUM($G67:AL67),IF(AM$65="3차중도금",$F67*40%-SUM($G67:AL67),IF(AM$65="4차중도금",$F67*50%-SUM($G67:AL67),$F67*10%)))))))+(IF(AM$65="5차중도금",$F67*60%-SUM($G67:AL67)-$F67*10%,IF(AM$65="6차중도금",$F67*70%-SUM($G67:AL67)-$F67*10%,0)))</f>
        <v>0</v>
      </c>
      <c r="AN67" s="605">
        <f>IF(AN$65="입주/잔금",($F67-SUM($G67:AM67))*30%,IF(AM$65="입주/잔금",($F67-SUM($G67:AL67))*50%,IF(AL$65="입주/잔금",($F67-SUM($G67:AK67))*20%,IF(AN$65=0,0,IF(AN$65="2차중도금",$F67*30%-SUM($G67:AM67),IF(AN$65="3차중도금",$F67*40%-SUM($G67:AM67),IF(AN$65="4차중도금",$F67*50%-SUM($G67:AM67),$F67*10%)))))))+(IF(AN$65="5차중도금",$F67*60%-SUM($G67:AM67)-$F67*10%,IF(AN$65="6차중도금",$F67*70%-SUM($G67:AM67)-$F67*10%,0)))</f>
        <v>0</v>
      </c>
      <c r="AO67" s="605">
        <f>IF(AO$65="입주/잔금",($F67-SUM($G67:AN67))*30%,IF(AN$65="입주/잔금",($F67-SUM($G67:AM67))*50%,IF(AM$65="입주/잔금",($F67-SUM($G67:AL67))*20%,IF(AO$65=0,0,IF(AO$65="2차중도금",$F67*30%-SUM($G67:AN67),IF(AO$65="3차중도금",$F67*40%-SUM($G67:AN67),IF(AO$65="4차중도금",$F67*50%-SUM($G67:AN67),$F67*10%)))))))+(IF(AO$65="5차중도금",$F67*60%-SUM($G67:AN67)-$F67*10%,IF(AO$65="6차중도금",$F67*70%-SUM($G67:AN67)-$F67*10%,0)))</f>
        <v>0</v>
      </c>
      <c r="AP67" s="605">
        <f>IF(AP$65="입주/잔금",($F67-SUM($G67:AO67))*30%,IF(AO$65="입주/잔금",($F67-SUM($G67:AN67))*50%,IF(AN$65="입주/잔금",($F67-SUM($G67:AM67))*20%,IF(AP$65=0,0,IF(AP$65="2차중도금",$F67*30%-SUM($G67:AO67),IF(AP$65="3차중도금",$F67*40%-SUM($G67:AO67),IF(AP$65="4차중도금",$F67*50%-SUM($G67:AO67),$F67*10%)))))))+(IF(AP$65="5차중도금",$F67*60%-SUM($G67:AO67)-$F67*10%,IF(AP$65="6차중도금",$F67*70%-SUM($G67:AO67)-$F67*10%,0)))</f>
        <v>0</v>
      </c>
      <c r="AQ67" s="605">
        <f>IF(AQ$65="입주/잔금",($F67-SUM($G67:AP67))*30%,IF(AP$65="입주/잔금",($F67-SUM($G67:AO67))*50%,IF(AO$65="입주/잔금",($F67-SUM($G67:AN67))*20%,IF(AQ$65=0,0,IF(AQ$65="2차중도금",$F67*30%-SUM($G67:AP67),IF(AQ$65="3차중도금",$F67*40%-SUM($G67:AP67),IF(AQ$65="4차중도금",$F67*50%-SUM($G67:AP67),$F67*10%)))))))+(IF(AQ$65="5차중도금",$F67*60%-SUM($G67:AP67)-$F67*10%,IF(AQ$65="6차중도금",$F67*70%-SUM($G67:AP67)-$F67*10%,0)))</f>
        <v>0</v>
      </c>
      <c r="AR67" s="605">
        <f>IF(AR$65="입주/잔금",($F67-SUM($G67:AQ67))*30%,IF(AQ$65="입주/잔금",($F67-SUM($G67:AP67))*50%,IF(AP$65="입주/잔금",($F67-SUM($G67:AO67))*20%,IF(AR$65=0,0,IF(AR$65="2차중도금",$F67*30%-SUM($G67:AQ67),IF(AR$65="3차중도금",$F67*40%-SUM($G67:AQ67),IF(AR$65="4차중도금",$F67*50%-SUM($G67:AQ67),$F67*10%)))))))+(IF(AR$65="5차중도금",$F67*60%-SUM($G67:AQ67)-$F67*10%,IF(AR$65="6차중도금",$F67*70%-SUM($G67:AQ67)-$F67*10%,0)))</f>
        <v>0</v>
      </c>
      <c r="AS67" s="605">
        <f>IF(AS$65="입주/잔금",($F67-SUM($G67:AR67))*30%,IF(AR$65="입주/잔금",($F67-SUM($G67:AQ67))*50%,IF(AQ$65="입주/잔금",($F67-SUM($G67:AP67))*20%,IF(AS$65=0,0,IF(AS$65="2차중도금",$F67*30%-SUM($G67:AR67),IF(AS$65="3차중도금",$F67*40%-SUM($G67:AR67),IF(AS$65="4차중도금",$F67*50%-SUM($G67:AR67),$F67*10%)))))))+(IF(AS$65="5차중도금",$F67*60%-SUM($G67:AR67)-$F67*10%,IF(AS$65="6차중도금",$F67*70%-SUM($G67:AR67)-$F67*10%,0)))</f>
        <v>0</v>
      </c>
      <c r="AT67" s="605">
        <f>IF(AT$65="입주/잔금",($F67-SUM($G67:AS67))*30%,IF(AS$65="입주/잔금",($F67-SUM($G67:AR67))*50%,IF(AR$65="입주/잔금",($F67-SUM($G67:AQ67))*20%,IF(AT$65=0,0,IF(AT$65="2차중도금",$F67*30%-SUM($G67:AS67),IF(AT$65="3차중도금",$F67*40%-SUM($G67:AS67),IF(AT$65="4차중도금",$F67*50%-SUM($G67:AS67),$F67*10%)))))))+(IF(AT$65="5차중도금",$F67*60%-SUM($G67:AS67)-$F67*10%,IF(AT$65="6차중도금",$F67*70%-SUM($G67:AS67)-$F67*10%,0)))</f>
        <v>0</v>
      </c>
      <c r="AU67" s="605">
        <f>IF(AU$65="입주/잔금",($F67-SUM($G67:AT67))*30%,IF(AT$65="입주/잔금",($F67-SUM($G67:AS67))*50%,IF(AS$65="입주/잔금",($F67-SUM($G67:AR67))*20%,IF(AU$65=0,0,IF(AU$65="2차중도금",$F67*30%-SUM($G67:AT67),IF(AU$65="3차중도금",$F67*40%-SUM($G67:AT67),IF(AU$65="4차중도금",$F67*50%-SUM($G67:AT67),$F67*10%)))))))+(IF(AU$65="5차중도금",$F67*60%-SUM($G67:AT67)-$F67*10%,IF(AU$65="6차중도금",$F67*70%-SUM($G67:AT67)-$F67*10%,0)))</f>
        <v>0</v>
      </c>
      <c r="AV67" s="605">
        <f>IF(AV$65="입주/잔금",($F67-SUM($G67:AU67))*30%,IF(AU$65="입주/잔금",($F67-SUM($G67:AT67))*50%,IF(AT$65="입주/잔금",($F67-SUM($G67:AS67))*20%,IF(AV$65=0,0,IF(AV$65="2차중도금",$F67*30%-SUM($G67:AU67),IF(AV$65="3차중도금",$F67*40%-SUM($G67:AU67),IF(AV$65="4차중도금",$F67*50%-SUM($G67:AU67),$F67*10%)))))))+(IF(AV$65="5차중도금",$F67*60%-SUM($G67:AU67)-$F67*10%,IF(AV$65="6차중도금",$F67*70%-SUM($G67:AU67)-$F67*10%,0)))</f>
        <v>0</v>
      </c>
      <c r="AW67" s="605">
        <f>IF(AW$65="입주/잔금",($F67-SUM($G67:AV67))*30%,IF(AV$65="입주/잔금",($F67-SUM($G67:AU67))*50%,IF(AU$65="입주/잔금",($F67-SUM($G67:AT67))*20%,IF(AW$65=0,0,IF(AW$65="2차중도금",$F67*30%-SUM($G67:AV67),IF(AW$65="3차중도금",$F67*40%-SUM($G67:AV67),IF(AW$65="4차중도금",$F67*50%-SUM($G67:AV67),$F67*10%)))))))+(IF(AW$65="5차중도금",$F67*60%-SUM($G67:AV67)-$F67*10%,IF(AW$65="6차중도금",$F67*70%-SUM($G67:AV67)-$F67*10%,0)))</f>
        <v>0</v>
      </c>
      <c r="AX67" s="605">
        <f>IF(AX$65="입주/잔금",($F67-SUM($G67:AW67))*30%,IF(AW$65="입주/잔금",($F67-SUM($G67:AV67))*50%,IF(AV$65="입주/잔금",($F67-SUM($G67:AU67))*20%,IF(AX$65=0,0,IF(AX$65="2차중도금",$F67*30%-SUM($G67:AW67),IF(AX$65="3차중도금",$F67*40%-SUM($G67:AW67),IF(AX$65="4차중도금",$F67*50%-SUM($G67:AW67),$F67*10%)))))))+(IF(AX$65="5차중도금",$F67*60%-SUM($G67:AW67)-$F67*10%,IF(AX$65="6차중도금",$F67*70%-SUM($G67:AW67)-$F67*10%,0)))</f>
        <v>0</v>
      </c>
      <c r="AY67" s="605">
        <f>IF(AY$65="입주/잔금",($F67-SUM($G67:AX67))*30%,IF(AX$65="입주/잔금",($F67-SUM($G67:AW67))*50%,IF(AW$65="입주/잔금",($F67-SUM($G67:AV67))*20%,IF(AY$65=0,0,IF(AY$65="2차중도금",$F67*30%-SUM($G67:AX67),IF(AY$65="3차중도금",$F67*40%-SUM($G67:AX67),IF(AY$65="4차중도금",$F67*50%-SUM($G67:AX67),$F67*10%)))))))+(IF(AY$65="5차중도금",$F67*60%-SUM($G67:AX67)-$F67*10%,IF(AY$65="6차중도금",$F67*70%-SUM($G67:AX67)-$F67*10%,0)))</f>
        <v>0</v>
      </c>
      <c r="AZ67" s="605">
        <f>IF(AZ$65="입주/잔금",($F67-SUM($G67:AY67))*30%,IF(AY$65="입주/잔금",($F67-SUM($G67:AX67))*50%,IF(AX$65="입주/잔금",($F67-SUM($G67:AW67))*20%,IF(AZ$65=0,0,IF(AZ$65="2차중도금",$F67*30%-SUM($G67:AY67),IF(AZ$65="3차중도금",$F67*40%-SUM($G67:AY67),IF(AZ$65="4차중도금",$F67*50%-SUM($G67:AY67),$F67*10%)))))))+(IF(AZ$65="5차중도금",$F67*60%-SUM($G67:AY67)-$F67*10%,IF(AZ$65="6차중도금",$F67*70%-SUM($G67:AY67)-$F67*10%,0)))</f>
        <v>0</v>
      </c>
      <c r="BA67" s="605">
        <f>IF(BA$65="입주/잔금",($F67-SUM($G67:AZ67))*30%,IF(AZ$65="입주/잔금",($F67-SUM($G67:AY67))*50%,IF(AY$65="입주/잔금",($F67-SUM($G67:AX67))*20%,IF(BA$65=0,0,IF(BA$65="2차중도금",$F67*30%-SUM($G67:AZ67),IF(BA$65="3차중도금",$F67*40%-SUM($G67:AZ67),IF(BA$65="4차중도금",$F67*50%-SUM($G67:AZ67),$F67*10%)))))))+(IF(BA$65="5차중도금",$F67*60%-SUM($G67:AZ67)-$F67*10%,IF(BA$65="6차중도금",$F67*70%-SUM($G67:AZ67)-$F67*10%,0)))</f>
        <v>0</v>
      </c>
      <c r="BB67" s="605">
        <f>IF(BB$65="입주/잔금",($F67-SUM($G67:BA67))*30%,IF(BA$65="입주/잔금",($F67-SUM($G67:AZ67))*50%,IF(AZ$65="입주/잔금",($F67-SUM($G67:AY67))*20%,IF(BB$65=0,0,IF(BB$65="2차중도금",$F67*30%-SUM($G67:BA67),IF(BB$65="3차중도금",$F67*40%-SUM($G67:BA67),IF(BB$65="4차중도금",$F67*50%-SUM($G67:BA67),$F67*10%)))))))+(IF(BB$65="5차중도금",$F67*60%-SUM($G67:BA67)-$F67*10%,IF(BB$65="6차중도금",$F67*70%-SUM($G67:BA67)-$F67*10%,0)))</f>
        <v>0</v>
      </c>
      <c r="BC67" s="605">
        <f>IF(BC$65="입주/잔금",($F67-SUM($G67:BB67))*30%,IF(BB$65="입주/잔금",($F67-SUM($G67:BA67))*50%,IF(BA$65="입주/잔금",($F67-SUM($G67:AZ67))*20%,IF(BC$65=0,0,IF(BC$65="2차중도금",$F67*30%-SUM($G67:BB67),IF(BC$65="3차중도금",$F67*40%-SUM($G67:BB67),IF(BC$65="4차중도금",$F67*50%-SUM($G67:BB67),$F67*10%)))))))+(IF(BC$65="5차중도금",$F67*60%-SUM($G67:BB67)-$F67*10%,IF(BC$65="6차중도금",$F67*70%-SUM($G67:BB67)-$F67*10%,0)))</f>
        <v>0</v>
      </c>
      <c r="BD67" s="605">
        <f>IF(BD$65="입주/잔금",($F67-SUM($G67:BC67))*30%,IF(BC$65="입주/잔금",($F67-SUM($G67:BB67))*50%,IF(BB$65="입주/잔금",($F67-SUM($G67:BA67))*20%,IF(BD$65=0,0,IF(BD$65="2차중도금",$F67*30%-SUM($G67:BC67),IF(BD$65="3차중도금",$F67*40%-SUM($G67:BC67),IF(BD$65="4차중도금",$F67*50%-SUM($G67:BC67),$F67*10%)))))))+(IF(BD$65="5차중도금",$F67*60%-SUM($G67:BC67)-$F67*10%,IF(BD$65="6차중도금",$F67*70%-SUM($G67:BC67)-$F67*10%,0)))</f>
        <v>0</v>
      </c>
      <c r="BE67" s="605">
        <f>IF(BE$65="입주/잔금",($F67-SUM($G67:BD67))*30%,IF(BD$65="입주/잔금",($F67-SUM($G67:BC67))*50%,IF(BC$65="입주/잔금",($F67-SUM($G67:BB67))*20%,IF(BE$65=0,0,IF(BE$65="2차중도금",$F67*30%-SUM($G67:BD67),IF(BE$65="3차중도금",$F67*40%-SUM($G67:BD67),IF(BE$65="4차중도금",$F67*50%-SUM($G67:BD67),$F67*10%)))))))+(IF(BE$65="5차중도금",$F67*60%-SUM($G67:BD67)-$F67*10%,IF(BE$65="6차중도금",$F67*70%-SUM($G67:BD67)-$F67*10%,0)))</f>
        <v>0</v>
      </c>
      <c r="BF67" s="609">
        <f t="shared" si="30"/>
        <v>0</v>
      </c>
      <c r="BG67" s="556">
        <f t="shared" si="32"/>
        <v>0</v>
      </c>
      <c r="BH67" s="610"/>
    </row>
    <row r="68" spans="1:60">
      <c r="A68" s="1853"/>
      <c r="B68" s="611">
        <f t="shared" si="33"/>
        <v>44896</v>
      </c>
      <c r="C68" s="605">
        <f t="shared" si="34"/>
        <v>157992364.97659996</v>
      </c>
      <c r="D68" s="1501"/>
      <c r="E68" s="612">
        <f t="shared" ref="E68:E98" si="35">E67+D68</f>
        <v>0</v>
      </c>
      <c r="F68" s="608">
        <f t="shared" si="31"/>
        <v>0</v>
      </c>
      <c r="G68" s="605"/>
      <c r="H68" s="605"/>
      <c r="I68" s="605">
        <f>$F68*10%</f>
        <v>0</v>
      </c>
      <c r="J68" s="605">
        <f>IF(J$65="입주/잔금",($F68-SUM($G68:I68))*30%,IF(I$65="입주/잔금",($F68-SUM($G68:H68))*50%,IF(H$65="입주/잔금",($F68-SUM(G68:$G68))*20%,IF(J$65=0,0,IF(J$65="2차중도금",$F68*30%-SUM($G68:I68),IF(J$65="3차중도금",$F68*40%-SUM($G68:I68),IF(J$65="4차중도금",$F68*50%-SUM($G68:I68),$F68*10%)))))))+(IF(J$65="5차중도금",$F68*60%-SUM($G68:I68)-$F68*10%,IF(J$65="6차중도금",$F68*70%-SUM($G68:I68)-$F68*10%,0)))</f>
        <v>0</v>
      </c>
      <c r="K68" s="605">
        <f>IF(K$65="입주/잔금",($F68-SUM($G68:J68))*30%,IF(J$65="입주/잔금",($F68-SUM($G68:I68))*50%,IF(I$65="입주/잔금",($F68-SUM($G68:H68))*20%,IF(K$65=0,0,IF(K$65="2차중도금",$F68*30%-SUM($G68:J68),IF(K$65="3차중도금",$F68*40%-SUM($G68:J68),IF(K$65="4차중도금",$F68*50%-SUM($G68:J68),$F68*10%)))))))+(IF(K$65="5차중도금",$F68*60%-SUM($G68:J68)-$F68*10%,IF(K$65="6차중도금",$F68*70%-SUM($G68:J68)-$F68*10%,0)))</f>
        <v>0</v>
      </c>
      <c r="L68" s="605">
        <f>IF(L$65="입주/잔금",($F68-SUM($G68:K68))*30%,IF(K$65="입주/잔금",($F68-SUM($G68:J68))*50%,IF(J$65="입주/잔금",($F68-SUM($G68:I68))*20%,IF(L$65=0,0,IF(L$65="2차중도금",$F68*30%-SUM($G68:K68),IF(L$65="3차중도금",$F68*40%-SUM($G68:K68),IF(L$65="4차중도금",$F68*50%-SUM($G68:K68),$F68*10%)))))))+(IF(L$65="5차중도금",$F68*60%-SUM($G68:K68)-$F68*10%,IF(L$65="6차중도금",$F68*70%-SUM($G68:K68)-$F68*10%,0)))</f>
        <v>0</v>
      </c>
      <c r="M68" s="605">
        <f>IF(M$65="입주/잔금",($F68-SUM($G68:L68))*30%,IF(L$65="입주/잔금",($F68-SUM($G68:K68))*50%,IF(K$65="입주/잔금",($F68-SUM($G68:J68))*20%,IF(M$65=0,0,IF(M$65="2차중도금",$F68*30%-SUM($G68:L68),IF(M$65="3차중도금",$F68*40%-SUM($G68:L68),IF(M$65="4차중도금",$F68*50%-SUM($G68:L68),$F68*10%)))))))+(IF(M$65="5차중도금",$F68*60%-SUM($G68:L68)-$F68*10%,IF(M$65="6차중도금",$F68*70%-SUM($G68:L68)-$F68*10%,0)))</f>
        <v>0</v>
      </c>
      <c r="N68" s="605">
        <f>IF(N$65="입주/잔금",($F68-SUM($G68:M68))*30%,IF(M$65="입주/잔금",($F68-SUM($G68:L68))*50%,IF(L$65="입주/잔금",($F68-SUM($G68:K68))*20%,IF(N$65=0,0,IF(N$65="2차중도금",$F68*30%-SUM($G68:M68),IF(N$65="3차중도금",$F68*40%-SUM($G68:M68),IF(N$65="4차중도금",$F68*50%-SUM($G68:M68),$F68*10%)))))))+(IF(N$65="5차중도금",$F68*60%-SUM($G68:M68)-$F68*10%,IF(N$65="6차중도금",$F68*70%-SUM($G68:M68)-$F68*10%,0)))</f>
        <v>0</v>
      </c>
      <c r="O68" s="605">
        <f>IF(O$65="입주/잔금",($F68-SUM($G68:N68))*30%,IF(N$65="입주/잔금",($F68-SUM($G68:M68))*50%,IF(M$65="입주/잔금",($F68-SUM($G68:L68))*20%,IF(O$65=0,0,IF(O$65="2차중도금",$F68*30%-SUM($G68:N68),IF(O$65="3차중도금",$F68*40%-SUM($G68:N68),IF(O$65="4차중도금",$F68*50%-SUM($G68:N68),$F68*10%)))))))+(IF(O$65="5차중도금",$F68*60%-SUM($G68:N68)-$F68*10%,IF(O$65="6차중도금",$F68*70%-SUM($G68:N68)-$F68*10%,0)))</f>
        <v>0</v>
      </c>
      <c r="P68" s="605">
        <f>IF(P$65="입주/잔금",($F68-SUM($G68:O68))*30%,IF(O$65="입주/잔금",($F68-SUM($G68:N68))*50%,IF(N$65="입주/잔금",($F68-SUM($G68:M68))*20%,IF(P$65=0,0,IF(P$65="2차중도금",$F68*30%-SUM($G68:O68),IF(P$65="3차중도금",$F68*40%-SUM($G68:O68),IF(P$65="4차중도금",$F68*50%-SUM($G68:O68),$F68*10%)))))))+(IF(P$65="5차중도금",$F68*60%-SUM($G68:O68)-$F68*10%,IF(P$65="6차중도금",$F68*70%-SUM($G68:O68)-$F68*10%,0)))</f>
        <v>0</v>
      </c>
      <c r="Q68" s="605">
        <f>IF(Q$65="입주/잔금",($F68-SUM($G68:P68))*30%,IF(P$65="입주/잔금",($F68-SUM($G68:O68))*50%,IF(O$65="입주/잔금",($F68-SUM($G68:N68))*20%,IF(Q$65=0,0,IF(Q$65="2차중도금",$F68*30%-SUM($G68:P68),IF(Q$65="3차중도금",$F68*40%-SUM($G68:P68),IF(Q$65="4차중도금",$F68*50%-SUM($G68:P68),$F68*10%)))))))+(IF(Q$65="5차중도금",$F68*60%-SUM($G68:P68)-$F68*10%,IF(Q$65="6차중도금",$F68*70%-SUM($G68:P68)-$F68*10%,0)))</f>
        <v>0</v>
      </c>
      <c r="R68" s="605">
        <f>IF(R$65="입주/잔금",($F68-SUM($G68:Q68))*30%,IF(Q$65="입주/잔금",($F68-SUM($G68:P68))*50%,IF(P$65="입주/잔금",($F68-SUM($G68:O68))*20%,IF(R$65=0,0,IF(R$65="2차중도금",$F68*30%-SUM($G68:Q68),IF(R$65="3차중도금",$F68*40%-SUM($G68:Q68),IF(R$65="4차중도금",$F68*50%-SUM($G68:Q68),$F68*10%)))))))+(IF(R$65="5차중도금",$F68*60%-SUM($G68:Q68)-$F68*10%,IF(R$65="6차중도금",$F68*70%-SUM($G68:Q68)-$F68*10%,0)))</f>
        <v>0</v>
      </c>
      <c r="S68" s="605">
        <f>IF(S$65="입주/잔금",($F68-SUM($G68:R68))*30%,IF(R$65="입주/잔금",($F68-SUM($G68:Q68))*50%,IF(Q$65="입주/잔금",($F68-SUM($G68:P68))*20%,IF(S$65=0,0,IF(S$65="2차중도금",$F68*30%-SUM($G68:R68),IF(S$65="3차중도금",$F68*40%-SUM($G68:R68),IF(S$65="4차중도금",$F68*50%-SUM($G68:R68),$F68*10%)))))))+(IF(S$65="5차중도금",$F68*60%-SUM($G68:R68)-$F68*10%,IF(S$65="6차중도금",$F68*70%-SUM($G68:R68)-$F68*10%,0)))</f>
        <v>0</v>
      </c>
      <c r="T68" s="605">
        <f>IF(T$65="입주/잔금",($F68-SUM($G68:S68))*30%,IF(S$65="입주/잔금",($F68-SUM($G68:R68))*50%,IF(R$65="입주/잔금",($F68-SUM($G68:Q68))*20%,IF(T$65=0,0,IF(T$65="2차중도금",$F68*30%-SUM($G68:S68),IF(T$65="3차중도금",$F68*40%-SUM($G68:S68),IF(T$65="4차중도금",$F68*50%-SUM($G68:S68),$F68*10%)))))))+(IF(T$65="5차중도금",$F68*60%-SUM($G68:S68)-$F68*10%,IF(T$65="6차중도금",$F68*70%-SUM($G68:S68)-$F68*10%,0)))</f>
        <v>0</v>
      </c>
      <c r="U68" s="605">
        <f>IF(U$65="입주/잔금",($F68-SUM($G68:T68))*30%,IF(T$65="입주/잔금",($F68-SUM($G68:S68))*50%,IF(S$65="입주/잔금",($F68-SUM($G68:R68))*20%,IF(U$65=0,0,IF(U$65="2차중도금",$F68*30%-SUM($G68:T68),IF(U$65="3차중도금",$F68*40%-SUM($G68:T68),IF(U$65="4차중도금",$F68*50%-SUM($G68:T68),$F68*10%)))))))+(IF(U$65="5차중도금",$F68*60%-SUM($G68:T68)-$F68*10%,IF(U$65="6차중도금",$F68*70%-SUM($G68:T68)-$F68*10%,0)))</f>
        <v>0</v>
      </c>
      <c r="V68" s="605">
        <f>IF(V$65="입주/잔금",($F68-SUM($G68:U68))*30%,IF(U$65="입주/잔금",($F68-SUM($G68:T68))*50%,IF(T$65="입주/잔금",($F68-SUM($G68:S68))*20%,IF(V$65=0,0,IF(V$65="2차중도금",$F68*30%-SUM($G68:U68),IF(V$65="3차중도금",$F68*40%-SUM($G68:U68),IF(V$65="4차중도금",$F68*50%-SUM($G68:U68),$F68*10%)))))))+(IF(V$65="5차중도금",$F68*60%-SUM($G68:U68)-$F68*10%,IF(V$65="6차중도금",$F68*70%-SUM($G68:U68)-$F68*10%,0)))</f>
        <v>0</v>
      </c>
      <c r="W68" s="605">
        <f>IF(W$65="입주/잔금",($F68-SUM($G68:V68))*30%,IF(V$65="입주/잔금",($F68-SUM($G68:U68))*50%,IF(U$65="입주/잔금",($F68-SUM($G68:T68))*20%,IF(W$65=0,0,IF(W$65="2차중도금",$F68*30%-SUM($G68:V68),IF(W$65="3차중도금",$F68*40%-SUM($G68:V68),IF(W$65="4차중도금",$F68*50%-SUM($G68:V68),$F68*10%)))))))+(IF(W$65="5차중도금",$F68*60%-SUM($G68:V68)-$F68*10%,IF(W$65="6차중도금",$F68*70%-SUM($G68:V68)-$F68*10%,0)))</f>
        <v>0</v>
      </c>
      <c r="X68" s="605">
        <f>IF(X$65="입주/잔금",($F68-SUM($G68:W68))*30%,IF(W$65="입주/잔금",($F68-SUM($G68:V68))*50%,IF(V$65="입주/잔금",($F68-SUM($G68:U68))*20%,IF(X$65=0,0,IF(X$65="2차중도금",$F68*30%-SUM($G68:W68),IF(X$65="3차중도금",$F68*40%-SUM($G68:W68),IF(X$65="4차중도금",$F68*50%-SUM($G68:W68),$F68*10%)))))))+(IF(X$65="5차중도금",$F68*60%-SUM($G68:W68)-$F68*10%,IF(X$65="6차중도금",$F68*70%-SUM($G68:W68)-$F68*10%,0)))</f>
        <v>0</v>
      </c>
      <c r="Y68" s="605">
        <f>IF(Y$65="입주/잔금",($F68-SUM($G68:X68))*30%,IF(X$65="입주/잔금",($F68-SUM($G68:W68))*50%,IF(W$65="입주/잔금",($F68-SUM($G68:V68))*20%,IF(Y$65=0,0,IF(Y$65="2차중도금",$F68*30%-SUM($G68:X68),IF(Y$65="3차중도금",$F68*40%-SUM($G68:X68),IF(Y$65="4차중도금",$F68*50%-SUM($G68:X68),$F68*10%)))))))+(IF(Y$65="5차중도금",$F68*60%-SUM($G68:X68)-$F68*10%,IF(Y$65="6차중도금",$F68*70%-SUM($G68:X68)-$F68*10%,0)))</f>
        <v>0</v>
      </c>
      <c r="Z68" s="605">
        <f>IF(Z$65="입주/잔금",($F68-SUM($G68:Y68))*30%,IF(Y$65="입주/잔금",($F68-SUM($G68:X68))*50%,IF(X$65="입주/잔금",($F68-SUM($G68:W68))*20%,IF(Z$65=0,0,IF(Z$65="2차중도금",$F68*30%-SUM($G68:Y68),IF(Z$65="3차중도금",$F68*40%-SUM($G68:Y68),IF(Z$65="4차중도금",$F68*50%-SUM($G68:Y68),$F68*10%)))))))+(IF(Z$65="5차중도금",$F68*60%-SUM($G68:Y68)-$F68*10%,IF(Z$65="6차중도금",$F68*70%-SUM($G68:Y68)-$F68*10%,0)))</f>
        <v>0</v>
      </c>
      <c r="AA68" s="605">
        <f>IF(AA$65="입주/잔금",($F68-SUM($G68:Z68))*30%,IF(Z$65="입주/잔금",($F68-SUM($G68:Y68))*50%,IF(Y$65="입주/잔금",($F68-SUM($G68:X68))*20%,IF(AA$65=0,0,IF(AA$65="2차중도금",$F68*30%-SUM($G68:Z68),IF(AA$65="3차중도금",$F68*40%-SUM($G68:Z68),IF(AA$65="4차중도금",$F68*50%-SUM($G68:Z68),$F68*10%)))))))+(IF(AA$65="5차중도금",$F68*60%-SUM($G68:Z68)-$F68*10%,IF(AA$65="6차중도금",$F68*70%-SUM($G68:Z68)-$F68*10%,0)))</f>
        <v>0</v>
      </c>
      <c r="AB68" s="605">
        <f>IF(AB$65="입주/잔금",($F68-SUM($G68:AA68))*30%,IF(AA$65="입주/잔금",($F68-SUM($G68:Z68))*50%,IF(Z$65="입주/잔금",($F68-SUM($G68:Y68))*20%,IF(AB$65=0,0,IF(AB$65="2차중도금",$F68*30%-SUM($G68:AA68),IF(AB$65="3차중도금",$F68*40%-SUM($G68:AA68),IF(AB$65="4차중도금",$F68*50%-SUM($G68:AA68),$F68*10%)))))))+(IF(AB$65="5차중도금",$F68*60%-SUM($G68:AA68)-$F68*10%,IF(AB$65="6차중도금",$F68*70%-SUM($G68:AA68)-$F68*10%,0)))</f>
        <v>0</v>
      </c>
      <c r="AC68" s="605">
        <f>IF(AC$65="입주/잔금",($F68-SUM($G68:AB68))*30%,IF(AB$65="입주/잔금",($F68-SUM($G68:AA68))*50%,IF(AA$65="입주/잔금",($F68-SUM($G68:Z68))*20%,IF(AC$65=0,0,IF(AC$65="2차중도금",$F68*30%-SUM($G68:AB68),IF(AC$65="3차중도금",$F68*40%-SUM($G68:AB68),IF(AC$65="4차중도금",$F68*50%-SUM($G68:AB68),$F68*10%)))))))+(IF(AC$65="5차중도금",$F68*60%-SUM($G68:AB68)-$F68*10%,IF(AC$65="6차중도금",$F68*70%-SUM($G68:AB68)-$F68*10%,0)))</f>
        <v>0</v>
      </c>
      <c r="AD68" s="605">
        <f>IF(AD$65="입주/잔금",($F68-SUM($G68:AC68))*30%,IF(AC$65="입주/잔금",($F68-SUM($G68:AB68))*50%,IF(AB$65="입주/잔금",($F68-SUM($G68:AA68))*20%,IF(AD$65=0,0,IF(AD$65="2차중도금",$F68*30%-SUM($G68:AC68),IF(AD$65="3차중도금",$F68*40%-SUM($G68:AC68),IF(AD$65="4차중도금",$F68*50%-SUM($G68:AC68),$F68*10%)))))))+(IF(AD$65="5차중도금",$F68*60%-SUM($G68:AC68)-$F68*10%,IF(AD$65="6차중도금",$F68*70%-SUM($G68:AC68)-$F68*10%,0)))</f>
        <v>0</v>
      </c>
      <c r="AE68" s="605">
        <f>IF(AE$65="입주/잔금",($F68-SUM($G68:AD68))*30%,IF(AD$65="입주/잔금",($F68-SUM($G68:AC68))*50%,IF(AC$65="입주/잔금",($F68-SUM($G68:AB68))*20%,IF(AE$65=0,0,IF(AE$65="2차중도금",$F68*30%-SUM($G68:AD68),IF(AE$65="3차중도금",$F68*40%-SUM($G68:AD68),IF(AE$65="4차중도금",$F68*50%-SUM($G68:AD68),$F68*10%)))))))+(IF(AE$65="5차중도금",$F68*60%-SUM($G68:AD68)-$F68*10%,IF(AE$65="6차중도금",$F68*70%-SUM($G68:AD68)-$F68*10%,0)))</f>
        <v>0</v>
      </c>
      <c r="AF68" s="605">
        <f>IF(AF$65="입주/잔금",($F68-SUM($G68:AE68))*30%,IF(AE$65="입주/잔금",($F68-SUM($G68:AD68))*50%,IF(AD$65="입주/잔금",($F68-SUM($G68:AC68))*20%,IF(AF$65=0,0,IF(AF$65="2차중도금",$F68*30%-SUM($G68:AE68),IF(AF$65="3차중도금",$F68*40%-SUM($G68:AE68),IF(AF$65="4차중도금",$F68*50%-SUM($G68:AE68),$F68*10%)))))))+(IF(AF$65="5차중도금",$F68*60%-SUM($G68:AE68)-$F68*10%,IF(AF$65="6차중도금",$F68*70%-SUM($G68:AE68)-$F68*10%,0)))</f>
        <v>0</v>
      </c>
      <c r="AG68" s="605">
        <f>IF(AG$65="입주/잔금",($F68-SUM($G68:AF68))*30%,IF(AF$65="입주/잔금",($F68-SUM($G68:AE68))*50%,IF(AE$65="입주/잔금",($F68-SUM($G68:AD68))*20%,IF(AG$65=0,0,IF(AG$65="2차중도금",$F68*30%-SUM($G68:AF68),IF(AG$65="3차중도금",$F68*40%-SUM($G68:AF68),IF(AG$65="4차중도금",$F68*50%-SUM($G68:AF68),$F68*10%)))))))+(IF(AG$65="5차중도금",$F68*60%-SUM($G68:AF68)-$F68*10%,IF(AG$65="6차중도금",$F68*70%-SUM($G68:AF68)-$F68*10%,0)))</f>
        <v>0</v>
      </c>
      <c r="AH68" s="605">
        <f>IF(AH$65="입주/잔금",($F68-SUM($G68:AG68))*30%,IF(AG$65="입주/잔금",($F68-SUM($G68:AF68))*50%,IF(AF$65="입주/잔금",($F68-SUM($G68:AE68))*20%,IF(AH$65=0,0,IF(AH$65="2차중도금",$F68*30%-SUM($G68:AG68),IF(AH$65="3차중도금",$F68*40%-SUM($G68:AG68),IF(AH$65="4차중도금",$F68*50%-SUM($G68:AG68),$F68*10%)))))))+(IF(AH$65="5차중도금",$F68*60%-SUM($G68:AG68)-$F68*10%,IF(AH$65="6차중도금",$F68*70%-SUM($G68:AG68)-$F68*10%,0)))</f>
        <v>0</v>
      </c>
      <c r="AI68" s="605">
        <f>IF(AI$65="입주/잔금",($F68-SUM($G68:AH68))*30%,IF(AH$65="입주/잔금",($F68-SUM($G68:AG68))*50%,IF(AG$65="입주/잔금",($F68-SUM($G68:AF68))*20%,IF(AI$65=0,0,IF(AI$65="2차중도금",$F68*30%-SUM($G68:AH68),IF(AI$65="3차중도금",$F68*40%-SUM($G68:AH68),IF(AI$65="4차중도금",$F68*50%-SUM($G68:AH68),$F68*10%)))))))+(IF(AI$65="5차중도금",$F68*60%-SUM($G68:AH68)-$F68*10%,IF(AI$65="6차중도금",$F68*70%-SUM($G68:AH68)-$F68*10%,0)))</f>
        <v>0</v>
      </c>
      <c r="AJ68" s="605">
        <f>IF(AJ$65="입주/잔금",($F68-SUM($G68:AI68))*30%,IF(AI$65="입주/잔금",($F68-SUM($G68:AH68))*50%,IF(AH$65="입주/잔금",($F68-SUM($G68:AG68))*20%,IF(AJ$65=0,0,IF(AJ$65="2차중도금",$F68*30%-SUM($G68:AI68),IF(AJ$65="3차중도금",$F68*40%-SUM($G68:AI68),IF(AJ$65="4차중도금",$F68*50%-SUM($G68:AI68),$F68*10%)))))))+(IF(AJ$65="5차중도금",$F68*60%-SUM($G68:AI68)-$F68*10%,IF(AJ$65="6차중도금",$F68*70%-SUM($G68:AI68)-$F68*10%,0)))</f>
        <v>0</v>
      </c>
      <c r="AK68" s="605">
        <f>IF(AK$65="입주/잔금",($F68-SUM($G68:AJ68))*30%,IF(AJ$65="입주/잔금",($F68-SUM($G68:AI68))*50%,IF(AI$65="입주/잔금",($F68-SUM($G68:AH68))*20%,IF(AK$65=0,0,IF(AK$65="2차중도금",$F68*30%-SUM($G68:AJ68),IF(AK$65="3차중도금",$F68*40%-SUM($G68:AJ68),IF(AK$65="4차중도금",$F68*50%-SUM($G68:AJ68),$F68*10%)))))))+(IF(AK$65="5차중도금",$F68*60%-SUM($G68:AJ68)-$F68*10%,IF(AK$65="6차중도금",$F68*70%-SUM($G68:AJ68)-$F68*10%,0)))</f>
        <v>0</v>
      </c>
      <c r="AL68" s="605">
        <f>IF(AL$65="입주/잔금",($F68-SUM($G68:AK68))*30%,IF(AK$65="입주/잔금",($F68-SUM($G68:AJ68))*50%,IF(AJ$65="입주/잔금",($F68-SUM($G68:AI68))*20%,IF(AL$65=0,0,IF(AL$65="2차중도금",$F68*30%-SUM($G68:AK68),IF(AL$65="3차중도금",$F68*40%-SUM($G68:AK68),IF(AL$65="4차중도금",$F68*50%-SUM($G68:AK68),$F68*10%)))))))+(IF(AL$65="5차중도금",$F68*60%-SUM($G68:AK68)-$F68*10%,IF(AL$65="6차중도금",$F68*70%-SUM($G68:AK68)-$F68*10%,0)))</f>
        <v>0</v>
      </c>
      <c r="AM68" s="605">
        <f>IF(AM$65="입주/잔금",($F68-SUM($G68:AL68))*30%,IF(AL$65="입주/잔금",($F68-SUM($G68:AK68))*50%,IF(AK$65="입주/잔금",($F68-SUM($G68:AJ68))*20%,IF(AM$65=0,0,IF(AM$65="2차중도금",$F68*30%-SUM($G68:AL68),IF(AM$65="3차중도금",$F68*40%-SUM($G68:AL68),IF(AM$65="4차중도금",$F68*50%-SUM($G68:AL68),$F68*10%)))))))+(IF(AM$65="5차중도금",$F68*60%-SUM($G68:AL68)-$F68*10%,IF(AM$65="6차중도금",$F68*70%-SUM($G68:AL68)-$F68*10%,0)))</f>
        <v>0</v>
      </c>
      <c r="AN68" s="605">
        <f>IF(AN$65="입주/잔금",($F68-SUM($G68:AM68))*30%,IF(AM$65="입주/잔금",($F68-SUM($G68:AL68))*50%,IF(AL$65="입주/잔금",($F68-SUM($G68:AK68))*20%,IF(AN$65=0,0,IF(AN$65="2차중도금",$F68*30%-SUM($G68:AM68),IF(AN$65="3차중도금",$F68*40%-SUM($G68:AM68),IF(AN$65="4차중도금",$F68*50%-SUM($G68:AM68),$F68*10%)))))))+(IF(AN$65="5차중도금",$F68*60%-SUM($G68:AM68)-$F68*10%,IF(AN$65="6차중도금",$F68*70%-SUM($G68:AM68)-$F68*10%,0)))</f>
        <v>0</v>
      </c>
      <c r="AO68" s="605">
        <f>IF(AO$65="입주/잔금",($F68-SUM($G68:AN68))*30%,IF(AN$65="입주/잔금",($F68-SUM($G68:AM68))*50%,IF(AM$65="입주/잔금",($F68-SUM($G68:AL68))*20%,IF(AO$65=0,0,IF(AO$65="2차중도금",$F68*30%-SUM($G68:AN68),IF(AO$65="3차중도금",$F68*40%-SUM($G68:AN68),IF(AO$65="4차중도금",$F68*50%-SUM($G68:AN68),$F68*10%)))))))+(IF(AO$65="5차중도금",$F68*60%-SUM($G68:AN68)-$F68*10%,IF(AO$65="6차중도금",$F68*70%-SUM($G68:AN68)-$F68*10%,0)))</f>
        <v>0</v>
      </c>
      <c r="AP68" s="605">
        <f>IF(AP$65="입주/잔금",($F68-SUM($G68:AO68))*30%,IF(AO$65="입주/잔금",($F68-SUM($G68:AN68))*50%,IF(AN$65="입주/잔금",($F68-SUM($G68:AM68))*20%,IF(AP$65=0,0,IF(AP$65="2차중도금",$F68*30%-SUM($G68:AO68),IF(AP$65="3차중도금",$F68*40%-SUM($G68:AO68),IF(AP$65="4차중도금",$F68*50%-SUM($G68:AO68),$F68*10%)))))))+(IF(AP$65="5차중도금",$F68*60%-SUM($G68:AO68)-$F68*10%,IF(AP$65="6차중도금",$F68*70%-SUM($G68:AO68)-$F68*10%,0)))</f>
        <v>0</v>
      </c>
      <c r="AQ68" s="605">
        <f>IF(AQ$65="입주/잔금",($F68-SUM($G68:AP68))*30%,IF(AP$65="입주/잔금",($F68-SUM($G68:AO68))*50%,IF(AO$65="입주/잔금",($F68-SUM($G68:AN68))*20%,IF(AQ$65=0,0,IF(AQ$65="2차중도금",$F68*30%-SUM($G68:AP68),IF(AQ$65="3차중도금",$F68*40%-SUM($G68:AP68),IF(AQ$65="4차중도금",$F68*50%-SUM($G68:AP68),$F68*10%)))))))+(IF(AQ$65="5차중도금",$F68*60%-SUM($G68:AP68)-$F68*10%,IF(AQ$65="6차중도금",$F68*70%-SUM($G68:AP68)-$F68*10%,0)))</f>
        <v>0</v>
      </c>
      <c r="AR68" s="605">
        <f>IF(AR$65="입주/잔금",($F68-SUM($G68:AQ68))*30%,IF(AQ$65="입주/잔금",($F68-SUM($G68:AP68))*50%,IF(AP$65="입주/잔금",($F68-SUM($G68:AO68))*20%,IF(AR$65=0,0,IF(AR$65="2차중도금",$F68*30%-SUM($G68:AQ68),IF(AR$65="3차중도금",$F68*40%-SUM($G68:AQ68),IF(AR$65="4차중도금",$F68*50%-SUM($G68:AQ68),$F68*10%)))))))+(IF(AR$65="5차중도금",$F68*60%-SUM($G68:AQ68)-$F68*10%,IF(AR$65="6차중도금",$F68*70%-SUM($G68:AQ68)-$F68*10%,0)))</f>
        <v>0</v>
      </c>
      <c r="AS68" s="605">
        <f>IF(AS$65="입주/잔금",($F68-SUM($G68:AR68))*30%,IF(AR$65="입주/잔금",($F68-SUM($G68:AQ68))*50%,IF(AQ$65="입주/잔금",($F68-SUM($G68:AP68))*20%,IF(AS$65=0,0,IF(AS$65="2차중도금",$F68*30%-SUM($G68:AR68),IF(AS$65="3차중도금",$F68*40%-SUM($G68:AR68),IF(AS$65="4차중도금",$F68*50%-SUM($G68:AR68),$F68*10%)))))))+(IF(AS$65="5차중도금",$F68*60%-SUM($G68:AR68)-$F68*10%,IF(AS$65="6차중도금",$F68*70%-SUM($G68:AR68)-$F68*10%,0)))</f>
        <v>0</v>
      </c>
      <c r="AT68" s="605">
        <f>IF(AT$65="입주/잔금",($F68-SUM($G68:AS68))*30%,IF(AS$65="입주/잔금",($F68-SUM($G68:AR68))*50%,IF(AR$65="입주/잔금",($F68-SUM($G68:AQ68))*20%,IF(AT$65=0,0,IF(AT$65="2차중도금",$F68*30%-SUM($G68:AS68),IF(AT$65="3차중도금",$F68*40%-SUM($G68:AS68),IF(AT$65="4차중도금",$F68*50%-SUM($G68:AS68),$F68*10%)))))))+(IF(AT$65="5차중도금",$F68*60%-SUM($G68:AS68)-$F68*10%,IF(AT$65="6차중도금",$F68*70%-SUM($G68:AS68)-$F68*10%,0)))</f>
        <v>0</v>
      </c>
      <c r="AU68" s="605">
        <f>IF(AU$65="입주/잔금",($F68-SUM($G68:AT68))*30%,IF(AT$65="입주/잔금",($F68-SUM($G68:AS68))*50%,IF(AS$65="입주/잔금",($F68-SUM($G68:AR68))*20%,IF(AU$65=0,0,IF(AU$65="2차중도금",$F68*30%-SUM($G68:AT68),IF(AU$65="3차중도금",$F68*40%-SUM($G68:AT68),IF(AU$65="4차중도금",$F68*50%-SUM($G68:AT68),$F68*10%)))))))+(IF(AU$65="5차중도금",$F68*60%-SUM($G68:AT68)-$F68*10%,IF(AU$65="6차중도금",$F68*70%-SUM($G68:AT68)-$F68*10%,0)))</f>
        <v>0</v>
      </c>
      <c r="AV68" s="605">
        <f>IF(AV$65="입주/잔금",($F68-SUM($G68:AU68))*30%,IF(AU$65="입주/잔금",($F68-SUM($G68:AT68))*50%,IF(AT$65="입주/잔금",($F68-SUM($G68:AS68))*20%,IF(AV$65=0,0,IF(AV$65="2차중도금",$F68*30%-SUM($G68:AU68),IF(AV$65="3차중도금",$F68*40%-SUM($G68:AU68),IF(AV$65="4차중도금",$F68*50%-SUM($G68:AU68),$F68*10%)))))))+(IF(AV$65="5차중도금",$F68*60%-SUM($G68:AU68)-$F68*10%,IF(AV$65="6차중도금",$F68*70%-SUM($G68:AU68)-$F68*10%,0)))</f>
        <v>0</v>
      </c>
      <c r="AW68" s="605">
        <f>IF(AW$65="입주/잔금",($F68-SUM($G68:AV68))*30%,IF(AV$65="입주/잔금",($F68-SUM($G68:AU68))*50%,IF(AU$65="입주/잔금",($F68-SUM($G68:AT68))*20%,IF(AW$65=0,0,IF(AW$65="2차중도금",$F68*30%-SUM($G68:AV68),IF(AW$65="3차중도금",$F68*40%-SUM($G68:AV68),IF(AW$65="4차중도금",$F68*50%-SUM($G68:AV68),$F68*10%)))))))+(IF(AW$65="5차중도금",$F68*60%-SUM($G68:AV68)-$F68*10%,IF(AW$65="6차중도금",$F68*70%-SUM($G68:AV68)-$F68*10%,0)))</f>
        <v>0</v>
      </c>
      <c r="AX68" s="605">
        <f>IF(AX$65="입주/잔금",($F68-SUM($G68:AW68))*30%,IF(AW$65="입주/잔금",($F68-SUM($G68:AV68))*50%,IF(AV$65="입주/잔금",($F68-SUM($G68:AU68))*20%,IF(AX$65=0,0,IF(AX$65="2차중도금",$F68*30%-SUM($G68:AW68),IF(AX$65="3차중도금",$F68*40%-SUM($G68:AW68),IF(AX$65="4차중도금",$F68*50%-SUM($G68:AW68),$F68*10%)))))))+(IF(AX$65="5차중도금",$F68*60%-SUM($G68:AW68)-$F68*10%,IF(AX$65="6차중도금",$F68*70%-SUM($G68:AW68)-$F68*10%,0)))</f>
        <v>0</v>
      </c>
      <c r="AY68" s="605">
        <f>IF(AY$65="입주/잔금",($F68-SUM($G68:AX68))*30%,IF(AX$65="입주/잔금",($F68-SUM($G68:AW68))*50%,IF(AW$65="입주/잔금",($F68-SUM($G68:AV68))*20%,IF(AY$65=0,0,IF(AY$65="2차중도금",$F68*30%-SUM($G68:AX68),IF(AY$65="3차중도금",$F68*40%-SUM($G68:AX68),IF(AY$65="4차중도금",$F68*50%-SUM($G68:AX68),$F68*10%)))))))+(IF(AY$65="5차중도금",$F68*60%-SUM($G68:AX68)-$F68*10%,IF(AY$65="6차중도금",$F68*70%-SUM($G68:AX68)-$F68*10%,0)))</f>
        <v>0</v>
      </c>
      <c r="AZ68" s="605">
        <f>IF(AZ$65="입주/잔금",($F68-SUM($G68:AY68))*30%,IF(AY$65="입주/잔금",($F68-SUM($G68:AX68))*50%,IF(AX$65="입주/잔금",($F68-SUM($G68:AW68))*20%,IF(AZ$65=0,0,IF(AZ$65="2차중도금",$F68*30%-SUM($G68:AY68),IF(AZ$65="3차중도금",$F68*40%-SUM($G68:AY68),IF(AZ$65="4차중도금",$F68*50%-SUM($G68:AY68),$F68*10%)))))))+(IF(AZ$65="5차중도금",$F68*60%-SUM($G68:AY68)-$F68*10%,IF(AZ$65="6차중도금",$F68*70%-SUM($G68:AY68)-$F68*10%,0)))</f>
        <v>0</v>
      </c>
      <c r="BA68" s="605">
        <f>IF(BA$65="입주/잔금",($F68-SUM($G68:AZ68))*30%,IF(AZ$65="입주/잔금",($F68-SUM($G68:AY68))*50%,IF(AY$65="입주/잔금",($F68-SUM($G68:AX68))*20%,IF(BA$65=0,0,IF(BA$65="2차중도금",$F68*30%-SUM($G68:AZ68),IF(BA$65="3차중도금",$F68*40%-SUM($G68:AZ68),IF(BA$65="4차중도금",$F68*50%-SUM($G68:AZ68),$F68*10%)))))))+(IF(BA$65="5차중도금",$F68*60%-SUM($G68:AZ68)-$F68*10%,IF(BA$65="6차중도금",$F68*70%-SUM($G68:AZ68)-$F68*10%,0)))</f>
        <v>0</v>
      </c>
      <c r="BB68" s="605">
        <f>IF(BB$65="입주/잔금",($F68-SUM($G68:BA68))*30%,IF(BA$65="입주/잔금",($F68-SUM($G68:AZ68))*50%,IF(AZ$65="입주/잔금",($F68-SUM($G68:AY68))*20%,IF(BB$65=0,0,IF(BB$65="2차중도금",$F68*30%-SUM($G68:BA68),IF(BB$65="3차중도금",$F68*40%-SUM($G68:BA68),IF(BB$65="4차중도금",$F68*50%-SUM($G68:BA68),$F68*10%)))))))+(IF(BB$65="5차중도금",$F68*60%-SUM($G68:BA68)-$F68*10%,IF(BB$65="6차중도금",$F68*70%-SUM($G68:BA68)-$F68*10%,0)))</f>
        <v>0</v>
      </c>
      <c r="BC68" s="605">
        <f>IF(BC$65="입주/잔금",($F68-SUM($G68:BB68))*30%,IF(BB$65="입주/잔금",($F68-SUM($G68:BA68))*50%,IF(BA$65="입주/잔금",($F68-SUM($G68:AZ68))*20%,IF(BC$65=0,0,IF(BC$65="2차중도금",$F68*30%-SUM($G68:BB68),IF(BC$65="3차중도금",$F68*40%-SUM($G68:BB68),IF(BC$65="4차중도금",$F68*50%-SUM($G68:BB68),$F68*10%)))))))+(IF(BC$65="5차중도금",$F68*60%-SUM($G68:BB68)-$F68*10%,IF(BC$65="6차중도금",$F68*70%-SUM($G68:BB68)-$F68*10%,0)))</f>
        <v>0</v>
      </c>
      <c r="BD68" s="605">
        <f>IF(BD$65="입주/잔금",($F68-SUM($G68:BC68))*30%,IF(BC$65="입주/잔금",($F68-SUM($G68:BB68))*50%,IF(BB$65="입주/잔금",($F68-SUM($G68:BA68))*20%,IF(BD$65=0,0,IF(BD$65="2차중도금",$F68*30%-SUM($G68:BC68),IF(BD$65="3차중도금",$F68*40%-SUM($G68:BC68),IF(BD$65="4차중도금",$F68*50%-SUM($G68:BC68),$F68*10%)))))))+(IF(BD$65="5차중도금",$F68*60%-SUM($G68:BC68)-$F68*10%,IF(BD$65="6차중도금",$F68*70%-SUM($G68:BC68)-$F68*10%,0)))</f>
        <v>0</v>
      </c>
      <c r="BE68" s="605">
        <f>IF(BE$65="입주/잔금",($F68-SUM($G68:BD68))*30%,IF(BD$65="입주/잔금",($F68-SUM($G68:BC68))*50%,IF(BC$65="입주/잔금",($F68-SUM($G68:BB68))*20%,IF(BE$65=0,0,IF(BE$65="2차중도금",$F68*30%-SUM($G68:BD68),IF(BE$65="3차중도금",$F68*40%-SUM($G68:BD68),IF(BE$65="4차중도금",$F68*50%-SUM($G68:BD68),$F68*10%)))))))+(IF(BE$65="5차중도금",$F68*60%-SUM($G68:BD68)-$F68*10%,IF(BE$65="6차중도금",$F68*70%-SUM($G68:BD68)-$F68*10%,0)))</f>
        <v>0</v>
      </c>
      <c r="BF68" s="609">
        <f t="shared" si="30"/>
        <v>0</v>
      </c>
      <c r="BG68" s="556">
        <f t="shared" si="32"/>
        <v>0</v>
      </c>
      <c r="BH68" s="610"/>
    </row>
    <row r="69" spans="1:60">
      <c r="A69" s="1853"/>
      <c r="B69" s="611">
        <f t="shared" si="33"/>
        <v>44927</v>
      </c>
      <c r="C69" s="605">
        <f t="shared" si="34"/>
        <v>157992364.97659996</v>
      </c>
      <c r="D69" s="1501"/>
      <c r="E69" s="607">
        <f t="shared" si="35"/>
        <v>0</v>
      </c>
      <c r="F69" s="608">
        <f t="shared" si="31"/>
        <v>0</v>
      </c>
      <c r="G69" s="605"/>
      <c r="H69" s="605"/>
      <c r="I69" s="605"/>
      <c r="J69" s="605">
        <f>$F69*10%</f>
        <v>0</v>
      </c>
      <c r="K69" s="605">
        <f>IF(K$65="입주/잔금",($F69-SUM($G69:J69))*30%,IF(J$65="입주/잔금",($F69-SUM($G69:I69))*50%,IF(I$65="입주/잔금",($F69-SUM($G69:H69))*20%,IF(K$65=0,0,IF(K$65="2차중도금",$F69*30%-SUM($G69:J69),IF(K$65="3차중도금",$F69*40%-SUM($G69:J69),IF(K$65="4차중도금",$F69*50%-SUM($G69:J69),$F69*10%)))))))+(IF(K$65="5차중도금",$F69*60%-SUM($G69:J69)-$F69*10%,IF(K$65="6차중도금",$F69*70%-SUM($G69:J69)-$F69*10%,0)))</f>
        <v>0</v>
      </c>
      <c r="L69" s="605">
        <f>IF(L$65="입주/잔금",($F69-SUM($G69:K69))*30%,IF(K$65="입주/잔금",($F69-SUM($G69:J69))*50%,IF(J$65="입주/잔금",($F69-SUM($G69:I69))*20%,IF(L$65=0,0,IF(L$65="2차중도금",$F69*30%-SUM($G69:K69),IF(L$65="3차중도금",$F69*40%-SUM($G69:K69),IF(L$65="4차중도금",$F69*50%-SUM($G69:K69),$F69*10%)))))))+(IF(L$65="5차중도금",$F69*60%-SUM($G69:K69)-$F69*10%,IF(L$65="6차중도금",$F69*70%-SUM($G69:K69)-$F69*10%,0)))</f>
        <v>0</v>
      </c>
      <c r="M69" s="605">
        <f>IF(M$65="입주/잔금",($F69-SUM($G69:L69))*30%,IF(L$65="입주/잔금",($F69-SUM($G69:K69))*50%,IF(K$65="입주/잔금",($F69-SUM($G69:J69))*20%,IF(M$65=0,0,IF(M$65="2차중도금",$F69*30%-SUM($G69:L69),IF(M$65="3차중도금",$F69*40%-SUM($G69:L69),IF(M$65="4차중도금",$F69*50%-SUM($G69:L69),$F69*10%)))))))+(IF(M$65="5차중도금",$F69*60%-SUM($G69:L69)-$F69*10%,IF(M$65="6차중도금",$F69*70%-SUM($G69:L69)-$F69*10%,0)))</f>
        <v>0</v>
      </c>
      <c r="N69" s="605">
        <f>IF(N$65="입주/잔금",($F69-SUM($G69:M69))*30%,IF(M$65="입주/잔금",($F69-SUM($G69:L69))*50%,IF(L$65="입주/잔금",($F69-SUM($G69:K69))*20%,IF(N$65=0,0,IF(N$65="2차중도금",$F69*30%-SUM($G69:M69),IF(N$65="3차중도금",$F69*40%-SUM($G69:M69),IF(N$65="4차중도금",$F69*50%-SUM($G69:M69),$F69*10%)))))))+(IF(N$65="5차중도금",$F69*60%-SUM($G69:M69)-$F69*10%,IF(N$65="6차중도금",$F69*70%-SUM($G69:M69)-$F69*10%,0)))</f>
        <v>0</v>
      </c>
      <c r="O69" s="605">
        <f>IF(O$65="입주/잔금",($F69-SUM($G69:N69))*30%,IF(N$65="입주/잔금",($F69-SUM($G69:M69))*50%,IF(M$65="입주/잔금",($F69-SUM($G69:L69))*20%,IF(O$65=0,0,IF(O$65="2차중도금",$F69*30%-SUM($G69:N69),IF(O$65="3차중도금",$F69*40%-SUM($G69:N69),IF(O$65="4차중도금",$F69*50%-SUM($G69:N69),$F69*10%)))))))+(IF(O$65="5차중도금",$F69*60%-SUM($G69:N69)-$F69*10%,IF(O$65="6차중도금",$F69*70%-SUM($G69:N69)-$F69*10%,0)))</f>
        <v>0</v>
      </c>
      <c r="P69" s="605">
        <f>IF(P$65="입주/잔금",($F69-SUM($G69:O69))*30%,IF(O$65="입주/잔금",($F69-SUM($G69:N69))*50%,IF(N$65="입주/잔금",($F69-SUM($G69:M69))*20%,IF(P$65=0,0,IF(P$65="2차중도금",$F69*30%-SUM($G69:O69),IF(P$65="3차중도금",$F69*40%-SUM($G69:O69),IF(P$65="4차중도금",$F69*50%-SUM($G69:O69),$F69*10%)))))))+(IF(P$65="5차중도금",$F69*60%-SUM($G69:O69)-$F69*10%,IF(P$65="6차중도금",$F69*70%-SUM($G69:O69)-$F69*10%,0)))</f>
        <v>0</v>
      </c>
      <c r="Q69" s="605">
        <f>IF(Q$65="입주/잔금",($F69-SUM($G69:P69))*30%,IF(P$65="입주/잔금",($F69-SUM($G69:O69))*50%,IF(O$65="입주/잔금",($F69-SUM($G69:N69))*20%,IF(Q$65=0,0,IF(Q$65="2차중도금",$F69*30%-SUM($G69:P69),IF(Q$65="3차중도금",$F69*40%-SUM($G69:P69),IF(Q$65="4차중도금",$F69*50%-SUM($G69:P69),$F69*10%)))))))+(IF(Q$65="5차중도금",$F69*60%-SUM($G69:P69)-$F69*10%,IF(Q$65="6차중도금",$F69*70%-SUM($G69:P69)-$F69*10%,0)))</f>
        <v>0</v>
      </c>
      <c r="R69" s="605">
        <f>IF(R$65="입주/잔금",($F69-SUM($G69:Q69))*30%,IF(Q$65="입주/잔금",($F69-SUM($G69:P69))*50%,IF(P$65="입주/잔금",($F69-SUM($G69:O69))*20%,IF(R$65=0,0,IF(R$65="2차중도금",$F69*30%-SUM($G69:Q69),IF(R$65="3차중도금",$F69*40%-SUM($G69:Q69),IF(R$65="4차중도금",$F69*50%-SUM($G69:Q69),$F69*10%)))))))+(IF(R$65="5차중도금",$F69*60%-SUM($G69:Q69)-$F69*10%,IF(R$65="6차중도금",$F69*70%-SUM($G69:Q69)-$F69*10%,0)))</f>
        <v>0</v>
      </c>
      <c r="S69" s="605">
        <f>IF(S$65="입주/잔금",($F69-SUM($G69:R69))*30%,IF(R$65="입주/잔금",($F69-SUM($G69:Q69))*50%,IF(Q$65="입주/잔금",($F69-SUM($G69:P69))*20%,IF(S$65=0,0,IF(S$65="2차중도금",$F69*30%-SUM($G69:R69),IF(S$65="3차중도금",$F69*40%-SUM($G69:R69),IF(S$65="4차중도금",$F69*50%-SUM($G69:R69),$F69*10%)))))))+(IF(S$65="5차중도금",$F69*60%-SUM($G69:R69)-$F69*10%,IF(S$65="6차중도금",$F69*70%-SUM($G69:R69)-$F69*10%,0)))</f>
        <v>0</v>
      </c>
      <c r="T69" s="605">
        <f>IF(T$65="입주/잔금",($F69-SUM($G69:S69))*30%,IF(S$65="입주/잔금",($F69-SUM($G69:R69))*50%,IF(R$65="입주/잔금",($F69-SUM($G69:Q69))*20%,IF(T$65=0,0,IF(T$65="2차중도금",$F69*30%-SUM($G69:S69),IF(T$65="3차중도금",$F69*40%-SUM($G69:S69),IF(T$65="4차중도금",$F69*50%-SUM($G69:S69),$F69*10%)))))))+(IF(T$65="5차중도금",$F69*60%-SUM($G69:S69)-$F69*10%,IF(T$65="6차중도금",$F69*70%-SUM($G69:S69)-$F69*10%,0)))</f>
        <v>0</v>
      </c>
      <c r="U69" s="605">
        <f>IF(U$65="입주/잔금",($F69-SUM($G69:T69))*30%,IF(T$65="입주/잔금",($F69-SUM($G69:S69))*50%,IF(S$65="입주/잔금",($F69-SUM($G69:R69))*20%,IF(U$65=0,0,IF(U$65="2차중도금",$F69*30%-SUM($G69:T69),IF(U$65="3차중도금",$F69*40%-SUM($G69:T69),IF(U$65="4차중도금",$F69*50%-SUM($G69:T69),$F69*10%)))))))+(IF(U$65="5차중도금",$F69*60%-SUM($G69:T69)-$F69*10%,IF(U$65="6차중도금",$F69*70%-SUM($G69:T69)-$F69*10%,0)))</f>
        <v>0</v>
      </c>
      <c r="V69" s="605">
        <f>IF(V$65="입주/잔금",($F69-SUM($G69:U69))*30%,IF(U$65="입주/잔금",($F69-SUM($G69:T69))*50%,IF(T$65="입주/잔금",($F69-SUM($G69:S69))*20%,IF(V$65=0,0,IF(V$65="2차중도금",$F69*30%-SUM($G69:U69),IF(V$65="3차중도금",$F69*40%-SUM($G69:U69),IF(V$65="4차중도금",$F69*50%-SUM($G69:U69),$F69*10%)))))))+(IF(V$65="5차중도금",$F69*60%-SUM($G69:U69)-$F69*10%,IF(V$65="6차중도금",$F69*70%-SUM($G69:U69)-$F69*10%,0)))</f>
        <v>0</v>
      </c>
      <c r="W69" s="605">
        <f>IF(W$65="입주/잔금",($F69-SUM($G69:V69))*30%,IF(V$65="입주/잔금",($F69-SUM($G69:U69))*50%,IF(U$65="입주/잔금",($F69-SUM($G69:T69))*20%,IF(W$65=0,0,IF(W$65="2차중도금",$F69*30%-SUM($G69:V69),IF(W$65="3차중도금",$F69*40%-SUM($G69:V69),IF(W$65="4차중도금",$F69*50%-SUM($G69:V69),$F69*10%)))))))+(IF(W$65="5차중도금",$F69*60%-SUM($G69:V69)-$F69*10%,IF(W$65="6차중도금",$F69*70%-SUM($G69:V69)-$F69*10%,0)))</f>
        <v>0</v>
      </c>
      <c r="X69" s="605">
        <f>IF(X$65="입주/잔금",($F69-SUM($G69:W69))*30%,IF(W$65="입주/잔금",($F69-SUM($G69:V69))*50%,IF(V$65="입주/잔금",($F69-SUM($G69:U69))*20%,IF(X$65=0,0,IF(X$65="2차중도금",$F69*30%-SUM($G69:W69),IF(X$65="3차중도금",$F69*40%-SUM($G69:W69),IF(X$65="4차중도금",$F69*50%-SUM($G69:W69),$F69*10%)))))))+(IF(X$65="5차중도금",$F69*60%-SUM($G69:W69)-$F69*10%,IF(X$65="6차중도금",$F69*70%-SUM($G69:W69)-$F69*10%,0)))</f>
        <v>0</v>
      </c>
      <c r="Y69" s="605">
        <f>IF(Y$65="입주/잔금",($F69-SUM($G69:X69))*30%,IF(X$65="입주/잔금",($F69-SUM($G69:W69))*50%,IF(W$65="입주/잔금",($F69-SUM($G69:V69))*20%,IF(Y$65=0,0,IF(Y$65="2차중도금",$F69*30%-SUM($G69:X69),IF(Y$65="3차중도금",$F69*40%-SUM($G69:X69),IF(Y$65="4차중도금",$F69*50%-SUM($G69:X69),$F69*10%)))))))+(IF(Y$65="5차중도금",$F69*60%-SUM($G69:X69)-$F69*10%,IF(Y$65="6차중도금",$F69*70%-SUM($G69:X69)-$F69*10%,0)))</f>
        <v>0</v>
      </c>
      <c r="Z69" s="605">
        <f>IF(Z$65="입주/잔금",($F69-SUM($G69:Y69))*30%,IF(Y$65="입주/잔금",($F69-SUM($G69:X69))*50%,IF(X$65="입주/잔금",($F69-SUM($G69:W69))*20%,IF(Z$65=0,0,IF(Z$65="2차중도금",$F69*30%-SUM($G69:Y69),IF(Z$65="3차중도금",$F69*40%-SUM($G69:Y69),IF(Z$65="4차중도금",$F69*50%-SUM($G69:Y69),$F69*10%)))))))+(IF(Z$65="5차중도금",$F69*60%-SUM($G69:Y69)-$F69*10%,IF(Z$65="6차중도금",$F69*70%-SUM($G69:Y69)-$F69*10%,0)))</f>
        <v>0</v>
      </c>
      <c r="AA69" s="605">
        <f>IF(AA$65="입주/잔금",($F69-SUM($G69:Z69))*30%,IF(Z$65="입주/잔금",($F69-SUM($G69:Y69))*50%,IF(Y$65="입주/잔금",($F69-SUM($G69:X69))*20%,IF(AA$65=0,0,IF(AA$65="2차중도금",$F69*30%-SUM($G69:Z69),IF(AA$65="3차중도금",$F69*40%-SUM($G69:Z69),IF(AA$65="4차중도금",$F69*50%-SUM($G69:Z69),$F69*10%)))))))+(IF(AA$65="5차중도금",$F69*60%-SUM($G69:Z69)-$F69*10%,IF(AA$65="6차중도금",$F69*70%-SUM($G69:Z69)-$F69*10%,0)))</f>
        <v>0</v>
      </c>
      <c r="AB69" s="605">
        <f>IF(AB$65="입주/잔금",($F69-SUM($G69:AA69))*30%,IF(AA$65="입주/잔금",($F69-SUM($G69:Z69))*50%,IF(Z$65="입주/잔금",($F69-SUM($G69:Y69))*20%,IF(AB$65=0,0,IF(AB$65="2차중도금",$F69*30%-SUM($G69:AA69),IF(AB$65="3차중도금",$F69*40%-SUM($G69:AA69),IF(AB$65="4차중도금",$F69*50%-SUM($G69:AA69),$F69*10%)))))))+(IF(AB$65="5차중도금",$F69*60%-SUM($G69:AA69)-$F69*10%,IF(AB$65="6차중도금",$F69*70%-SUM($G69:AA69)-$F69*10%,0)))</f>
        <v>0</v>
      </c>
      <c r="AC69" s="605">
        <f>IF(AC$65="입주/잔금",($F69-SUM($G69:AB69))*30%,IF(AB$65="입주/잔금",($F69-SUM($G69:AA69))*50%,IF(AA$65="입주/잔금",($F69-SUM($G69:Z69))*20%,IF(AC$65=0,0,IF(AC$65="2차중도금",$F69*30%-SUM($G69:AB69),IF(AC$65="3차중도금",$F69*40%-SUM($G69:AB69),IF(AC$65="4차중도금",$F69*50%-SUM($G69:AB69),$F69*10%)))))))+(IF(AC$65="5차중도금",$F69*60%-SUM($G69:AB69)-$F69*10%,IF(AC$65="6차중도금",$F69*70%-SUM($G69:AB69)-$F69*10%,0)))</f>
        <v>0</v>
      </c>
      <c r="AD69" s="605">
        <f>IF(AD$65="입주/잔금",($F69-SUM($G69:AC69))*30%,IF(AC$65="입주/잔금",($F69-SUM($G69:AB69))*50%,IF(AB$65="입주/잔금",($F69-SUM($G69:AA69))*20%,IF(AD$65=0,0,IF(AD$65="2차중도금",$F69*30%-SUM($G69:AC69),IF(AD$65="3차중도금",$F69*40%-SUM($G69:AC69),IF(AD$65="4차중도금",$F69*50%-SUM($G69:AC69),$F69*10%)))))))+(IF(AD$65="5차중도금",$F69*60%-SUM($G69:AC69)-$F69*10%,IF(AD$65="6차중도금",$F69*70%-SUM($G69:AC69)-$F69*10%,0)))</f>
        <v>0</v>
      </c>
      <c r="AE69" s="605">
        <f>IF(AE$65="입주/잔금",($F69-SUM($G69:AD69))*30%,IF(AD$65="입주/잔금",($F69-SUM($G69:AC69))*50%,IF(AC$65="입주/잔금",($F69-SUM($G69:AB69))*20%,IF(AE$65=0,0,IF(AE$65="2차중도금",$F69*30%-SUM($G69:AD69),IF(AE$65="3차중도금",$F69*40%-SUM($G69:AD69),IF(AE$65="4차중도금",$F69*50%-SUM($G69:AD69),$F69*10%)))))))+(IF(AE$65="5차중도금",$F69*60%-SUM($G69:AD69)-$F69*10%,IF(AE$65="6차중도금",$F69*70%-SUM($G69:AD69)-$F69*10%,0)))</f>
        <v>0</v>
      </c>
      <c r="AF69" s="605">
        <f>IF(AF$65="입주/잔금",($F69-SUM($G69:AE69))*30%,IF(AE$65="입주/잔금",($F69-SUM($G69:AD69))*50%,IF(AD$65="입주/잔금",($F69-SUM($G69:AC69))*20%,IF(AF$65=0,0,IF(AF$65="2차중도금",$F69*30%-SUM($G69:AE69),IF(AF$65="3차중도금",$F69*40%-SUM($G69:AE69),IF(AF$65="4차중도금",$F69*50%-SUM($G69:AE69),$F69*10%)))))))+(IF(AF$65="5차중도금",$F69*60%-SUM($G69:AE69)-$F69*10%,IF(AF$65="6차중도금",$F69*70%-SUM($G69:AE69)-$F69*10%,0)))</f>
        <v>0</v>
      </c>
      <c r="AG69" s="605">
        <f>IF(AG$65="입주/잔금",($F69-SUM($G69:AF69))*30%,IF(AF$65="입주/잔금",($F69-SUM($G69:AE69))*50%,IF(AE$65="입주/잔금",($F69-SUM($G69:AD69))*20%,IF(AG$65=0,0,IF(AG$65="2차중도금",$F69*30%-SUM($G69:AF69),IF(AG$65="3차중도금",$F69*40%-SUM($G69:AF69),IF(AG$65="4차중도금",$F69*50%-SUM($G69:AF69),$F69*10%)))))))+(IF(AG$65="5차중도금",$F69*60%-SUM($G69:AF69)-$F69*10%,IF(AG$65="6차중도금",$F69*70%-SUM($G69:AF69)-$F69*10%,0)))</f>
        <v>0</v>
      </c>
      <c r="AH69" s="605">
        <f>IF(AH$65="입주/잔금",($F69-SUM($G69:AG69))*30%,IF(AG$65="입주/잔금",($F69-SUM($G69:AF69))*50%,IF(AF$65="입주/잔금",($F69-SUM($G69:AE69))*20%,IF(AH$65=0,0,IF(AH$65="2차중도금",$F69*30%-SUM($G69:AG69),IF(AH$65="3차중도금",$F69*40%-SUM($G69:AG69),IF(AH$65="4차중도금",$F69*50%-SUM($G69:AG69),$F69*10%)))))))+(IF(AH$65="5차중도금",$F69*60%-SUM($G69:AG69)-$F69*10%,IF(AH$65="6차중도금",$F69*70%-SUM($G69:AG69)-$F69*10%,0)))</f>
        <v>0</v>
      </c>
      <c r="AI69" s="605">
        <f>IF(AI$65="입주/잔금",($F69-SUM($G69:AH69))*30%,IF(AH$65="입주/잔금",($F69-SUM($G69:AG69))*50%,IF(AG$65="입주/잔금",($F69-SUM($G69:AF69))*20%,IF(AI$65=0,0,IF(AI$65="2차중도금",$F69*30%-SUM($G69:AH69),IF(AI$65="3차중도금",$F69*40%-SUM($G69:AH69),IF(AI$65="4차중도금",$F69*50%-SUM($G69:AH69),$F69*10%)))))))+(IF(AI$65="5차중도금",$F69*60%-SUM($G69:AH69)-$F69*10%,IF(AI$65="6차중도금",$F69*70%-SUM($G69:AH69)-$F69*10%,0)))</f>
        <v>0</v>
      </c>
      <c r="AJ69" s="605">
        <f>IF(AJ$65="입주/잔금",($F69-SUM($G69:AI69))*30%,IF(AI$65="입주/잔금",($F69-SUM($G69:AH69))*50%,IF(AH$65="입주/잔금",($F69-SUM($G69:AG69))*20%,IF(AJ$65=0,0,IF(AJ$65="2차중도금",$F69*30%-SUM($G69:AI69),IF(AJ$65="3차중도금",$F69*40%-SUM($G69:AI69),IF(AJ$65="4차중도금",$F69*50%-SUM($G69:AI69),$F69*10%)))))))+(IF(AJ$65="5차중도금",$F69*60%-SUM($G69:AI69)-$F69*10%,IF(AJ$65="6차중도금",$F69*70%-SUM($G69:AI69)-$F69*10%,0)))</f>
        <v>0</v>
      </c>
      <c r="AK69" s="605">
        <f>IF(AK$65="입주/잔금",($F69-SUM($G69:AJ69))*30%,IF(AJ$65="입주/잔금",($F69-SUM($G69:AI69))*50%,IF(AI$65="입주/잔금",($F69-SUM($G69:AH69))*20%,IF(AK$65=0,0,IF(AK$65="2차중도금",$F69*30%-SUM($G69:AJ69),IF(AK$65="3차중도금",$F69*40%-SUM($G69:AJ69),IF(AK$65="4차중도금",$F69*50%-SUM($G69:AJ69),$F69*10%)))))))+(IF(AK$65="5차중도금",$F69*60%-SUM($G69:AJ69)-$F69*10%,IF(AK$65="6차중도금",$F69*70%-SUM($G69:AJ69)-$F69*10%,0)))</f>
        <v>0</v>
      </c>
      <c r="AL69" s="605">
        <f>IF(AL$65="입주/잔금",($F69-SUM($G69:AK69))*30%,IF(AK$65="입주/잔금",($F69-SUM($G69:AJ69))*50%,IF(AJ$65="입주/잔금",($F69-SUM($G69:AI69))*20%,IF(AL$65=0,0,IF(AL$65="2차중도금",$F69*30%-SUM($G69:AK69),IF(AL$65="3차중도금",$F69*40%-SUM($G69:AK69),IF(AL$65="4차중도금",$F69*50%-SUM($G69:AK69),$F69*10%)))))))+(IF(AL$65="5차중도금",$F69*60%-SUM($G69:AK69)-$F69*10%,IF(AL$65="6차중도금",$F69*70%-SUM($G69:AK69)-$F69*10%,0)))</f>
        <v>0</v>
      </c>
      <c r="AM69" s="605">
        <f>IF(AM$65="입주/잔금",($F69-SUM($G69:AL69))*30%,IF(AL$65="입주/잔금",($F69-SUM($G69:AK69))*50%,IF(AK$65="입주/잔금",($F69-SUM($G69:AJ69))*20%,IF(AM$65=0,0,IF(AM$65="2차중도금",$F69*30%-SUM($G69:AL69),IF(AM$65="3차중도금",$F69*40%-SUM($G69:AL69),IF(AM$65="4차중도금",$F69*50%-SUM($G69:AL69),$F69*10%)))))))+(IF(AM$65="5차중도금",$F69*60%-SUM($G69:AL69)-$F69*10%,IF(AM$65="6차중도금",$F69*70%-SUM($G69:AL69)-$F69*10%,0)))</f>
        <v>0</v>
      </c>
      <c r="AN69" s="605">
        <f>IF(AN$65="입주/잔금",($F69-SUM($G69:AM69))*30%,IF(AM$65="입주/잔금",($F69-SUM($G69:AL69))*50%,IF(AL$65="입주/잔금",($F69-SUM($G69:AK69))*20%,IF(AN$65=0,0,IF(AN$65="2차중도금",$F69*30%-SUM($G69:AM69),IF(AN$65="3차중도금",$F69*40%-SUM($G69:AM69),IF(AN$65="4차중도금",$F69*50%-SUM($G69:AM69),$F69*10%)))))))+(IF(AN$65="5차중도금",$F69*60%-SUM($G69:AM69)-$F69*10%,IF(AN$65="6차중도금",$F69*70%-SUM($G69:AM69)-$F69*10%,0)))</f>
        <v>0</v>
      </c>
      <c r="AO69" s="605">
        <f>IF(AO$65="입주/잔금",($F69-SUM($G69:AN69))*30%,IF(AN$65="입주/잔금",($F69-SUM($G69:AM69))*50%,IF(AM$65="입주/잔금",($F69-SUM($G69:AL69))*20%,IF(AO$65=0,0,IF(AO$65="2차중도금",$F69*30%-SUM($G69:AN69),IF(AO$65="3차중도금",$F69*40%-SUM($G69:AN69),IF(AO$65="4차중도금",$F69*50%-SUM($G69:AN69),$F69*10%)))))))+(IF(AO$65="5차중도금",$F69*60%-SUM($G69:AN69)-$F69*10%,IF(AO$65="6차중도금",$F69*70%-SUM($G69:AN69)-$F69*10%,0)))</f>
        <v>0</v>
      </c>
      <c r="AP69" s="605">
        <f>IF(AP$65="입주/잔금",($F69-SUM($G69:AO69))*30%,IF(AO$65="입주/잔금",($F69-SUM($G69:AN69))*50%,IF(AN$65="입주/잔금",($F69-SUM($G69:AM69))*20%,IF(AP$65=0,0,IF(AP$65="2차중도금",$F69*30%-SUM($G69:AO69),IF(AP$65="3차중도금",$F69*40%-SUM($G69:AO69),IF(AP$65="4차중도금",$F69*50%-SUM($G69:AO69),$F69*10%)))))))+(IF(AP$65="5차중도금",$F69*60%-SUM($G69:AO69)-$F69*10%,IF(AP$65="6차중도금",$F69*70%-SUM($G69:AO69)-$F69*10%,0)))</f>
        <v>0</v>
      </c>
      <c r="AQ69" s="605">
        <f>IF(AQ$65="입주/잔금",($F69-SUM($G69:AP69))*30%,IF(AP$65="입주/잔금",($F69-SUM($G69:AO69))*50%,IF(AO$65="입주/잔금",($F69-SUM($G69:AN69))*20%,IF(AQ$65=0,0,IF(AQ$65="2차중도금",$F69*30%-SUM($G69:AP69),IF(AQ$65="3차중도금",$F69*40%-SUM($G69:AP69),IF(AQ$65="4차중도금",$F69*50%-SUM($G69:AP69),$F69*10%)))))))+(IF(AQ$65="5차중도금",$F69*60%-SUM($G69:AP69)-$F69*10%,IF(AQ$65="6차중도금",$F69*70%-SUM($G69:AP69)-$F69*10%,0)))</f>
        <v>0</v>
      </c>
      <c r="AR69" s="605">
        <f>IF(AR$65="입주/잔금",($F69-SUM($G69:AQ69))*30%,IF(AQ$65="입주/잔금",($F69-SUM($G69:AP69))*50%,IF(AP$65="입주/잔금",($F69-SUM($G69:AO69))*20%,IF(AR$65=0,0,IF(AR$65="2차중도금",$F69*30%-SUM($G69:AQ69),IF(AR$65="3차중도금",$F69*40%-SUM($G69:AQ69),IF(AR$65="4차중도금",$F69*50%-SUM($G69:AQ69),$F69*10%)))))))+(IF(AR$65="5차중도금",$F69*60%-SUM($G69:AQ69)-$F69*10%,IF(AR$65="6차중도금",$F69*70%-SUM($G69:AQ69)-$F69*10%,0)))</f>
        <v>0</v>
      </c>
      <c r="AS69" s="605">
        <f>IF(AS$65="입주/잔금",($F69-SUM($G69:AR69))*30%,IF(AR$65="입주/잔금",($F69-SUM($G69:AQ69))*50%,IF(AQ$65="입주/잔금",($F69-SUM($G69:AP69))*20%,IF(AS$65=0,0,IF(AS$65="2차중도금",$F69*30%-SUM($G69:AR69),IF(AS$65="3차중도금",$F69*40%-SUM($G69:AR69),IF(AS$65="4차중도금",$F69*50%-SUM($G69:AR69),$F69*10%)))))))+(IF(AS$65="5차중도금",$F69*60%-SUM($G69:AR69)-$F69*10%,IF(AS$65="6차중도금",$F69*70%-SUM($G69:AR69)-$F69*10%,0)))</f>
        <v>0</v>
      </c>
      <c r="AT69" s="605">
        <f>IF(AT$65="입주/잔금",($F69-SUM($G69:AS69))*30%,IF(AS$65="입주/잔금",($F69-SUM($G69:AR69))*50%,IF(AR$65="입주/잔금",($F69-SUM($G69:AQ69))*20%,IF(AT$65=0,0,IF(AT$65="2차중도금",$F69*30%-SUM($G69:AS69),IF(AT$65="3차중도금",$F69*40%-SUM($G69:AS69),IF(AT$65="4차중도금",$F69*50%-SUM($G69:AS69),$F69*10%)))))))+(IF(AT$65="5차중도금",$F69*60%-SUM($G69:AS69)-$F69*10%,IF(AT$65="6차중도금",$F69*70%-SUM($G69:AS69)-$F69*10%,0)))</f>
        <v>0</v>
      </c>
      <c r="AU69" s="605">
        <f>IF(AU$65="입주/잔금",($F69-SUM($G69:AT69))*30%,IF(AT$65="입주/잔금",($F69-SUM($G69:AS69))*50%,IF(AS$65="입주/잔금",($F69-SUM($G69:AR69))*20%,IF(AU$65=0,0,IF(AU$65="2차중도금",$F69*30%-SUM($G69:AT69),IF(AU$65="3차중도금",$F69*40%-SUM($G69:AT69),IF(AU$65="4차중도금",$F69*50%-SUM($G69:AT69),$F69*10%)))))))+(IF(AU$65="5차중도금",$F69*60%-SUM($G69:AT69)-$F69*10%,IF(AU$65="6차중도금",$F69*70%-SUM($G69:AT69)-$F69*10%,0)))</f>
        <v>0</v>
      </c>
      <c r="AV69" s="605">
        <f>IF(AV$65="입주/잔금",($F69-SUM($G69:AU69))*30%,IF(AU$65="입주/잔금",($F69-SUM($G69:AT69))*50%,IF(AT$65="입주/잔금",($F69-SUM($G69:AS69))*20%,IF(AV$65=0,0,IF(AV$65="2차중도금",$F69*30%-SUM($G69:AU69),IF(AV$65="3차중도금",$F69*40%-SUM($G69:AU69),IF(AV$65="4차중도금",$F69*50%-SUM($G69:AU69),$F69*10%)))))))+(IF(AV$65="5차중도금",$F69*60%-SUM($G69:AU69)-$F69*10%,IF(AV$65="6차중도금",$F69*70%-SUM($G69:AU69)-$F69*10%,0)))</f>
        <v>0</v>
      </c>
      <c r="AW69" s="605">
        <f>IF(AW$65="입주/잔금",($F69-SUM($G69:AV69))*30%,IF(AV$65="입주/잔금",($F69-SUM($G69:AU69))*50%,IF(AU$65="입주/잔금",($F69-SUM($G69:AT69))*20%,IF(AW$65=0,0,IF(AW$65="2차중도금",$F69*30%-SUM($G69:AV69),IF(AW$65="3차중도금",$F69*40%-SUM($G69:AV69),IF(AW$65="4차중도금",$F69*50%-SUM($G69:AV69),$F69*10%)))))))+(IF(AW$65="5차중도금",$F69*60%-SUM($G69:AV69)-$F69*10%,IF(AW$65="6차중도금",$F69*70%-SUM($G69:AV69)-$F69*10%,0)))</f>
        <v>0</v>
      </c>
      <c r="AX69" s="605">
        <f>IF(AX$65="입주/잔금",($F69-SUM($G69:AW69))*30%,IF(AW$65="입주/잔금",($F69-SUM($G69:AV69))*50%,IF(AV$65="입주/잔금",($F69-SUM($G69:AU69))*20%,IF(AX$65=0,0,IF(AX$65="2차중도금",$F69*30%-SUM($G69:AW69),IF(AX$65="3차중도금",$F69*40%-SUM($G69:AW69),IF(AX$65="4차중도금",$F69*50%-SUM($G69:AW69),$F69*10%)))))))+(IF(AX$65="5차중도금",$F69*60%-SUM($G69:AW69)-$F69*10%,IF(AX$65="6차중도금",$F69*70%-SUM($G69:AW69)-$F69*10%,0)))</f>
        <v>0</v>
      </c>
      <c r="AY69" s="605">
        <f>IF(AY$65="입주/잔금",($F69-SUM($G69:AX69))*30%,IF(AX$65="입주/잔금",($F69-SUM($G69:AW69))*50%,IF(AW$65="입주/잔금",($F69-SUM($G69:AV69))*20%,IF(AY$65=0,0,IF(AY$65="2차중도금",$F69*30%-SUM($G69:AX69),IF(AY$65="3차중도금",$F69*40%-SUM($G69:AX69),IF(AY$65="4차중도금",$F69*50%-SUM($G69:AX69),$F69*10%)))))))+(IF(AY$65="5차중도금",$F69*60%-SUM($G69:AX69)-$F69*10%,IF(AY$65="6차중도금",$F69*70%-SUM($G69:AX69)-$F69*10%,0)))</f>
        <v>0</v>
      </c>
      <c r="AZ69" s="605">
        <f>IF(AZ$65="입주/잔금",($F69-SUM($G69:AY69))*30%,IF(AY$65="입주/잔금",($F69-SUM($G69:AX69))*50%,IF(AX$65="입주/잔금",($F69-SUM($G69:AW69))*20%,IF(AZ$65=0,0,IF(AZ$65="2차중도금",$F69*30%-SUM($G69:AY69),IF(AZ$65="3차중도금",$F69*40%-SUM($G69:AY69),IF(AZ$65="4차중도금",$F69*50%-SUM($G69:AY69),$F69*10%)))))))+(IF(AZ$65="5차중도금",$F69*60%-SUM($G69:AY69)-$F69*10%,IF(AZ$65="6차중도금",$F69*70%-SUM($G69:AY69)-$F69*10%,0)))</f>
        <v>0</v>
      </c>
      <c r="BA69" s="605">
        <f>IF(BA$65="입주/잔금",($F69-SUM($G69:AZ69))*30%,IF(AZ$65="입주/잔금",($F69-SUM($G69:AY69))*50%,IF(AY$65="입주/잔금",($F69-SUM($G69:AX69))*20%,IF(BA$65=0,0,IF(BA$65="2차중도금",$F69*30%-SUM($G69:AZ69),IF(BA$65="3차중도금",$F69*40%-SUM($G69:AZ69),IF(BA$65="4차중도금",$F69*50%-SUM($G69:AZ69),$F69*10%)))))))+(IF(BA$65="5차중도금",$F69*60%-SUM($G69:AZ69)-$F69*10%,IF(BA$65="6차중도금",$F69*70%-SUM($G69:AZ69)-$F69*10%,0)))</f>
        <v>0</v>
      </c>
      <c r="BB69" s="605">
        <f>IF(BB$65="입주/잔금",($F69-SUM($G69:BA69))*30%,IF(BA$65="입주/잔금",($F69-SUM($G69:AZ69))*50%,IF(AZ$65="입주/잔금",($F69-SUM($G69:AY69))*20%,IF(BB$65=0,0,IF(BB$65="2차중도금",$F69*30%-SUM($G69:BA69),IF(BB$65="3차중도금",$F69*40%-SUM($G69:BA69),IF(BB$65="4차중도금",$F69*50%-SUM($G69:BA69),$F69*10%)))))))+(IF(BB$65="5차중도금",$F69*60%-SUM($G69:BA69)-$F69*10%,IF(BB$65="6차중도금",$F69*70%-SUM($G69:BA69)-$F69*10%,0)))</f>
        <v>0</v>
      </c>
      <c r="BC69" s="605">
        <f>IF(BC$65="입주/잔금",($F69-SUM($G69:BB69))*30%,IF(BB$65="입주/잔금",($F69-SUM($G69:BA69))*50%,IF(BA$65="입주/잔금",($F69-SUM($G69:AZ69))*20%,IF(BC$65=0,0,IF(BC$65="2차중도금",$F69*30%-SUM($G69:BB69),IF(BC$65="3차중도금",$F69*40%-SUM($G69:BB69),IF(BC$65="4차중도금",$F69*50%-SUM($G69:BB69),$F69*10%)))))))+(IF(BC$65="5차중도금",$F69*60%-SUM($G69:BB69)-$F69*10%,IF(BC$65="6차중도금",$F69*70%-SUM($G69:BB69)-$F69*10%,0)))</f>
        <v>0</v>
      </c>
      <c r="BD69" s="605">
        <f>IF(BD$65="입주/잔금",($F69-SUM($G69:BC69))*30%,IF(BC$65="입주/잔금",($F69-SUM($G69:BB69))*50%,IF(BB$65="입주/잔금",($F69-SUM($G69:BA69))*20%,IF(BD$65=0,0,IF(BD$65="2차중도금",$F69*30%-SUM($G69:BC69),IF(BD$65="3차중도금",$F69*40%-SUM($G69:BC69),IF(BD$65="4차중도금",$F69*50%-SUM($G69:BC69),$F69*10%)))))))+(IF(BD$65="5차중도금",$F69*60%-SUM($G69:BC69)-$F69*10%,IF(BD$65="6차중도금",$F69*70%-SUM($G69:BC69)-$F69*10%,0)))</f>
        <v>0</v>
      </c>
      <c r="BE69" s="605">
        <f>IF(BE$65="입주/잔금",($F69-SUM($G69:BD69))*30%,IF(BD$65="입주/잔금",($F69-SUM($G69:BC69))*50%,IF(BC$65="입주/잔금",($F69-SUM($G69:BB69))*20%,IF(BE$65=0,0,IF(BE$65="2차중도금",$F69*30%-SUM($G69:BD69),IF(BE$65="3차중도금",$F69*40%-SUM($G69:BD69),IF(BE$65="4차중도금",$F69*50%-SUM($G69:BD69),$F69*10%)))))))+(IF(BE$65="5차중도금",$F69*60%-SUM($G69:BD69)-$F69*10%,IF(BE$65="6차중도금",$F69*70%-SUM($G69:BD69)-$F69*10%,0)))</f>
        <v>0</v>
      </c>
      <c r="BF69" s="609">
        <f t="shared" si="30"/>
        <v>0</v>
      </c>
      <c r="BG69" s="556">
        <f t="shared" si="32"/>
        <v>0</v>
      </c>
      <c r="BH69" s="610"/>
    </row>
    <row r="70" spans="1:60">
      <c r="A70" s="1853"/>
      <c r="B70" s="611">
        <f t="shared" si="33"/>
        <v>44958</v>
      </c>
      <c r="C70" s="605">
        <f t="shared" si="34"/>
        <v>157992364.97659996</v>
      </c>
      <c r="D70" s="1501"/>
      <c r="E70" s="607">
        <f t="shared" si="35"/>
        <v>0</v>
      </c>
      <c r="F70" s="608">
        <f t="shared" si="31"/>
        <v>0</v>
      </c>
      <c r="G70" s="605"/>
      <c r="H70" s="605"/>
      <c r="I70" s="605"/>
      <c r="J70" s="605"/>
      <c r="K70" s="605">
        <f>$F70*10%</f>
        <v>0</v>
      </c>
      <c r="L70" s="605">
        <f>IF(L$65="입주/잔금",($F70-SUM($G70:K70))*30%,IF(K$65="입주/잔금",($F70-SUM($G70:J70))*50%,IF(J$65="입주/잔금",($F70-SUM($G70:I70))*20%,IF(L$65=0,0,IF(L$65="2차중도금",$F70*30%-SUM($G70:K70),IF(L$65="3차중도금",$F70*40%-SUM($G70:K70),IF(L$65="4차중도금",$F70*50%-SUM($G70:K70),$F70*10%)))))))+(IF(L$65="5차중도금",$F70*60%-SUM($G70:K70)-$F70*10%,IF(L$65="6차중도금",$F70*70%-SUM($G70:K70)-$F70*10%,0)))</f>
        <v>0</v>
      </c>
      <c r="M70" s="605">
        <f>IF(M$65="입주/잔금",($F70-SUM($G70:L70))*30%,IF(L$65="입주/잔금",($F70-SUM($G70:K70))*50%,IF(K$65="입주/잔금",($F70-SUM($G70:J70))*20%,IF(M$65=0,0,IF(M$65="2차중도금",$F70*30%-SUM($G70:L70),IF(M$65="3차중도금",$F70*40%-SUM($G70:L70),IF(M$65="4차중도금",$F70*50%-SUM($G70:L70),$F70*10%)))))))+(IF(M$65="5차중도금",$F70*60%-SUM($G70:L70)-$F70*10%,IF(M$65="6차중도금",$F70*70%-SUM($G70:L70)-$F70*10%,0)))</f>
        <v>0</v>
      </c>
      <c r="N70" s="605">
        <f>IF(N$65="입주/잔금",($F70-SUM($G70:M70))*30%,IF(M$65="입주/잔금",($F70-SUM($G70:L70))*50%,IF(L$65="입주/잔금",($F70-SUM($G70:K70))*20%,IF(N$65=0,0,IF(N$65="2차중도금",$F70*30%-SUM($G70:M70),IF(N$65="3차중도금",$F70*40%-SUM($G70:M70),IF(N$65="4차중도금",$F70*50%-SUM($G70:M70),$F70*10%)))))))+(IF(N$65="5차중도금",$F70*60%-SUM($G70:M70)-$F70*10%,IF(N$65="6차중도금",$F70*70%-SUM($G70:M70)-$F70*10%,0)))</f>
        <v>0</v>
      </c>
      <c r="O70" s="605">
        <f>IF(O$65="입주/잔금",($F70-SUM($G70:N70))*30%,IF(N$65="입주/잔금",($F70-SUM($G70:M70))*50%,IF(M$65="입주/잔금",($F70-SUM($G70:L70))*20%,IF(O$65=0,0,IF(O$65="2차중도금",$F70*30%-SUM($G70:N70),IF(O$65="3차중도금",$F70*40%-SUM($G70:N70),IF(O$65="4차중도금",$F70*50%-SUM($G70:N70),$F70*10%)))))))+(IF(O$65="5차중도금",$F70*60%-SUM($G70:N70)-$F70*10%,IF(O$65="6차중도금",$F70*70%-SUM($G70:N70)-$F70*10%,0)))</f>
        <v>0</v>
      </c>
      <c r="P70" s="605">
        <f>IF(P$65="입주/잔금",($F70-SUM($G70:O70))*30%,IF(O$65="입주/잔금",($F70-SUM($G70:N70))*50%,IF(N$65="입주/잔금",($F70-SUM($G70:M70))*20%,IF(P$65=0,0,IF(P$65="2차중도금",$F70*30%-SUM($G70:O70),IF(P$65="3차중도금",$F70*40%-SUM($G70:O70),IF(P$65="4차중도금",$F70*50%-SUM($G70:O70),$F70*10%)))))))+(IF(P$65="5차중도금",$F70*60%-SUM($G70:O70)-$F70*10%,IF(P$65="6차중도금",$F70*70%-SUM($G70:O70)-$F70*10%,0)))</f>
        <v>0</v>
      </c>
      <c r="Q70" s="605">
        <f>IF(Q$65="입주/잔금",($F70-SUM($G70:P70))*30%,IF(P$65="입주/잔금",($F70-SUM($G70:O70))*50%,IF(O$65="입주/잔금",($F70-SUM($G70:N70))*20%,IF(Q$65=0,0,IF(Q$65="2차중도금",$F70*30%-SUM($G70:P70),IF(Q$65="3차중도금",$F70*40%-SUM($G70:P70),IF(Q$65="4차중도금",$F70*50%-SUM($G70:P70),$F70*10%)))))))+(IF(Q$65="5차중도금",$F70*60%-SUM($G70:P70)-$F70*10%,IF(Q$65="6차중도금",$F70*70%-SUM($G70:P70)-$F70*10%,0)))</f>
        <v>0</v>
      </c>
      <c r="R70" s="605">
        <f>IF(R$65="입주/잔금",($F70-SUM($G70:Q70))*30%,IF(Q$65="입주/잔금",($F70-SUM($G70:P70))*50%,IF(P$65="입주/잔금",($F70-SUM($G70:O70))*20%,IF(R$65=0,0,IF(R$65="2차중도금",$F70*30%-SUM($G70:Q70),IF(R$65="3차중도금",$F70*40%-SUM($G70:Q70),IF(R$65="4차중도금",$F70*50%-SUM($G70:Q70),$F70*10%)))))))+(IF(R$65="5차중도금",$F70*60%-SUM($G70:Q70)-$F70*10%,IF(R$65="6차중도금",$F70*70%-SUM($G70:Q70)-$F70*10%,0)))</f>
        <v>0</v>
      </c>
      <c r="S70" s="605">
        <f>IF(S$65="입주/잔금",($F70-SUM($G70:R70))*30%,IF(R$65="입주/잔금",($F70-SUM($G70:Q70))*50%,IF(Q$65="입주/잔금",($F70-SUM($G70:P70))*20%,IF(S$65=0,0,IF(S$65="2차중도금",$F70*30%-SUM($G70:R70),IF(S$65="3차중도금",$F70*40%-SUM($G70:R70),IF(S$65="4차중도금",$F70*50%-SUM($G70:R70),$F70*10%)))))))+(IF(S$65="5차중도금",$F70*60%-SUM($G70:R70)-$F70*10%,IF(S$65="6차중도금",$F70*70%-SUM($G70:R70)-$F70*10%,0)))</f>
        <v>0</v>
      </c>
      <c r="T70" s="605">
        <f>IF(T$65="입주/잔금",($F70-SUM($G70:S70))*30%,IF(S$65="입주/잔금",($F70-SUM($G70:R70))*50%,IF(R$65="입주/잔금",($F70-SUM($G70:Q70))*20%,IF(T$65=0,0,IF(T$65="2차중도금",$F70*30%-SUM($G70:S70),IF(T$65="3차중도금",$F70*40%-SUM($G70:S70),IF(T$65="4차중도금",$F70*50%-SUM($G70:S70),$F70*10%)))))))+(IF(T$65="5차중도금",$F70*60%-SUM($G70:S70)-$F70*10%,IF(T$65="6차중도금",$F70*70%-SUM($G70:S70)-$F70*10%,0)))</f>
        <v>0</v>
      </c>
      <c r="U70" s="605">
        <f>IF(U$65="입주/잔금",($F70-SUM($G70:T70))*30%,IF(T$65="입주/잔금",($F70-SUM($G70:S70))*50%,IF(S$65="입주/잔금",($F70-SUM($G70:R70))*20%,IF(U$65=0,0,IF(U$65="2차중도금",$F70*30%-SUM($G70:T70),IF(U$65="3차중도금",$F70*40%-SUM($G70:T70),IF(U$65="4차중도금",$F70*50%-SUM($G70:T70),$F70*10%)))))))+(IF(U$65="5차중도금",$F70*60%-SUM($G70:T70)-$F70*10%,IF(U$65="6차중도금",$F70*70%-SUM($G70:T70)-$F70*10%,0)))</f>
        <v>0</v>
      </c>
      <c r="V70" s="605">
        <f>IF(V$65="입주/잔금",($F70-SUM($G70:U70))*30%,IF(U$65="입주/잔금",($F70-SUM($G70:T70))*50%,IF(T$65="입주/잔금",($F70-SUM($G70:S70))*20%,IF(V$65=0,0,IF(V$65="2차중도금",$F70*30%-SUM($G70:U70),IF(V$65="3차중도금",$F70*40%-SUM($G70:U70),IF(V$65="4차중도금",$F70*50%-SUM($G70:U70),$F70*10%)))))))+(IF(V$65="5차중도금",$F70*60%-SUM($G70:U70)-$F70*10%,IF(V$65="6차중도금",$F70*70%-SUM($G70:U70)-$F70*10%,0)))</f>
        <v>0</v>
      </c>
      <c r="W70" s="605">
        <f>IF(W$65="입주/잔금",($F70-SUM($G70:V70))*30%,IF(V$65="입주/잔금",($F70-SUM($G70:U70))*50%,IF(U$65="입주/잔금",($F70-SUM($G70:T70))*20%,IF(W$65=0,0,IF(W$65="2차중도금",$F70*30%-SUM($G70:V70),IF(W$65="3차중도금",$F70*40%-SUM($G70:V70),IF(W$65="4차중도금",$F70*50%-SUM($G70:V70),$F70*10%)))))))+(IF(W$65="5차중도금",$F70*60%-SUM($G70:V70)-$F70*10%,IF(W$65="6차중도금",$F70*70%-SUM($G70:V70)-$F70*10%,0)))</f>
        <v>0</v>
      </c>
      <c r="X70" s="605">
        <f>IF(X$65="입주/잔금",($F70-SUM($G70:W70))*30%,IF(W$65="입주/잔금",($F70-SUM($G70:V70))*50%,IF(V$65="입주/잔금",($F70-SUM($G70:U70))*20%,IF(X$65=0,0,IF(X$65="2차중도금",$F70*30%-SUM($G70:W70),IF(X$65="3차중도금",$F70*40%-SUM($G70:W70),IF(X$65="4차중도금",$F70*50%-SUM($G70:W70),$F70*10%)))))))+(IF(X$65="5차중도금",$F70*60%-SUM($G70:W70)-$F70*10%,IF(X$65="6차중도금",$F70*70%-SUM($G70:W70)-$F70*10%,0)))</f>
        <v>0</v>
      </c>
      <c r="Y70" s="605">
        <f>IF(Y$65="입주/잔금",($F70-SUM($G70:X70))*30%,IF(X$65="입주/잔금",($F70-SUM($G70:W70))*50%,IF(W$65="입주/잔금",($F70-SUM($G70:V70))*20%,IF(Y$65=0,0,IF(Y$65="2차중도금",$F70*30%-SUM($G70:X70),IF(Y$65="3차중도금",$F70*40%-SUM($G70:X70),IF(Y$65="4차중도금",$F70*50%-SUM($G70:X70),$F70*10%)))))))+(IF(Y$65="5차중도금",$F70*60%-SUM($G70:X70)-$F70*10%,IF(Y$65="6차중도금",$F70*70%-SUM($G70:X70)-$F70*10%,0)))</f>
        <v>0</v>
      </c>
      <c r="Z70" s="605">
        <f>IF(Z$65="입주/잔금",($F70-SUM($G70:Y70))*30%,IF(Y$65="입주/잔금",($F70-SUM($G70:X70))*50%,IF(X$65="입주/잔금",($F70-SUM($G70:W70))*20%,IF(Z$65=0,0,IF(Z$65="2차중도금",$F70*30%-SUM($G70:Y70),IF(Z$65="3차중도금",$F70*40%-SUM($G70:Y70),IF(Z$65="4차중도금",$F70*50%-SUM($G70:Y70),$F70*10%)))))))+(IF(Z$65="5차중도금",$F70*60%-SUM($G70:Y70)-$F70*10%,IF(Z$65="6차중도금",$F70*70%-SUM($G70:Y70)-$F70*10%,0)))</f>
        <v>0</v>
      </c>
      <c r="AA70" s="605">
        <f>IF(AA$65="입주/잔금",($F70-SUM($G70:Z70))*30%,IF(Z$65="입주/잔금",($F70-SUM($G70:Y70))*50%,IF(Y$65="입주/잔금",($F70-SUM($G70:X70))*20%,IF(AA$65=0,0,IF(AA$65="2차중도금",$F70*30%-SUM($G70:Z70),IF(AA$65="3차중도금",$F70*40%-SUM($G70:Z70),IF(AA$65="4차중도금",$F70*50%-SUM($G70:Z70),$F70*10%)))))))+(IF(AA$65="5차중도금",$F70*60%-SUM($G70:Z70)-$F70*10%,IF(AA$65="6차중도금",$F70*70%-SUM($G70:Z70)-$F70*10%,0)))</f>
        <v>0</v>
      </c>
      <c r="AB70" s="605">
        <f>IF(AB$65="입주/잔금",($F70-SUM($G70:AA70))*30%,IF(AA$65="입주/잔금",($F70-SUM($G70:Z70))*50%,IF(Z$65="입주/잔금",($F70-SUM($G70:Y70))*20%,IF(AB$65=0,0,IF(AB$65="2차중도금",$F70*30%-SUM($G70:AA70),IF(AB$65="3차중도금",$F70*40%-SUM($G70:AA70),IF(AB$65="4차중도금",$F70*50%-SUM($G70:AA70),$F70*10%)))))))+(IF(AB$65="5차중도금",$F70*60%-SUM($G70:AA70)-$F70*10%,IF(AB$65="6차중도금",$F70*70%-SUM($G70:AA70)-$F70*10%,0)))</f>
        <v>0</v>
      </c>
      <c r="AC70" s="605">
        <f>IF(AC$65="입주/잔금",($F70-SUM($G70:AB70))*30%,IF(AB$65="입주/잔금",($F70-SUM($G70:AA70))*50%,IF(AA$65="입주/잔금",($F70-SUM($G70:Z70))*20%,IF(AC$65=0,0,IF(AC$65="2차중도금",$F70*30%-SUM($G70:AB70),IF(AC$65="3차중도금",$F70*40%-SUM($G70:AB70),IF(AC$65="4차중도금",$F70*50%-SUM($G70:AB70),$F70*10%)))))))+(IF(AC$65="5차중도금",$F70*60%-SUM($G70:AB70)-$F70*10%,IF(AC$65="6차중도금",$F70*70%-SUM($G70:AB70)-$F70*10%,0)))</f>
        <v>0</v>
      </c>
      <c r="AD70" s="605">
        <f>IF(AD$65="입주/잔금",($F70-SUM($G70:AC70))*30%,IF(AC$65="입주/잔금",($F70-SUM($G70:AB70))*50%,IF(AB$65="입주/잔금",($F70-SUM($G70:AA70))*20%,IF(AD$65=0,0,IF(AD$65="2차중도금",$F70*30%-SUM($G70:AC70),IF(AD$65="3차중도금",$F70*40%-SUM($G70:AC70),IF(AD$65="4차중도금",$F70*50%-SUM($G70:AC70),$F70*10%)))))))+(IF(AD$65="5차중도금",$F70*60%-SUM($G70:AC70)-$F70*10%,IF(AD$65="6차중도금",$F70*70%-SUM($G70:AC70)-$F70*10%,0)))</f>
        <v>0</v>
      </c>
      <c r="AE70" s="605">
        <f>IF(AE$65="입주/잔금",($F70-SUM($G70:AD70))*30%,IF(AD$65="입주/잔금",($F70-SUM($G70:AC70))*50%,IF(AC$65="입주/잔금",($F70-SUM($G70:AB70))*20%,IF(AE$65=0,0,IF(AE$65="2차중도금",$F70*30%-SUM($G70:AD70),IF(AE$65="3차중도금",$F70*40%-SUM($G70:AD70),IF(AE$65="4차중도금",$F70*50%-SUM($G70:AD70),$F70*10%)))))))+(IF(AE$65="5차중도금",$F70*60%-SUM($G70:AD70)-$F70*10%,IF(AE$65="6차중도금",$F70*70%-SUM($G70:AD70)-$F70*10%,0)))</f>
        <v>0</v>
      </c>
      <c r="AF70" s="605">
        <f>IF(AF$65="입주/잔금",($F70-SUM($G70:AE70))*30%,IF(AE$65="입주/잔금",($F70-SUM($G70:AD70))*50%,IF(AD$65="입주/잔금",($F70-SUM($G70:AC70))*20%,IF(AF$65=0,0,IF(AF$65="2차중도금",$F70*30%-SUM($G70:AE70),IF(AF$65="3차중도금",$F70*40%-SUM($G70:AE70),IF(AF$65="4차중도금",$F70*50%-SUM($G70:AE70),$F70*10%)))))))+(IF(AF$65="5차중도금",$F70*60%-SUM($G70:AE70)-$F70*10%,IF(AF$65="6차중도금",$F70*70%-SUM($G70:AE70)-$F70*10%,0)))</f>
        <v>0</v>
      </c>
      <c r="AG70" s="605">
        <f>IF(AG$65="입주/잔금",($F70-SUM($G70:AF70))*30%,IF(AF$65="입주/잔금",($F70-SUM($G70:AE70))*50%,IF(AE$65="입주/잔금",($F70-SUM($G70:AD70))*20%,IF(AG$65=0,0,IF(AG$65="2차중도금",$F70*30%-SUM($G70:AF70),IF(AG$65="3차중도금",$F70*40%-SUM($G70:AF70),IF(AG$65="4차중도금",$F70*50%-SUM($G70:AF70),$F70*10%)))))))+(IF(AG$65="5차중도금",$F70*60%-SUM($G70:AF70)-$F70*10%,IF(AG$65="6차중도금",$F70*70%-SUM($G70:AF70)-$F70*10%,0)))</f>
        <v>0</v>
      </c>
      <c r="AH70" s="605">
        <f>IF(AH$65="입주/잔금",($F70-SUM($G70:AG70))*30%,IF(AG$65="입주/잔금",($F70-SUM($G70:AF70))*50%,IF(AF$65="입주/잔금",($F70-SUM($G70:AE70))*20%,IF(AH$65=0,0,IF(AH$65="2차중도금",$F70*30%-SUM($G70:AG70),IF(AH$65="3차중도금",$F70*40%-SUM($G70:AG70),IF(AH$65="4차중도금",$F70*50%-SUM($G70:AG70),$F70*10%)))))))+(IF(AH$65="5차중도금",$F70*60%-SUM($G70:AG70)-$F70*10%,IF(AH$65="6차중도금",$F70*70%-SUM($G70:AG70)-$F70*10%,0)))</f>
        <v>0</v>
      </c>
      <c r="AI70" s="605">
        <f>IF(AI$65="입주/잔금",($F70-SUM($G70:AH70))*30%,IF(AH$65="입주/잔금",($F70-SUM($G70:AG70))*50%,IF(AG$65="입주/잔금",($F70-SUM($G70:AF70))*20%,IF(AI$65=0,0,IF(AI$65="2차중도금",$F70*30%-SUM($G70:AH70),IF(AI$65="3차중도금",$F70*40%-SUM($G70:AH70),IF(AI$65="4차중도금",$F70*50%-SUM($G70:AH70),$F70*10%)))))))+(IF(AI$65="5차중도금",$F70*60%-SUM($G70:AH70)-$F70*10%,IF(AI$65="6차중도금",$F70*70%-SUM($G70:AH70)-$F70*10%,0)))</f>
        <v>0</v>
      </c>
      <c r="AJ70" s="605">
        <f>IF(AJ$65="입주/잔금",($F70-SUM($G70:AI70))*30%,IF(AI$65="입주/잔금",($F70-SUM($G70:AH70))*50%,IF(AH$65="입주/잔금",($F70-SUM($G70:AG70))*20%,IF(AJ$65=0,0,IF(AJ$65="2차중도금",$F70*30%-SUM($G70:AI70),IF(AJ$65="3차중도금",$F70*40%-SUM($G70:AI70),IF(AJ$65="4차중도금",$F70*50%-SUM($G70:AI70),$F70*10%)))))))+(IF(AJ$65="5차중도금",$F70*60%-SUM($G70:AI70)-$F70*10%,IF(AJ$65="6차중도금",$F70*70%-SUM($G70:AI70)-$F70*10%,0)))</f>
        <v>0</v>
      </c>
      <c r="AK70" s="605">
        <f>IF(AK$65="입주/잔금",($F70-SUM($G70:AJ70))*30%,IF(AJ$65="입주/잔금",($F70-SUM($G70:AI70))*50%,IF(AI$65="입주/잔금",($F70-SUM($G70:AH70))*20%,IF(AK$65=0,0,IF(AK$65="2차중도금",$F70*30%-SUM($G70:AJ70),IF(AK$65="3차중도금",$F70*40%-SUM($G70:AJ70),IF(AK$65="4차중도금",$F70*50%-SUM($G70:AJ70),$F70*10%)))))))+(IF(AK$65="5차중도금",$F70*60%-SUM($G70:AJ70)-$F70*10%,IF(AK$65="6차중도금",$F70*70%-SUM($G70:AJ70)-$F70*10%,0)))</f>
        <v>0</v>
      </c>
      <c r="AL70" s="605">
        <f>IF(AL$65="입주/잔금",($F70-SUM($G70:AK70))*30%,IF(AK$65="입주/잔금",($F70-SUM($G70:AJ70))*50%,IF(AJ$65="입주/잔금",($F70-SUM($G70:AI70))*20%,IF(AL$65=0,0,IF(AL$65="2차중도금",$F70*30%-SUM($G70:AK70),IF(AL$65="3차중도금",$F70*40%-SUM($G70:AK70),IF(AL$65="4차중도금",$F70*50%-SUM($G70:AK70),$F70*10%)))))))+(IF(AL$65="5차중도금",$F70*60%-SUM($G70:AK70)-$F70*10%,IF(AL$65="6차중도금",$F70*70%-SUM($G70:AK70)-$F70*10%,0)))</f>
        <v>0</v>
      </c>
      <c r="AM70" s="605">
        <f>IF(AM$65="입주/잔금",($F70-SUM($G70:AL70))*30%,IF(AL$65="입주/잔금",($F70-SUM($G70:AK70))*50%,IF(AK$65="입주/잔금",($F70-SUM($G70:AJ70))*20%,IF(AM$65=0,0,IF(AM$65="2차중도금",$F70*30%-SUM($G70:AL70),IF(AM$65="3차중도금",$F70*40%-SUM($G70:AL70),IF(AM$65="4차중도금",$F70*50%-SUM($G70:AL70),$F70*10%)))))))+(IF(AM$65="5차중도금",$F70*60%-SUM($G70:AL70)-$F70*10%,IF(AM$65="6차중도금",$F70*70%-SUM($G70:AL70)-$F70*10%,0)))</f>
        <v>0</v>
      </c>
      <c r="AN70" s="605">
        <f>IF(AN$65="입주/잔금",($F70-SUM($G70:AM70))*30%,IF(AM$65="입주/잔금",($F70-SUM($G70:AL70))*50%,IF(AL$65="입주/잔금",($F70-SUM($G70:AK70))*20%,IF(AN$65=0,0,IF(AN$65="2차중도금",$F70*30%-SUM($G70:AM70),IF(AN$65="3차중도금",$F70*40%-SUM($G70:AM70),IF(AN$65="4차중도금",$F70*50%-SUM($G70:AM70),$F70*10%)))))))+(IF(AN$65="5차중도금",$F70*60%-SUM($G70:AM70)-$F70*10%,IF(AN$65="6차중도금",$F70*70%-SUM($G70:AM70)-$F70*10%,0)))</f>
        <v>0</v>
      </c>
      <c r="AO70" s="605">
        <f>IF(AO$65="입주/잔금",($F70-SUM($G70:AN70))*30%,IF(AN$65="입주/잔금",($F70-SUM($G70:AM70))*50%,IF(AM$65="입주/잔금",($F70-SUM($G70:AL70))*20%,IF(AO$65=0,0,IF(AO$65="2차중도금",$F70*30%-SUM($G70:AN70),IF(AO$65="3차중도금",$F70*40%-SUM($G70:AN70),IF(AO$65="4차중도금",$F70*50%-SUM($G70:AN70),$F70*10%)))))))+(IF(AO$65="5차중도금",$F70*60%-SUM($G70:AN70)-$F70*10%,IF(AO$65="6차중도금",$F70*70%-SUM($G70:AN70)-$F70*10%,0)))</f>
        <v>0</v>
      </c>
      <c r="AP70" s="605">
        <f>IF(AP$65="입주/잔금",($F70-SUM($G70:AO70))*30%,IF(AO$65="입주/잔금",($F70-SUM($G70:AN70))*50%,IF(AN$65="입주/잔금",($F70-SUM($G70:AM70))*20%,IF(AP$65=0,0,IF(AP$65="2차중도금",$F70*30%-SUM($G70:AO70),IF(AP$65="3차중도금",$F70*40%-SUM($G70:AO70),IF(AP$65="4차중도금",$F70*50%-SUM($G70:AO70),$F70*10%)))))))+(IF(AP$65="5차중도금",$F70*60%-SUM($G70:AO70)-$F70*10%,IF(AP$65="6차중도금",$F70*70%-SUM($G70:AO70)-$F70*10%,0)))</f>
        <v>0</v>
      </c>
      <c r="AQ70" s="605">
        <f>IF(AQ$65="입주/잔금",($F70-SUM($G70:AP70))*30%,IF(AP$65="입주/잔금",($F70-SUM($G70:AO70))*50%,IF(AO$65="입주/잔금",($F70-SUM($G70:AN70))*20%,IF(AQ$65=0,0,IF(AQ$65="2차중도금",$F70*30%-SUM($G70:AP70),IF(AQ$65="3차중도금",$F70*40%-SUM($G70:AP70),IF(AQ$65="4차중도금",$F70*50%-SUM($G70:AP70),$F70*10%)))))))+(IF(AQ$65="5차중도금",$F70*60%-SUM($G70:AP70)-$F70*10%,IF(AQ$65="6차중도금",$F70*70%-SUM($G70:AP70)-$F70*10%,0)))</f>
        <v>0</v>
      </c>
      <c r="AR70" s="605">
        <f>IF(AR$65="입주/잔금",($F70-SUM($G70:AQ70))*30%,IF(AQ$65="입주/잔금",($F70-SUM($G70:AP70))*50%,IF(AP$65="입주/잔금",($F70-SUM($G70:AO70))*20%,IF(AR$65=0,0,IF(AR$65="2차중도금",$F70*30%-SUM($G70:AQ70),IF(AR$65="3차중도금",$F70*40%-SUM($G70:AQ70),IF(AR$65="4차중도금",$F70*50%-SUM($G70:AQ70),$F70*10%)))))))+(IF(AR$65="5차중도금",$F70*60%-SUM($G70:AQ70)-$F70*10%,IF(AR$65="6차중도금",$F70*70%-SUM($G70:AQ70)-$F70*10%,0)))</f>
        <v>0</v>
      </c>
      <c r="AS70" s="605">
        <f>IF(AS$65="입주/잔금",($F70-SUM($G70:AR70))*30%,IF(AR$65="입주/잔금",($F70-SUM($G70:AQ70))*50%,IF(AQ$65="입주/잔금",($F70-SUM($G70:AP70))*20%,IF(AS$65=0,0,IF(AS$65="2차중도금",$F70*30%-SUM($G70:AR70),IF(AS$65="3차중도금",$F70*40%-SUM($G70:AR70),IF(AS$65="4차중도금",$F70*50%-SUM($G70:AR70),$F70*10%)))))))+(IF(AS$65="5차중도금",$F70*60%-SUM($G70:AR70)-$F70*10%,IF(AS$65="6차중도금",$F70*70%-SUM($G70:AR70)-$F70*10%,0)))</f>
        <v>0</v>
      </c>
      <c r="AT70" s="605">
        <f>IF(AT$65="입주/잔금",($F70-SUM($G70:AS70))*30%,IF(AS$65="입주/잔금",($F70-SUM($G70:AR70))*50%,IF(AR$65="입주/잔금",($F70-SUM($G70:AQ70))*20%,IF(AT$65=0,0,IF(AT$65="2차중도금",$F70*30%-SUM($G70:AS70),IF(AT$65="3차중도금",$F70*40%-SUM($G70:AS70),IF(AT$65="4차중도금",$F70*50%-SUM($G70:AS70),$F70*10%)))))))+(IF(AT$65="5차중도금",$F70*60%-SUM($G70:AS70)-$F70*10%,IF(AT$65="6차중도금",$F70*70%-SUM($G70:AS70)-$F70*10%,0)))</f>
        <v>0</v>
      </c>
      <c r="AU70" s="605">
        <f>IF(AU$65="입주/잔금",($F70-SUM($G70:AT70))*30%,IF(AT$65="입주/잔금",($F70-SUM($G70:AS70))*50%,IF(AS$65="입주/잔금",($F70-SUM($G70:AR70))*20%,IF(AU$65=0,0,IF(AU$65="2차중도금",$F70*30%-SUM($G70:AT70),IF(AU$65="3차중도금",$F70*40%-SUM($G70:AT70),IF(AU$65="4차중도금",$F70*50%-SUM($G70:AT70),$F70*10%)))))))+(IF(AU$65="5차중도금",$F70*60%-SUM($G70:AT70)-$F70*10%,IF(AU$65="6차중도금",$F70*70%-SUM($G70:AT70)-$F70*10%,0)))</f>
        <v>0</v>
      </c>
      <c r="AV70" s="605">
        <f>IF(AV$65="입주/잔금",($F70-SUM($G70:AU70))*30%,IF(AU$65="입주/잔금",($F70-SUM($G70:AT70))*50%,IF(AT$65="입주/잔금",($F70-SUM($G70:AS70))*20%,IF(AV$65=0,0,IF(AV$65="2차중도금",$F70*30%-SUM($G70:AU70),IF(AV$65="3차중도금",$F70*40%-SUM($G70:AU70),IF(AV$65="4차중도금",$F70*50%-SUM($G70:AU70),$F70*10%)))))))+(IF(AV$65="5차중도금",$F70*60%-SUM($G70:AU70)-$F70*10%,IF(AV$65="6차중도금",$F70*70%-SUM($G70:AU70)-$F70*10%,0)))</f>
        <v>0</v>
      </c>
      <c r="AW70" s="605">
        <f>IF(AW$65="입주/잔금",($F70-SUM($G70:AV70))*30%,IF(AV$65="입주/잔금",($F70-SUM($G70:AU70))*50%,IF(AU$65="입주/잔금",($F70-SUM($G70:AT70))*20%,IF(AW$65=0,0,IF(AW$65="2차중도금",$F70*30%-SUM($G70:AV70),IF(AW$65="3차중도금",$F70*40%-SUM($G70:AV70),IF(AW$65="4차중도금",$F70*50%-SUM($G70:AV70),$F70*10%)))))))+(IF(AW$65="5차중도금",$F70*60%-SUM($G70:AV70)-$F70*10%,IF(AW$65="6차중도금",$F70*70%-SUM($G70:AV70)-$F70*10%,0)))</f>
        <v>0</v>
      </c>
      <c r="AX70" s="605">
        <f>IF(AX$65="입주/잔금",($F70-SUM($G70:AW70))*30%,IF(AW$65="입주/잔금",($F70-SUM($G70:AV70))*50%,IF(AV$65="입주/잔금",($F70-SUM($G70:AU70))*20%,IF(AX$65=0,0,IF(AX$65="2차중도금",$F70*30%-SUM($G70:AW70),IF(AX$65="3차중도금",$F70*40%-SUM($G70:AW70),IF(AX$65="4차중도금",$F70*50%-SUM($G70:AW70),$F70*10%)))))))+(IF(AX$65="5차중도금",$F70*60%-SUM($G70:AW70)-$F70*10%,IF(AX$65="6차중도금",$F70*70%-SUM($G70:AW70)-$F70*10%,0)))</f>
        <v>0</v>
      </c>
      <c r="AY70" s="605">
        <f>IF(AY$65="입주/잔금",($F70-SUM($G70:AX70))*30%,IF(AX$65="입주/잔금",($F70-SUM($G70:AW70))*50%,IF(AW$65="입주/잔금",($F70-SUM($G70:AV70))*20%,IF(AY$65=0,0,IF(AY$65="2차중도금",$F70*30%-SUM($G70:AX70),IF(AY$65="3차중도금",$F70*40%-SUM($G70:AX70),IF(AY$65="4차중도금",$F70*50%-SUM($G70:AX70),$F70*10%)))))))+(IF(AY$65="5차중도금",$F70*60%-SUM($G70:AX70)-$F70*10%,IF(AY$65="6차중도금",$F70*70%-SUM($G70:AX70)-$F70*10%,0)))</f>
        <v>0</v>
      </c>
      <c r="AZ70" s="605">
        <f>IF(AZ$65="입주/잔금",($F70-SUM($G70:AY70))*30%,IF(AY$65="입주/잔금",($F70-SUM($G70:AX70))*50%,IF(AX$65="입주/잔금",($F70-SUM($G70:AW70))*20%,IF(AZ$65=0,0,IF(AZ$65="2차중도금",$F70*30%-SUM($G70:AY70),IF(AZ$65="3차중도금",$F70*40%-SUM($G70:AY70),IF(AZ$65="4차중도금",$F70*50%-SUM($G70:AY70),$F70*10%)))))))+(IF(AZ$65="5차중도금",$F70*60%-SUM($G70:AY70)-$F70*10%,IF(AZ$65="6차중도금",$F70*70%-SUM($G70:AY70)-$F70*10%,0)))</f>
        <v>0</v>
      </c>
      <c r="BA70" s="605">
        <f>IF(BA$65="입주/잔금",($F70-SUM($G70:AZ70))*30%,IF(AZ$65="입주/잔금",($F70-SUM($G70:AY70))*50%,IF(AY$65="입주/잔금",($F70-SUM($G70:AX70))*20%,IF(BA$65=0,0,IF(BA$65="2차중도금",$F70*30%-SUM($G70:AZ70),IF(BA$65="3차중도금",$F70*40%-SUM($G70:AZ70),IF(BA$65="4차중도금",$F70*50%-SUM($G70:AZ70),$F70*10%)))))))+(IF(BA$65="5차중도금",$F70*60%-SUM($G70:AZ70)-$F70*10%,IF(BA$65="6차중도금",$F70*70%-SUM($G70:AZ70)-$F70*10%,0)))</f>
        <v>0</v>
      </c>
      <c r="BB70" s="605">
        <f>IF(BB$65="입주/잔금",($F70-SUM($G70:BA70))*30%,IF(BA$65="입주/잔금",($F70-SUM($G70:AZ70))*50%,IF(AZ$65="입주/잔금",($F70-SUM($G70:AY70))*20%,IF(BB$65=0,0,IF(BB$65="2차중도금",$F70*30%-SUM($G70:BA70),IF(BB$65="3차중도금",$F70*40%-SUM($G70:BA70),IF(BB$65="4차중도금",$F70*50%-SUM($G70:BA70),$F70*10%)))))))+(IF(BB$65="5차중도금",$F70*60%-SUM($G70:BA70)-$F70*10%,IF(BB$65="6차중도금",$F70*70%-SUM($G70:BA70)-$F70*10%,0)))</f>
        <v>0</v>
      </c>
      <c r="BC70" s="605">
        <f>IF(BC$65="입주/잔금",($F70-SUM($G70:BB70))*30%,IF(BB$65="입주/잔금",($F70-SUM($G70:BA70))*50%,IF(BA$65="입주/잔금",($F70-SUM($G70:AZ70))*20%,IF(BC$65=0,0,IF(BC$65="2차중도금",$F70*30%-SUM($G70:BB70),IF(BC$65="3차중도금",$F70*40%-SUM($G70:BB70),IF(BC$65="4차중도금",$F70*50%-SUM($G70:BB70),$F70*10%)))))))+(IF(BC$65="5차중도금",$F70*60%-SUM($G70:BB70)-$F70*10%,IF(BC$65="6차중도금",$F70*70%-SUM($G70:BB70)-$F70*10%,0)))</f>
        <v>0</v>
      </c>
      <c r="BD70" s="605">
        <f>IF(BD$65="입주/잔금",($F70-SUM($G70:BC70))*30%,IF(BC$65="입주/잔금",($F70-SUM($G70:BB70))*50%,IF(BB$65="입주/잔금",($F70-SUM($G70:BA70))*20%,IF(BD$65=0,0,IF(BD$65="2차중도금",$F70*30%-SUM($G70:BC70),IF(BD$65="3차중도금",$F70*40%-SUM($G70:BC70),IF(BD$65="4차중도금",$F70*50%-SUM($G70:BC70),$F70*10%)))))))+(IF(BD$65="5차중도금",$F70*60%-SUM($G70:BC70)-$F70*10%,IF(BD$65="6차중도금",$F70*70%-SUM($G70:BC70)-$F70*10%,0)))</f>
        <v>0</v>
      </c>
      <c r="BE70" s="605">
        <f>IF(BE$65="입주/잔금",($F70-SUM($G70:BD70))*30%,IF(BD$65="입주/잔금",($F70-SUM($G70:BC70))*50%,IF(BC$65="입주/잔금",($F70-SUM($G70:BB70))*20%,IF(BE$65=0,0,IF(BE$65="2차중도금",$F70*30%-SUM($G70:BD70),IF(BE$65="3차중도금",$F70*40%-SUM($G70:BD70),IF(BE$65="4차중도금",$F70*50%-SUM($G70:BD70),$F70*10%)))))))+(IF(BE$65="5차중도금",$F70*60%-SUM($G70:BD70)-$F70*10%,IF(BE$65="6차중도금",$F70*70%-SUM($G70:BD70)-$F70*10%,0)))</f>
        <v>0</v>
      </c>
      <c r="BF70" s="609">
        <f t="shared" si="30"/>
        <v>0</v>
      </c>
      <c r="BG70" s="556">
        <f t="shared" si="32"/>
        <v>0</v>
      </c>
      <c r="BH70" s="610"/>
    </row>
    <row r="71" spans="1:60">
      <c r="A71" s="1853"/>
      <c r="B71" s="611">
        <f t="shared" si="33"/>
        <v>44986</v>
      </c>
      <c r="C71" s="605">
        <f t="shared" si="34"/>
        <v>157992364.97659996</v>
      </c>
      <c r="D71" s="1501"/>
      <c r="E71" s="612">
        <f t="shared" si="35"/>
        <v>0</v>
      </c>
      <c r="F71" s="608">
        <f t="shared" si="31"/>
        <v>0</v>
      </c>
      <c r="G71" s="605"/>
      <c r="H71" s="605"/>
      <c r="I71" s="605"/>
      <c r="J71" s="605"/>
      <c r="K71" s="605"/>
      <c r="L71" s="605">
        <f>$F71*10%</f>
        <v>0</v>
      </c>
      <c r="M71" s="605">
        <f>IF(M$65="입주/잔금",($F71-SUM($G71:L71))*30%,IF(L$65="입주/잔금",($F71-SUM($G71:K71))*50%,IF(K$65="입주/잔금",($F71-SUM($G71:J71))*20%,IF(M$65=0,0,IF(M$65="2차중도금",$F71*30%-SUM($G71:L71),IF(M$65="3차중도금",$F71*40%-SUM($G71:L71),IF(M$65="4차중도금",$F71*50%-SUM($G71:L71),$F71*10%)))))))+(IF(M$65="5차중도금",$F71*60%-SUM($G71:L71)-$F71*10%,IF(M$65="6차중도금",$F71*70%-SUM($G71:L71)-$F71*10%,0)))</f>
        <v>0</v>
      </c>
      <c r="N71" s="605">
        <f>IF(N$65="입주/잔금",($F71-SUM($G71:M71))*30%,IF(M$65="입주/잔금",($F71-SUM($G71:L71))*50%,IF(L$65="입주/잔금",($F71-SUM($G71:K71))*20%,IF(N$65=0,0,IF(N$65="2차중도금",$F71*30%-SUM($G71:M71),IF(N$65="3차중도금",$F71*40%-SUM($G71:M71),IF(N$65="4차중도금",$F71*50%-SUM($G71:M71),$F71*10%)))))))+(IF(N$65="5차중도금",$F71*60%-SUM($G71:M71)-$F71*10%,IF(N$65="6차중도금",$F71*70%-SUM($G71:M71)-$F71*10%,0)))</f>
        <v>0</v>
      </c>
      <c r="O71" s="605">
        <f>IF(O$65="입주/잔금",($F71-SUM($G71:N71))*30%,IF(N$65="입주/잔금",($F71-SUM($G71:M71))*50%,IF(M$65="입주/잔금",($F71-SUM($G71:L71))*20%,IF(O$65=0,0,IF(O$65="2차중도금",$F71*30%-SUM($G71:N71),IF(O$65="3차중도금",$F71*40%-SUM($G71:N71),IF(O$65="4차중도금",$F71*50%-SUM($G71:N71),$F71*10%)))))))+(IF(O$65="5차중도금",$F71*60%-SUM($G71:N71)-$F71*10%,IF(O$65="6차중도금",$F71*70%-SUM($G71:N71)-$F71*10%,0)))</f>
        <v>0</v>
      </c>
      <c r="P71" s="605">
        <f>IF(P$65="입주/잔금",($F71-SUM($G71:O71))*30%,IF(O$65="입주/잔금",($F71-SUM($G71:N71))*50%,IF(N$65="입주/잔금",($F71-SUM($G71:M71))*20%,IF(P$65=0,0,IF(P$65="2차중도금",$F71*30%-SUM($G71:O71),IF(P$65="3차중도금",$F71*40%-SUM($G71:O71),IF(P$65="4차중도금",$F71*50%-SUM($G71:O71),$F71*10%)))))))+(IF(P$65="5차중도금",$F71*60%-SUM($G71:O71)-$F71*10%,IF(P$65="6차중도금",$F71*70%-SUM($G71:O71)-$F71*10%,0)))</f>
        <v>0</v>
      </c>
      <c r="Q71" s="605">
        <f>IF(Q$65="입주/잔금",($F71-SUM($G71:P71))*30%,IF(P$65="입주/잔금",($F71-SUM($G71:O71))*50%,IF(O$65="입주/잔금",($F71-SUM($G71:N71))*20%,IF(Q$65=0,0,IF(Q$65="2차중도금",$F71*30%-SUM($G71:P71),IF(Q$65="3차중도금",$F71*40%-SUM($G71:P71),IF(Q$65="4차중도금",$F71*50%-SUM($G71:P71),$F71*10%)))))))+(IF(Q$65="5차중도금",$F71*60%-SUM($G71:P71)-$F71*10%,IF(Q$65="6차중도금",$F71*70%-SUM($G71:P71)-$F71*10%,0)))</f>
        <v>0</v>
      </c>
      <c r="R71" s="605">
        <f>IF(R$65="입주/잔금",($F71-SUM($G71:Q71))*30%,IF(Q$65="입주/잔금",($F71-SUM($G71:P71))*50%,IF(P$65="입주/잔금",($F71-SUM($G71:O71))*20%,IF(R$65=0,0,IF(R$65="2차중도금",$F71*30%-SUM($G71:Q71),IF(R$65="3차중도금",$F71*40%-SUM($G71:Q71),IF(R$65="4차중도금",$F71*50%-SUM($G71:Q71),$F71*10%)))))))+(IF(R$65="5차중도금",$F71*60%-SUM($G71:Q71)-$F71*10%,IF(R$65="6차중도금",$F71*70%-SUM($G71:Q71)-$F71*10%,0)))</f>
        <v>0</v>
      </c>
      <c r="S71" s="605">
        <f>IF(S$65="입주/잔금",($F71-SUM($G71:R71))*30%,IF(R$65="입주/잔금",($F71-SUM($G71:Q71))*50%,IF(Q$65="입주/잔금",($F71-SUM($G71:P71))*20%,IF(S$65=0,0,IF(S$65="2차중도금",$F71*30%-SUM($G71:R71),IF(S$65="3차중도금",$F71*40%-SUM($G71:R71),IF(S$65="4차중도금",$F71*50%-SUM($G71:R71),$F71*10%)))))))+(IF(S$65="5차중도금",$F71*60%-SUM($G71:R71)-$F71*10%,IF(S$65="6차중도금",$F71*70%-SUM($G71:R71)-$F71*10%,0)))</f>
        <v>0</v>
      </c>
      <c r="T71" s="605">
        <f>IF(T$65="입주/잔금",($F71-SUM($G71:S71))*30%,IF(S$65="입주/잔금",($F71-SUM($G71:R71))*50%,IF(R$65="입주/잔금",($F71-SUM($G71:Q71))*20%,IF(T$65=0,0,IF(T$65="2차중도금",$F71*30%-SUM($G71:S71),IF(T$65="3차중도금",$F71*40%-SUM($G71:S71),IF(T$65="4차중도금",$F71*50%-SUM($G71:S71),$F71*10%)))))))+(IF(T$65="5차중도금",$F71*60%-SUM($G71:S71)-$F71*10%,IF(T$65="6차중도금",$F71*70%-SUM($G71:S71)-$F71*10%,0)))</f>
        <v>0</v>
      </c>
      <c r="U71" s="605">
        <f>IF(U$65="입주/잔금",($F71-SUM($G71:T71))*30%,IF(T$65="입주/잔금",($F71-SUM($G71:S71))*50%,IF(S$65="입주/잔금",($F71-SUM($G71:R71))*20%,IF(U$65=0,0,IF(U$65="2차중도금",$F71*30%-SUM($G71:T71),IF(U$65="3차중도금",$F71*40%-SUM($G71:T71),IF(U$65="4차중도금",$F71*50%-SUM($G71:T71),$F71*10%)))))))+(IF(U$65="5차중도금",$F71*60%-SUM($G71:T71)-$F71*10%,IF(U$65="6차중도금",$F71*70%-SUM($G71:T71)-$F71*10%,0)))</f>
        <v>0</v>
      </c>
      <c r="V71" s="605">
        <f>IF(V$65="입주/잔금",($F71-SUM($G71:U71))*30%,IF(U$65="입주/잔금",($F71-SUM($G71:T71))*50%,IF(T$65="입주/잔금",($F71-SUM($G71:S71))*20%,IF(V$65=0,0,IF(V$65="2차중도금",$F71*30%-SUM($G71:U71),IF(V$65="3차중도금",$F71*40%-SUM($G71:U71),IF(V$65="4차중도금",$F71*50%-SUM($G71:U71),$F71*10%)))))))+(IF(V$65="5차중도금",$F71*60%-SUM($G71:U71)-$F71*10%,IF(V$65="6차중도금",$F71*70%-SUM($G71:U71)-$F71*10%,0)))</f>
        <v>0</v>
      </c>
      <c r="W71" s="605">
        <f>IF(W$65="입주/잔금",($F71-SUM($G71:V71))*30%,IF(V$65="입주/잔금",($F71-SUM($G71:U71))*50%,IF(U$65="입주/잔금",($F71-SUM($G71:T71))*20%,IF(W$65=0,0,IF(W$65="2차중도금",$F71*30%-SUM($G71:V71),IF(W$65="3차중도금",$F71*40%-SUM($G71:V71),IF(W$65="4차중도금",$F71*50%-SUM($G71:V71),$F71*10%)))))))+(IF(W$65="5차중도금",$F71*60%-SUM($G71:V71)-$F71*10%,IF(W$65="6차중도금",$F71*70%-SUM($G71:V71)-$F71*10%,0)))</f>
        <v>0</v>
      </c>
      <c r="X71" s="605">
        <f>IF(X$65="입주/잔금",($F71-SUM($G71:W71))*30%,IF(W$65="입주/잔금",($F71-SUM($G71:V71))*50%,IF(V$65="입주/잔금",($F71-SUM($G71:U71))*20%,IF(X$65=0,0,IF(X$65="2차중도금",$F71*30%-SUM($G71:W71),IF(X$65="3차중도금",$F71*40%-SUM($G71:W71),IF(X$65="4차중도금",$F71*50%-SUM($G71:W71),$F71*10%)))))))+(IF(X$65="5차중도금",$F71*60%-SUM($G71:W71)-$F71*10%,IF(X$65="6차중도금",$F71*70%-SUM($G71:W71)-$F71*10%,0)))</f>
        <v>0</v>
      </c>
      <c r="Y71" s="605">
        <f>IF(Y$65="입주/잔금",($F71-SUM($G71:X71))*30%,IF(X$65="입주/잔금",($F71-SUM($G71:W71))*50%,IF(W$65="입주/잔금",($F71-SUM($G71:V71))*20%,IF(Y$65=0,0,IF(Y$65="2차중도금",$F71*30%-SUM($G71:X71),IF(Y$65="3차중도금",$F71*40%-SUM($G71:X71),IF(Y$65="4차중도금",$F71*50%-SUM($G71:X71),$F71*10%)))))))+(IF(Y$65="5차중도금",$F71*60%-SUM($G71:X71)-$F71*10%,IF(Y$65="6차중도금",$F71*70%-SUM($G71:X71)-$F71*10%,0)))</f>
        <v>0</v>
      </c>
      <c r="Z71" s="605">
        <f>IF(Z$65="입주/잔금",($F71-SUM($G71:Y71))*30%,IF(Y$65="입주/잔금",($F71-SUM($G71:X71))*50%,IF(X$65="입주/잔금",($F71-SUM($G71:W71))*20%,IF(Z$65=0,0,IF(Z$65="2차중도금",$F71*30%-SUM($G71:Y71),IF(Z$65="3차중도금",$F71*40%-SUM($G71:Y71),IF(Z$65="4차중도금",$F71*50%-SUM($G71:Y71),$F71*10%)))))))+(IF(Z$65="5차중도금",$F71*60%-SUM($G71:Y71)-$F71*10%,IF(Z$65="6차중도금",$F71*70%-SUM($G71:Y71)-$F71*10%,0)))</f>
        <v>0</v>
      </c>
      <c r="AA71" s="605">
        <f>IF(AA$65="입주/잔금",($F71-SUM($G71:Z71))*30%,IF(Z$65="입주/잔금",($F71-SUM($G71:Y71))*50%,IF(Y$65="입주/잔금",($F71-SUM($G71:X71))*20%,IF(AA$65=0,0,IF(AA$65="2차중도금",$F71*30%-SUM($G71:Z71),IF(AA$65="3차중도금",$F71*40%-SUM($G71:Z71),IF(AA$65="4차중도금",$F71*50%-SUM($G71:Z71),$F71*10%)))))))+(IF(AA$65="5차중도금",$F71*60%-SUM($G71:Z71)-$F71*10%,IF(AA$65="6차중도금",$F71*70%-SUM($G71:Z71)-$F71*10%,0)))</f>
        <v>0</v>
      </c>
      <c r="AB71" s="605">
        <f>IF(AB$65="입주/잔금",($F71-SUM($G71:AA71))*30%,IF(AA$65="입주/잔금",($F71-SUM($G71:Z71))*50%,IF(Z$65="입주/잔금",($F71-SUM($G71:Y71))*20%,IF(AB$65=0,0,IF(AB$65="2차중도금",$F71*30%-SUM($G71:AA71),IF(AB$65="3차중도금",$F71*40%-SUM($G71:AA71),IF(AB$65="4차중도금",$F71*50%-SUM($G71:AA71),$F71*10%)))))))+(IF(AB$65="5차중도금",$F71*60%-SUM($G71:AA71)-$F71*10%,IF(AB$65="6차중도금",$F71*70%-SUM($G71:AA71)-$F71*10%,0)))</f>
        <v>0</v>
      </c>
      <c r="AC71" s="605">
        <f>IF(AC$65="입주/잔금",($F71-SUM($G71:AB71))*30%,IF(AB$65="입주/잔금",($F71-SUM($G71:AA71))*50%,IF(AA$65="입주/잔금",($F71-SUM($G71:Z71))*20%,IF(AC$65=0,0,IF(AC$65="2차중도금",$F71*30%-SUM($G71:AB71),IF(AC$65="3차중도금",$F71*40%-SUM($G71:AB71),IF(AC$65="4차중도금",$F71*50%-SUM($G71:AB71),$F71*10%)))))))+(IF(AC$65="5차중도금",$F71*60%-SUM($G71:AB71)-$F71*10%,IF(AC$65="6차중도금",$F71*70%-SUM($G71:AB71)-$F71*10%,0)))</f>
        <v>0</v>
      </c>
      <c r="AD71" s="605">
        <f>IF(AD$65="입주/잔금",($F71-SUM($G71:AC71))*30%,IF(AC$65="입주/잔금",($F71-SUM($G71:AB71))*50%,IF(AB$65="입주/잔금",($F71-SUM($G71:AA71))*20%,IF(AD$65=0,0,IF(AD$65="2차중도금",$F71*30%-SUM($G71:AC71),IF(AD$65="3차중도금",$F71*40%-SUM($G71:AC71),IF(AD$65="4차중도금",$F71*50%-SUM($G71:AC71),$F71*10%)))))))+(IF(AD$65="5차중도금",$F71*60%-SUM($G71:AC71)-$F71*10%,IF(AD$65="6차중도금",$F71*70%-SUM($G71:AC71)-$F71*10%,0)))</f>
        <v>0</v>
      </c>
      <c r="AE71" s="605">
        <f>IF(AE$65="입주/잔금",($F71-SUM($G71:AD71))*30%,IF(AD$65="입주/잔금",($F71-SUM($G71:AC71))*50%,IF(AC$65="입주/잔금",($F71-SUM($G71:AB71))*20%,IF(AE$65=0,0,IF(AE$65="2차중도금",$F71*30%-SUM($G71:AD71),IF(AE$65="3차중도금",$F71*40%-SUM($G71:AD71),IF(AE$65="4차중도금",$F71*50%-SUM($G71:AD71),$F71*10%)))))))+(IF(AE$65="5차중도금",$F71*60%-SUM($G71:AD71)-$F71*10%,IF(AE$65="6차중도금",$F71*70%-SUM($G71:AD71)-$F71*10%,0)))</f>
        <v>0</v>
      </c>
      <c r="AF71" s="605">
        <f>IF(AF$65="입주/잔금",($F71-SUM($G71:AE71))*30%,IF(AE$65="입주/잔금",($F71-SUM($G71:AD71))*50%,IF(AD$65="입주/잔금",($F71-SUM($G71:AC71))*20%,IF(AF$65=0,0,IF(AF$65="2차중도금",$F71*30%-SUM($G71:AE71),IF(AF$65="3차중도금",$F71*40%-SUM($G71:AE71),IF(AF$65="4차중도금",$F71*50%-SUM($G71:AE71),$F71*10%)))))))+(IF(AF$65="5차중도금",$F71*60%-SUM($G71:AE71)-$F71*10%,IF(AF$65="6차중도금",$F71*70%-SUM($G71:AE71)-$F71*10%,0)))</f>
        <v>0</v>
      </c>
      <c r="AG71" s="605">
        <f>IF(AG$65="입주/잔금",($F71-SUM($G71:AF71))*30%,IF(AF$65="입주/잔금",($F71-SUM($G71:AE71))*50%,IF(AE$65="입주/잔금",($F71-SUM($G71:AD71))*20%,IF(AG$65=0,0,IF(AG$65="2차중도금",$F71*30%-SUM($G71:AF71),IF(AG$65="3차중도금",$F71*40%-SUM($G71:AF71),IF(AG$65="4차중도금",$F71*50%-SUM($G71:AF71),$F71*10%)))))))+(IF(AG$65="5차중도금",$F71*60%-SUM($G71:AF71)-$F71*10%,IF(AG$65="6차중도금",$F71*70%-SUM($G71:AF71)-$F71*10%,0)))</f>
        <v>0</v>
      </c>
      <c r="AH71" s="605">
        <f>IF(AH$65="입주/잔금",($F71-SUM($G71:AG71))*30%,IF(AG$65="입주/잔금",($F71-SUM($G71:AF71))*50%,IF(AF$65="입주/잔금",($F71-SUM($G71:AE71))*20%,IF(AH$65=0,0,IF(AH$65="2차중도금",$F71*30%-SUM($G71:AG71),IF(AH$65="3차중도금",$F71*40%-SUM($G71:AG71),IF(AH$65="4차중도금",$F71*50%-SUM($G71:AG71),$F71*10%)))))))+(IF(AH$65="5차중도금",$F71*60%-SUM($G71:AG71)-$F71*10%,IF(AH$65="6차중도금",$F71*70%-SUM($G71:AG71)-$F71*10%,0)))</f>
        <v>0</v>
      </c>
      <c r="AI71" s="605">
        <f>IF(AI$65="입주/잔금",($F71-SUM($G71:AH71))*30%,IF(AH$65="입주/잔금",($F71-SUM($G71:AG71))*50%,IF(AG$65="입주/잔금",($F71-SUM($G71:AF71))*20%,IF(AI$65=0,0,IF(AI$65="2차중도금",$F71*30%-SUM($G71:AH71),IF(AI$65="3차중도금",$F71*40%-SUM($G71:AH71),IF(AI$65="4차중도금",$F71*50%-SUM($G71:AH71),$F71*10%)))))))+(IF(AI$65="5차중도금",$F71*60%-SUM($G71:AH71)-$F71*10%,IF(AI$65="6차중도금",$F71*70%-SUM($G71:AH71)-$F71*10%,0)))</f>
        <v>0</v>
      </c>
      <c r="AJ71" s="605">
        <f>IF(AJ$65="입주/잔금",($F71-SUM($G71:AI71))*30%,IF(AI$65="입주/잔금",($F71-SUM($G71:AH71))*50%,IF(AH$65="입주/잔금",($F71-SUM($G71:AG71))*20%,IF(AJ$65=0,0,IF(AJ$65="2차중도금",$F71*30%-SUM($G71:AI71),IF(AJ$65="3차중도금",$F71*40%-SUM($G71:AI71),IF(AJ$65="4차중도금",$F71*50%-SUM($G71:AI71),$F71*10%)))))))+(IF(AJ$65="5차중도금",$F71*60%-SUM($G71:AI71)-$F71*10%,IF(AJ$65="6차중도금",$F71*70%-SUM($G71:AI71)-$F71*10%,0)))</f>
        <v>0</v>
      </c>
      <c r="AK71" s="605">
        <f>IF(AK$65="입주/잔금",($F71-SUM($G71:AJ71))*30%,IF(AJ$65="입주/잔금",($F71-SUM($G71:AI71))*50%,IF(AI$65="입주/잔금",($F71-SUM($G71:AH71))*20%,IF(AK$65=0,0,IF(AK$65="2차중도금",$F71*30%-SUM($G71:AJ71),IF(AK$65="3차중도금",$F71*40%-SUM($G71:AJ71),IF(AK$65="4차중도금",$F71*50%-SUM($G71:AJ71),$F71*10%)))))))+(IF(AK$65="5차중도금",$F71*60%-SUM($G71:AJ71)-$F71*10%,IF(AK$65="6차중도금",$F71*70%-SUM($G71:AJ71)-$F71*10%,0)))</f>
        <v>0</v>
      </c>
      <c r="AL71" s="605">
        <f>IF(AL$65="입주/잔금",($F71-SUM($G71:AK71))*30%,IF(AK$65="입주/잔금",($F71-SUM($G71:AJ71))*50%,IF(AJ$65="입주/잔금",($F71-SUM($G71:AI71))*20%,IF(AL$65=0,0,IF(AL$65="2차중도금",$F71*30%-SUM($G71:AK71),IF(AL$65="3차중도금",$F71*40%-SUM($G71:AK71),IF(AL$65="4차중도금",$F71*50%-SUM($G71:AK71),$F71*10%)))))))+(IF(AL$65="5차중도금",$F71*60%-SUM($G71:AK71)-$F71*10%,IF(AL$65="6차중도금",$F71*70%-SUM($G71:AK71)-$F71*10%,0)))</f>
        <v>0</v>
      </c>
      <c r="AM71" s="605">
        <f>IF(AM$65="입주/잔금",($F71-SUM($G71:AL71))*30%,IF(AL$65="입주/잔금",($F71-SUM($G71:AK71))*50%,IF(AK$65="입주/잔금",($F71-SUM($G71:AJ71))*20%,IF(AM$65=0,0,IF(AM$65="2차중도금",$F71*30%-SUM($G71:AL71),IF(AM$65="3차중도금",$F71*40%-SUM($G71:AL71),IF(AM$65="4차중도금",$F71*50%-SUM($G71:AL71),$F71*10%)))))))+(IF(AM$65="5차중도금",$F71*60%-SUM($G71:AL71)-$F71*10%,IF(AM$65="6차중도금",$F71*70%-SUM($G71:AL71)-$F71*10%,0)))</f>
        <v>0</v>
      </c>
      <c r="AN71" s="605">
        <f>IF(AN$65="입주/잔금",($F71-SUM($G71:AM71))*30%,IF(AM$65="입주/잔금",($F71-SUM($G71:AL71))*50%,IF(AL$65="입주/잔금",($F71-SUM($G71:AK71))*20%,IF(AN$65=0,0,IF(AN$65="2차중도금",$F71*30%-SUM($G71:AM71),IF(AN$65="3차중도금",$F71*40%-SUM($G71:AM71),IF(AN$65="4차중도금",$F71*50%-SUM($G71:AM71),$F71*10%)))))))+(IF(AN$65="5차중도금",$F71*60%-SUM($G71:AM71)-$F71*10%,IF(AN$65="6차중도금",$F71*70%-SUM($G71:AM71)-$F71*10%,0)))</f>
        <v>0</v>
      </c>
      <c r="AO71" s="605">
        <f>IF(AO$65="입주/잔금",($F71-SUM($G71:AN71))*30%,IF(AN$65="입주/잔금",($F71-SUM($G71:AM71))*50%,IF(AM$65="입주/잔금",($F71-SUM($G71:AL71))*20%,IF(AO$65=0,0,IF(AO$65="2차중도금",$F71*30%-SUM($G71:AN71),IF(AO$65="3차중도금",$F71*40%-SUM($G71:AN71),IF(AO$65="4차중도금",$F71*50%-SUM($G71:AN71),$F71*10%)))))))+(IF(AO$65="5차중도금",$F71*60%-SUM($G71:AN71)-$F71*10%,IF(AO$65="6차중도금",$F71*70%-SUM($G71:AN71)-$F71*10%,0)))</f>
        <v>0</v>
      </c>
      <c r="AP71" s="605">
        <f>IF(AP$65="입주/잔금",($F71-SUM($G71:AO71))*30%,IF(AO$65="입주/잔금",($F71-SUM($G71:AN71))*50%,IF(AN$65="입주/잔금",($F71-SUM($G71:AM71))*20%,IF(AP$65=0,0,IF(AP$65="2차중도금",$F71*30%-SUM($G71:AO71),IF(AP$65="3차중도금",$F71*40%-SUM($G71:AO71),IF(AP$65="4차중도금",$F71*50%-SUM($G71:AO71),$F71*10%)))))))+(IF(AP$65="5차중도금",$F71*60%-SUM($G71:AO71)-$F71*10%,IF(AP$65="6차중도금",$F71*70%-SUM($G71:AO71)-$F71*10%,0)))</f>
        <v>0</v>
      </c>
      <c r="AQ71" s="605">
        <f>IF(AQ$65="입주/잔금",($F71-SUM($G71:AP71))*30%,IF(AP$65="입주/잔금",($F71-SUM($G71:AO71))*50%,IF(AO$65="입주/잔금",($F71-SUM($G71:AN71))*20%,IF(AQ$65=0,0,IF(AQ$65="2차중도금",$F71*30%-SUM($G71:AP71),IF(AQ$65="3차중도금",$F71*40%-SUM($G71:AP71),IF(AQ$65="4차중도금",$F71*50%-SUM($G71:AP71),$F71*10%)))))))+(IF(AQ$65="5차중도금",$F71*60%-SUM($G71:AP71)-$F71*10%,IF(AQ$65="6차중도금",$F71*70%-SUM($G71:AP71)-$F71*10%,0)))</f>
        <v>0</v>
      </c>
      <c r="AR71" s="605">
        <f>IF(AR$65="입주/잔금",($F71-SUM($G71:AQ71))*30%,IF(AQ$65="입주/잔금",($F71-SUM($G71:AP71))*50%,IF(AP$65="입주/잔금",($F71-SUM($G71:AO71))*20%,IF(AR$65=0,0,IF(AR$65="2차중도금",$F71*30%-SUM($G71:AQ71),IF(AR$65="3차중도금",$F71*40%-SUM($G71:AQ71),IF(AR$65="4차중도금",$F71*50%-SUM($G71:AQ71),$F71*10%)))))))+(IF(AR$65="5차중도금",$F71*60%-SUM($G71:AQ71)-$F71*10%,IF(AR$65="6차중도금",$F71*70%-SUM($G71:AQ71)-$F71*10%,0)))</f>
        <v>0</v>
      </c>
      <c r="AS71" s="605">
        <f>IF(AS$65="입주/잔금",($F71-SUM($G71:AR71))*30%,IF(AR$65="입주/잔금",($F71-SUM($G71:AQ71))*50%,IF(AQ$65="입주/잔금",($F71-SUM($G71:AP71))*20%,IF(AS$65=0,0,IF(AS$65="2차중도금",$F71*30%-SUM($G71:AR71),IF(AS$65="3차중도금",$F71*40%-SUM($G71:AR71),IF(AS$65="4차중도금",$F71*50%-SUM($G71:AR71),$F71*10%)))))))+(IF(AS$65="5차중도금",$F71*60%-SUM($G71:AR71)-$F71*10%,IF(AS$65="6차중도금",$F71*70%-SUM($G71:AR71)-$F71*10%,0)))</f>
        <v>0</v>
      </c>
      <c r="AT71" s="605">
        <f>IF(AT$65="입주/잔금",($F71-SUM($G71:AS71))*30%,IF(AS$65="입주/잔금",($F71-SUM($G71:AR71))*50%,IF(AR$65="입주/잔금",($F71-SUM($G71:AQ71))*20%,IF(AT$65=0,0,IF(AT$65="2차중도금",$F71*30%-SUM($G71:AS71),IF(AT$65="3차중도금",$F71*40%-SUM($G71:AS71),IF(AT$65="4차중도금",$F71*50%-SUM($G71:AS71),$F71*10%)))))))+(IF(AT$65="5차중도금",$F71*60%-SUM($G71:AS71)-$F71*10%,IF(AT$65="6차중도금",$F71*70%-SUM($G71:AS71)-$F71*10%,0)))</f>
        <v>0</v>
      </c>
      <c r="AU71" s="605">
        <f>IF(AU$65="입주/잔금",($F71-SUM($G71:AT71))*30%,IF(AT$65="입주/잔금",($F71-SUM($G71:AS71))*50%,IF(AS$65="입주/잔금",($F71-SUM($G71:AR71))*20%,IF(AU$65=0,0,IF(AU$65="2차중도금",$F71*30%-SUM($G71:AT71),IF(AU$65="3차중도금",$F71*40%-SUM($G71:AT71),IF(AU$65="4차중도금",$F71*50%-SUM($G71:AT71),$F71*10%)))))))+(IF(AU$65="5차중도금",$F71*60%-SUM($G71:AT71)-$F71*10%,IF(AU$65="6차중도금",$F71*70%-SUM($G71:AT71)-$F71*10%,0)))</f>
        <v>0</v>
      </c>
      <c r="AV71" s="605">
        <f>IF(AV$65="입주/잔금",($F71-SUM($G71:AU71))*30%,IF(AU$65="입주/잔금",($F71-SUM($G71:AT71))*50%,IF(AT$65="입주/잔금",($F71-SUM($G71:AS71))*20%,IF(AV$65=0,0,IF(AV$65="2차중도금",$F71*30%-SUM($G71:AU71),IF(AV$65="3차중도금",$F71*40%-SUM($G71:AU71),IF(AV$65="4차중도금",$F71*50%-SUM($G71:AU71),$F71*10%)))))))+(IF(AV$65="5차중도금",$F71*60%-SUM($G71:AU71)-$F71*10%,IF(AV$65="6차중도금",$F71*70%-SUM($G71:AU71)-$F71*10%,0)))</f>
        <v>0</v>
      </c>
      <c r="AW71" s="605">
        <f>IF(AW$65="입주/잔금",($F71-SUM($G71:AV71))*30%,IF(AV$65="입주/잔금",($F71-SUM($G71:AU71))*50%,IF(AU$65="입주/잔금",($F71-SUM($G71:AT71))*20%,IF(AW$65=0,0,IF(AW$65="2차중도금",$F71*30%-SUM($G71:AV71),IF(AW$65="3차중도금",$F71*40%-SUM($G71:AV71),IF(AW$65="4차중도금",$F71*50%-SUM($G71:AV71),$F71*10%)))))))+(IF(AW$65="5차중도금",$F71*60%-SUM($G71:AV71)-$F71*10%,IF(AW$65="6차중도금",$F71*70%-SUM($G71:AV71)-$F71*10%,0)))</f>
        <v>0</v>
      </c>
      <c r="AX71" s="605">
        <f>IF(AX$65="입주/잔금",($F71-SUM($G71:AW71))*30%,IF(AW$65="입주/잔금",($F71-SUM($G71:AV71))*50%,IF(AV$65="입주/잔금",($F71-SUM($G71:AU71))*20%,IF(AX$65=0,0,IF(AX$65="2차중도금",$F71*30%-SUM($G71:AW71),IF(AX$65="3차중도금",$F71*40%-SUM($G71:AW71),IF(AX$65="4차중도금",$F71*50%-SUM($G71:AW71),$F71*10%)))))))+(IF(AX$65="5차중도금",$F71*60%-SUM($G71:AW71)-$F71*10%,IF(AX$65="6차중도금",$F71*70%-SUM($G71:AW71)-$F71*10%,0)))</f>
        <v>0</v>
      </c>
      <c r="AY71" s="605">
        <f>IF(AY$65="입주/잔금",($F71-SUM($G71:AX71))*30%,IF(AX$65="입주/잔금",($F71-SUM($G71:AW71))*50%,IF(AW$65="입주/잔금",($F71-SUM($G71:AV71))*20%,IF(AY$65=0,0,IF(AY$65="2차중도금",$F71*30%-SUM($G71:AX71),IF(AY$65="3차중도금",$F71*40%-SUM($G71:AX71),IF(AY$65="4차중도금",$F71*50%-SUM($G71:AX71),$F71*10%)))))))+(IF(AY$65="5차중도금",$F71*60%-SUM($G71:AX71)-$F71*10%,IF(AY$65="6차중도금",$F71*70%-SUM($G71:AX71)-$F71*10%,0)))</f>
        <v>0</v>
      </c>
      <c r="AZ71" s="605">
        <f>IF(AZ$65="입주/잔금",($F71-SUM($G71:AY71))*30%,IF(AY$65="입주/잔금",($F71-SUM($G71:AX71))*50%,IF(AX$65="입주/잔금",($F71-SUM($G71:AW71))*20%,IF(AZ$65=0,0,IF(AZ$65="2차중도금",$F71*30%-SUM($G71:AY71),IF(AZ$65="3차중도금",$F71*40%-SUM($G71:AY71),IF(AZ$65="4차중도금",$F71*50%-SUM($G71:AY71),$F71*10%)))))))+(IF(AZ$65="5차중도금",$F71*60%-SUM($G71:AY71)-$F71*10%,IF(AZ$65="6차중도금",$F71*70%-SUM($G71:AY71)-$F71*10%,0)))</f>
        <v>0</v>
      </c>
      <c r="BA71" s="605">
        <f>IF(BA$65="입주/잔금",($F71-SUM($G71:AZ71))*30%,IF(AZ$65="입주/잔금",($F71-SUM($G71:AY71))*50%,IF(AY$65="입주/잔금",($F71-SUM($G71:AX71))*20%,IF(BA$65=0,0,IF(BA$65="2차중도금",$F71*30%-SUM($G71:AZ71),IF(BA$65="3차중도금",$F71*40%-SUM($G71:AZ71),IF(BA$65="4차중도금",$F71*50%-SUM($G71:AZ71),$F71*10%)))))))+(IF(BA$65="5차중도금",$F71*60%-SUM($G71:AZ71)-$F71*10%,IF(BA$65="6차중도금",$F71*70%-SUM($G71:AZ71)-$F71*10%,0)))</f>
        <v>0</v>
      </c>
      <c r="BB71" s="605">
        <f>IF(BB$65="입주/잔금",($F71-SUM($G71:BA71))*30%,IF(BA$65="입주/잔금",($F71-SUM($G71:AZ71))*50%,IF(AZ$65="입주/잔금",($F71-SUM($G71:AY71))*20%,IF(BB$65=0,0,IF(BB$65="2차중도금",$F71*30%-SUM($G71:BA71),IF(BB$65="3차중도금",$F71*40%-SUM($G71:BA71),IF(BB$65="4차중도금",$F71*50%-SUM($G71:BA71),$F71*10%)))))))+(IF(BB$65="5차중도금",$F71*60%-SUM($G71:BA71)-$F71*10%,IF(BB$65="6차중도금",$F71*70%-SUM($G71:BA71)-$F71*10%,0)))</f>
        <v>0</v>
      </c>
      <c r="BC71" s="605">
        <f>IF(BC$65="입주/잔금",($F71-SUM($G71:BB71))*30%,IF(BB$65="입주/잔금",($F71-SUM($G71:BA71))*50%,IF(BA$65="입주/잔금",($F71-SUM($G71:AZ71))*20%,IF(BC$65=0,0,IF(BC$65="2차중도금",$F71*30%-SUM($G71:BB71),IF(BC$65="3차중도금",$F71*40%-SUM($G71:BB71),IF(BC$65="4차중도금",$F71*50%-SUM($G71:BB71),$F71*10%)))))))+(IF(BC$65="5차중도금",$F71*60%-SUM($G71:BB71)-$F71*10%,IF(BC$65="6차중도금",$F71*70%-SUM($G71:BB71)-$F71*10%,0)))</f>
        <v>0</v>
      </c>
      <c r="BD71" s="605">
        <f>IF(BD$65="입주/잔금",($F71-SUM($G71:BC71))*30%,IF(BC$65="입주/잔금",($F71-SUM($G71:BB71))*50%,IF(BB$65="입주/잔금",($F71-SUM($G71:BA71))*20%,IF(BD$65=0,0,IF(BD$65="2차중도금",$F71*30%-SUM($G71:BC71),IF(BD$65="3차중도금",$F71*40%-SUM($G71:BC71),IF(BD$65="4차중도금",$F71*50%-SUM($G71:BC71),$F71*10%)))))))+(IF(BD$65="5차중도금",$F71*60%-SUM($G71:BC71)-$F71*10%,IF(BD$65="6차중도금",$F71*70%-SUM($G71:BC71)-$F71*10%,0)))</f>
        <v>0</v>
      </c>
      <c r="BE71" s="605">
        <f>IF(BE$65="입주/잔금",($F71-SUM($G71:BD71))*30%,IF(BD$65="입주/잔금",($F71-SUM($G71:BC71))*50%,IF(BC$65="입주/잔금",($F71-SUM($G71:BB71))*20%,IF(BE$65=0,0,IF(BE$65="2차중도금",$F71*30%-SUM($G71:BD71),IF(BE$65="3차중도금",$F71*40%-SUM($G71:BD71),IF(BE$65="4차중도금",$F71*50%-SUM($G71:BD71),$F71*10%)))))))+(IF(BE$65="5차중도금",$F71*60%-SUM($G71:BD71)-$F71*10%,IF(BE$65="6차중도금",$F71*70%-SUM($G71:BD71)-$F71*10%,0)))</f>
        <v>0</v>
      </c>
      <c r="BF71" s="609">
        <f t="shared" si="30"/>
        <v>0</v>
      </c>
      <c r="BG71" s="556">
        <f t="shared" si="32"/>
        <v>0</v>
      </c>
      <c r="BH71" s="610"/>
    </row>
    <row r="72" spans="1:60">
      <c r="A72" s="1853"/>
      <c r="B72" s="604">
        <f t="shared" si="33"/>
        <v>45017</v>
      </c>
      <c r="C72" s="605">
        <f t="shared" si="34"/>
        <v>157992364.97659996</v>
      </c>
      <c r="D72" s="1501">
        <v>0.5</v>
      </c>
      <c r="E72" s="607">
        <f t="shared" si="35"/>
        <v>0.5</v>
      </c>
      <c r="F72" s="608">
        <f t="shared" si="31"/>
        <v>78996182.488299981</v>
      </c>
      <c r="G72" s="605"/>
      <c r="H72" s="605"/>
      <c r="I72" s="605"/>
      <c r="J72" s="605"/>
      <c r="K72" s="605"/>
      <c r="L72" s="605"/>
      <c r="M72" s="605">
        <f>$F72*10%</f>
        <v>7899618.2488299981</v>
      </c>
      <c r="N72" s="605">
        <f>IF(N$65="입주/잔금",($F72-SUM($G72:M72))*30%,IF(M$65="입주/잔금",($F72-SUM($G72:L72))*50%,IF(L$65="입주/잔금",($F72-SUM($G72:K72))*20%,IF(N$65=0,0,IF(N$65="2차중도금",$F72*30%-SUM($G72:M72),IF(N$65="3차중도금",$F72*40%-SUM($G72:M72),IF(N$65="4차중도금",$F72*50%-SUM($G72:M72),$F72*10%)))))))+(IF(N$65="5차중도금",$F72*60%-SUM($G72:M72)-$F72*10%,IF(N$65="6차중도금",$F72*70%-SUM($G72:M72)-$F72*10%,0)))</f>
        <v>0</v>
      </c>
      <c r="O72" s="605">
        <f>IF(O$65="입주/잔금",($F72-SUM($G72:N72))*30%,IF(N$65="입주/잔금",($F72-SUM($G72:M72))*50%,IF(M$65="입주/잔금",($F72-SUM($G72:L72))*20%,IF(O$65=0,0,IF(O$65="2차중도금",$F72*30%-SUM($G72:N72),IF(O$65="3차중도금",$F72*40%-SUM($G72:N72),IF(O$65="4차중도금",$F72*50%-SUM($G72:N72),$F72*10%)))))))+(IF(O$65="5차중도금",$F72*60%-SUM($G72:N72)-$F72*10%,IF(O$65="6차중도금",$F72*70%-SUM($G72:N72)-$F72*10%,0)))</f>
        <v>0</v>
      </c>
      <c r="P72" s="605">
        <f>IF(P$65="입주/잔금",($F72-SUM($G72:O72))*30%,IF(O$65="입주/잔금",($F72-SUM($G72:N72))*50%,IF(N$65="입주/잔금",($F72-SUM($G72:M72))*20%,IF(P$65=0,0,IF(P$65="2차중도금",$F72*30%-SUM($G72:O72),IF(P$65="3차중도금",$F72*40%-SUM($G72:O72),IF(P$65="4차중도금",$F72*50%-SUM($G72:O72),$F72*10%)))))))+(IF(P$65="5차중도금",$F72*60%-SUM($G72:O72)-$F72*10%,IF(P$65="6차중도금",$F72*70%-SUM($G72:O72)-$F72*10%,0)))</f>
        <v>0</v>
      </c>
      <c r="Q72" s="605">
        <f>IF(Q$65="입주/잔금",($F72-SUM($G72:P72))*30%,IF(P$65="입주/잔금",($F72-SUM($G72:O72))*50%,IF(O$65="입주/잔금",($F72-SUM($G72:N72))*20%,IF(Q$65=0,0,IF(Q$65="2차중도금",$F72*30%-SUM($G72:P72),IF(Q$65="3차중도금",$F72*40%-SUM($G72:P72),IF(Q$65="4차중도금",$F72*50%-SUM($G72:P72),$F72*10%)))))))+(IF(Q$65="5차중도금",$F72*60%-SUM($G72:P72)-$F72*10%,IF(Q$65="6차중도금",$F72*70%-SUM($G72:P72)-$F72*10%,0)))</f>
        <v>7899618.2488299981</v>
      </c>
      <c r="R72" s="605">
        <f>IF(R$65="입주/잔금",($F72-SUM($G72:Q72))*30%,IF(Q$65="입주/잔금",($F72-SUM($G72:P72))*50%,IF(P$65="입주/잔금",($F72-SUM($G72:O72))*20%,IF(R$65=0,0,IF(R$65="2차중도금",$F72*30%-SUM($G72:Q72),IF(R$65="3차중도금",$F72*40%-SUM($G72:Q72),IF(R$65="4차중도금",$F72*50%-SUM($G72:Q72),$F72*10%)))))))+(IF(R$65="5차중도금",$F72*60%-SUM($G72:Q72)-$F72*10%,IF(R$65="6차중도금",$F72*70%-SUM($G72:Q72)-$F72*10%,0)))</f>
        <v>0</v>
      </c>
      <c r="S72" s="605">
        <f>IF(S$65="입주/잔금",($F72-SUM($G72:R72))*30%,IF(R$65="입주/잔금",($F72-SUM($G72:Q72))*50%,IF(Q$65="입주/잔금",($F72-SUM($G72:P72))*20%,IF(S$65=0,0,IF(S$65="2차중도금",$F72*30%-SUM($G72:R72),IF(S$65="3차중도금",$F72*40%-SUM($G72:R72),IF(S$65="4차중도금",$F72*50%-SUM($G72:R72),$F72*10%)))))))+(IF(S$65="5차중도금",$F72*60%-SUM($G72:R72)-$F72*10%,IF(S$65="6차중도금",$F72*70%-SUM($G72:R72)-$F72*10%,0)))</f>
        <v>0</v>
      </c>
      <c r="T72" s="605">
        <f>IF(T$65="입주/잔금",($F72-SUM($G72:S72))*30%,IF(S$65="입주/잔금",($F72-SUM($G72:R72))*50%,IF(R$65="입주/잔금",($F72-SUM($G72:Q72))*20%,IF(T$65=0,0,IF(T$65="2차중도금",$F72*30%-SUM($G72:S72),IF(T$65="3차중도금",$F72*40%-SUM($G72:S72),IF(T$65="4차중도금",$F72*50%-SUM($G72:S72),$F72*10%)))))))+(IF(T$65="5차중도금",$F72*60%-SUM($G72:S72)-$F72*10%,IF(T$65="6차중도금",$F72*70%-SUM($G72:S72)-$F72*10%,0)))</f>
        <v>0</v>
      </c>
      <c r="U72" s="605">
        <f>IF(U$65="입주/잔금",($F72-SUM($G72:T72))*30%,IF(T$65="입주/잔금",($F72-SUM($G72:S72))*50%,IF(S$65="입주/잔금",($F72-SUM($G72:R72))*20%,IF(U$65=0,0,IF(U$65="2차중도금",$F72*30%-SUM($G72:T72),IF(U$65="3차중도금",$F72*40%-SUM($G72:T72),IF(U$65="4차중도금",$F72*50%-SUM($G72:T72),$F72*10%)))))))+(IF(U$65="5차중도금",$F72*60%-SUM($G72:T72)-$F72*10%,IF(U$65="6차중도금",$F72*70%-SUM($G72:T72)-$F72*10%,0)))</f>
        <v>7899618.2488299981</v>
      </c>
      <c r="V72" s="605">
        <f>IF(V$65="입주/잔금",($F72-SUM($G72:U72))*30%,IF(U$65="입주/잔금",($F72-SUM($G72:T72))*50%,IF(T$65="입주/잔금",($F72-SUM($G72:S72))*20%,IF(V$65=0,0,IF(V$65="2차중도금",$F72*30%-SUM($G72:U72),IF(V$65="3차중도금",$F72*40%-SUM($G72:U72),IF(V$65="4차중도금",$F72*50%-SUM($G72:U72),$F72*10%)))))))+(IF(V$65="5차중도금",$F72*60%-SUM($G72:U72)-$F72*10%,IF(V$65="6차중도금",$F72*70%-SUM($G72:U72)-$F72*10%,0)))</f>
        <v>0</v>
      </c>
      <c r="W72" s="605">
        <f>IF(W$65="입주/잔금",($F72-SUM($G72:V72))*30%,IF(V$65="입주/잔금",($F72-SUM($G72:U72))*50%,IF(U$65="입주/잔금",($F72-SUM($G72:T72))*20%,IF(W$65=0,0,IF(W$65="2차중도금",$F72*30%-SUM($G72:V72),IF(W$65="3차중도금",$F72*40%-SUM($G72:V72),IF(W$65="4차중도금",$F72*50%-SUM($G72:V72),$F72*10%)))))))+(IF(W$65="5차중도금",$F72*60%-SUM($G72:V72)-$F72*10%,IF(W$65="6차중도금",$F72*70%-SUM($G72:V72)-$F72*10%,0)))</f>
        <v>0</v>
      </c>
      <c r="X72" s="605">
        <f>IF(X$65="입주/잔금",($F72-SUM($G72:W72))*30%,IF(W$65="입주/잔금",($F72-SUM($G72:V72))*50%,IF(V$65="입주/잔금",($F72-SUM($G72:U72))*20%,IF(X$65=0,0,IF(X$65="2차중도금",$F72*30%-SUM($G72:W72),IF(X$65="3차중도금",$F72*40%-SUM($G72:W72),IF(X$65="4차중도금",$F72*50%-SUM($G72:W72),$F72*10%)))))))+(IF(X$65="5차중도금",$F72*60%-SUM($G72:W72)-$F72*10%,IF(X$65="6차중도금",$F72*70%-SUM($G72:W72)-$F72*10%,0)))</f>
        <v>0</v>
      </c>
      <c r="Y72" s="605">
        <f>IF(Y$65="입주/잔금",($F72-SUM($G72:X72))*30%,IF(X$65="입주/잔금",($F72-SUM($G72:W72))*50%,IF(W$65="입주/잔금",($F72-SUM($G72:V72))*20%,IF(Y$65=0,0,IF(Y$65="2차중도금",$F72*30%-SUM($G72:X72),IF(Y$65="3차중도금",$F72*40%-SUM($G72:X72),IF(Y$65="4차중도금",$F72*50%-SUM($G72:X72),$F72*10%)))))))+(IF(Y$65="5차중도금",$F72*60%-SUM($G72:X72)-$F72*10%,IF(Y$65="6차중도금",$F72*70%-SUM($G72:X72)-$F72*10%,0)))</f>
        <v>7899618.2488299981</v>
      </c>
      <c r="Z72" s="605">
        <f>IF(Z$65="입주/잔금",($F72-SUM($G72:Y72))*30%,IF(Y$65="입주/잔금",($F72-SUM($G72:X72))*50%,IF(X$65="입주/잔금",($F72-SUM($G72:W72))*20%,IF(Z$65=0,0,IF(Z$65="2차중도금",$F72*30%-SUM($G72:Y72),IF(Z$65="3차중도금",$F72*40%-SUM($G72:Y72),IF(Z$65="4차중도금",$F72*50%-SUM($G72:Y72),$F72*10%)))))))+(IF(Z$65="5차중도금",$F72*60%-SUM($G72:Y72)-$F72*10%,IF(Z$65="6차중도금",$F72*70%-SUM($G72:Y72)-$F72*10%,0)))</f>
        <v>0</v>
      </c>
      <c r="AA72" s="605">
        <f>IF(AA$65="입주/잔금",($F72-SUM($G72:Z72))*30%,IF(Z$65="입주/잔금",($F72-SUM($G72:Y72))*50%,IF(Y$65="입주/잔금",($F72-SUM($G72:X72))*20%,IF(AA$65=0,0,IF(AA$65="2차중도금",$F72*30%-SUM($G72:Z72),IF(AA$65="3차중도금",$F72*40%-SUM($G72:Z72),IF(AA$65="4차중도금",$F72*50%-SUM($G72:Z72),$F72*10%)))))))+(IF(AA$65="5차중도금",$F72*60%-SUM($G72:Z72)-$F72*10%,IF(AA$65="6차중도금",$F72*70%-SUM($G72:Z72)-$F72*10%,0)))</f>
        <v>0</v>
      </c>
      <c r="AB72" s="605">
        <f>IF(AB$65="입주/잔금",($F72-SUM($G72:AA72))*30%,IF(AA$65="입주/잔금",($F72-SUM($G72:Z72))*50%,IF(Z$65="입주/잔금",($F72-SUM($G72:Y72))*20%,IF(AB$65=0,0,IF(AB$65="2차중도금",$F72*30%-SUM($G72:AA72),IF(AB$65="3차중도금",$F72*40%-SUM($G72:AA72),IF(AB$65="4차중도금",$F72*50%-SUM($G72:AA72),$F72*10%)))))))+(IF(AB$65="5차중도금",$F72*60%-SUM($G72:AA72)-$F72*10%,IF(AB$65="6차중도금",$F72*70%-SUM($G72:AA72)-$F72*10%,0)))</f>
        <v>0</v>
      </c>
      <c r="AC72" s="605">
        <f>IF(AC$65="입주/잔금",($F72-SUM($G72:AB72))*30%,IF(AB$65="입주/잔금",($F72-SUM($G72:AA72))*50%,IF(AA$65="입주/잔금",($F72-SUM($G72:Z72))*20%,IF(AC$65=0,0,IF(AC$65="2차중도금",$F72*30%-SUM($G72:AB72),IF(AC$65="3차중도금",$F72*40%-SUM($G72:AB72),IF(AC$65="4차중도금",$F72*50%-SUM($G72:AB72),$F72*10%)))))))+(IF(AC$65="5차중도금",$F72*60%-SUM($G72:AB72)-$F72*10%,IF(AC$65="6차중도금",$F72*70%-SUM($G72:AB72)-$F72*10%,0)))</f>
        <v>7899618.2488299981</v>
      </c>
      <c r="AD72" s="605">
        <f>IF(AD$65="입주/잔금",($F72-SUM($G72:AC72))*30%,IF(AC$65="입주/잔금",($F72-SUM($G72:AB72))*50%,IF(AB$65="입주/잔금",($F72-SUM($G72:AA72))*20%,IF(AD$65=0,0,IF(AD$65="2차중도금",$F72*30%-SUM($G72:AC72),IF(AD$65="3차중도금",$F72*40%-SUM($G72:AC72),IF(AD$65="4차중도금",$F72*50%-SUM($G72:AC72),$F72*10%)))))))+(IF(AD$65="5차중도금",$F72*60%-SUM($G72:AC72)-$F72*10%,IF(AD$65="6차중도금",$F72*70%-SUM($G72:AC72)-$F72*10%,0)))</f>
        <v>0</v>
      </c>
      <c r="AE72" s="605">
        <f>IF(AE$65="입주/잔금",($F72-SUM($G72:AD72))*30%,IF(AD$65="입주/잔금",($F72-SUM($G72:AC72))*50%,IF(AC$65="입주/잔금",($F72-SUM($G72:AB72))*20%,IF(AE$65=0,0,IF(AE$65="2차중도금",$F72*30%-SUM($G72:AD72),IF(AE$65="3차중도금",$F72*40%-SUM($G72:AD72),IF(AE$65="4차중도금",$F72*50%-SUM($G72:AD72),$F72*10%)))))))+(IF(AE$65="5차중도금",$F72*60%-SUM($G72:AD72)-$F72*10%,IF(AE$65="6차중도금",$F72*70%-SUM($G72:AD72)-$F72*10%,0)))</f>
        <v>0</v>
      </c>
      <c r="AF72" s="605">
        <f>IF(AF$65="입주/잔금",($F72-SUM($G72:AE72))*30%,IF(AE$65="입주/잔금",($F72-SUM($G72:AD72))*50%,IF(AD$65="입주/잔금",($F72-SUM($G72:AC72))*20%,IF(AF$65=0,0,IF(AF$65="2차중도금",$F72*30%-SUM($G72:AE72),IF(AF$65="3차중도금",$F72*40%-SUM($G72:AE72),IF(AF$65="4차중도금",$F72*50%-SUM($G72:AE72),$F72*10%)))))))+(IF(AF$65="5차중도금",$F72*60%-SUM($G72:AE72)-$F72*10%,IF(AF$65="6차중도금",$F72*70%-SUM($G72:AE72)-$F72*10%,0)))</f>
        <v>0</v>
      </c>
      <c r="AG72" s="605">
        <f>IF(AG$65="입주/잔금",($F72-SUM($G72:AF72))*30%,IF(AF$65="입주/잔금",($F72-SUM($G72:AE72))*50%,IF(AE$65="입주/잔금",($F72-SUM($G72:AD72))*20%,IF(AG$65=0,0,IF(AG$65="2차중도금",$F72*30%-SUM($G72:AF72),IF(AG$65="3차중도금",$F72*40%-SUM($G72:AF72),IF(AG$65="4차중도금",$F72*50%-SUM($G72:AF72),$F72*10%)))))))+(IF(AG$65="5차중도금",$F72*60%-SUM($G72:AF72)-$F72*10%,IF(AG$65="6차중도금",$F72*70%-SUM($G72:AF72)-$F72*10%,0)))</f>
        <v>0</v>
      </c>
      <c r="AH72" s="605">
        <f>IF(AH$65="입주/잔금",($F72-SUM($G72:AG72))*30%,IF(AG$65="입주/잔금",($F72-SUM($G72:AF72))*50%,IF(AF$65="입주/잔금",($F72-SUM($G72:AE72))*20%,IF(AH$65=0,0,IF(AH$65="2차중도금",$F72*30%-SUM($G72:AG72),IF(AH$65="3차중도금",$F72*40%-SUM($G72:AG72),IF(AH$65="4차중도금",$F72*50%-SUM($G72:AG72),$F72*10%)))))))+(IF(AH$65="5차중도금",$F72*60%-SUM($G72:AG72)-$F72*10%,IF(AH$65="6차중도금",$F72*70%-SUM($G72:AG72)-$F72*10%,0)))</f>
        <v>7899618.2488299981</v>
      </c>
      <c r="AI72" s="605">
        <f>IF(AI$65="입주/잔금",($F72-SUM($G72:AH72))*30%,IF(AH$65="입주/잔금",($F72-SUM($G72:AG72))*50%,IF(AG$65="입주/잔금",($F72-SUM($G72:AF72))*20%,IF(AI$65=0,0,IF(AI$65="2차중도금",$F72*30%-SUM($G72:AH72),IF(AI$65="3차중도금",$F72*40%-SUM($G72:AH72),IF(AI$65="4차중도금",$F72*50%-SUM($G72:AH72),$F72*10%)))))))+(IF(AI$65="5차중도금",$F72*60%-SUM($G72:AH72)-$F72*10%,IF(AI$65="6차중도금",$F72*70%-SUM($G72:AH72)-$F72*10%,0)))</f>
        <v>0</v>
      </c>
      <c r="AJ72" s="605">
        <f>IF(AJ$65="입주/잔금",($F72-SUM($G72:AI72))*30%,IF(AI$65="입주/잔금",($F72-SUM($G72:AH72))*50%,IF(AH$65="입주/잔금",($F72-SUM($G72:AG72))*20%,IF(AJ$65=0,0,IF(AJ$65="2차중도금",$F72*30%-SUM($G72:AI72),IF(AJ$65="3차중도금",$F72*40%-SUM($G72:AI72),IF(AJ$65="4차중도금",$F72*50%-SUM($G72:AI72),$F72*10%)))))))+(IF(AJ$65="5차중도금",$F72*60%-SUM($G72:AI72)-$F72*10%,IF(AJ$65="6차중도금",$F72*70%-SUM($G72:AI72)-$F72*10%,0)))</f>
        <v>0</v>
      </c>
      <c r="AK72" s="605">
        <f>IF(AK$65="입주/잔금",($F72-SUM($G72:AJ72))*30%,IF(AJ$65="입주/잔금",($F72-SUM($G72:AI72))*50%,IF(AI$65="입주/잔금",($F72-SUM($G72:AH72))*20%,IF(AK$65=0,0,IF(AK$65="2차중도금",$F72*30%-SUM($G72:AJ72),IF(AK$65="3차중도금",$F72*40%-SUM($G72:AJ72),IF(AK$65="4차중도금",$F72*50%-SUM($G72:AJ72),$F72*10%)))))))+(IF(AK$65="5차중도금",$F72*60%-SUM($G72:AJ72)-$F72*10%,IF(AK$65="6차중도금",$F72*70%-SUM($G72:AJ72)-$F72*10%,0)))</f>
        <v>0</v>
      </c>
      <c r="AL72" s="605">
        <f>IF(AL$65="입주/잔금",($F72-SUM($G72:AK72))*30%,IF(AK$65="입주/잔금",($F72-SUM($G72:AJ72))*50%,IF(AJ$65="입주/잔금",($F72-SUM($G72:AI72))*20%,IF(AL$65=0,0,IF(AL$65="2차중도금",$F72*30%-SUM($G72:AK72),IF(AL$65="3차중도금",$F72*40%-SUM($G72:AK72),IF(AL$65="4차중도금",$F72*50%-SUM($G72:AK72),$F72*10%)))))))+(IF(AL$65="5차중도금",$F72*60%-SUM($G72:AK72)-$F72*10%,IF(AL$65="6차중도금",$F72*70%-SUM($G72:AK72)-$F72*10%,0)))</f>
        <v>0</v>
      </c>
      <c r="AM72" s="605">
        <f>IF(AM$65="입주/잔금",($F72-SUM($G72:AL72))*30%,IF(AL$65="입주/잔금",($F72-SUM($G72:AK72))*50%,IF(AK$65="입주/잔금",($F72-SUM($G72:AJ72))*20%,IF(AM$65=0,0,IF(AM$65="2차중도금",$F72*30%-SUM($G72:AL72),IF(AM$65="3차중도금",$F72*40%-SUM($G72:AL72),IF(AM$65="4차중도금",$F72*50%-SUM($G72:AL72),$F72*10%)))))))+(IF(AM$65="5차중도금",$F72*60%-SUM($G72:AL72)-$F72*10%,IF(AM$65="6차중도금",$F72*70%-SUM($G72:AL72)-$F72*10%,0)))</f>
        <v>7899618.2488299981</v>
      </c>
      <c r="AN72" s="605">
        <f>IF(AN$65="입주/잔금",($F72-SUM($G72:AM72))*30%,IF(AM$65="입주/잔금",($F72-SUM($G72:AL72))*50%,IF(AL$65="입주/잔금",($F72-SUM($G72:AK72))*20%,IF(AN$65=0,0,IF(AN$65="2차중도금",$F72*30%-SUM($G72:AM72),IF(AN$65="3차중도금",$F72*40%-SUM($G72:AM72),IF(AN$65="4차중도금",$F72*50%-SUM($G72:AM72),$F72*10%)))))))+(IF(AN$65="5차중도금",$F72*60%-SUM($G72:AM72)-$F72*10%,IF(AN$65="6차중도금",$F72*70%-SUM($G72:AM72)-$F72*10%,0)))</f>
        <v>0</v>
      </c>
      <c r="AO72" s="605">
        <f>IF(AO$65="입주/잔금",($F72-SUM($G72:AN72))*30%,IF(AN$65="입주/잔금",($F72-SUM($G72:AM72))*50%,IF(AM$65="입주/잔금",($F72-SUM($G72:AL72))*20%,IF(AO$65=0,0,IF(AO$65="2차중도금",$F72*30%-SUM($G72:AN72),IF(AO$65="3차중도금",$F72*40%-SUM($G72:AN72),IF(AO$65="4차중도금",$F72*50%-SUM($G72:AN72),$F72*10%)))))))+(IF(AO$65="5차중도금",$F72*60%-SUM($G72:AN72)-$F72*10%,IF(AO$65="6차중도금",$F72*70%-SUM($G72:AN72)-$F72*10%,0)))</f>
        <v>0</v>
      </c>
      <c r="AP72" s="605">
        <f>IF(AP$65="입주/잔금",($F72-SUM($G72:AO72))*30%,IF(AO$65="입주/잔금",($F72-SUM($G72:AN72))*50%,IF(AN$65="입주/잔금",($F72-SUM($G72:AM72))*20%,IF(AP$65=0,0,IF(AP$65="2차중도금",$F72*30%-SUM($G72:AO72),IF(AP$65="3차중도금",$F72*40%-SUM($G72:AO72),IF(AP$65="4차중도금",$F72*50%-SUM($G72:AO72),$F72*10%)))))))+(IF(AP$65="5차중도금",$F72*60%-SUM($G72:AO72)-$F72*10%,IF(AP$65="6차중도금",$F72*70%-SUM($G72:AO72)-$F72*10%,0)))</f>
        <v>0</v>
      </c>
      <c r="AQ72" s="605">
        <f>IF(AQ$65="입주/잔금",($F72-SUM($G72:AP72))*30%,IF(AP$65="입주/잔금",($F72-SUM($G72:AO72))*50%,IF(AO$65="입주/잔금",($F72-SUM($G72:AN72))*20%,IF(AQ$65=0,0,IF(AQ$65="2차중도금",$F72*30%-SUM($G72:AP72),IF(AQ$65="3차중도금",$F72*40%-SUM($G72:AP72),IF(AQ$65="4차중도금",$F72*50%-SUM($G72:AP72),$F72*10%)))))))+(IF(AQ$65="5차중도금",$F72*60%-SUM($G72:AP72)-$F72*10%,IF(AQ$65="6차중도금",$F72*70%-SUM($G72:AP72)-$F72*10%,0)))</f>
        <v>0</v>
      </c>
      <c r="AR72" s="605">
        <f>IF(AR$65="입주/잔금",($F72-SUM($G72:AQ72))*30%,IF(AQ$65="입주/잔금",($F72-SUM($G72:AP72))*50%,IF(AP$65="입주/잔금",($F72-SUM($G72:AO72))*20%,IF(AR$65=0,0,IF(AR$65="2차중도금",$F72*30%-SUM($G72:AQ72),IF(AR$65="3차중도금",$F72*40%-SUM($G72:AQ72),IF(AR$65="4차중도금",$F72*50%-SUM($G72:AQ72),$F72*10%)))))))+(IF(AR$65="5차중도금",$F72*60%-SUM($G72:AQ72)-$F72*10%,IF(AR$65="6차중도금",$F72*70%-SUM($G72:AQ72)-$F72*10%,0)))</f>
        <v>7109656.4239469981</v>
      </c>
      <c r="AS72" s="605">
        <f>IF(AS$65="입주/잔금",($F72-SUM($G72:AR72))*30%,IF(AR$65="입주/잔금",($F72-SUM($G72:AQ72))*50%,IF(AQ$65="입주/잔금",($F72-SUM($G72:AP72))*20%,IF(AS$65=0,0,IF(AS$65="2차중도금",$F72*30%-SUM($G72:AR72),IF(AS$65="3차중도금",$F72*40%-SUM($G72:AR72),IF(AS$65="4차중도금",$F72*50%-SUM($G72:AR72),$F72*10%)))))))+(IF(AS$65="5차중도금",$F72*60%-SUM($G72:AR72)-$F72*10%,IF(AS$65="6차중도금",$F72*70%-SUM($G72:AR72)-$F72*10%,0)))</f>
        <v>11849427.373244997</v>
      </c>
      <c r="AT72" s="605">
        <f>IF(AT$65="입주/잔금",($F72-SUM($G72:AS72))*30%,IF(AS$65="입주/잔금",($F72-SUM($G72:AR72))*50%,IF(AR$65="입주/잔금",($F72-SUM($G72:AQ72))*20%,IF(AT$65=0,0,IF(AT$65="2차중도금",$F72*30%-SUM($G72:AS72),IF(AT$65="3차중도금",$F72*40%-SUM($G72:AS72),IF(AT$65="4차중도금",$F72*50%-SUM($G72:AS72),$F72*10%)))))))+(IF(AT$65="5차중도금",$F72*60%-SUM($G72:AS72)-$F72*10%,IF(AT$65="6차중도금",$F72*70%-SUM($G72:AS72)-$F72*10%,0)))</f>
        <v>4739770.949297999</v>
      </c>
      <c r="AU72" s="605">
        <f>IF(AU$65="입주/잔금",($F72-SUM($G72:AT72))*30%,IF(AT$65="입주/잔금",($F72-SUM($G72:AS72))*50%,IF(AS$65="입주/잔금",($F72-SUM($G72:AR72))*20%,IF(AU$65=0,0,IF(AU$65="2차중도금",$F72*30%-SUM($G72:AT72),IF(AU$65="3차중도금",$F72*40%-SUM($G72:AT72),IF(AU$65="4차중도금",$F72*50%-SUM($G72:AT72),$F72*10%)))))))+(IF(AU$65="5차중도금",$F72*60%-SUM($G72:AT72)-$F72*10%,IF(AU$65="6차중도금",$F72*70%-SUM($G72:AT72)-$F72*10%,0)))</f>
        <v>0</v>
      </c>
      <c r="AV72" s="605">
        <f>IF(AV$65="입주/잔금",($F72-SUM($G72:AU72))*30%,IF(AU$65="입주/잔금",($F72-SUM($G72:AT72))*50%,IF(AT$65="입주/잔금",($F72-SUM($G72:AS72))*20%,IF(AV$65=0,0,IF(AV$65="2차중도금",$F72*30%-SUM($G72:AU72),IF(AV$65="3차중도금",$F72*40%-SUM($G72:AU72),IF(AV$65="4차중도금",$F72*50%-SUM($G72:AU72),$F72*10%)))))))+(IF(AV$65="5차중도금",$F72*60%-SUM($G72:AU72)-$F72*10%,IF(AV$65="6차중도금",$F72*70%-SUM($G72:AU72)-$F72*10%,0)))</f>
        <v>0</v>
      </c>
      <c r="AW72" s="605">
        <f>IF(AW$65="입주/잔금",($F72-SUM($G72:AV72))*30%,IF(AV$65="입주/잔금",($F72-SUM($G72:AU72))*50%,IF(AU$65="입주/잔금",($F72-SUM($G72:AT72))*20%,IF(AW$65=0,0,IF(AW$65="2차중도금",$F72*30%-SUM($G72:AV72),IF(AW$65="3차중도금",$F72*40%-SUM($G72:AV72),IF(AW$65="4차중도금",$F72*50%-SUM($G72:AV72),$F72*10%)))))))+(IF(AW$65="5차중도금",$F72*60%-SUM($G72:AV72)-$F72*10%,IF(AW$65="6차중도금",$F72*70%-SUM($G72:AV72)-$F72*10%,0)))</f>
        <v>0</v>
      </c>
      <c r="AX72" s="605">
        <f>IF(AX$65="입주/잔금",($F72-SUM($G72:AW72))*30%,IF(AW$65="입주/잔금",($F72-SUM($G72:AV72))*50%,IF(AV$65="입주/잔금",($F72-SUM($G72:AU72))*20%,IF(AX$65=0,0,IF(AX$65="2차중도금",$F72*30%-SUM($G72:AW72),IF(AX$65="3차중도금",$F72*40%-SUM($G72:AW72),IF(AX$65="4차중도금",$F72*50%-SUM($G72:AW72),$F72*10%)))))))+(IF(AX$65="5차중도금",$F72*60%-SUM($G72:AW72)-$F72*10%,IF(AX$65="6차중도금",$F72*70%-SUM($G72:AW72)-$F72*10%,0)))</f>
        <v>0</v>
      </c>
      <c r="AY72" s="605">
        <f>IF(AY$65="입주/잔금",($F72-SUM($G72:AX72))*30%,IF(AX$65="입주/잔금",($F72-SUM($G72:AW72))*50%,IF(AW$65="입주/잔금",($F72-SUM($G72:AV72))*20%,IF(AY$65=0,0,IF(AY$65="2차중도금",$F72*30%-SUM($G72:AX72),IF(AY$65="3차중도금",$F72*40%-SUM($G72:AX72),IF(AY$65="4차중도금",$F72*50%-SUM($G72:AX72),$F72*10%)))))))+(IF(AY$65="5차중도금",$F72*60%-SUM($G72:AX72)-$F72*10%,IF(AY$65="6차중도금",$F72*70%-SUM($G72:AX72)-$F72*10%,0)))</f>
        <v>0</v>
      </c>
      <c r="AZ72" s="605">
        <f>IF(AZ$65="입주/잔금",($F72-SUM($G72:AY72))*30%,IF(AY$65="입주/잔금",($F72-SUM($G72:AX72))*50%,IF(AX$65="입주/잔금",($F72-SUM($G72:AW72))*20%,IF(AZ$65=0,0,IF(AZ$65="2차중도금",$F72*30%-SUM($G72:AY72),IF(AZ$65="3차중도금",$F72*40%-SUM($G72:AY72),IF(AZ$65="4차중도금",$F72*50%-SUM($G72:AY72),$F72*10%)))))))+(IF(AZ$65="5차중도금",$F72*60%-SUM($G72:AY72)-$F72*10%,IF(AZ$65="6차중도금",$F72*70%-SUM($G72:AY72)-$F72*10%,0)))</f>
        <v>0</v>
      </c>
      <c r="BA72" s="605">
        <f>IF(BA$65="입주/잔금",($F72-SUM($G72:AZ72))*30%,IF(AZ$65="입주/잔금",($F72-SUM($G72:AY72))*50%,IF(AY$65="입주/잔금",($F72-SUM($G72:AX72))*20%,IF(BA$65=0,0,IF(BA$65="2차중도금",$F72*30%-SUM($G72:AZ72),IF(BA$65="3차중도금",$F72*40%-SUM($G72:AZ72),IF(BA$65="4차중도금",$F72*50%-SUM($G72:AZ72),$F72*10%)))))))+(IF(BA$65="5차중도금",$F72*60%-SUM($G72:AZ72)-$F72*10%,IF(BA$65="6차중도금",$F72*70%-SUM($G72:AZ72)-$F72*10%,0)))</f>
        <v>0</v>
      </c>
      <c r="BB72" s="605">
        <f>IF(BB$65="입주/잔금",($F72-SUM($G72:BA72))*30%,IF(BA$65="입주/잔금",($F72-SUM($G72:AZ72))*50%,IF(AZ$65="입주/잔금",($F72-SUM($G72:AY72))*20%,IF(BB$65=0,0,IF(BB$65="2차중도금",$F72*30%-SUM($G72:BA72),IF(BB$65="3차중도금",$F72*40%-SUM($G72:BA72),IF(BB$65="4차중도금",$F72*50%-SUM($G72:BA72),$F72*10%)))))))+(IF(BB$65="5차중도금",$F72*60%-SUM($G72:BA72)-$F72*10%,IF(BB$65="6차중도금",$F72*70%-SUM($G72:BA72)-$F72*10%,0)))</f>
        <v>0</v>
      </c>
      <c r="BC72" s="605">
        <f>IF(BC$65="입주/잔금",($F72-SUM($G72:BB72))*30%,IF(BB$65="입주/잔금",($F72-SUM($G72:BA72))*50%,IF(BA$65="입주/잔금",($F72-SUM($G72:AZ72))*20%,IF(BC$65=0,0,IF(BC$65="2차중도금",$F72*30%-SUM($G72:BB72),IF(BC$65="3차중도금",$F72*40%-SUM($G72:BB72),IF(BC$65="4차중도금",$F72*50%-SUM($G72:BB72),$F72*10%)))))))+(IF(BC$65="5차중도금",$F72*60%-SUM($G72:BB72)-$F72*10%,IF(BC$65="6차중도금",$F72*70%-SUM($G72:BB72)-$F72*10%,0)))</f>
        <v>0</v>
      </c>
      <c r="BD72" s="605">
        <f>IF(BD$65="입주/잔금",($F72-SUM($G72:BC72))*30%,IF(BC$65="입주/잔금",($F72-SUM($G72:BB72))*50%,IF(BB$65="입주/잔금",($F72-SUM($G72:BA72))*20%,IF(BD$65=0,0,IF(BD$65="2차중도금",$F72*30%-SUM($G72:BC72),IF(BD$65="3차중도금",$F72*40%-SUM($G72:BC72),IF(BD$65="4차중도금",$F72*50%-SUM($G72:BC72),$F72*10%)))))))+(IF(BD$65="5차중도금",$F72*60%-SUM($G72:BC72)-$F72*10%,IF(BD$65="6차중도금",$F72*70%-SUM($G72:BC72)-$F72*10%,0)))</f>
        <v>0</v>
      </c>
      <c r="BE72" s="605">
        <f>IF(BE$65="입주/잔금",($F72-SUM($G72:BD72))*30%,IF(BD$65="입주/잔금",($F72-SUM($G72:BC72))*50%,IF(BC$65="입주/잔금",($F72-SUM($G72:BB72))*20%,IF(BE$65=0,0,IF(BE$65="2차중도금",$F72*30%-SUM($G72:BD72),IF(BE$65="3차중도금",$F72*40%-SUM($G72:BD72),IF(BE$65="4차중도금",$F72*50%-SUM($G72:BD72),$F72*10%)))))))+(IF(BE$65="5차중도금",$F72*60%-SUM($G72:BD72)-$F72*10%,IF(BE$65="6차중도금",$F72*70%-SUM($G72:BD72)-$F72*10%,0)))</f>
        <v>0</v>
      </c>
      <c r="BF72" s="609">
        <f t="shared" si="30"/>
        <v>78996182.488299981</v>
      </c>
      <c r="BG72" s="556">
        <f t="shared" si="32"/>
        <v>0</v>
      </c>
      <c r="BH72" s="610"/>
    </row>
    <row r="73" spans="1:60">
      <c r="A73" s="1853"/>
      <c r="B73" s="611">
        <f t="shared" si="33"/>
        <v>45047</v>
      </c>
      <c r="C73" s="605">
        <f t="shared" si="34"/>
        <v>157992364.97659996</v>
      </c>
      <c r="D73" s="1501">
        <v>0.15</v>
      </c>
      <c r="E73" s="607">
        <f t="shared" si="35"/>
        <v>0.65</v>
      </c>
      <c r="F73" s="608">
        <f t="shared" si="31"/>
        <v>23698854.746489994</v>
      </c>
      <c r="G73" s="605"/>
      <c r="H73" s="605"/>
      <c r="I73" s="605"/>
      <c r="J73" s="605"/>
      <c r="K73" s="605"/>
      <c r="L73" s="605"/>
      <c r="M73" s="605"/>
      <c r="N73" s="605">
        <f>$F73*10%</f>
        <v>2369885.4746489995</v>
      </c>
      <c r="O73" s="605">
        <f>IF(O$65="입주/잔금",($F73-SUM($G73:N73))*30%,IF(N$65="입주/잔금",($F73-SUM($G73:M73))*50%,IF(M$65="입주/잔금",($F73-SUM($G73:L73))*20%,IF(O$65=0,0,IF(O$65="2차중도금",$F73*30%-SUM($G73:N73),IF(O$65="3차중도금",$F73*40%-SUM($G73:N73),IF(O$65="4차중도금",$F73*50%-SUM($G73:N73),$F73*10%)))))))+(IF(O$65="5차중도금",$F73*60%-SUM($G73:N73)-$F73*10%,IF(O$65="6차중도금",$F73*70%-SUM($G73:N73)-$F73*10%,0)))</f>
        <v>0</v>
      </c>
      <c r="P73" s="605">
        <f>IF(P$65="입주/잔금",($F73-SUM($G73:O73))*30%,IF(O$65="입주/잔금",($F73-SUM($G73:N73))*50%,IF(N$65="입주/잔금",($F73-SUM($G73:M73))*20%,IF(P$65=0,0,IF(P$65="2차중도금",$F73*30%-SUM($G73:O73),IF(P$65="3차중도금",$F73*40%-SUM($G73:O73),IF(P$65="4차중도금",$F73*50%-SUM($G73:O73),$F73*10%)))))))+(IF(P$65="5차중도금",$F73*60%-SUM($G73:O73)-$F73*10%,IF(P$65="6차중도금",$F73*70%-SUM($G73:O73)-$F73*10%,0)))</f>
        <v>0</v>
      </c>
      <c r="Q73" s="605">
        <f>IF(Q$65="입주/잔금",($F73-SUM($G73:P73))*30%,IF(P$65="입주/잔금",($F73-SUM($G73:O73))*50%,IF(O$65="입주/잔금",($F73-SUM($G73:N73))*20%,IF(Q$65=0,0,IF(Q$65="2차중도금",$F73*30%-SUM($G73:P73),IF(Q$65="3차중도금",$F73*40%-SUM($G73:P73),IF(Q$65="4차중도금",$F73*50%-SUM($G73:P73),$F73*10%)))))))+(IF(Q$65="5차중도금",$F73*60%-SUM($G73:P73)-$F73*10%,IF(Q$65="6차중도금",$F73*70%-SUM($G73:P73)-$F73*10%,0)))</f>
        <v>2369885.4746489995</v>
      </c>
      <c r="R73" s="605">
        <f>IF(R$65="입주/잔금",($F73-SUM($G73:Q73))*30%,IF(Q$65="입주/잔금",($F73-SUM($G73:P73))*50%,IF(P$65="입주/잔금",($F73-SUM($G73:O73))*20%,IF(R$65=0,0,IF(R$65="2차중도금",$F73*30%-SUM($G73:Q73),IF(R$65="3차중도금",$F73*40%-SUM($G73:Q73),IF(R$65="4차중도금",$F73*50%-SUM($G73:Q73),$F73*10%)))))))+(IF(R$65="5차중도금",$F73*60%-SUM($G73:Q73)-$F73*10%,IF(R$65="6차중도금",$F73*70%-SUM($G73:Q73)-$F73*10%,0)))</f>
        <v>0</v>
      </c>
      <c r="S73" s="605">
        <f>IF(S$65="입주/잔금",($F73-SUM($G73:R73))*30%,IF(R$65="입주/잔금",($F73-SUM($G73:Q73))*50%,IF(Q$65="입주/잔금",($F73-SUM($G73:P73))*20%,IF(S$65=0,0,IF(S$65="2차중도금",$F73*30%-SUM($G73:R73),IF(S$65="3차중도금",$F73*40%-SUM($G73:R73),IF(S$65="4차중도금",$F73*50%-SUM($G73:R73),$F73*10%)))))))+(IF(S$65="5차중도금",$F73*60%-SUM($G73:R73)-$F73*10%,IF(S$65="6차중도금",$F73*70%-SUM($G73:R73)-$F73*10%,0)))</f>
        <v>0</v>
      </c>
      <c r="T73" s="605">
        <f>IF(T$65="입주/잔금",($F73-SUM($G73:S73))*30%,IF(S$65="입주/잔금",($F73-SUM($G73:R73))*50%,IF(R$65="입주/잔금",($F73-SUM($G73:Q73))*20%,IF(T$65=0,0,IF(T$65="2차중도금",$F73*30%-SUM($G73:S73),IF(T$65="3차중도금",$F73*40%-SUM($G73:S73),IF(T$65="4차중도금",$F73*50%-SUM($G73:S73),$F73*10%)))))))+(IF(T$65="5차중도금",$F73*60%-SUM($G73:S73)-$F73*10%,IF(T$65="6차중도금",$F73*70%-SUM($G73:S73)-$F73*10%,0)))</f>
        <v>0</v>
      </c>
      <c r="U73" s="605">
        <f>IF(U$65="입주/잔금",($F73-SUM($G73:T73))*30%,IF(T$65="입주/잔금",($F73-SUM($G73:S73))*50%,IF(S$65="입주/잔금",($F73-SUM($G73:R73))*20%,IF(U$65=0,0,IF(U$65="2차중도금",$F73*30%-SUM($G73:T73),IF(U$65="3차중도금",$F73*40%-SUM($G73:T73),IF(U$65="4차중도금",$F73*50%-SUM($G73:T73),$F73*10%)))))))+(IF(U$65="5차중도금",$F73*60%-SUM($G73:T73)-$F73*10%,IF(U$65="6차중도금",$F73*70%-SUM($G73:T73)-$F73*10%,0)))</f>
        <v>2369885.4746489991</v>
      </c>
      <c r="V73" s="605">
        <f>IF(V$65="입주/잔금",($F73-SUM($G73:U73))*30%,IF(U$65="입주/잔금",($F73-SUM($G73:T73))*50%,IF(T$65="입주/잔금",($F73-SUM($G73:S73))*20%,IF(V$65=0,0,IF(V$65="2차중도금",$F73*30%-SUM($G73:U73),IF(V$65="3차중도금",$F73*40%-SUM($G73:U73),IF(V$65="4차중도금",$F73*50%-SUM($G73:U73),$F73*10%)))))))+(IF(V$65="5차중도금",$F73*60%-SUM($G73:U73)-$F73*10%,IF(V$65="6차중도금",$F73*70%-SUM($G73:U73)-$F73*10%,0)))</f>
        <v>0</v>
      </c>
      <c r="W73" s="605">
        <f>IF(W$65="입주/잔금",($F73-SUM($G73:V73))*30%,IF(V$65="입주/잔금",($F73-SUM($G73:U73))*50%,IF(U$65="입주/잔금",($F73-SUM($G73:T73))*20%,IF(W$65=0,0,IF(W$65="2차중도금",$F73*30%-SUM($G73:V73),IF(W$65="3차중도금",$F73*40%-SUM($G73:V73),IF(W$65="4차중도금",$F73*50%-SUM($G73:V73),$F73*10%)))))))+(IF(W$65="5차중도금",$F73*60%-SUM($G73:V73)-$F73*10%,IF(W$65="6차중도금",$F73*70%-SUM($G73:V73)-$F73*10%,0)))</f>
        <v>0</v>
      </c>
      <c r="X73" s="605">
        <f>IF(X$65="입주/잔금",($F73-SUM($G73:W73))*30%,IF(W$65="입주/잔금",($F73-SUM($G73:V73))*50%,IF(V$65="입주/잔금",($F73-SUM($G73:U73))*20%,IF(X$65=0,0,IF(X$65="2차중도금",$F73*30%-SUM($G73:W73),IF(X$65="3차중도금",$F73*40%-SUM($G73:W73),IF(X$65="4차중도금",$F73*50%-SUM($G73:W73),$F73*10%)))))))+(IF(X$65="5차중도금",$F73*60%-SUM($G73:W73)-$F73*10%,IF(X$65="6차중도금",$F73*70%-SUM($G73:W73)-$F73*10%,0)))</f>
        <v>0</v>
      </c>
      <c r="Y73" s="605">
        <f>IF(Y$65="입주/잔금",($F73-SUM($G73:X73))*30%,IF(X$65="입주/잔금",($F73-SUM($G73:W73))*50%,IF(W$65="입주/잔금",($F73-SUM($G73:V73))*20%,IF(Y$65=0,0,IF(Y$65="2차중도금",$F73*30%-SUM($G73:X73),IF(Y$65="3차중도금",$F73*40%-SUM($G73:X73),IF(Y$65="4차중도금",$F73*50%-SUM($G73:X73),$F73*10%)))))))+(IF(Y$65="5차중도금",$F73*60%-SUM($G73:X73)-$F73*10%,IF(Y$65="6차중도금",$F73*70%-SUM($G73:X73)-$F73*10%,0)))</f>
        <v>2369885.474649</v>
      </c>
      <c r="Z73" s="605">
        <f>IF(Z$65="입주/잔금",($F73-SUM($G73:Y73))*30%,IF(Y$65="입주/잔금",($F73-SUM($G73:X73))*50%,IF(X$65="입주/잔금",($F73-SUM($G73:W73))*20%,IF(Z$65=0,0,IF(Z$65="2차중도금",$F73*30%-SUM($G73:Y73),IF(Z$65="3차중도금",$F73*40%-SUM($G73:Y73),IF(Z$65="4차중도금",$F73*50%-SUM($G73:Y73),$F73*10%)))))))+(IF(Z$65="5차중도금",$F73*60%-SUM($G73:Y73)-$F73*10%,IF(Z$65="6차중도금",$F73*70%-SUM($G73:Y73)-$F73*10%,0)))</f>
        <v>0</v>
      </c>
      <c r="AA73" s="605">
        <f>IF(AA$65="입주/잔금",($F73-SUM($G73:Z73))*30%,IF(Z$65="입주/잔금",($F73-SUM($G73:Y73))*50%,IF(Y$65="입주/잔금",($F73-SUM($G73:X73))*20%,IF(AA$65=0,0,IF(AA$65="2차중도금",$F73*30%-SUM($G73:Z73),IF(AA$65="3차중도금",$F73*40%-SUM($G73:Z73),IF(AA$65="4차중도금",$F73*50%-SUM($G73:Z73),$F73*10%)))))))+(IF(AA$65="5차중도금",$F73*60%-SUM($G73:Z73)-$F73*10%,IF(AA$65="6차중도금",$F73*70%-SUM($G73:Z73)-$F73*10%,0)))</f>
        <v>0</v>
      </c>
      <c r="AB73" s="605">
        <f>IF(AB$65="입주/잔금",($F73-SUM($G73:AA73))*30%,IF(AA$65="입주/잔금",($F73-SUM($G73:Z73))*50%,IF(Z$65="입주/잔금",($F73-SUM($G73:Y73))*20%,IF(AB$65=0,0,IF(AB$65="2차중도금",$F73*30%-SUM($G73:AA73),IF(AB$65="3차중도금",$F73*40%-SUM($G73:AA73),IF(AB$65="4차중도금",$F73*50%-SUM($G73:AA73),$F73*10%)))))))+(IF(AB$65="5차중도금",$F73*60%-SUM($G73:AA73)-$F73*10%,IF(AB$65="6차중도금",$F73*70%-SUM($G73:AA73)-$F73*10%,0)))</f>
        <v>0</v>
      </c>
      <c r="AC73" s="605">
        <f>IF(AC$65="입주/잔금",($F73-SUM($G73:AB73))*30%,IF(AB$65="입주/잔금",($F73-SUM($G73:AA73))*50%,IF(AA$65="입주/잔금",($F73-SUM($G73:Z73))*20%,IF(AC$65=0,0,IF(AC$65="2차중도금",$F73*30%-SUM($G73:AB73),IF(AC$65="3차중도금",$F73*40%-SUM($G73:AB73),IF(AC$65="4차중도금",$F73*50%-SUM($G73:AB73),$F73*10%)))))))+(IF(AC$65="5차중도금",$F73*60%-SUM($G73:AB73)-$F73*10%,IF(AC$65="6차중도금",$F73*70%-SUM($G73:AB73)-$F73*10%,0)))</f>
        <v>2369885.4746489991</v>
      </c>
      <c r="AD73" s="605">
        <f>IF(AD$65="입주/잔금",($F73-SUM($G73:AC73))*30%,IF(AC$65="입주/잔금",($F73-SUM($G73:AB73))*50%,IF(AB$65="입주/잔금",($F73-SUM($G73:AA73))*20%,IF(AD$65=0,0,IF(AD$65="2차중도금",$F73*30%-SUM($G73:AC73),IF(AD$65="3차중도금",$F73*40%-SUM($G73:AC73),IF(AD$65="4차중도금",$F73*50%-SUM($G73:AC73),$F73*10%)))))))+(IF(AD$65="5차중도금",$F73*60%-SUM($G73:AC73)-$F73*10%,IF(AD$65="6차중도금",$F73*70%-SUM($G73:AC73)-$F73*10%,0)))</f>
        <v>0</v>
      </c>
      <c r="AE73" s="605">
        <f>IF(AE$65="입주/잔금",($F73-SUM($G73:AD73))*30%,IF(AD$65="입주/잔금",($F73-SUM($G73:AC73))*50%,IF(AC$65="입주/잔금",($F73-SUM($G73:AB73))*20%,IF(AE$65=0,0,IF(AE$65="2차중도금",$F73*30%-SUM($G73:AD73),IF(AE$65="3차중도금",$F73*40%-SUM($G73:AD73),IF(AE$65="4차중도금",$F73*50%-SUM($G73:AD73),$F73*10%)))))))+(IF(AE$65="5차중도금",$F73*60%-SUM($G73:AD73)-$F73*10%,IF(AE$65="6차중도금",$F73*70%-SUM($G73:AD73)-$F73*10%,0)))</f>
        <v>0</v>
      </c>
      <c r="AF73" s="605">
        <f>IF(AF$65="입주/잔금",($F73-SUM($G73:AE73))*30%,IF(AE$65="입주/잔금",($F73-SUM($G73:AD73))*50%,IF(AD$65="입주/잔금",($F73-SUM($G73:AC73))*20%,IF(AF$65=0,0,IF(AF$65="2차중도금",$F73*30%-SUM($G73:AE73),IF(AF$65="3차중도금",$F73*40%-SUM($G73:AE73),IF(AF$65="4차중도금",$F73*50%-SUM($G73:AE73),$F73*10%)))))))+(IF(AF$65="5차중도금",$F73*60%-SUM($G73:AE73)-$F73*10%,IF(AF$65="6차중도금",$F73*70%-SUM($G73:AE73)-$F73*10%,0)))</f>
        <v>0</v>
      </c>
      <c r="AG73" s="605">
        <f>IF(AG$65="입주/잔금",($F73-SUM($G73:AF73))*30%,IF(AF$65="입주/잔금",($F73-SUM($G73:AE73))*50%,IF(AE$65="입주/잔금",($F73-SUM($G73:AD73))*20%,IF(AG$65=0,0,IF(AG$65="2차중도금",$F73*30%-SUM($G73:AF73),IF(AG$65="3차중도금",$F73*40%-SUM($G73:AF73),IF(AG$65="4차중도금",$F73*50%-SUM($G73:AF73),$F73*10%)))))))+(IF(AG$65="5차중도금",$F73*60%-SUM($G73:AF73)-$F73*10%,IF(AG$65="6차중도금",$F73*70%-SUM($G73:AF73)-$F73*10%,0)))</f>
        <v>0</v>
      </c>
      <c r="AH73" s="605">
        <f>IF(AH$65="입주/잔금",($F73-SUM($G73:AG73))*30%,IF(AG$65="입주/잔금",($F73-SUM($G73:AF73))*50%,IF(AF$65="입주/잔금",($F73-SUM($G73:AE73))*20%,IF(AH$65=0,0,IF(AH$65="2차중도금",$F73*30%-SUM($G73:AG73),IF(AH$65="3차중도금",$F73*40%-SUM($G73:AG73),IF(AH$65="4차중도금",$F73*50%-SUM($G73:AG73),$F73*10%)))))))+(IF(AH$65="5차중도금",$F73*60%-SUM($G73:AG73)-$F73*10%,IF(AH$65="6차중도금",$F73*70%-SUM($G73:AG73)-$F73*10%,0)))</f>
        <v>2369885.4746489991</v>
      </c>
      <c r="AI73" s="605">
        <f>IF(AI$65="입주/잔금",($F73-SUM($G73:AH73))*30%,IF(AH$65="입주/잔금",($F73-SUM($G73:AG73))*50%,IF(AG$65="입주/잔금",($F73-SUM($G73:AF73))*20%,IF(AI$65=0,0,IF(AI$65="2차중도금",$F73*30%-SUM($G73:AH73),IF(AI$65="3차중도금",$F73*40%-SUM($G73:AH73),IF(AI$65="4차중도금",$F73*50%-SUM($G73:AH73),$F73*10%)))))))+(IF(AI$65="5차중도금",$F73*60%-SUM($G73:AH73)-$F73*10%,IF(AI$65="6차중도금",$F73*70%-SUM($G73:AH73)-$F73*10%,0)))</f>
        <v>0</v>
      </c>
      <c r="AJ73" s="605">
        <f>IF(AJ$65="입주/잔금",($F73-SUM($G73:AI73))*30%,IF(AI$65="입주/잔금",($F73-SUM($G73:AH73))*50%,IF(AH$65="입주/잔금",($F73-SUM($G73:AG73))*20%,IF(AJ$65=0,0,IF(AJ$65="2차중도금",$F73*30%-SUM($G73:AI73),IF(AJ$65="3차중도금",$F73*40%-SUM($G73:AI73),IF(AJ$65="4차중도금",$F73*50%-SUM($G73:AI73),$F73*10%)))))))+(IF(AJ$65="5차중도금",$F73*60%-SUM($G73:AI73)-$F73*10%,IF(AJ$65="6차중도금",$F73*70%-SUM($G73:AI73)-$F73*10%,0)))</f>
        <v>0</v>
      </c>
      <c r="AK73" s="605">
        <f>IF(AK$65="입주/잔금",($F73-SUM($G73:AJ73))*30%,IF(AJ$65="입주/잔금",($F73-SUM($G73:AI73))*50%,IF(AI$65="입주/잔금",($F73-SUM($G73:AH73))*20%,IF(AK$65=0,0,IF(AK$65="2차중도금",$F73*30%-SUM($G73:AJ73),IF(AK$65="3차중도금",$F73*40%-SUM($G73:AJ73),IF(AK$65="4차중도금",$F73*50%-SUM($G73:AJ73),$F73*10%)))))))+(IF(AK$65="5차중도금",$F73*60%-SUM($G73:AJ73)-$F73*10%,IF(AK$65="6차중도금",$F73*70%-SUM($G73:AJ73)-$F73*10%,0)))</f>
        <v>0</v>
      </c>
      <c r="AL73" s="605">
        <f>IF(AL$65="입주/잔금",($F73-SUM($G73:AK73))*30%,IF(AK$65="입주/잔금",($F73-SUM($G73:AJ73))*50%,IF(AJ$65="입주/잔금",($F73-SUM($G73:AI73))*20%,IF(AL$65=0,0,IF(AL$65="2차중도금",$F73*30%-SUM($G73:AK73),IF(AL$65="3차중도금",$F73*40%-SUM($G73:AK73),IF(AL$65="4차중도금",$F73*50%-SUM($G73:AK73),$F73*10%)))))))+(IF(AL$65="5차중도금",$F73*60%-SUM($G73:AK73)-$F73*10%,IF(AL$65="6차중도금",$F73*70%-SUM($G73:AK73)-$F73*10%,0)))</f>
        <v>0</v>
      </c>
      <c r="AM73" s="605">
        <f>IF(AM$65="입주/잔금",($F73-SUM($G73:AL73))*30%,IF(AL$65="입주/잔금",($F73-SUM($G73:AK73))*50%,IF(AK$65="입주/잔금",($F73-SUM($G73:AJ73))*20%,IF(AM$65=0,0,IF(AM$65="2차중도금",$F73*30%-SUM($G73:AL73),IF(AM$65="3차중도금",$F73*40%-SUM($G73:AL73),IF(AM$65="4차중도금",$F73*50%-SUM($G73:AL73),$F73*10%)))))))+(IF(AM$65="5차중도금",$F73*60%-SUM($G73:AL73)-$F73*10%,IF(AM$65="6차중도금",$F73*70%-SUM($G73:AL73)-$F73*10%,0)))</f>
        <v>2369885.4746489991</v>
      </c>
      <c r="AN73" s="605">
        <f>IF(AN$65="입주/잔금",($F73-SUM($G73:AM73))*30%,IF(AM$65="입주/잔금",($F73-SUM($G73:AL73))*50%,IF(AL$65="입주/잔금",($F73-SUM($G73:AK73))*20%,IF(AN$65=0,0,IF(AN$65="2차중도금",$F73*30%-SUM($G73:AM73),IF(AN$65="3차중도금",$F73*40%-SUM($G73:AM73),IF(AN$65="4차중도금",$F73*50%-SUM($G73:AM73),$F73*10%)))))))+(IF(AN$65="5차중도금",$F73*60%-SUM($G73:AM73)-$F73*10%,IF(AN$65="6차중도금",$F73*70%-SUM($G73:AM73)-$F73*10%,0)))</f>
        <v>0</v>
      </c>
      <c r="AO73" s="605">
        <f>IF(AO$65="입주/잔금",($F73-SUM($G73:AN73))*30%,IF(AN$65="입주/잔금",($F73-SUM($G73:AM73))*50%,IF(AM$65="입주/잔금",($F73-SUM($G73:AL73))*20%,IF(AO$65=0,0,IF(AO$65="2차중도금",$F73*30%-SUM($G73:AN73),IF(AO$65="3차중도금",$F73*40%-SUM($G73:AN73),IF(AO$65="4차중도금",$F73*50%-SUM($G73:AN73),$F73*10%)))))))+(IF(AO$65="5차중도금",$F73*60%-SUM($G73:AN73)-$F73*10%,IF(AO$65="6차중도금",$F73*70%-SUM($G73:AN73)-$F73*10%,0)))</f>
        <v>0</v>
      </c>
      <c r="AP73" s="605">
        <f>IF(AP$65="입주/잔금",($F73-SUM($G73:AO73))*30%,IF(AO$65="입주/잔금",($F73-SUM($G73:AN73))*50%,IF(AN$65="입주/잔금",($F73-SUM($G73:AM73))*20%,IF(AP$65=0,0,IF(AP$65="2차중도금",$F73*30%-SUM($G73:AO73),IF(AP$65="3차중도금",$F73*40%-SUM($G73:AO73),IF(AP$65="4차중도금",$F73*50%-SUM($G73:AO73),$F73*10%)))))))+(IF(AP$65="5차중도금",$F73*60%-SUM($G73:AO73)-$F73*10%,IF(AP$65="6차중도금",$F73*70%-SUM($G73:AO73)-$F73*10%,0)))</f>
        <v>0</v>
      </c>
      <c r="AQ73" s="605">
        <f>IF(AQ$65="입주/잔금",($F73-SUM($G73:AP73))*30%,IF(AP$65="입주/잔금",($F73-SUM($G73:AO73))*50%,IF(AO$65="입주/잔금",($F73-SUM($G73:AN73))*20%,IF(AQ$65=0,0,IF(AQ$65="2차중도금",$F73*30%-SUM($G73:AP73),IF(AQ$65="3차중도금",$F73*40%-SUM($G73:AP73),IF(AQ$65="4차중도금",$F73*50%-SUM($G73:AP73),$F73*10%)))))))+(IF(AQ$65="5차중도금",$F73*60%-SUM($G73:AP73)-$F73*10%,IF(AQ$65="6차중도금",$F73*70%-SUM($G73:AP73)-$F73*10%,0)))</f>
        <v>0</v>
      </c>
      <c r="AR73" s="605">
        <f>IF(AR$65="입주/잔금",($F73-SUM($G73:AQ73))*30%,IF(AQ$65="입주/잔금",($F73-SUM($G73:AP73))*50%,IF(AP$65="입주/잔금",($F73-SUM($G73:AO73))*20%,IF(AR$65=0,0,IF(AR$65="2차중도금",$F73*30%-SUM($G73:AQ73),IF(AR$65="3차중도금",$F73*40%-SUM($G73:AQ73),IF(AR$65="4차중도금",$F73*50%-SUM($G73:AQ73),$F73*10%)))))))+(IF(AR$65="5차중도금",$F73*60%-SUM($G73:AQ73)-$F73*10%,IF(AR$65="6차중도금",$F73*70%-SUM($G73:AQ73)-$F73*10%,0)))</f>
        <v>2132896.9271840998</v>
      </c>
      <c r="AS73" s="605">
        <f>IF(AS$65="입주/잔금",($F73-SUM($G73:AR73))*30%,IF(AR$65="입주/잔금",($F73-SUM($G73:AQ73))*50%,IF(AQ$65="입주/잔금",($F73-SUM($G73:AP73))*20%,IF(AS$65=0,0,IF(AS$65="2차중도금",$F73*30%-SUM($G73:AR73),IF(AS$65="3차중도금",$F73*40%-SUM($G73:AR73),IF(AS$65="4차중도금",$F73*50%-SUM($G73:AR73),$F73*10%)))))))+(IF(AS$65="5차중도금",$F73*60%-SUM($G73:AR73)-$F73*10%,IF(AS$65="6차중도금",$F73*70%-SUM($G73:AR73)-$F73*10%,0)))</f>
        <v>3554828.2119734995</v>
      </c>
      <c r="AT73" s="605">
        <f>IF(AT$65="입주/잔금",($F73-SUM($G73:AS73))*30%,IF(AS$65="입주/잔금",($F73-SUM($G73:AR73))*50%,IF(AR$65="입주/잔금",($F73-SUM($G73:AQ73))*20%,IF(AT$65=0,0,IF(AT$65="2차중도금",$F73*30%-SUM($G73:AS73),IF(AT$65="3차중도금",$F73*40%-SUM($G73:AS73),IF(AT$65="4차중도금",$F73*50%-SUM($G73:AS73),$F73*10%)))))))+(IF(AT$65="5차중도금",$F73*60%-SUM($G73:AS73)-$F73*10%,IF(AT$65="6차중도금",$F73*70%-SUM($G73:AS73)-$F73*10%,0)))</f>
        <v>1421931.2847893999</v>
      </c>
      <c r="AU73" s="605">
        <f>IF(AU$65="입주/잔금",($F73-SUM($G73:AT73))*30%,IF(AT$65="입주/잔금",($F73-SUM($G73:AS73))*50%,IF(AS$65="입주/잔금",($F73-SUM($G73:AR73))*20%,IF(AU$65=0,0,IF(AU$65="2차중도금",$F73*30%-SUM($G73:AT73),IF(AU$65="3차중도금",$F73*40%-SUM($G73:AT73),IF(AU$65="4차중도금",$F73*50%-SUM($G73:AT73),$F73*10%)))))))+(IF(AU$65="5차중도금",$F73*60%-SUM($G73:AT73)-$F73*10%,IF(AU$65="6차중도금",$F73*70%-SUM($G73:AT73)-$F73*10%,0)))</f>
        <v>0</v>
      </c>
      <c r="AV73" s="605">
        <f>IF(AV$65="입주/잔금",($F73-SUM($G73:AU73))*30%,IF(AU$65="입주/잔금",($F73-SUM($G73:AT73))*50%,IF(AT$65="입주/잔금",($F73-SUM($G73:AS73))*20%,IF(AV$65=0,0,IF(AV$65="2차중도금",$F73*30%-SUM($G73:AU73),IF(AV$65="3차중도금",$F73*40%-SUM($G73:AU73),IF(AV$65="4차중도금",$F73*50%-SUM($G73:AU73),$F73*10%)))))))+(IF(AV$65="5차중도금",$F73*60%-SUM($G73:AU73)-$F73*10%,IF(AV$65="6차중도금",$F73*70%-SUM($G73:AU73)-$F73*10%,0)))</f>
        <v>0</v>
      </c>
      <c r="AW73" s="605">
        <f>IF(AW$65="입주/잔금",($F73-SUM($G73:AV73))*30%,IF(AV$65="입주/잔금",($F73-SUM($G73:AU73))*50%,IF(AU$65="입주/잔금",($F73-SUM($G73:AT73))*20%,IF(AW$65=0,0,IF(AW$65="2차중도금",$F73*30%-SUM($G73:AV73),IF(AW$65="3차중도금",$F73*40%-SUM($G73:AV73),IF(AW$65="4차중도금",$F73*50%-SUM($G73:AV73),$F73*10%)))))))+(IF(AW$65="5차중도금",$F73*60%-SUM($G73:AV73)-$F73*10%,IF(AW$65="6차중도금",$F73*70%-SUM($G73:AV73)-$F73*10%,0)))</f>
        <v>0</v>
      </c>
      <c r="AX73" s="605">
        <f>IF(AX$65="입주/잔금",($F73-SUM($G73:AW73))*30%,IF(AW$65="입주/잔금",($F73-SUM($G73:AV73))*50%,IF(AV$65="입주/잔금",($F73-SUM($G73:AU73))*20%,IF(AX$65=0,0,IF(AX$65="2차중도금",$F73*30%-SUM($G73:AW73),IF(AX$65="3차중도금",$F73*40%-SUM($G73:AW73),IF(AX$65="4차중도금",$F73*50%-SUM($G73:AW73),$F73*10%)))))))+(IF(AX$65="5차중도금",$F73*60%-SUM($G73:AW73)-$F73*10%,IF(AX$65="6차중도금",$F73*70%-SUM($G73:AW73)-$F73*10%,0)))</f>
        <v>0</v>
      </c>
      <c r="AY73" s="605">
        <f>IF(AY$65="입주/잔금",($F73-SUM($G73:AX73))*30%,IF(AX$65="입주/잔금",($F73-SUM($G73:AW73))*50%,IF(AW$65="입주/잔금",($F73-SUM($G73:AV73))*20%,IF(AY$65=0,0,IF(AY$65="2차중도금",$F73*30%-SUM($G73:AX73),IF(AY$65="3차중도금",$F73*40%-SUM($G73:AX73),IF(AY$65="4차중도금",$F73*50%-SUM($G73:AX73),$F73*10%)))))))+(IF(AY$65="5차중도금",$F73*60%-SUM($G73:AX73)-$F73*10%,IF(AY$65="6차중도금",$F73*70%-SUM($G73:AX73)-$F73*10%,0)))</f>
        <v>0</v>
      </c>
      <c r="AZ73" s="605">
        <f>IF(AZ$65="입주/잔금",($F73-SUM($G73:AY73))*30%,IF(AY$65="입주/잔금",($F73-SUM($G73:AX73))*50%,IF(AX$65="입주/잔금",($F73-SUM($G73:AW73))*20%,IF(AZ$65=0,0,IF(AZ$65="2차중도금",$F73*30%-SUM($G73:AY73),IF(AZ$65="3차중도금",$F73*40%-SUM($G73:AY73),IF(AZ$65="4차중도금",$F73*50%-SUM($G73:AY73),$F73*10%)))))))+(IF(AZ$65="5차중도금",$F73*60%-SUM($G73:AY73)-$F73*10%,IF(AZ$65="6차중도금",$F73*70%-SUM($G73:AY73)-$F73*10%,0)))</f>
        <v>0</v>
      </c>
      <c r="BA73" s="605">
        <f>IF(BA$65="입주/잔금",($F73-SUM($G73:AZ73))*30%,IF(AZ$65="입주/잔금",($F73-SUM($G73:AY73))*50%,IF(AY$65="입주/잔금",($F73-SUM($G73:AX73))*20%,IF(BA$65=0,0,IF(BA$65="2차중도금",$F73*30%-SUM($G73:AZ73),IF(BA$65="3차중도금",$F73*40%-SUM($G73:AZ73),IF(BA$65="4차중도금",$F73*50%-SUM($G73:AZ73),$F73*10%)))))))+(IF(BA$65="5차중도금",$F73*60%-SUM($G73:AZ73)-$F73*10%,IF(BA$65="6차중도금",$F73*70%-SUM($G73:AZ73)-$F73*10%,0)))</f>
        <v>0</v>
      </c>
      <c r="BB73" s="605">
        <f>IF(BB$65="입주/잔금",($F73-SUM($G73:BA73))*30%,IF(BA$65="입주/잔금",($F73-SUM($G73:AZ73))*50%,IF(AZ$65="입주/잔금",($F73-SUM($G73:AY73))*20%,IF(BB$65=0,0,IF(BB$65="2차중도금",$F73*30%-SUM($G73:BA73),IF(BB$65="3차중도금",$F73*40%-SUM($G73:BA73),IF(BB$65="4차중도금",$F73*50%-SUM($G73:BA73),$F73*10%)))))))+(IF(BB$65="5차중도금",$F73*60%-SUM($G73:BA73)-$F73*10%,IF(BB$65="6차중도금",$F73*70%-SUM($G73:BA73)-$F73*10%,0)))</f>
        <v>0</v>
      </c>
      <c r="BC73" s="605">
        <f>IF(BC$65="입주/잔금",($F73-SUM($G73:BB73))*30%,IF(BB$65="입주/잔금",($F73-SUM($G73:BA73))*50%,IF(BA$65="입주/잔금",($F73-SUM($G73:AZ73))*20%,IF(BC$65=0,0,IF(BC$65="2차중도금",$F73*30%-SUM($G73:BB73),IF(BC$65="3차중도금",$F73*40%-SUM($G73:BB73),IF(BC$65="4차중도금",$F73*50%-SUM($G73:BB73),$F73*10%)))))))+(IF(BC$65="5차중도금",$F73*60%-SUM($G73:BB73)-$F73*10%,IF(BC$65="6차중도금",$F73*70%-SUM($G73:BB73)-$F73*10%,0)))</f>
        <v>0</v>
      </c>
      <c r="BD73" s="605">
        <f>IF(BD$65="입주/잔금",($F73-SUM($G73:BC73))*30%,IF(BC$65="입주/잔금",($F73-SUM($G73:BB73))*50%,IF(BB$65="입주/잔금",($F73-SUM($G73:BA73))*20%,IF(BD$65=0,0,IF(BD$65="2차중도금",$F73*30%-SUM($G73:BC73),IF(BD$65="3차중도금",$F73*40%-SUM($G73:BC73),IF(BD$65="4차중도금",$F73*50%-SUM($G73:BC73),$F73*10%)))))))+(IF(BD$65="5차중도금",$F73*60%-SUM($G73:BC73)-$F73*10%,IF(BD$65="6차중도금",$F73*70%-SUM($G73:BC73)-$F73*10%,0)))</f>
        <v>0</v>
      </c>
      <c r="BE73" s="605">
        <f>IF(BE$65="입주/잔금",($F73-SUM($G73:BD73))*30%,IF(BD$65="입주/잔금",($F73-SUM($G73:BC73))*50%,IF(BC$65="입주/잔금",($F73-SUM($G73:BB73))*20%,IF(BE$65=0,0,IF(BE$65="2차중도금",$F73*30%-SUM($G73:BD73),IF(BE$65="3차중도금",$F73*40%-SUM($G73:BD73),IF(BE$65="4차중도금",$F73*50%-SUM($G73:BD73),$F73*10%)))))))+(IF(BE$65="5차중도금",$F73*60%-SUM($G73:BD73)-$F73*10%,IF(BE$65="6차중도금",$F73*70%-SUM($G73:BD73)-$F73*10%,0)))</f>
        <v>0</v>
      </c>
      <c r="BF73" s="609">
        <f t="shared" si="30"/>
        <v>23698854.746489994</v>
      </c>
      <c r="BG73" s="556">
        <f t="shared" si="32"/>
        <v>0</v>
      </c>
      <c r="BH73" s="610"/>
    </row>
    <row r="74" spans="1:60">
      <c r="A74" s="1853"/>
      <c r="B74" s="611">
        <f t="shared" si="33"/>
        <v>45078</v>
      </c>
      <c r="C74" s="605">
        <f t="shared" si="34"/>
        <v>157992364.97659996</v>
      </c>
      <c r="D74" s="1501">
        <v>0.05</v>
      </c>
      <c r="E74" s="607">
        <f t="shared" si="35"/>
        <v>0.70000000000000007</v>
      </c>
      <c r="F74" s="608">
        <f t="shared" si="31"/>
        <v>7899618.2488299981</v>
      </c>
      <c r="G74" s="605"/>
      <c r="H74" s="605"/>
      <c r="I74" s="605"/>
      <c r="J74" s="605"/>
      <c r="K74" s="605"/>
      <c r="L74" s="605"/>
      <c r="M74" s="605"/>
      <c r="N74" s="605"/>
      <c r="O74" s="605">
        <f>$F74*10%</f>
        <v>789961.82488299988</v>
      </c>
      <c r="P74" s="605">
        <f>IF(P$65="입주/잔금",($F74-SUM($G74:O74))*30%,IF(O$65="입주/잔금",($F74-SUM($G74:N74))*50%,IF(N$65="입주/잔금",($F74-SUM($G74:M74))*20%,IF(P$65=0,0,IF(P$65="2차중도금",$F74*30%-SUM($G74:O74),IF(P$65="3차중도금",$F74*40%-SUM($G74:O74),IF(P$65="4차중도금",$F74*50%-SUM($G74:O74),$F74*10%)))))))+(IF(P$65="5차중도금",$F74*60%-SUM($G74:O74)-$F74*10%,IF(P$65="6차중도금",$F74*70%-SUM($G74:O74)-$F74*10%,0)))</f>
        <v>0</v>
      </c>
      <c r="Q74" s="605">
        <f>IF(Q$65="입주/잔금",($F74-SUM($G74:P74))*30%,IF(P$65="입주/잔금",($F74-SUM($G74:O74))*50%,IF(O$65="입주/잔금",($F74-SUM($G74:N74))*20%,IF(Q$65=0,0,IF(Q$65="2차중도금",$F74*30%-SUM($G74:P74),IF(Q$65="3차중도금",$F74*40%-SUM($G74:P74),IF(Q$65="4차중도금",$F74*50%-SUM($G74:P74),$F74*10%)))))))+(IF(Q$65="5차중도금",$F74*60%-SUM($G74:P74)-$F74*10%,IF(Q$65="6차중도금",$F74*70%-SUM($G74:P74)-$F74*10%,0)))</f>
        <v>789961.82488299988</v>
      </c>
      <c r="R74" s="605">
        <f>IF(R$65="입주/잔금",($F74-SUM($G74:Q74))*30%,IF(Q$65="입주/잔금",($F74-SUM($G74:P74))*50%,IF(P$65="입주/잔금",($F74-SUM($G74:O74))*20%,IF(R$65=0,0,IF(R$65="2차중도금",$F74*30%-SUM($G74:Q74),IF(R$65="3차중도금",$F74*40%-SUM($G74:Q74),IF(R$65="4차중도금",$F74*50%-SUM($G74:Q74),$F74*10%)))))))+(IF(R$65="5차중도금",$F74*60%-SUM($G74:Q74)-$F74*10%,IF(R$65="6차중도금",$F74*70%-SUM($G74:Q74)-$F74*10%,0)))</f>
        <v>0</v>
      </c>
      <c r="S74" s="605">
        <f>IF(S$65="입주/잔금",($F74-SUM($G74:R74))*30%,IF(R$65="입주/잔금",($F74-SUM($G74:Q74))*50%,IF(Q$65="입주/잔금",($F74-SUM($G74:P74))*20%,IF(S$65=0,0,IF(S$65="2차중도금",$F74*30%-SUM($G74:R74),IF(S$65="3차중도금",$F74*40%-SUM($G74:R74),IF(S$65="4차중도금",$F74*50%-SUM($G74:R74),$F74*10%)))))))+(IF(S$65="5차중도금",$F74*60%-SUM($G74:R74)-$F74*10%,IF(S$65="6차중도금",$F74*70%-SUM($G74:R74)-$F74*10%,0)))</f>
        <v>0</v>
      </c>
      <c r="T74" s="605">
        <f>IF(T$65="입주/잔금",($F74-SUM($G74:S74))*30%,IF(S$65="입주/잔금",($F74-SUM($G74:R74))*50%,IF(R$65="입주/잔금",($F74-SUM($G74:Q74))*20%,IF(T$65=0,0,IF(T$65="2차중도금",$F74*30%-SUM($G74:S74),IF(T$65="3차중도금",$F74*40%-SUM($G74:S74),IF(T$65="4차중도금",$F74*50%-SUM($G74:S74),$F74*10%)))))))+(IF(T$65="5차중도금",$F74*60%-SUM($G74:S74)-$F74*10%,IF(T$65="6차중도금",$F74*70%-SUM($G74:S74)-$F74*10%,0)))</f>
        <v>0</v>
      </c>
      <c r="U74" s="605">
        <f>IF(U$65="입주/잔금",($F74-SUM($G74:T74))*30%,IF(T$65="입주/잔금",($F74-SUM($G74:S74))*50%,IF(S$65="입주/잔금",($F74-SUM($G74:R74))*20%,IF(U$65=0,0,IF(U$65="2차중도금",$F74*30%-SUM($G74:T74),IF(U$65="3차중도금",$F74*40%-SUM($G74:T74),IF(U$65="4차중도금",$F74*50%-SUM($G74:T74),$F74*10%)))))))+(IF(U$65="5차중도금",$F74*60%-SUM($G74:T74)-$F74*10%,IF(U$65="6차중도금",$F74*70%-SUM($G74:T74)-$F74*10%,0)))</f>
        <v>789961.82488299976</v>
      </c>
      <c r="V74" s="605">
        <f>IF(V$65="입주/잔금",($F74-SUM($G74:U74))*30%,IF(U$65="입주/잔금",($F74-SUM($G74:T74))*50%,IF(T$65="입주/잔금",($F74-SUM($G74:S74))*20%,IF(V$65=0,0,IF(V$65="2차중도금",$F74*30%-SUM($G74:U74),IF(V$65="3차중도금",$F74*40%-SUM($G74:U74),IF(V$65="4차중도금",$F74*50%-SUM($G74:U74),$F74*10%)))))))+(IF(V$65="5차중도금",$F74*60%-SUM($G74:U74)-$F74*10%,IF(V$65="6차중도금",$F74*70%-SUM($G74:U74)-$F74*10%,0)))</f>
        <v>0</v>
      </c>
      <c r="W74" s="605">
        <f>IF(W$65="입주/잔금",($F74-SUM($G74:V74))*30%,IF(V$65="입주/잔금",($F74-SUM($G74:U74))*50%,IF(U$65="입주/잔금",($F74-SUM($G74:T74))*20%,IF(W$65=0,0,IF(W$65="2차중도금",$F74*30%-SUM($G74:V74),IF(W$65="3차중도금",$F74*40%-SUM($G74:V74),IF(W$65="4차중도금",$F74*50%-SUM($G74:V74),$F74*10%)))))))+(IF(W$65="5차중도금",$F74*60%-SUM($G74:V74)-$F74*10%,IF(W$65="6차중도금",$F74*70%-SUM($G74:V74)-$F74*10%,0)))</f>
        <v>0</v>
      </c>
      <c r="X74" s="605">
        <f>IF(X$65="입주/잔금",($F74-SUM($G74:W74))*30%,IF(W$65="입주/잔금",($F74-SUM($G74:V74))*50%,IF(V$65="입주/잔금",($F74-SUM($G74:U74))*20%,IF(X$65=0,0,IF(X$65="2차중도금",$F74*30%-SUM($G74:W74),IF(X$65="3차중도금",$F74*40%-SUM($G74:W74),IF(X$65="4차중도금",$F74*50%-SUM($G74:W74),$F74*10%)))))))+(IF(X$65="5차중도금",$F74*60%-SUM($G74:W74)-$F74*10%,IF(X$65="6차중도금",$F74*70%-SUM($G74:W74)-$F74*10%,0)))</f>
        <v>0</v>
      </c>
      <c r="Y74" s="605">
        <f>IF(Y$65="입주/잔금",($F74-SUM($G74:X74))*30%,IF(X$65="입주/잔금",($F74-SUM($G74:W74))*50%,IF(W$65="입주/잔금",($F74-SUM($G74:V74))*20%,IF(Y$65=0,0,IF(Y$65="2차중도금",$F74*30%-SUM($G74:X74),IF(Y$65="3차중도금",$F74*40%-SUM($G74:X74),IF(Y$65="4차중도금",$F74*50%-SUM($G74:X74),$F74*10%)))))))+(IF(Y$65="5차중도금",$F74*60%-SUM($G74:X74)-$F74*10%,IF(Y$65="6차중도금",$F74*70%-SUM($G74:X74)-$F74*10%,0)))</f>
        <v>789961.82488299999</v>
      </c>
      <c r="Z74" s="605">
        <f>IF(Z$65="입주/잔금",($F74-SUM($G74:Y74))*30%,IF(Y$65="입주/잔금",($F74-SUM($G74:X74))*50%,IF(X$65="입주/잔금",($F74-SUM($G74:W74))*20%,IF(Z$65=0,0,IF(Z$65="2차중도금",$F74*30%-SUM($G74:Y74),IF(Z$65="3차중도금",$F74*40%-SUM($G74:Y74),IF(Z$65="4차중도금",$F74*50%-SUM($G74:Y74),$F74*10%)))))))+(IF(Z$65="5차중도금",$F74*60%-SUM($G74:Y74)-$F74*10%,IF(Z$65="6차중도금",$F74*70%-SUM($G74:Y74)-$F74*10%,0)))</f>
        <v>0</v>
      </c>
      <c r="AA74" s="605">
        <f>IF(AA$65="입주/잔금",($F74-SUM($G74:Z74))*30%,IF(Z$65="입주/잔금",($F74-SUM($G74:Y74))*50%,IF(Y$65="입주/잔금",($F74-SUM($G74:X74))*20%,IF(AA$65=0,0,IF(AA$65="2차중도금",$F74*30%-SUM($G74:Z74),IF(AA$65="3차중도금",$F74*40%-SUM($G74:Z74),IF(AA$65="4차중도금",$F74*50%-SUM($G74:Z74),$F74*10%)))))))+(IF(AA$65="5차중도금",$F74*60%-SUM($G74:Z74)-$F74*10%,IF(AA$65="6차중도금",$F74*70%-SUM($G74:Z74)-$F74*10%,0)))</f>
        <v>0</v>
      </c>
      <c r="AB74" s="605">
        <f>IF(AB$65="입주/잔금",($F74-SUM($G74:AA74))*30%,IF(AA$65="입주/잔금",($F74-SUM($G74:Z74))*50%,IF(Z$65="입주/잔금",($F74-SUM($G74:Y74))*20%,IF(AB$65=0,0,IF(AB$65="2차중도금",$F74*30%-SUM($G74:AA74),IF(AB$65="3차중도금",$F74*40%-SUM($G74:AA74),IF(AB$65="4차중도금",$F74*50%-SUM($G74:AA74),$F74*10%)))))))+(IF(AB$65="5차중도금",$F74*60%-SUM($G74:AA74)-$F74*10%,IF(AB$65="6차중도금",$F74*70%-SUM($G74:AA74)-$F74*10%,0)))</f>
        <v>0</v>
      </c>
      <c r="AC74" s="605">
        <f>IF(AC$65="입주/잔금",($F74-SUM($G74:AB74))*30%,IF(AB$65="입주/잔금",($F74-SUM($G74:AA74))*50%,IF(AA$65="입주/잔금",($F74-SUM($G74:Z74))*20%,IF(AC$65=0,0,IF(AC$65="2차중도금",$F74*30%-SUM($G74:AB74),IF(AC$65="3차중도금",$F74*40%-SUM($G74:AB74),IF(AC$65="4차중도금",$F74*50%-SUM($G74:AB74),$F74*10%)))))))+(IF(AC$65="5차중도금",$F74*60%-SUM($G74:AB74)-$F74*10%,IF(AC$65="6차중도금",$F74*70%-SUM($G74:AB74)-$F74*10%,0)))</f>
        <v>789961.82488299953</v>
      </c>
      <c r="AD74" s="605">
        <f>IF(AD$65="입주/잔금",($F74-SUM($G74:AC74))*30%,IF(AC$65="입주/잔금",($F74-SUM($G74:AB74))*50%,IF(AB$65="입주/잔금",($F74-SUM($G74:AA74))*20%,IF(AD$65=0,0,IF(AD$65="2차중도금",$F74*30%-SUM($G74:AC74),IF(AD$65="3차중도금",$F74*40%-SUM($G74:AC74),IF(AD$65="4차중도금",$F74*50%-SUM($G74:AC74),$F74*10%)))))))+(IF(AD$65="5차중도금",$F74*60%-SUM($G74:AC74)-$F74*10%,IF(AD$65="6차중도금",$F74*70%-SUM($G74:AC74)-$F74*10%,0)))</f>
        <v>0</v>
      </c>
      <c r="AE74" s="605">
        <f>IF(AE$65="입주/잔금",($F74-SUM($G74:AD74))*30%,IF(AD$65="입주/잔금",($F74-SUM($G74:AC74))*50%,IF(AC$65="입주/잔금",($F74-SUM($G74:AB74))*20%,IF(AE$65=0,0,IF(AE$65="2차중도금",$F74*30%-SUM($G74:AD74),IF(AE$65="3차중도금",$F74*40%-SUM($G74:AD74),IF(AE$65="4차중도금",$F74*50%-SUM($G74:AD74),$F74*10%)))))))+(IF(AE$65="5차중도금",$F74*60%-SUM($G74:AD74)-$F74*10%,IF(AE$65="6차중도금",$F74*70%-SUM($G74:AD74)-$F74*10%,0)))</f>
        <v>0</v>
      </c>
      <c r="AF74" s="605">
        <f>IF(AF$65="입주/잔금",($F74-SUM($G74:AE74))*30%,IF(AE$65="입주/잔금",($F74-SUM($G74:AD74))*50%,IF(AD$65="입주/잔금",($F74-SUM($G74:AC74))*20%,IF(AF$65=0,0,IF(AF$65="2차중도금",$F74*30%-SUM($G74:AE74),IF(AF$65="3차중도금",$F74*40%-SUM($G74:AE74),IF(AF$65="4차중도금",$F74*50%-SUM($G74:AE74),$F74*10%)))))))+(IF(AF$65="5차중도금",$F74*60%-SUM($G74:AE74)-$F74*10%,IF(AF$65="6차중도금",$F74*70%-SUM($G74:AE74)-$F74*10%,0)))</f>
        <v>0</v>
      </c>
      <c r="AG74" s="605">
        <f>IF(AG$65="입주/잔금",($F74-SUM($G74:AF74))*30%,IF(AF$65="입주/잔금",($F74-SUM($G74:AE74))*50%,IF(AE$65="입주/잔금",($F74-SUM($G74:AD74))*20%,IF(AG$65=0,0,IF(AG$65="2차중도금",$F74*30%-SUM($G74:AF74),IF(AG$65="3차중도금",$F74*40%-SUM($G74:AF74),IF(AG$65="4차중도금",$F74*50%-SUM($G74:AF74),$F74*10%)))))))+(IF(AG$65="5차중도금",$F74*60%-SUM($G74:AF74)-$F74*10%,IF(AG$65="6차중도금",$F74*70%-SUM($G74:AF74)-$F74*10%,0)))</f>
        <v>0</v>
      </c>
      <c r="AH74" s="605">
        <f>IF(AH$65="입주/잔금",($F74-SUM($G74:AG74))*30%,IF(AG$65="입주/잔금",($F74-SUM($G74:AF74))*50%,IF(AF$65="입주/잔금",($F74-SUM($G74:AE74))*20%,IF(AH$65=0,0,IF(AH$65="2차중도금",$F74*30%-SUM($G74:AG74),IF(AH$65="3차중도금",$F74*40%-SUM($G74:AG74),IF(AH$65="4차중도금",$F74*50%-SUM($G74:AG74),$F74*10%)))))))+(IF(AH$65="5차중도금",$F74*60%-SUM($G74:AG74)-$F74*10%,IF(AH$65="6차중도금",$F74*70%-SUM($G74:AG74)-$F74*10%,0)))</f>
        <v>789961.82488299999</v>
      </c>
      <c r="AI74" s="605">
        <f>IF(AI$65="입주/잔금",($F74-SUM($G74:AH74))*30%,IF(AH$65="입주/잔금",($F74-SUM($G74:AG74))*50%,IF(AG$65="입주/잔금",($F74-SUM($G74:AF74))*20%,IF(AI$65=0,0,IF(AI$65="2차중도금",$F74*30%-SUM($G74:AH74),IF(AI$65="3차중도금",$F74*40%-SUM($G74:AH74),IF(AI$65="4차중도금",$F74*50%-SUM($G74:AH74),$F74*10%)))))))+(IF(AI$65="5차중도금",$F74*60%-SUM($G74:AH74)-$F74*10%,IF(AI$65="6차중도금",$F74*70%-SUM($G74:AH74)-$F74*10%,0)))</f>
        <v>0</v>
      </c>
      <c r="AJ74" s="605">
        <f>IF(AJ$65="입주/잔금",($F74-SUM($G74:AI74))*30%,IF(AI$65="입주/잔금",($F74-SUM($G74:AH74))*50%,IF(AH$65="입주/잔금",($F74-SUM($G74:AG74))*20%,IF(AJ$65=0,0,IF(AJ$65="2차중도금",$F74*30%-SUM($G74:AI74),IF(AJ$65="3차중도금",$F74*40%-SUM($G74:AI74),IF(AJ$65="4차중도금",$F74*50%-SUM($G74:AI74),$F74*10%)))))))+(IF(AJ$65="5차중도금",$F74*60%-SUM($G74:AI74)-$F74*10%,IF(AJ$65="6차중도금",$F74*70%-SUM($G74:AI74)-$F74*10%,0)))</f>
        <v>0</v>
      </c>
      <c r="AK74" s="605">
        <f>IF(AK$65="입주/잔금",($F74-SUM($G74:AJ74))*30%,IF(AJ$65="입주/잔금",($F74-SUM($G74:AI74))*50%,IF(AI$65="입주/잔금",($F74-SUM($G74:AH74))*20%,IF(AK$65=0,0,IF(AK$65="2차중도금",$F74*30%-SUM($G74:AJ74),IF(AK$65="3차중도금",$F74*40%-SUM($G74:AJ74),IF(AK$65="4차중도금",$F74*50%-SUM($G74:AJ74),$F74*10%)))))))+(IF(AK$65="5차중도금",$F74*60%-SUM($G74:AJ74)-$F74*10%,IF(AK$65="6차중도금",$F74*70%-SUM($G74:AJ74)-$F74*10%,0)))</f>
        <v>0</v>
      </c>
      <c r="AL74" s="605">
        <f>IF(AL$65="입주/잔금",($F74-SUM($G74:AK74))*30%,IF(AK$65="입주/잔금",($F74-SUM($G74:AJ74))*50%,IF(AJ$65="입주/잔금",($F74-SUM($G74:AI74))*20%,IF(AL$65=0,0,IF(AL$65="2차중도금",$F74*30%-SUM($G74:AK74),IF(AL$65="3차중도금",$F74*40%-SUM($G74:AK74),IF(AL$65="4차중도금",$F74*50%-SUM($G74:AK74),$F74*10%)))))))+(IF(AL$65="5차중도금",$F74*60%-SUM($G74:AK74)-$F74*10%,IF(AL$65="6차중도금",$F74*70%-SUM($G74:AK74)-$F74*10%,0)))</f>
        <v>0</v>
      </c>
      <c r="AM74" s="605">
        <f>IF(AM$65="입주/잔금",($F74-SUM($G74:AL74))*30%,IF(AL$65="입주/잔금",($F74-SUM($G74:AK74))*50%,IF(AK$65="입주/잔금",($F74-SUM($G74:AJ74))*20%,IF(AM$65=0,0,IF(AM$65="2차중도금",$F74*30%-SUM($G74:AL74),IF(AM$65="3차중도금",$F74*40%-SUM($G74:AL74),IF(AM$65="4차중도금",$F74*50%-SUM($G74:AL74),$F74*10%)))))))+(IF(AM$65="5차중도금",$F74*60%-SUM($G74:AL74)-$F74*10%,IF(AM$65="6차중도금",$F74*70%-SUM($G74:AL74)-$F74*10%,0)))</f>
        <v>789961.82488299906</v>
      </c>
      <c r="AN74" s="605">
        <f>IF(AN$65="입주/잔금",($F74-SUM($G74:AM74))*30%,IF(AM$65="입주/잔금",($F74-SUM($G74:AL74))*50%,IF(AL$65="입주/잔금",($F74-SUM($G74:AK74))*20%,IF(AN$65=0,0,IF(AN$65="2차중도금",$F74*30%-SUM($G74:AM74),IF(AN$65="3차중도금",$F74*40%-SUM($G74:AM74),IF(AN$65="4차중도금",$F74*50%-SUM($G74:AM74),$F74*10%)))))))+(IF(AN$65="5차중도금",$F74*60%-SUM($G74:AM74)-$F74*10%,IF(AN$65="6차중도금",$F74*70%-SUM($G74:AM74)-$F74*10%,0)))</f>
        <v>0</v>
      </c>
      <c r="AO74" s="605">
        <f>IF(AO$65="입주/잔금",($F74-SUM($G74:AN74))*30%,IF(AN$65="입주/잔금",($F74-SUM($G74:AM74))*50%,IF(AM$65="입주/잔금",($F74-SUM($G74:AL74))*20%,IF(AO$65=0,0,IF(AO$65="2차중도금",$F74*30%-SUM($G74:AN74),IF(AO$65="3차중도금",$F74*40%-SUM($G74:AN74),IF(AO$65="4차중도금",$F74*50%-SUM($G74:AN74),$F74*10%)))))))+(IF(AO$65="5차중도금",$F74*60%-SUM($G74:AN74)-$F74*10%,IF(AO$65="6차중도금",$F74*70%-SUM($G74:AN74)-$F74*10%,0)))</f>
        <v>0</v>
      </c>
      <c r="AP74" s="605">
        <f>IF(AP$65="입주/잔금",($F74-SUM($G74:AO74))*30%,IF(AO$65="입주/잔금",($F74-SUM($G74:AN74))*50%,IF(AN$65="입주/잔금",($F74-SUM($G74:AM74))*20%,IF(AP$65=0,0,IF(AP$65="2차중도금",$F74*30%-SUM($G74:AO74),IF(AP$65="3차중도금",$F74*40%-SUM($G74:AO74),IF(AP$65="4차중도금",$F74*50%-SUM($G74:AO74),$F74*10%)))))))+(IF(AP$65="5차중도금",$F74*60%-SUM($G74:AO74)-$F74*10%,IF(AP$65="6차중도금",$F74*70%-SUM($G74:AO74)-$F74*10%,0)))</f>
        <v>0</v>
      </c>
      <c r="AQ74" s="605">
        <f>IF(AQ$65="입주/잔금",($F74-SUM($G74:AP74))*30%,IF(AP$65="입주/잔금",($F74-SUM($G74:AO74))*50%,IF(AO$65="입주/잔금",($F74-SUM($G74:AN74))*20%,IF(AQ$65=0,0,IF(AQ$65="2차중도금",$F74*30%-SUM($G74:AP74),IF(AQ$65="3차중도금",$F74*40%-SUM($G74:AP74),IF(AQ$65="4차중도금",$F74*50%-SUM($G74:AP74),$F74*10%)))))))+(IF(AQ$65="5차중도금",$F74*60%-SUM($G74:AP74)-$F74*10%,IF(AQ$65="6차중도금",$F74*70%-SUM($G74:AP74)-$F74*10%,0)))</f>
        <v>0</v>
      </c>
      <c r="AR74" s="605">
        <f>IF(AR$65="입주/잔금",($F74-SUM($G74:AQ74))*30%,IF(AQ$65="입주/잔금",($F74-SUM($G74:AP74))*50%,IF(AP$65="입주/잔금",($F74-SUM($G74:AO74))*20%,IF(AR$65=0,0,IF(AR$65="2차중도금",$F74*30%-SUM($G74:AQ74),IF(AR$65="3차중도금",$F74*40%-SUM($G74:AQ74),IF(AR$65="4차중도금",$F74*50%-SUM($G74:AQ74),$F74*10%)))))))+(IF(AR$65="5차중도금",$F74*60%-SUM($G74:AQ74)-$F74*10%,IF(AR$65="6차중도금",$F74*70%-SUM($G74:AQ74)-$F74*10%,0)))</f>
        <v>710965.64239469997</v>
      </c>
      <c r="AS74" s="605">
        <f>IF(AS$65="입주/잔금",($F74-SUM($G74:AR74))*30%,IF(AR$65="입주/잔금",($F74-SUM($G74:AQ74))*50%,IF(AQ$65="입주/잔금",($F74-SUM($G74:AP74))*20%,IF(AS$65=0,0,IF(AS$65="2차중도금",$F74*30%-SUM($G74:AR74),IF(AS$65="3차중도금",$F74*40%-SUM($G74:AR74),IF(AS$65="4차중도금",$F74*50%-SUM($G74:AR74),$F74*10%)))))))+(IF(AS$65="5차중도금",$F74*60%-SUM($G74:AR74)-$F74*10%,IF(AS$65="6차중도금",$F74*70%-SUM($G74:AR74)-$F74*10%,0)))</f>
        <v>1184942.7373245</v>
      </c>
      <c r="AT74" s="605">
        <f>IF(AT$65="입주/잔금",($F74-SUM($G74:AS74))*30%,IF(AS$65="입주/잔금",($F74-SUM($G74:AR74))*50%,IF(AR$65="입주/잔금",($F74-SUM($G74:AQ74))*20%,IF(AT$65=0,0,IF(AT$65="2차중도금",$F74*30%-SUM($G74:AS74),IF(AT$65="3차중도금",$F74*40%-SUM($G74:AS74),IF(AT$65="4차중도금",$F74*50%-SUM($G74:AS74),$F74*10%)))))))+(IF(AT$65="5차중도금",$F74*60%-SUM($G74:AS74)-$F74*10%,IF(AT$65="6차중도금",$F74*70%-SUM($G74:AS74)-$F74*10%,0)))</f>
        <v>473977.09492980002</v>
      </c>
      <c r="AU74" s="605">
        <f>IF(AU$65="입주/잔금",($F74-SUM($G74:AT74))*30%,IF(AT$65="입주/잔금",($F74-SUM($G74:AS74))*50%,IF(AS$65="입주/잔금",($F74-SUM($G74:AR74))*20%,IF(AU$65=0,0,IF(AU$65="2차중도금",$F74*30%-SUM($G74:AT74),IF(AU$65="3차중도금",$F74*40%-SUM($G74:AT74),IF(AU$65="4차중도금",$F74*50%-SUM($G74:AT74),$F74*10%)))))))+(IF(AU$65="5차중도금",$F74*60%-SUM($G74:AT74)-$F74*10%,IF(AU$65="6차중도금",$F74*70%-SUM($G74:AT74)-$F74*10%,0)))</f>
        <v>0</v>
      </c>
      <c r="AV74" s="605">
        <f>IF(AV$65="입주/잔금",($F74-SUM($G74:AU74))*30%,IF(AU$65="입주/잔금",($F74-SUM($G74:AT74))*50%,IF(AT$65="입주/잔금",($F74-SUM($G74:AS74))*20%,IF(AV$65=0,0,IF(AV$65="2차중도금",$F74*30%-SUM($G74:AU74),IF(AV$65="3차중도금",$F74*40%-SUM($G74:AU74),IF(AV$65="4차중도금",$F74*50%-SUM($G74:AU74),$F74*10%)))))))+(IF(AV$65="5차중도금",$F74*60%-SUM($G74:AU74)-$F74*10%,IF(AV$65="6차중도금",$F74*70%-SUM($G74:AU74)-$F74*10%,0)))</f>
        <v>0</v>
      </c>
      <c r="AW74" s="605">
        <f>IF(AW$65="입주/잔금",($F74-SUM($G74:AV74))*30%,IF(AV$65="입주/잔금",($F74-SUM($G74:AU74))*50%,IF(AU$65="입주/잔금",($F74-SUM($G74:AT74))*20%,IF(AW$65=0,0,IF(AW$65="2차중도금",$F74*30%-SUM($G74:AV74),IF(AW$65="3차중도금",$F74*40%-SUM($G74:AV74),IF(AW$65="4차중도금",$F74*50%-SUM($G74:AV74),$F74*10%)))))))+(IF(AW$65="5차중도금",$F74*60%-SUM($G74:AV74)-$F74*10%,IF(AW$65="6차중도금",$F74*70%-SUM($G74:AV74)-$F74*10%,0)))</f>
        <v>0</v>
      </c>
      <c r="AX74" s="605">
        <f>IF(AX$65="입주/잔금",($F74-SUM($G74:AW74))*30%,IF(AW$65="입주/잔금",($F74-SUM($G74:AV74))*50%,IF(AV$65="입주/잔금",($F74-SUM($G74:AU74))*20%,IF(AX$65=0,0,IF(AX$65="2차중도금",$F74*30%-SUM($G74:AW74),IF(AX$65="3차중도금",$F74*40%-SUM($G74:AW74),IF(AX$65="4차중도금",$F74*50%-SUM($G74:AW74),$F74*10%)))))))+(IF(AX$65="5차중도금",$F74*60%-SUM($G74:AW74)-$F74*10%,IF(AX$65="6차중도금",$F74*70%-SUM($G74:AW74)-$F74*10%,0)))</f>
        <v>0</v>
      </c>
      <c r="AY74" s="605">
        <f>IF(AY$65="입주/잔금",($F74-SUM($G74:AX74))*30%,IF(AX$65="입주/잔금",($F74-SUM($G74:AW74))*50%,IF(AW$65="입주/잔금",($F74-SUM($G74:AV74))*20%,IF(AY$65=0,0,IF(AY$65="2차중도금",$F74*30%-SUM($G74:AX74),IF(AY$65="3차중도금",$F74*40%-SUM($G74:AX74),IF(AY$65="4차중도금",$F74*50%-SUM($G74:AX74),$F74*10%)))))))+(IF(AY$65="5차중도금",$F74*60%-SUM($G74:AX74)-$F74*10%,IF(AY$65="6차중도금",$F74*70%-SUM($G74:AX74)-$F74*10%,0)))</f>
        <v>0</v>
      </c>
      <c r="AZ74" s="605">
        <f>IF(AZ$65="입주/잔금",($F74-SUM($G74:AY74))*30%,IF(AY$65="입주/잔금",($F74-SUM($G74:AX74))*50%,IF(AX$65="입주/잔금",($F74-SUM($G74:AW74))*20%,IF(AZ$65=0,0,IF(AZ$65="2차중도금",$F74*30%-SUM($G74:AY74),IF(AZ$65="3차중도금",$F74*40%-SUM($G74:AY74),IF(AZ$65="4차중도금",$F74*50%-SUM($G74:AY74),$F74*10%)))))))+(IF(AZ$65="5차중도금",$F74*60%-SUM($G74:AY74)-$F74*10%,IF(AZ$65="6차중도금",$F74*70%-SUM($G74:AY74)-$F74*10%,0)))</f>
        <v>0</v>
      </c>
      <c r="BA74" s="605">
        <f>IF(BA$65="입주/잔금",($F74-SUM($G74:AZ74))*30%,IF(AZ$65="입주/잔금",($F74-SUM($G74:AY74))*50%,IF(AY$65="입주/잔금",($F74-SUM($G74:AX74))*20%,IF(BA$65=0,0,IF(BA$65="2차중도금",$F74*30%-SUM($G74:AZ74),IF(BA$65="3차중도금",$F74*40%-SUM($G74:AZ74),IF(BA$65="4차중도금",$F74*50%-SUM($G74:AZ74),$F74*10%)))))))+(IF(BA$65="5차중도금",$F74*60%-SUM($G74:AZ74)-$F74*10%,IF(BA$65="6차중도금",$F74*70%-SUM($G74:AZ74)-$F74*10%,0)))</f>
        <v>0</v>
      </c>
      <c r="BB74" s="605">
        <f>IF(BB$65="입주/잔금",($F74-SUM($G74:BA74))*30%,IF(BA$65="입주/잔금",($F74-SUM($G74:AZ74))*50%,IF(AZ$65="입주/잔금",($F74-SUM($G74:AY74))*20%,IF(BB$65=0,0,IF(BB$65="2차중도금",$F74*30%-SUM($G74:BA74),IF(BB$65="3차중도금",$F74*40%-SUM($G74:BA74),IF(BB$65="4차중도금",$F74*50%-SUM($G74:BA74),$F74*10%)))))))+(IF(BB$65="5차중도금",$F74*60%-SUM($G74:BA74)-$F74*10%,IF(BB$65="6차중도금",$F74*70%-SUM($G74:BA74)-$F74*10%,0)))</f>
        <v>0</v>
      </c>
      <c r="BC74" s="605">
        <f>IF(BC$65="입주/잔금",($F74-SUM($G74:BB74))*30%,IF(BB$65="입주/잔금",($F74-SUM($G74:BA74))*50%,IF(BA$65="입주/잔금",($F74-SUM($G74:AZ74))*20%,IF(BC$65=0,0,IF(BC$65="2차중도금",$F74*30%-SUM($G74:BB74),IF(BC$65="3차중도금",$F74*40%-SUM($G74:BB74),IF(BC$65="4차중도금",$F74*50%-SUM($G74:BB74),$F74*10%)))))))+(IF(BC$65="5차중도금",$F74*60%-SUM($G74:BB74)-$F74*10%,IF(BC$65="6차중도금",$F74*70%-SUM($G74:BB74)-$F74*10%,0)))</f>
        <v>0</v>
      </c>
      <c r="BD74" s="605">
        <f>IF(BD$65="입주/잔금",($F74-SUM($G74:BC74))*30%,IF(BC$65="입주/잔금",($F74-SUM($G74:BB74))*50%,IF(BB$65="입주/잔금",($F74-SUM($G74:BA74))*20%,IF(BD$65=0,0,IF(BD$65="2차중도금",$F74*30%-SUM($G74:BC74),IF(BD$65="3차중도금",$F74*40%-SUM($G74:BC74),IF(BD$65="4차중도금",$F74*50%-SUM($G74:BC74),$F74*10%)))))))+(IF(BD$65="5차중도금",$F74*60%-SUM($G74:BC74)-$F74*10%,IF(BD$65="6차중도금",$F74*70%-SUM($G74:BC74)-$F74*10%,0)))</f>
        <v>0</v>
      </c>
      <c r="BE74" s="605">
        <f>IF(BE$65="입주/잔금",($F74-SUM($G74:BD74))*30%,IF(BD$65="입주/잔금",($F74-SUM($G74:BC74))*50%,IF(BC$65="입주/잔금",($F74-SUM($G74:BB74))*20%,IF(BE$65=0,0,IF(BE$65="2차중도금",$F74*30%-SUM($G74:BD74),IF(BE$65="3차중도금",$F74*40%-SUM($G74:BD74),IF(BE$65="4차중도금",$F74*50%-SUM($G74:BD74),$F74*10%)))))))+(IF(BE$65="5차중도금",$F74*60%-SUM($G74:BD74)-$F74*10%,IF(BE$65="6차중도금",$F74*70%-SUM($G74:BD74)-$F74*10%,0)))</f>
        <v>0</v>
      </c>
      <c r="BF74" s="609">
        <f t="shared" si="30"/>
        <v>7899618.248829999</v>
      </c>
      <c r="BG74" s="556">
        <f t="shared" si="32"/>
        <v>0</v>
      </c>
      <c r="BH74" s="610"/>
    </row>
    <row r="75" spans="1:60">
      <c r="A75" s="1853"/>
      <c r="B75" s="611">
        <f t="shared" si="33"/>
        <v>45108</v>
      </c>
      <c r="C75" s="605">
        <f t="shared" si="34"/>
        <v>157992364.97659996</v>
      </c>
      <c r="D75" s="1501">
        <v>0.05</v>
      </c>
      <c r="E75" s="607">
        <f t="shared" si="35"/>
        <v>0.75000000000000011</v>
      </c>
      <c r="F75" s="608">
        <f t="shared" si="31"/>
        <v>7899618.2488299981</v>
      </c>
      <c r="G75" s="605"/>
      <c r="H75" s="605"/>
      <c r="I75" s="605"/>
      <c r="J75" s="605"/>
      <c r="K75" s="605"/>
      <c r="L75" s="605"/>
      <c r="M75" s="605"/>
      <c r="N75" s="605"/>
      <c r="O75" s="605"/>
      <c r="P75" s="605">
        <f>$F75*10%</f>
        <v>789961.82488299988</v>
      </c>
      <c r="Q75" s="605">
        <f>IF(Q$65="입주/잔금",($F75-SUM($G75:P75))*30%,IF(P$65="입주/잔금",($F75-SUM($G75:O75))*50%,IF(O$65="입주/잔금",($F75-SUM($G75:N75))*20%,IF(Q$65=0,0,IF(Q$65="2차중도금",$F75*30%-SUM($G75:P75),IF(Q$65="3차중도금",$F75*40%-SUM($G75:P75),IF(Q$65="4차중도금",$F75*50%-SUM($G75:P75),$F75*10%)))))))+(IF(Q$65="5차중도금",$F75*60%-SUM($G75:P75)-$F75*10%,IF(Q$65="6차중도금",$F75*70%-SUM($G75:P75)-$F75*10%,0)))</f>
        <v>789961.82488299988</v>
      </c>
      <c r="R75" s="605">
        <f>IF(R$65="입주/잔금",($F75-SUM($G75:Q75))*30%,IF(Q$65="입주/잔금",($F75-SUM($G75:P75))*50%,IF(P$65="입주/잔금",($F75-SUM($G75:O75))*20%,IF(R$65=0,0,IF(R$65="2차중도금",$F75*30%-SUM($G75:Q75),IF(R$65="3차중도금",$F75*40%-SUM($G75:Q75),IF(R$65="4차중도금",$F75*50%-SUM($G75:Q75),$F75*10%)))))))+(IF(R$65="5차중도금",$F75*60%-SUM($G75:Q75)-$F75*10%,IF(R$65="6차중도금",$F75*70%-SUM($G75:Q75)-$F75*10%,0)))</f>
        <v>0</v>
      </c>
      <c r="S75" s="605">
        <f>IF(S$65="입주/잔금",($F75-SUM($G75:R75))*30%,IF(R$65="입주/잔금",($F75-SUM($G75:Q75))*50%,IF(Q$65="입주/잔금",($F75-SUM($G75:P75))*20%,IF(S$65=0,0,IF(S$65="2차중도금",$F75*30%-SUM($G75:R75),IF(S$65="3차중도금",$F75*40%-SUM($G75:R75),IF(S$65="4차중도금",$F75*50%-SUM($G75:R75),$F75*10%)))))))+(IF(S$65="5차중도금",$F75*60%-SUM($G75:R75)-$F75*10%,IF(S$65="6차중도금",$F75*70%-SUM($G75:R75)-$F75*10%,0)))</f>
        <v>0</v>
      </c>
      <c r="T75" s="605">
        <f>IF(T$65="입주/잔금",($F75-SUM($G75:S75))*30%,IF(S$65="입주/잔금",($F75-SUM($G75:R75))*50%,IF(R$65="입주/잔금",($F75-SUM($G75:Q75))*20%,IF(T$65=0,0,IF(T$65="2차중도금",$F75*30%-SUM($G75:S75),IF(T$65="3차중도금",$F75*40%-SUM($G75:S75),IF(T$65="4차중도금",$F75*50%-SUM($G75:S75),$F75*10%)))))))+(IF(T$65="5차중도금",$F75*60%-SUM($G75:S75)-$F75*10%,IF(T$65="6차중도금",$F75*70%-SUM($G75:S75)-$F75*10%,0)))</f>
        <v>0</v>
      </c>
      <c r="U75" s="605">
        <f>IF(U$65="입주/잔금",($F75-SUM($G75:T75))*30%,IF(T$65="입주/잔금",($F75-SUM($G75:S75))*50%,IF(S$65="입주/잔금",($F75-SUM($G75:R75))*20%,IF(U$65=0,0,IF(U$65="2차중도금",$F75*30%-SUM($G75:T75),IF(U$65="3차중도금",$F75*40%-SUM($G75:T75),IF(U$65="4차중도금",$F75*50%-SUM($G75:T75),$F75*10%)))))))+(IF(U$65="5차중도금",$F75*60%-SUM($G75:T75)-$F75*10%,IF(U$65="6차중도금",$F75*70%-SUM($G75:T75)-$F75*10%,0)))</f>
        <v>789961.82488299976</v>
      </c>
      <c r="V75" s="605">
        <f>IF(V$65="입주/잔금",($F75-SUM($G75:U75))*30%,IF(U$65="입주/잔금",($F75-SUM($G75:T75))*50%,IF(T$65="입주/잔금",($F75-SUM($G75:S75))*20%,IF(V$65=0,0,IF(V$65="2차중도금",$F75*30%-SUM($G75:U75),IF(V$65="3차중도금",$F75*40%-SUM($G75:U75),IF(V$65="4차중도금",$F75*50%-SUM($G75:U75),$F75*10%)))))))+(IF(V$65="5차중도금",$F75*60%-SUM($G75:U75)-$F75*10%,IF(V$65="6차중도금",$F75*70%-SUM($G75:U75)-$F75*10%,0)))</f>
        <v>0</v>
      </c>
      <c r="W75" s="605">
        <f>IF(W$65="입주/잔금",($F75-SUM($G75:V75))*30%,IF(V$65="입주/잔금",($F75-SUM($G75:U75))*50%,IF(U$65="입주/잔금",($F75-SUM($G75:T75))*20%,IF(W$65=0,0,IF(W$65="2차중도금",$F75*30%-SUM($G75:V75),IF(W$65="3차중도금",$F75*40%-SUM($G75:V75),IF(W$65="4차중도금",$F75*50%-SUM($G75:V75),$F75*10%)))))))+(IF(W$65="5차중도금",$F75*60%-SUM($G75:V75)-$F75*10%,IF(W$65="6차중도금",$F75*70%-SUM($G75:V75)-$F75*10%,0)))</f>
        <v>0</v>
      </c>
      <c r="X75" s="605">
        <f>IF(X$65="입주/잔금",($F75-SUM($G75:W75))*30%,IF(W$65="입주/잔금",($F75-SUM($G75:V75))*50%,IF(V$65="입주/잔금",($F75-SUM($G75:U75))*20%,IF(X$65=0,0,IF(X$65="2차중도금",$F75*30%-SUM($G75:W75),IF(X$65="3차중도금",$F75*40%-SUM($G75:W75),IF(X$65="4차중도금",$F75*50%-SUM($G75:W75),$F75*10%)))))))+(IF(X$65="5차중도금",$F75*60%-SUM($G75:W75)-$F75*10%,IF(X$65="6차중도금",$F75*70%-SUM($G75:W75)-$F75*10%,0)))</f>
        <v>0</v>
      </c>
      <c r="Y75" s="605">
        <f>IF(Y$65="입주/잔금",($F75-SUM($G75:X75))*30%,IF(X$65="입주/잔금",($F75-SUM($G75:W75))*50%,IF(W$65="입주/잔금",($F75-SUM($G75:V75))*20%,IF(Y$65=0,0,IF(Y$65="2차중도금",$F75*30%-SUM($G75:X75),IF(Y$65="3차중도금",$F75*40%-SUM($G75:X75),IF(Y$65="4차중도금",$F75*50%-SUM($G75:X75),$F75*10%)))))))+(IF(Y$65="5차중도금",$F75*60%-SUM($G75:X75)-$F75*10%,IF(Y$65="6차중도금",$F75*70%-SUM($G75:X75)-$F75*10%,0)))</f>
        <v>789961.82488299999</v>
      </c>
      <c r="Z75" s="605">
        <f>IF(Z$65="입주/잔금",($F75-SUM($G75:Y75))*30%,IF(Y$65="입주/잔금",($F75-SUM($G75:X75))*50%,IF(X$65="입주/잔금",($F75-SUM($G75:W75))*20%,IF(Z$65=0,0,IF(Z$65="2차중도금",$F75*30%-SUM($G75:Y75),IF(Z$65="3차중도금",$F75*40%-SUM($G75:Y75),IF(Z$65="4차중도금",$F75*50%-SUM($G75:Y75),$F75*10%)))))))+(IF(Z$65="5차중도금",$F75*60%-SUM($G75:Y75)-$F75*10%,IF(Z$65="6차중도금",$F75*70%-SUM($G75:Y75)-$F75*10%,0)))</f>
        <v>0</v>
      </c>
      <c r="AA75" s="605">
        <f>IF(AA$65="입주/잔금",($F75-SUM($G75:Z75))*30%,IF(Z$65="입주/잔금",($F75-SUM($G75:Y75))*50%,IF(Y$65="입주/잔금",($F75-SUM($G75:X75))*20%,IF(AA$65=0,0,IF(AA$65="2차중도금",$F75*30%-SUM($G75:Z75),IF(AA$65="3차중도금",$F75*40%-SUM($G75:Z75),IF(AA$65="4차중도금",$F75*50%-SUM($G75:Z75),$F75*10%)))))))+(IF(AA$65="5차중도금",$F75*60%-SUM($G75:Z75)-$F75*10%,IF(AA$65="6차중도금",$F75*70%-SUM($G75:Z75)-$F75*10%,0)))</f>
        <v>0</v>
      </c>
      <c r="AB75" s="605">
        <f>IF(AB$65="입주/잔금",($F75-SUM($G75:AA75))*30%,IF(AA$65="입주/잔금",($F75-SUM($G75:Z75))*50%,IF(Z$65="입주/잔금",($F75-SUM($G75:Y75))*20%,IF(AB$65=0,0,IF(AB$65="2차중도금",$F75*30%-SUM($G75:AA75),IF(AB$65="3차중도금",$F75*40%-SUM($G75:AA75),IF(AB$65="4차중도금",$F75*50%-SUM($G75:AA75),$F75*10%)))))))+(IF(AB$65="5차중도금",$F75*60%-SUM($G75:AA75)-$F75*10%,IF(AB$65="6차중도금",$F75*70%-SUM($G75:AA75)-$F75*10%,0)))</f>
        <v>0</v>
      </c>
      <c r="AC75" s="605">
        <f>IF(AC$65="입주/잔금",($F75-SUM($G75:AB75))*30%,IF(AB$65="입주/잔금",($F75-SUM($G75:AA75))*50%,IF(AA$65="입주/잔금",($F75-SUM($G75:Z75))*20%,IF(AC$65=0,0,IF(AC$65="2차중도금",$F75*30%-SUM($G75:AB75),IF(AC$65="3차중도금",$F75*40%-SUM($G75:AB75),IF(AC$65="4차중도금",$F75*50%-SUM($G75:AB75),$F75*10%)))))))+(IF(AC$65="5차중도금",$F75*60%-SUM($G75:AB75)-$F75*10%,IF(AC$65="6차중도금",$F75*70%-SUM($G75:AB75)-$F75*10%,0)))</f>
        <v>789961.82488299953</v>
      </c>
      <c r="AD75" s="605">
        <f>IF(AD$65="입주/잔금",($F75-SUM($G75:AC75))*30%,IF(AC$65="입주/잔금",($F75-SUM($G75:AB75))*50%,IF(AB$65="입주/잔금",($F75-SUM($G75:AA75))*20%,IF(AD$65=0,0,IF(AD$65="2차중도금",$F75*30%-SUM($G75:AC75),IF(AD$65="3차중도금",$F75*40%-SUM($G75:AC75),IF(AD$65="4차중도금",$F75*50%-SUM($G75:AC75),$F75*10%)))))))+(IF(AD$65="5차중도금",$F75*60%-SUM($G75:AC75)-$F75*10%,IF(AD$65="6차중도금",$F75*70%-SUM($G75:AC75)-$F75*10%,0)))</f>
        <v>0</v>
      </c>
      <c r="AE75" s="605">
        <f>IF(AE$65="입주/잔금",($F75-SUM($G75:AD75))*30%,IF(AD$65="입주/잔금",($F75-SUM($G75:AC75))*50%,IF(AC$65="입주/잔금",($F75-SUM($G75:AB75))*20%,IF(AE$65=0,0,IF(AE$65="2차중도금",$F75*30%-SUM($G75:AD75),IF(AE$65="3차중도금",$F75*40%-SUM($G75:AD75),IF(AE$65="4차중도금",$F75*50%-SUM($G75:AD75),$F75*10%)))))))+(IF(AE$65="5차중도금",$F75*60%-SUM($G75:AD75)-$F75*10%,IF(AE$65="6차중도금",$F75*70%-SUM($G75:AD75)-$F75*10%,0)))</f>
        <v>0</v>
      </c>
      <c r="AF75" s="605">
        <f>IF(AF$65="입주/잔금",($F75-SUM($G75:AE75))*30%,IF(AE$65="입주/잔금",($F75-SUM($G75:AD75))*50%,IF(AD$65="입주/잔금",($F75-SUM($G75:AC75))*20%,IF(AF$65=0,0,IF(AF$65="2차중도금",$F75*30%-SUM($G75:AE75),IF(AF$65="3차중도금",$F75*40%-SUM($G75:AE75),IF(AF$65="4차중도금",$F75*50%-SUM($G75:AE75),$F75*10%)))))))+(IF(AF$65="5차중도금",$F75*60%-SUM($G75:AE75)-$F75*10%,IF(AF$65="6차중도금",$F75*70%-SUM($G75:AE75)-$F75*10%,0)))</f>
        <v>0</v>
      </c>
      <c r="AG75" s="605">
        <f>IF(AG$65="입주/잔금",($F75-SUM($G75:AF75))*30%,IF(AF$65="입주/잔금",($F75-SUM($G75:AE75))*50%,IF(AE$65="입주/잔금",($F75-SUM($G75:AD75))*20%,IF(AG$65=0,0,IF(AG$65="2차중도금",$F75*30%-SUM($G75:AF75),IF(AG$65="3차중도금",$F75*40%-SUM($G75:AF75),IF(AG$65="4차중도금",$F75*50%-SUM($G75:AF75),$F75*10%)))))))+(IF(AG$65="5차중도금",$F75*60%-SUM($G75:AF75)-$F75*10%,IF(AG$65="6차중도금",$F75*70%-SUM($G75:AF75)-$F75*10%,0)))</f>
        <v>0</v>
      </c>
      <c r="AH75" s="605">
        <f>IF(AH$65="입주/잔금",($F75-SUM($G75:AG75))*30%,IF(AG$65="입주/잔금",($F75-SUM($G75:AF75))*50%,IF(AF$65="입주/잔금",($F75-SUM($G75:AE75))*20%,IF(AH$65=0,0,IF(AH$65="2차중도금",$F75*30%-SUM($G75:AG75),IF(AH$65="3차중도금",$F75*40%-SUM($G75:AG75),IF(AH$65="4차중도금",$F75*50%-SUM($G75:AG75),$F75*10%)))))))+(IF(AH$65="5차중도금",$F75*60%-SUM($G75:AG75)-$F75*10%,IF(AH$65="6차중도금",$F75*70%-SUM($G75:AG75)-$F75*10%,0)))</f>
        <v>789961.82488299999</v>
      </c>
      <c r="AI75" s="605">
        <f>IF(AI$65="입주/잔금",($F75-SUM($G75:AH75))*30%,IF(AH$65="입주/잔금",($F75-SUM($G75:AG75))*50%,IF(AG$65="입주/잔금",($F75-SUM($G75:AF75))*20%,IF(AI$65=0,0,IF(AI$65="2차중도금",$F75*30%-SUM($G75:AH75),IF(AI$65="3차중도금",$F75*40%-SUM($G75:AH75),IF(AI$65="4차중도금",$F75*50%-SUM($G75:AH75),$F75*10%)))))))+(IF(AI$65="5차중도금",$F75*60%-SUM($G75:AH75)-$F75*10%,IF(AI$65="6차중도금",$F75*70%-SUM($G75:AH75)-$F75*10%,0)))</f>
        <v>0</v>
      </c>
      <c r="AJ75" s="605">
        <f>IF(AJ$65="입주/잔금",($F75-SUM($G75:AI75))*30%,IF(AI$65="입주/잔금",($F75-SUM($G75:AH75))*50%,IF(AH$65="입주/잔금",($F75-SUM($G75:AG75))*20%,IF(AJ$65=0,0,IF(AJ$65="2차중도금",$F75*30%-SUM($G75:AI75),IF(AJ$65="3차중도금",$F75*40%-SUM($G75:AI75),IF(AJ$65="4차중도금",$F75*50%-SUM($G75:AI75),$F75*10%)))))))+(IF(AJ$65="5차중도금",$F75*60%-SUM($G75:AI75)-$F75*10%,IF(AJ$65="6차중도금",$F75*70%-SUM($G75:AI75)-$F75*10%,0)))</f>
        <v>0</v>
      </c>
      <c r="AK75" s="605">
        <f>IF(AK$65="입주/잔금",($F75-SUM($G75:AJ75))*30%,IF(AJ$65="입주/잔금",($F75-SUM($G75:AI75))*50%,IF(AI$65="입주/잔금",($F75-SUM($G75:AH75))*20%,IF(AK$65=0,0,IF(AK$65="2차중도금",$F75*30%-SUM($G75:AJ75),IF(AK$65="3차중도금",$F75*40%-SUM($G75:AJ75),IF(AK$65="4차중도금",$F75*50%-SUM($G75:AJ75),$F75*10%)))))))+(IF(AK$65="5차중도금",$F75*60%-SUM($G75:AJ75)-$F75*10%,IF(AK$65="6차중도금",$F75*70%-SUM($G75:AJ75)-$F75*10%,0)))</f>
        <v>0</v>
      </c>
      <c r="AL75" s="605">
        <f>IF(AL$65="입주/잔금",($F75-SUM($G75:AK75))*30%,IF(AK$65="입주/잔금",($F75-SUM($G75:AJ75))*50%,IF(AJ$65="입주/잔금",($F75-SUM($G75:AI75))*20%,IF(AL$65=0,0,IF(AL$65="2차중도금",$F75*30%-SUM($G75:AK75),IF(AL$65="3차중도금",$F75*40%-SUM($G75:AK75),IF(AL$65="4차중도금",$F75*50%-SUM($G75:AK75),$F75*10%)))))))+(IF(AL$65="5차중도금",$F75*60%-SUM($G75:AK75)-$F75*10%,IF(AL$65="6차중도금",$F75*70%-SUM($G75:AK75)-$F75*10%,0)))</f>
        <v>0</v>
      </c>
      <c r="AM75" s="605">
        <f>IF(AM$65="입주/잔금",($F75-SUM($G75:AL75))*30%,IF(AL$65="입주/잔금",($F75-SUM($G75:AK75))*50%,IF(AK$65="입주/잔금",($F75-SUM($G75:AJ75))*20%,IF(AM$65=0,0,IF(AM$65="2차중도금",$F75*30%-SUM($G75:AL75),IF(AM$65="3차중도금",$F75*40%-SUM($G75:AL75),IF(AM$65="4차중도금",$F75*50%-SUM($G75:AL75),$F75*10%)))))))+(IF(AM$65="5차중도금",$F75*60%-SUM($G75:AL75)-$F75*10%,IF(AM$65="6차중도금",$F75*70%-SUM($G75:AL75)-$F75*10%,0)))</f>
        <v>789961.82488299906</v>
      </c>
      <c r="AN75" s="605">
        <f>IF(AN$65="입주/잔금",($F75-SUM($G75:AM75))*30%,IF(AM$65="입주/잔금",($F75-SUM($G75:AL75))*50%,IF(AL$65="입주/잔금",($F75-SUM($G75:AK75))*20%,IF(AN$65=0,0,IF(AN$65="2차중도금",$F75*30%-SUM($G75:AM75),IF(AN$65="3차중도금",$F75*40%-SUM($G75:AM75),IF(AN$65="4차중도금",$F75*50%-SUM($G75:AM75),$F75*10%)))))))+(IF(AN$65="5차중도금",$F75*60%-SUM($G75:AM75)-$F75*10%,IF(AN$65="6차중도금",$F75*70%-SUM($G75:AM75)-$F75*10%,0)))</f>
        <v>0</v>
      </c>
      <c r="AO75" s="605">
        <f>IF(AO$65="입주/잔금",($F75-SUM($G75:AN75))*30%,IF(AN$65="입주/잔금",($F75-SUM($G75:AM75))*50%,IF(AM$65="입주/잔금",($F75-SUM($G75:AL75))*20%,IF(AO$65=0,0,IF(AO$65="2차중도금",$F75*30%-SUM($G75:AN75),IF(AO$65="3차중도금",$F75*40%-SUM($G75:AN75),IF(AO$65="4차중도금",$F75*50%-SUM($G75:AN75),$F75*10%)))))))+(IF(AO$65="5차중도금",$F75*60%-SUM($G75:AN75)-$F75*10%,IF(AO$65="6차중도금",$F75*70%-SUM($G75:AN75)-$F75*10%,0)))</f>
        <v>0</v>
      </c>
      <c r="AP75" s="605">
        <f>IF(AP$65="입주/잔금",($F75-SUM($G75:AO75))*30%,IF(AO$65="입주/잔금",($F75-SUM($G75:AN75))*50%,IF(AN$65="입주/잔금",($F75-SUM($G75:AM75))*20%,IF(AP$65=0,0,IF(AP$65="2차중도금",$F75*30%-SUM($G75:AO75),IF(AP$65="3차중도금",$F75*40%-SUM($G75:AO75),IF(AP$65="4차중도금",$F75*50%-SUM($G75:AO75),$F75*10%)))))))+(IF(AP$65="5차중도금",$F75*60%-SUM($G75:AO75)-$F75*10%,IF(AP$65="6차중도금",$F75*70%-SUM($G75:AO75)-$F75*10%,0)))</f>
        <v>0</v>
      </c>
      <c r="AQ75" s="605">
        <f>IF(AQ$65="입주/잔금",($F75-SUM($G75:AP75))*30%,IF(AP$65="입주/잔금",($F75-SUM($G75:AO75))*50%,IF(AO$65="입주/잔금",($F75-SUM($G75:AN75))*20%,IF(AQ$65=0,0,IF(AQ$65="2차중도금",$F75*30%-SUM($G75:AP75),IF(AQ$65="3차중도금",$F75*40%-SUM($G75:AP75),IF(AQ$65="4차중도금",$F75*50%-SUM($G75:AP75),$F75*10%)))))))+(IF(AQ$65="5차중도금",$F75*60%-SUM($G75:AP75)-$F75*10%,IF(AQ$65="6차중도금",$F75*70%-SUM($G75:AP75)-$F75*10%,0)))</f>
        <v>0</v>
      </c>
      <c r="AR75" s="605">
        <f>IF(AR$65="입주/잔금",($F75-SUM($G75:AQ75))*30%,IF(AQ$65="입주/잔금",($F75-SUM($G75:AP75))*50%,IF(AP$65="입주/잔금",($F75-SUM($G75:AO75))*20%,IF(AR$65=0,0,IF(AR$65="2차중도금",$F75*30%-SUM($G75:AQ75),IF(AR$65="3차중도금",$F75*40%-SUM($G75:AQ75),IF(AR$65="4차중도금",$F75*50%-SUM($G75:AQ75),$F75*10%)))))))+(IF(AR$65="5차중도금",$F75*60%-SUM($G75:AQ75)-$F75*10%,IF(AR$65="6차중도금",$F75*70%-SUM($G75:AQ75)-$F75*10%,0)))</f>
        <v>710965.64239469997</v>
      </c>
      <c r="AS75" s="605">
        <f>IF(AS$65="입주/잔금",($F75-SUM($G75:AR75))*30%,IF(AR$65="입주/잔금",($F75-SUM($G75:AQ75))*50%,IF(AQ$65="입주/잔금",($F75-SUM($G75:AP75))*20%,IF(AS$65=0,0,IF(AS$65="2차중도금",$F75*30%-SUM($G75:AR75),IF(AS$65="3차중도금",$F75*40%-SUM($G75:AR75),IF(AS$65="4차중도금",$F75*50%-SUM($G75:AR75),$F75*10%)))))))+(IF(AS$65="5차중도금",$F75*60%-SUM($G75:AR75)-$F75*10%,IF(AS$65="6차중도금",$F75*70%-SUM($G75:AR75)-$F75*10%,0)))</f>
        <v>1184942.7373245</v>
      </c>
      <c r="AT75" s="605">
        <f>IF(AT$65="입주/잔금",($F75-SUM($G75:AS75))*30%,IF(AS$65="입주/잔금",($F75-SUM($G75:AR75))*50%,IF(AR$65="입주/잔금",($F75-SUM($G75:AQ75))*20%,IF(AT$65=0,0,IF(AT$65="2차중도금",$F75*30%-SUM($G75:AS75),IF(AT$65="3차중도금",$F75*40%-SUM($G75:AS75),IF(AT$65="4차중도금",$F75*50%-SUM($G75:AS75),$F75*10%)))))))+(IF(AT$65="5차중도금",$F75*60%-SUM($G75:AS75)-$F75*10%,IF(AT$65="6차중도금",$F75*70%-SUM($G75:AS75)-$F75*10%,0)))</f>
        <v>473977.09492980002</v>
      </c>
      <c r="AU75" s="605">
        <f>IF(AU$65="입주/잔금",($F75-SUM($G75:AT75))*30%,IF(AT$65="입주/잔금",($F75-SUM($G75:AS75))*50%,IF(AS$65="입주/잔금",($F75-SUM($G75:AR75))*20%,IF(AU$65=0,0,IF(AU$65="2차중도금",$F75*30%-SUM($G75:AT75),IF(AU$65="3차중도금",$F75*40%-SUM($G75:AT75),IF(AU$65="4차중도금",$F75*50%-SUM($G75:AT75),$F75*10%)))))))+(IF(AU$65="5차중도금",$F75*60%-SUM($G75:AT75)-$F75*10%,IF(AU$65="6차중도금",$F75*70%-SUM($G75:AT75)-$F75*10%,0)))</f>
        <v>0</v>
      </c>
      <c r="AV75" s="605">
        <f>IF(AV$65="입주/잔금",($F75-SUM($G75:AU75))*30%,IF(AU$65="입주/잔금",($F75-SUM($G75:AT75))*50%,IF(AT$65="입주/잔금",($F75-SUM($G75:AS75))*20%,IF(AV$65=0,0,IF(AV$65="2차중도금",$F75*30%-SUM($G75:AU75),IF(AV$65="3차중도금",$F75*40%-SUM($G75:AU75),IF(AV$65="4차중도금",$F75*50%-SUM($G75:AU75),$F75*10%)))))))+(IF(AV$65="5차중도금",$F75*60%-SUM($G75:AU75)-$F75*10%,IF(AV$65="6차중도금",$F75*70%-SUM($G75:AU75)-$F75*10%,0)))</f>
        <v>0</v>
      </c>
      <c r="AW75" s="605">
        <f>IF(AW$65="입주/잔금",($F75-SUM($G75:AV75))*30%,IF(AV$65="입주/잔금",($F75-SUM($G75:AU75))*50%,IF(AU$65="입주/잔금",($F75-SUM($G75:AT75))*20%,IF(AW$65=0,0,IF(AW$65="2차중도금",$F75*30%-SUM($G75:AV75),IF(AW$65="3차중도금",$F75*40%-SUM($G75:AV75),IF(AW$65="4차중도금",$F75*50%-SUM($G75:AV75),$F75*10%)))))))+(IF(AW$65="5차중도금",$F75*60%-SUM($G75:AV75)-$F75*10%,IF(AW$65="6차중도금",$F75*70%-SUM($G75:AV75)-$F75*10%,0)))</f>
        <v>0</v>
      </c>
      <c r="AX75" s="605">
        <f>IF(AX$65="입주/잔금",($F75-SUM($G75:AW75))*30%,IF(AW$65="입주/잔금",($F75-SUM($G75:AV75))*50%,IF(AV$65="입주/잔금",($F75-SUM($G75:AU75))*20%,IF(AX$65=0,0,IF(AX$65="2차중도금",$F75*30%-SUM($G75:AW75),IF(AX$65="3차중도금",$F75*40%-SUM($G75:AW75),IF(AX$65="4차중도금",$F75*50%-SUM($G75:AW75),$F75*10%)))))))+(IF(AX$65="5차중도금",$F75*60%-SUM($G75:AW75)-$F75*10%,IF(AX$65="6차중도금",$F75*70%-SUM($G75:AW75)-$F75*10%,0)))</f>
        <v>0</v>
      </c>
      <c r="AY75" s="605">
        <f>IF(AY$65="입주/잔금",($F75-SUM($G75:AX75))*30%,IF(AX$65="입주/잔금",($F75-SUM($G75:AW75))*50%,IF(AW$65="입주/잔금",($F75-SUM($G75:AV75))*20%,IF(AY$65=0,0,IF(AY$65="2차중도금",$F75*30%-SUM($G75:AX75),IF(AY$65="3차중도금",$F75*40%-SUM($G75:AX75),IF(AY$65="4차중도금",$F75*50%-SUM($G75:AX75),$F75*10%)))))))+(IF(AY$65="5차중도금",$F75*60%-SUM($G75:AX75)-$F75*10%,IF(AY$65="6차중도금",$F75*70%-SUM($G75:AX75)-$F75*10%,0)))</f>
        <v>0</v>
      </c>
      <c r="AZ75" s="605">
        <f>IF(AZ$65="입주/잔금",($F75-SUM($G75:AY75))*30%,IF(AY$65="입주/잔금",($F75-SUM($G75:AX75))*50%,IF(AX$65="입주/잔금",($F75-SUM($G75:AW75))*20%,IF(AZ$65=0,0,IF(AZ$65="2차중도금",$F75*30%-SUM($G75:AY75),IF(AZ$65="3차중도금",$F75*40%-SUM($G75:AY75),IF(AZ$65="4차중도금",$F75*50%-SUM($G75:AY75),$F75*10%)))))))+(IF(AZ$65="5차중도금",$F75*60%-SUM($G75:AY75)-$F75*10%,IF(AZ$65="6차중도금",$F75*70%-SUM($G75:AY75)-$F75*10%,0)))</f>
        <v>0</v>
      </c>
      <c r="BA75" s="605">
        <f>IF(BA$65="입주/잔금",($F75-SUM($G75:AZ75))*30%,IF(AZ$65="입주/잔금",($F75-SUM($G75:AY75))*50%,IF(AY$65="입주/잔금",($F75-SUM($G75:AX75))*20%,IF(BA$65=0,0,IF(BA$65="2차중도금",$F75*30%-SUM($G75:AZ75),IF(BA$65="3차중도금",$F75*40%-SUM($G75:AZ75),IF(BA$65="4차중도금",$F75*50%-SUM($G75:AZ75),$F75*10%)))))))+(IF(BA$65="5차중도금",$F75*60%-SUM($G75:AZ75)-$F75*10%,IF(BA$65="6차중도금",$F75*70%-SUM($G75:AZ75)-$F75*10%,0)))</f>
        <v>0</v>
      </c>
      <c r="BB75" s="605">
        <f>IF(BB$65="입주/잔금",($F75-SUM($G75:BA75))*30%,IF(BA$65="입주/잔금",($F75-SUM($G75:AZ75))*50%,IF(AZ$65="입주/잔금",($F75-SUM($G75:AY75))*20%,IF(BB$65=0,0,IF(BB$65="2차중도금",$F75*30%-SUM($G75:BA75),IF(BB$65="3차중도금",$F75*40%-SUM($G75:BA75),IF(BB$65="4차중도금",$F75*50%-SUM($G75:BA75),$F75*10%)))))))+(IF(BB$65="5차중도금",$F75*60%-SUM($G75:BA75)-$F75*10%,IF(BB$65="6차중도금",$F75*70%-SUM($G75:BA75)-$F75*10%,0)))</f>
        <v>0</v>
      </c>
      <c r="BC75" s="605">
        <f>IF(BC$65="입주/잔금",($F75-SUM($G75:BB75))*30%,IF(BB$65="입주/잔금",($F75-SUM($G75:BA75))*50%,IF(BA$65="입주/잔금",($F75-SUM($G75:AZ75))*20%,IF(BC$65=0,0,IF(BC$65="2차중도금",$F75*30%-SUM($G75:BB75),IF(BC$65="3차중도금",$F75*40%-SUM($G75:BB75),IF(BC$65="4차중도금",$F75*50%-SUM($G75:BB75),$F75*10%)))))))+(IF(BC$65="5차중도금",$F75*60%-SUM($G75:BB75)-$F75*10%,IF(BC$65="6차중도금",$F75*70%-SUM($G75:BB75)-$F75*10%,0)))</f>
        <v>0</v>
      </c>
      <c r="BD75" s="605">
        <f>IF(BD$65="입주/잔금",($F75-SUM($G75:BC75))*30%,IF(BC$65="입주/잔금",($F75-SUM($G75:BB75))*50%,IF(BB$65="입주/잔금",($F75-SUM($G75:BA75))*20%,IF(BD$65=0,0,IF(BD$65="2차중도금",$F75*30%-SUM($G75:BC75),IF(BD$65="3차중도금",$F75*40%-SUM($G75:BC75),IF(BD$65="4차중도금",$F75*50%-SUM($G75:BC75),$F75*10%)))))))+(IF(BD$65="5차중도금",$F75*60%-SUM($G75:BC75)-$F75*10%,IF(BD$65="6차중도금",$F75*70%-SUM($G75:BC75)-$F75*10%,0)))</f>
        <v>0</v>
      </c>
      <c r="BE75" s="605">
        <f>IF(BE$65="입주/잔금",($F75-SUM($G75:BD75))*30%,IF(BD$65="입주/잔금",($F75-SUM($G75:BC75))*50%,IF(BC$65="입주/잔금",($F75-SUM($G75:BB75))*20%,IF(BE$65=0,0,IF(BE$65="2차중도금",$F75*30%-SUM($G75:BD75),IF(BE$65="3차중도금",$F75*40%-SUM($G75:BD75),IF(BE$65="4차중도금",$F75*50%-SUM($G75:BD75),$F75*10%)))))))+(IF(BE$65="5차중도금",$F75*60%-SUM($G75:BD75)-$F75*10%,IF(BE$65="6차중도금",$F75*70%-SUM($G75:BD75)-$F75*10%,0)))</f>
        <v>0</v>
      </c>
      <c r="BF75" s="609">
        <f t="shared" si="30"/>
        <v>7899618.248829999</v>
      </c>
      <c r="BG75" s="556">
        <f t="shared" si="32"/>
        <v>0</v>
      </c>
      <c r="BH75" s="610"/>
    </row>
    <row r="76" spans="1:60">
      <c r="A76" s="1853"/>
      <c r="B76" s="613">
        <f t="shared" si="33"/>
        <v>45139</v>
      </c>
      <c r="C76" s="605">
        <f t="shared" si="34"/>
        <v>157992364.97659996</v>
      </c>
      <c r="D76" s="1501">
        <v>0.05</v>
      </c>
      <c r="E76" s="607">
        <f t="shared" si="35"/>
        <v>0.80000000000000016</v>
      </c>
      <c r="F76" s="608">
        <f t="shared" si="31"/>
        <v>7899618.2488299981</v>
      </c>
      <c r="G76" s="605"/>
      <c r="H76" s="605"/>
      <c r="I76" s="605"/>
      <c r="J76" s="605"/>
      <c r="K76" s="605"/>
      <c r="L76" s="605"/>
      <c r="M76" s="605"/>
      <c r="N76" s="605"/>
      <c r="O76" s="605"/>
      <c r="P76" s="605"/>
      <c r="Q76" s="605">
        <f>$F76*10%</f>
        <v>789961.82488299988</v>
      </c>
      <c r="R76" s="605">
        <f>IF(R$65="입주/잔금",($F76-SUM($G76:Q76))*30%,IF(Q$65="입주/잔금",($F76-SUM($G76:P76))*50%,IF(P$65="입주/잔금",($F76-SUM($G76:O76))*20%,IF(R$65=0,0,IF(R$65="2차중도금",$F76*30%-SUM($G76:Q76),IF(R$65="3차중도금",$F76*40%-SUM($G76:Q76),IF(R$65="4차중도금",$F76*50%-SUM($G76:Q76),$F76*10%)))))))+(IF(R$65="5차중도금",$F76*60%-SUM($G76:Q76)-$F76*10%,IF(R$65="6차중도금",$F76*70%-SUM($G76:Q76)-$F76*10%,0)))</f>
        <v>0</v>
      </c>
      <c r="S76" s="605">
        <f>IF(S$65="입주/잔금",($F76-SUM($G76:R76))*30%,IF(R$65="입주/잔금",($F76-SUM($G76:Q76))*50%,IF(Q$65="입주/잔금",($F76-SUM($G76:P76))*20%,IF(S$65=0,0,IF(S$65="2차중도금",$F76*30%-SUM($G76:R76),IF(S$65="3차중도금",$F76*40%-SUM($G76:R76),IF(S$65="4차중도금",$F76*50%-SUM($G76:R76),$F76*10%)))))))+(IF(S$65="5차중도금",$F76*60%-SUM($G76:R76)-$F76*10%,IF(S$65="6차중도금",$F76*70%-SUM($G76:R76)-$F76*10%,0)))</f>
        <v>0</v>
      </c>
      <c r="T76" s="605">
        <f>IF(T$65="입주/잔금",($F76-SUM($G76:S76))*30%,IF(S$65="입주/잔금",($F76-SUM($G76:R76))*50%,IF(R$65="입주/잔금",($F76-SUM($G76:Q76))*20%,IF(T$65=0,0,IF(T$65="2차중도금",$F76*30%-SUM($G76:S76),IF(T$65="3차중도금",$F76*40%-SUM($G76:S76),IF(T$65="4차중도금",$F76*50%-SUM($G76:S76),$F76*10%)))))))+(IF(T$65="5차중도금",$F76*60%-SUM($G76:S76)-$F76*10%,IF(T$65="6차중도금",$F76*70%-SUM($G76:S76)-$F76*10%,0)))</f>
        <v>0</v>
      </c>
      <c r="U76" s="605">
        <f>IF(U$65="입주/잔금",($F76-SUM($G76:T76))*30%,IF(T$65="입주/잔금",($F76-SUM($G76:S76))*50%,IF(S$65="입주/잔금",($F76-SUM($G76:R76))*20%,IF(U$65=0,0,IF(U$65="2차중도금",$F76*30%-SUM($G76:T76),IF(U$65="3차중도금",$F76*40%-SUM($G76:T76),IF(U$65="4차중도금",$F76*50%-SUM($G76:T76),$F76*10%)))))))+(IF(U$65="5차중도금",$F76*60%-SUM($G76:T76)-$F76*10%,IF(U$65="6차중도금",$F76*70%-SUM($G76:T76)-$F76*10%,0)))</f>
        <v>1579923.6497659995</v>
      </c>
      <c r="V76" s="605">
        <f>IF(V$65="입주/잔금",($F76-SUM($G76:U76))*30%,IF(U$65="입주/잔금",($F76-SUM($G76:T76))*50%,IF(T$65="입주/잔금",($F76-SUM($G76:S76))*20%,IF(V$65=0,0,IF(V$65="2차중도금",$F76*30%-SUM($G76:U76),IF(V$65="3차중도금",$F76*40%-SUM($G76:U76),IF(V$65="4차중도금",$F76*50%-SUM($G76:U76),$F76*10%)))))))+(IF(V$65="5차중도금",$F76*60%-SUM($G76:U76)-$F76*10%,IF(V$65="6차중도금",$F76*70%-SUM($G76:U76)-$F76*10%,0)))</f>
        <v>0</v>
      </c>
      <c r="W76" s="605">
        <f>IF(W$65="입주/잔금",($F76-SUM($G76:V76))*30%,IF(V$65="입주/잔금",($F76-SUM($G76:U76))*50%,IF(U$65="입주/잔금",($F76-SUM($G76:T76))*20%,IF(W$65=0,0,IF(W$65="2차중도금",$F76*30%-SUM($G76:V76),IF(W$65="3차중도금",$F76*40%-SUM($G76:V76),IF(W$65="4차중도금",$F76*50%-SUM($G76:V76),$F76*10%)))))))+(IF(W$65="5차중도금",$F76*60%-SUM($G76:V76)-$F76*10%,IF(W$65="6차중도금",$F76*70%-SUM($G76:V76)-$F76*10%,0)))</f>
        <v>0</v>
      </c>
      <c r="X76" s="605">
        <f>IF(X$65="입주/잔금",($F76-SUM($G76:W76))*30%,IF(W$65="입주/잔금",($F76-SUM($G76:V76))*50%,IF(V$65="입주/잔금",($F76-SUM($G76:U76))*20%,IF(X$65=0,0,IF(X$65="2차중도금",$F76*30%-SUM($G76:W76),IF(X$65="3차중도금",$F76*40%-SUM($G76:W76),IF(X$65="4차중도금",$F76*50%-SUM($G76:W76),$F76*10%)))))))+(IF(X$65="5차중도금",$F76*60%-SUM($G76:W76)-$F76*10%,IF(X$65="6차중도금",$F76*70%-SUM($G76:W76)-$F76*10%,0)))</f>
        <v>0</v>
      </c>
      <c r="Y76" s="605">
        <f>IF(Y$65="입주/잔금",($F76-SUM($G76:X76))*30%,IF(X$65="입주/잔금",($F76-SUM($G76:W76))*50%,IF(W$65="입주/잔금",($F76-SUM($G76:V76))*20%,IF(Y$65=0,0,IF(Y$65="2차중도금",$F76*30%-SUM($G76:X76),IF(Y$65="3차중도금",$F76*40%-SUM($G76:X76),IF(Y$65="4차중도금",$F76*50%-SUM($G76:X76),$F76*10%)))))))+(IF(Y$65="5차중도금",$F76*60%-SUM($G76:X76)-$F76*10%,IF(Y$65="6차중도금",$F76*70%-SUM($G76:X76)-$F76*10%,0)))</f>
        <v>789961.82488299999</v>
      </c>
      <c r="Z76" s="605">
        <f>IF(Z$65="입주/잔금",($F76-SUM($G76:Y76))*30%,IF(Y$65="입주/잔금",($F76-SUM($G76:X76))*50%,IF(X$65="입주/잔금",($F76-SUM($G76:W76))*20%,IF(Z$65=0,0,IF(Z$65="2차중도금",$F76*30%-SUM($G76:Y76),IF(Z$65="3차중도금",$F76*40%-SUM($G76:Y76),IF(Z$65="4차중도금",$F76*50%-SUM($G76:Y76),$F76*10%)))))))+(IF(Z$65="5차중도금",$F76*60%-SUM($G76:Y76)-$F76*10%,IF(Z$65="6차중도금",$F76*70%-SUM($G76:Y76)-$F76*10%,0)))</f>
        <v>0</v>
      </c>
      <c r="AA76" s="605">
        <f>IF(AA$65="입주/잔금",($F76-SUM($G76:Z76))*30%,IF(Z$65="입주/잔금",($F76-SUM($G76:Y76))*50%,IF(Y$65="입주/잔금",($F76-SUM($G76:X76))*20%,IF(AA$65=0,0,IF(AA$65="2차중도금",$F76*30%-SUM($G76:Z76),IF(AA$65="3차중도금",$F76*40%-SUM($G76:Z76),IF(AA$65="4차중도금",$F76*50%-SUM($G76:Z76),$F76*10%)))))))+(IF(AA$65="5차중도금",$F76*60%-SUM($G76:Z76)-$F76*10%,IF(AA$65="6차중도금",$F76*70%-SUM($G76:Z76)-$F76*10%,0)))</f>
        <v>0</v>
      </c>
      <c r="AB76" s="605">
        <f>IF(AB$65="입주/잔금",($F76-SUM($G76:AA76))*30%,IF(AA$65="입주/잔금",($F76-SUM($G76:Z76))*50%,IF(Z$65="입주/잔금",($F76-SUM($G76:Y76))*20%,IF(AB$65=0,0,IF(AB$65="2차중도금",$F76*30%-SUM($G76:AA76),IF(AB$65="3차중도금",$F76*40%-SUM($G76:AA76),IF(AB$65="4차중도금",$F76*50%-SUM($G76:AA76),$F76*10%)))))))+(IF(AB$65="5차중도금",$F76*60%-SUM($G76:AA76)-$F76*10%,IF(AB$65="6차중도금",$F76*70%-SUM($G76:AA76)-$F76*10%,0)))</f>
        <v>0</v>
      </c>
      <c r="AC76" s="605">
        <f>IF(AC$65="입주/잔금",($F76-SUM($G76:AB76))*30%,IF(AB$65="입주/잔금",($F76-SUM($G76:AA76))*50%,IF(AA$65="입주/잔금",($F76-SUM($G76:Z76))*20%,IF(AC$65=0,0,IF(AC$65="2차중도금",$F76*30%-SUM($G76:AB76),IF(AC$65="3차중도금",$F76*40%-SUM($G76:AB76),IF(AC$65="4차중도금",$F76*50%-SUM($G76:AB76),$F76*10%)))))))+(IF(AC$65="5차중도금",$F76*60%-SUM($G76:AB76)-$F76*10%,IF(AC$65="6차중도금",$F76*70%-SUM($G76:AB76)-$F76*10%,0)))</f>
        <v>789961.82488299953</v>
      </c>
      <c r="AD76" s="605">
        <f>IF(AD$65="입주/잔금",($F76-SUM($G76:AC76))*30%,IF(AC$65="입주/잔금",($F76-SUM($G76:AB76))*50%,IF(AB$65="입주/잔금",($F76-SUM($G76:AA76))*20%,IF(AD$65=0,0,IF(AD$65="2차중도금",$F76*30%-SUM($G76:AC76),IF(AD$65="3차중도금",$F76*40%-SUM($G76:AC76),IF(AD$65="4차중도금",$F76*50%-SUM($G76:AC76),$F76*10%)))))))+(IF(AD$65="5차중도금",$F76*60%-SUM($G76:AC76)-$F76*10%,IF(AD$65="6차중도금",$F76*70%-SUM($G76:AC76)-$F76*10%,0)))</f>
        <v>0</v>
      </c>
      <c r="AE76" s="605">
        <f>IF(AE$65="입주/잔금",($F76-SUM($G76:AD76))*30%,IF(AD$65="입주/잔금",($F76-SUM($G76:AC76))*50%,IF(AC$65="입주/잔금",($F76-SUM($G76:AB76))*20%,IF(AE$65=0,0,IF(AE$65="2차중도금",$F76*30%-SUM($G76:AD76),IF(AE$65="3차중도금",$F76*40%-SUM($G76:AD76),IF(AE$65="4차중도금",$F76*50%-SUM($G76:AD76),$F76*10%)))))))+(IF(AE$65="5차중도금",$F76*60%-SUM($G76:AD76)-$F76*10%,IF(AE$65="6차중도금",$F76*70%-SUM($G76:AD76)-$F76*10%,0)))</f>
        <v>0</v>
      </c>
      <c r="AF76" s="605">
        <f>IF(AF$65="입주/잔금",($F76-SUM($G76:AE76))*30%,IF(AE$65="입주/잔금",($F76-SUM($G76:AD76))*50%,IF(AD$65="입주/잔금",($F76-SUM($G76:AC76))*20%,IF(AF$65=0,0,IF(AF$65="2차중도금",$F76*30%-SUM($G76:AE76),IF(AF$65="3차중도금",$F76*40%-SUM($G76:AE76),IF(AF$65="4차중도금",$F76*50%-SUM($G76:AE76),$F76*10%)))))))+(IF(AF$65="5차중도금",$F76*60%-SUM($G76:AE76)-$F76*10%,IF(AF$65="6차중도금",$F76*70%-SUM($G76:AE76)-$F76*10%,0)))</f>
        <v>0</v>
      </c>
      <c r="AG76" s="605">
        <f>IF(AG$65="입주/잔금",($F76-SUM($G76:AF76))*30%,IF(AF$65="입주/잔금",($F76-SUM($G76:AE76))*50%,IF(AE$65="입주/잔금",($F76-SUM($G76:AD76))*20%,IF(AG$65=0,0,IF(AG$65="2차중도금",$F76*30%-SUM($G76:AF76),IF(AG$65="3차중도금",$F76*40%-SUM($G76:AF76),IF(AG$65="4차중도금",$F76*50%-SUM($G76:AF76),$F76*10%)))))))+(IF(AG$65="5차중도금",$F76*60%-SUM($G76:AF76)-$F76*10%,IF(AG$65="6차중도금",$F76*70%-SUM($G76:AF76)-$F76*10%,0)))</f>
        <v>0</v>
      </c>
      <c r="AH76" s="605">
        <f>IF(AH$65="입주/잔금",($F76-SUM($G76:AG76))*30%,IF(AG$65="입주/잔금",($F76-SUM($G76:AF76))*50%,IF(AF$65="입주/잔금",($F76-SUM($G76:AE76))*20%,IF(AH$65=0,0,IF(AH$65="2차중도금",$F76*30%-SUM($G76:AG76),IF(AH$65="3차중도금",$F76*40%-SUM($G76:AG76),IF(AH$65="4차중도금",$F76*50%-SUM($G76:AG76),$F76*10%)))))))+(IF(AH$65="5차중도금",$F76*60%-SUM($G76:AG76)-$F76*10%,IF(AH$65="6차중도금",$F76*70%-SUM($G76:AG76)-$F76*10%,0)))</f>
        <v>789961.82488299999</v>
      </c>
      <c r="AI76" s="605">
        <f>IF(AI$65="입주/잔금",($F76-SUM($G76:AH76))*30%,IF(AH$65="입주/잔금",($F76-SUM($G76:AG76))*50%,IF(AG$65="입주/잔금",($F76-SUM($G76:AF76))*20%,IF(AI$65=0,0,IF(AI$65="2차중도금",$F76*30%-SUM($G76:AH76),IF(AI$65="3차중도금",$F76*40%-SUM($G76:AH76),IF(AI$65="4차중도금",$F76*50%-SUM($G76:AH76),$F76*10%)))))))+(IF(AI$65="5차중도금",$F76*60%-SUM($G76:AH76)-$F76*10%,IF(AI$65="6차중도금",$F76*70%-SUM($G76:AH76)-$F76*10%,0)))</f>
        <v>0</v>
      </c>
      <c r="AJ76" s="605">
        <f>IF(AJ$65="입주/잔금",($F76-SUM($G76:AI76))*30%,IF(AI$65="입주/잔금",($F76-SUM($G76:AH76))*50%,IF(AH$65="입주/잔금",($F76-SUM($G76:AG76))*20%,IF(AJ$65=0,0,IF(AJ$65="2차중도금",$F76*30%-SUM($G76:AI76),IF(AJ$65="3차중도금",$F76*40%-SUM($G76:AI76),IF(AJ$65="4차중도금",$F76*50%-SUM($G76:AI76),$F76*10%)))))))+(IF(AJ$65="5차중도금",$F76*60%-SUM($G76:AI76)-$F76*10%,IF(AJ$65="6차중도금",$F76*70%-SUM($G76:AI76)-$F76*10%,0)))</f>
        <v>0</v>
      </c>
      <c r="AK76" s="605">
        <f>IF(AK$65="입주/잔금",($F76-SUM($G76:AJ76))*30%,IF(AJ$65="입주/잔금",($F76-SUM($G76:AI76))*50%,IF(AI$65="입주/잔금",($F76-SUM($G76:AH76))*20%,IF(AK$65=0,0,IF(AK$65="2차중도금",$F76*30%-SUM($G76:AJ76),IF(AK$65="3차중도금",$F76*40%-SUM($G76:AJ76),IF(AK$65="4차중도금",$F76*50%-SUM($G76:AJ76),$F76*10%)))))))+(IF(AK$65="5차중도금",$F76*60%-SUM($G76:AJ76)-$F76*10%,IF(AK$65="6차중도금",$F76*70%-SUM($G76:AJ76)-$F76*10%,0)))</f>
        <v>0</v>
      </c>
      <c r="AL76" s="605">
        <f>IF(AL$65="입주/잔금",($F76-SUM($G76:AK76))*30%,IF(AK$65="입주/잔금",($F76-SUM($G76:AJ76))*50%,IF(AJ$65="입주/잔금",($F76-SUM($G76:AI76))*20%,IF(AL$65=0,0,IF(AL$65="2차중도금",$F76*30%-SUM($G76:AK76),IF(AL$65="3차중도금",$F76*40%-SUM($G76:AK76),IF(AL$65="4차중도금",$F76*50%-SUM($G76:AK76),$F76*10%)))))))+(IF(AL$65="5차중도금",$F76*60%-SUM($G76:AK76)-$F76*10%,IF(AL$65="6차중도금",$F76*70%-SUM($G76:AK76)-$F76*10%,0)))</f>
        <v>0</v>
      </c>
      <c r="AM76" s="605">
        <f>IF(AM$65="입주/잔금",($F76-SUM($G76:AL76))*30%,IF(AL$65="입주/잔금",($F76-SUM($G76:AK76))*50%,IF(AK$65="입주/잔금",($F76-SUM($G76:AJ76))*20%,IF(AM$65=0,0,IF(AM$65="2차중도금",$F76*30%-SUM($G76:AL76),IF(AM$65="3차중도금",$F76*40%-SUM($G76:AL76),IF(AM$65="4차중도금",$F76*50%-SUM($G76:AL76),$F76*10%)))))))+(IF(AM$65="5차중도금",$F76*60%-SUM($G76:AL76)-$F76*10%,IF(AM$65="6차중도금",$F76*70%-SUM($G76:AL76)-$F76*10%,0)))</f>
        <v>789961.82488299906</v>
      </c>
      <c r="AN76" s="605">
        <f>IF(AN$65="입주/잔금",($F76-SUM($G76:AM76))*30%,IF(AM$65="입주/잔금",($F76-SUM($G76:AL76))*50%,IF(AL$65="입주/잔금",($F76-SUM($G76:AK76))*20%,IF(AN$65=0,0,IF(AN$65="2차중도금",$F76*30%-SUM($G76:AM76),IF(AN$65="3차중도금",$F76*40%-SUM($G76:AM76),IF(AN$65="4차중도금",$F76*50%-SUM($G76:AM76),$F76*10%)))))))+(IF(AN$65="5차중도금",$F76*60%-SUM($G76:AM76)-$F76*10%,IF(AN$65="6차중도금",$F76*70%-SUM($G76:AM76)-$F76*10%,0)))</f>
        <v>0</v>
      </c>
      <c r="AO76" s="605">
        <f>IF(AO$65="입주/잔금",($F76-SUM($G76:AN76))*30%,IF(AN$65="입주/잔금",($F76-SUM($G76:AM76))*50%,IF(AM$65="입주/잔금",($F76-SUM($G76:AL76))*20%,IF(AO$65=0,0,IF(AO$65="2차중도금",$F76*30%-SUM($G76:AN76),IF(AO$65="3차중도금",$F76*40%-SUM($G76:AN76),IF(AO$65="4차중도금",$F76*50%-SUM($G76:AN76),$F76*10%)))))))+(IF(AO$65="5차중도금",$F76*60%-SUM($G76:AN76)-$F76*10%,IF(AO$65="6차중도금",$F76*70%-SUM($G76:AN76)-$F76*10%,0)))</f>
        <v>0</v>
      </c>
      <c r="AP76" s="605">
        <f>IF(AP$65="입주/잔금",($F76-SUM($G76:AO76))*30%,IF(AO$65="입주/잔금",($F76-SUM($G76:AN76))*50%,IF(AN$65="입주/잔금",($F76-SUM($G76:AM76))*20%,IF(AP$65=0,0,IF(AP$65="2차중도금",$F76*30%-SUM($G76:AO76),IF(AP$65="3차중도금",$F76*40%-SUM($G76:AO76),IF(AP$65="4차중도금",$F76*50%-SUM($G76:AO76),$F76*10%)))))))+(IF(AP$65="5차중도금",$F76*60%-SUM($G76:AO76)-$F76*10%,IF(AP$65="6차중도금",$F76*70%-SUM($G76:AO76)-$F76*10%,0)))</f>
        <v>0</v>
      </c>
      <c r="AQ76" s="605">
        <f>IF(AQ$65="입주/잔금",($F76-SUM($G76:AP76))*30%,IF(AP$65="입주/잔금",($F76-SUM($G76:AO76))*50%,IF(AO$65="입주/잔금",($F76-SUM($G76:AN76))*20%,IF(AQ$65=0,0,IF(AQ$65="2차중도금",$F76*30%-SUM($G76:AP76),IF(AQ$65="3차중도금",$F76*40%-SUM($G76:AP76),IF(AQ$65="4차중도금",$F76*50%-SUM($G76:AP76),$F76*10%)))))))+(IF(AQ$65="5차중도금",$F76*60%-SUM($G76:AP76)-$F76*10%,IF(AQ$65="6차중도금",$F76*70%-SUM($G76:AP76)-$F76*10%,0)))</f>
        <v>0</v>
      </c>
      <c r="AR76" s="605">
        <f>IF(AR$65="입주/잔금",($F76-SUM($G76:AQ76))*30%,IF(AQ$65="입주/잔금",($F76-SUM($G76:AP76))*50%,IF(AP$65="입주/잔금",($F76-SUM($G76:AO76))*20%,IF(AR$65=0,0,IF(AR$65="2차중도금",$F76*30%-SUM($G76:AQ76),IF(AR$65="3차중도금",$F76*40%-SUM($G76:AQ76),IF(AR$65="4차중도금",$F76*50%-SUM($G76:AQ76),$F76*10%)))))))+(IF(AR$65="5차중도금",$F76*60%-SUM($G76:AQ76)-$F76*10%,IF(AR$65="6차중도금",$F76*70%-SUM($G76:AQ76)-$F76*10%,0)))</f>
        <v>710965.64239469997</v>
      </c>
      <c r="AS76" s="605">
        <f>IF(AS$65="입주/잔금",($F76-SUM($G76:AR76))*30%,IF(AR$65="입주/잔금",($F76-SUM($G76:AQ76))*50%,IF(AQ$65="입주/잔금",($F76-SUM($G76:AP76))*20%,IF(AS$65=0,0,IF(AS$65="2차중도금",$F76*30%-SUM($G76:AR76),IF(AS$65="3차중도금",$F76*40%-SUM($G76:AR76),IF(AS$65="4차중도금",$F76*50%-SUM($G76:AR76),$F76*10%)))))))+(IF(AS$65="5차중도금",$F76*60%-SUM($G76:AR76)-$F76*10%,IF(AS$65="6차중도금",$F76*70%-SUM($G76:AR76)-$F76*10%,0)))</f>
        <v>1184942.7373245</v>
      </c>
      <c r="AT76" s="605">
        <f>IF(AT$65="입주/잔금",($F76-SUM($G76:AS76))*30%,IF(AS$65="입주/잔금",($F76-SUM($G76:AR76))*50%,IF(AR$65="입주/잔금",($F76-SUM($G76:AQ76))*20%,IF(AT$65=0,0,IF(AT$65="2차중도금",$F76*30%-SUM($G76:AS76),IF(AT$65="3차중도금",$F76*40%-SUM($G76:AS76),IF(AT$65="4차중도금",$F76*50%-SUM($G76:AS76),$F76*10%)))))))+(IF(AT$65="5차중도금",$F76*60%-SUM($G76:AS76)-$F76*10%,IF(AT$65="6차중도금",$F76*70%-SUM($G76:AS76)-$F76*10%,0)))</f>
        <v>473977.09492980002</v>
      </c>
      <c r="AU76" s="605">
        <f>IF(AU$65="입주/잔금",($F76-SUM($G76:AT76))*30%,IF(AT$65="입주/잔금",($F76-SUM($G76:AS76))*50%,IF(AS$65="입주/잔금",($F76-SUM($G76:AR76))*20%,IF(AU$65=0,0,IF(AU$65="2차중도금",$F76*30%-SUM($G76:AT76),IF(AU$65="3차중도금",$F76*40%-SUM($G76:AT76),IF(AU$65="4차중도금",$F76*50%-SUM($G76:AT76),$F76*10%)))))))+(IF(AU$65="5차중도금",$F76*60%-SUM($G76:AT76)-$F76*10%,IF(AU$65="6차중도금",$F76*70%-SUM($G76:AT76)-$F76*10%,0)))</f>
        <v>0</v>
      </c>
      <c r="AV76" s="605">
        <f>IF(AV$65="입주/잔금",($F76-SUM($G76:AU76))*30%,IF(AU$65="입주/잔금",($F76-SUM($G76:AT76))*50%,IF(AT$65="입주/잔금",($F76-SUM($G76:AS76))*20%,IF(AV$65=0,0,IF(AV$65="2차중도금",$F76*30%-SUM($G76:AU76),IF(AV$65="3차중도금",$F76*40%-SUM($G76:AU76),IF(AV$65="4차중도금",$F76*50%-SUM($G76:AU76),$F76*10%)))))))+(IF(AV$65="5차중도금",$F76*60%-SUM($G76:AU76)-$F76*10%,IF(AV$65="6차중도금",$F76*70%-SUM($G76:AU76)-$F76*10%,0)))</f>
        <v>0</v>
      </c>
      <c r="AW76" s="605">
        <f>IF(AW$65="입주/잔금",($F76-SUM($G76:AV76))*30%,IF(AV$65="입주/잔금",($F76-SUM($G76:AU76))*50%,IF(AU$65="입주/잔금",($F76-SUM($G76:AT76))*20%,IF(AW$65=0,0,IF(AW$65="2차중도금",$F76*30%-SUM($G76:AV76),IF(AW$65="3차중도금",$F76*40%-SUM($G76:AV76),IF(AW$65="4차중도금",$F76*50%-SUM($G76:AV76),$F76*10%)))))))+(IF(AW$65="5차중도금",$F76*60%-SUM($G76:AV76)-$F76*10%,IF(AW$65="6차중도금",$F76*70%-SUM($G76:AV76)-$F76*10%,0)))</f>
        <v>0</v>
      </c>
      <c r="AX76" s="605">
        <f>IF(AX$65="입주/잔금",($F76-SUM($G76:AW76))*30%,IF(AW$65="입주/잔금",($F76-SUM($G76:AV76))*50%,IF(AV$65="입주/잔금",($F76-SUM($G76:AU76))*20%,IF(AX$65=0,0,IF(AX$65="2차중도금",$F76*30%-SUM($G76:AW76),IF(AX$65="3차중도금",$F76*40%-SUM($G76:AW76),IF(AX$65="4차중도금",$F76*50%-SUM($G76:AW76),$F76*10%)))))))+(IF(AX$65="5차중도금",$F76*60%-SUM($G76:AW76)-$F76*10%,IF(AX$65="6차중도금",$F76*70%-SUM($G76:AW76)-$F76*10%,0)))</f>
        <v>0</v>
      </c>
      <c r="AY76" s="605">
        <f>IF(AY$65="입주/잔금",($F76-SUM($G76:AX76))*30%,IF(AX$65="입주/잔금",($F76-SUM($G76:AW76))*50%,IF(AW$65="입주/잔금",($F76-SUM($G76:AV76))*20%,IF(AY$65=0,0,IF(AY$65="2차중도금",$F76*30%-SUM($G76:AX76),IF(AY$65="3차중도금",$F76*40%-SUM($G76:AX76),IF(AY$65="4차중도금",$F76*50%-SUM($G76:AX76),$F76*10%)))))))+(IF(AY$65="5차중도금",$F76*60%-SUM($G76:AX76)-$F76*10%,IF(AY$65="6차중도금",$F76*70%-SUM($G76:AX76)-$F76*10%,0)))</f>
        <v>0</v>
      </c>
      <c r="AZ76" s="605">
        <f>IF(AZ$65="입주/잔금",($F76-SUM($G76:AY76))*30%,IF(AY$65="입주/잔금",($F76-SUM($G76:AX76))*50%,IF(AX$65="입주/잔금",($F76-SUM($G76:AW76))*20%,IF(AZ$65=0,0,IF(AZ$65="2차중도금",$F76*30%-SUM($G76:AY76),IF(AZ$65="3차중도금",$F76*40%-SUM($G76:AY76),IF(AZ$65="4차중도금",$F76*50%-SUM($G76:AY76),$F76*10%)))))))+(IF(AZ$65="5차중도금",$F76*60%-SUM($G76:AY76)-$F76*10%,IF(AZ$65="6차중도금",$F76*70%-SUM($G76:AY76)-$F76*10%,0)))</f>
        <v>0</v>
      </c>
      <c r="BA76" s="605">
        <f>IF(BA$65="입주/잔금",($F76-SUM($G76:AZ76))*30%,IF(AZ$65="입주/잔금",($F76-SUM($G76:AY76))*50%,IF(AY$65="입주/잔금",($F76-SUM($G76:AX76))*20%,IF(BA$65=0,0,IF(BA$65="2차중도금",$F76*30%-SUM($G76:AZ76),IF(BA$65="3차중도금",$F76*40%-SUM($G76:AZ76),IF(BA$65="4차중도금",$F76*50%-SUM($G76:AZ76),$F76*10%)))))))+(IF(BA$65="5차중도금",$F76*60%-SUM($G76:AZ76)-$F76*10%,IF(BA$65="6차중도금",$F76*70%-SUM($G76:AZ76)-$F76*10%,0)))</f>
        <v>0</v>
      </c>
      <c r="BB76" s="605">
        <f>IF(BB$65="입주/잔금",($F76-SUM($G76:BA76))*30%,IF(BA$65="입주/잔금",($F76-SUM($G76:AZ76))*50%,IF(AZ$65="입주/잔금",($F76-SUM($G76:AY76))*20%,IF(BB$65=0,0,IF(BB$65="2차중도금",$F76*30%-SUM($G76:BA76),IF(BB$65="3차중도금",$F76*40%-SUM($G76:BA76),IF(BB$65="4차중도금",$F76*50%-SUM($G76:BA76),$F76*10%)))))))+(IF(BB$65="5차중도금",$F76*60%-SUM($G76:BA76)-$F76*10%,IF(BB$65="6차중도금",$F76*70%-SUM($G76:BA76)-$F76*10%,0)))</f>
        <v>0</v>
      </c>
      <c r="BC76" s="605">
        <f>IF(BC$65="입주/잔금",($F76-SUM($G76:BB76))*30%,IF(BB$65="입주/잔금",($F76-SUM($G76:BA76))*50%,IF(BA$65="입주/잔금",($F76-SUM($G76:AZ76))*20%,IF(BC$65=0,0,IF(BC$65="2차중도금",$F76*30%-SUM($G76:BB76),IF(BC$65="3차중도금",$F76*40%-SUM($G76:BB76),IF(BC$65="4차중도금",$F76*50%-SUM($G76:BB76),$F76*10%)))))))+(IF(BC$65="5차중도금",$F76*60%-SUM($G76:BB76)-$F76*10%,IF(BC$65="6차중도금",$F76*70%-SUM($G76:BB76)-$F76*10%,0)))</f>
        <v>0</v>
      </c>
      <c r="BD76" s="605">
        <f>IF(BD$65="입주/잔금",($F76-SUM($G76:BC76))*30%,IF(BC$65="입주/잔금",($F76-SUM($G76:BB76))*50%,IF(BB$65="입주/잔금",($F76-SUM($G76:BA76))*20%,IF(BD$65=0,0,IF(BD$65="2차중도금",$F76*30%-SUM($G76:BC76),IF(BD$65="3차중도금",$F76*40%-SUM($G76:BC76),IF(BD$65="4차중도금",$F76*50%-SUM($G76:BC76),$F76*10%)))))))+(IF(BD$65="5차중도금",$F76*60%-SUM($G76:BC76)-$F76*10%,IF(BD$65="6차중도금",$F76*70%-SUM($G76:BC76)-$F76*10%,0)))</f>
        <v>0</v>
      </c>
      <c r="BE76" s="605">
        <f>IF(BE$65="입주/잔금",($F76-SUM($G76:BD76))*30%,IF(BD$65="입주/잔금",($F76-SUM($G76:BC76))*50%,IF(BC$65="입주/잔금",($F76-SUM($G76:BB76))*20%,IF(BE$65=0,0,IF(BE$65="2차중도금",$F76*30%-SUM($G76:BD76),IF(BE$65="3차중도금",$F76*40%-SUM($G76:BD76),IF(BE$65="4차중도금",$F76*50%-SUM($G76:BD76),$F76*10%)))))))+(IF(BE$65="5차중도금",$F76*60%-SUM($G76:BD76)-$F76*10%,IF(BE$65="6차중도금",$F76*70%-SUM($G76:BD76)-$F76*10%,0)))</f>
        <v>0</v>
      </c>
      <c r="BF76" s="609">
        <f t="shared" si="30"/>
        <v>7899618.248829999</v>
      </c>
      <c r="BG76" s="556">
        <f t="shared" si="32"/>
        <v>0</v>
      </c>
      <c r="BH76" s="610"/>
    </row>
    <row r="77" spans="1:60">
      <c r="A77" s="1853"/>
      <c r="B77" s="611">
        <f t="shared" si="33"/>
        <v>45170</v>
      </c>
      <c r="C77" s="605">
        <f t="shared" si="34"/>
        <v>157992364.97659996</v>
      </c>
      <c r="D77" s="1501">
        <v>0.05</v>
      </c>
      <c r="E77" s="612">
        <f t="shared" si="35"/>
        <v>0.8500000000000002</v>
      </c>
      <c r="F77" s="608">
        <f t="shared" si="31"/>
        <v>7899618.2488299981</v>
      </c>
      <c r="G77" s="605"/>
      <c r="H77" s="605"/>
      <c r="I77" s="605"/>
      <c r="J77" s="605"/>
      <c r="K77" s="605"/>
      <c r="L77" s="605"/>
      <c r="M77" s="605"/>
      <c r="N77" s="605"/>
      <c r="O77" s="605"/>
      <c r="P77" s="605"/>
      <c r="Q77" s="605"/>
      <c r="R77" s="605">
        <f>$F77*10%</f>
        <v>789961.82488299988</v>
      </c>
      <c r="S77" s="605">
        <f>IF(S$65="입주/잔금",($F77-SUM($G77:R77))*30%,IF(R$65="입주/잔금",($F77-SUM($G77:Q77))*50%,IF(Q$65="입주/잔금",($F77-SUM($G77:P77))*20%,IF(S$65=0,0,IF(S$65="2차중도금",$F77*30%-SUM($G77:R77),IF(S$65="3차중도금",$F77*40%-SUM($G77:R77),IF(S$65="4차중도금",$F77*50%-SUM($G77:R77),$F77*10%)))))))+(IF(S$65="5차중도금",$F77*60%-SUM($G77:R77)-$F77*10%,IF(S$65="6차중도금",$F77*70%-SUM($G77:R77)-$F77*10%,0)))</f>
        <v>0</v>
      </c>
      <c r="T77" s="605">
        <f>IF(T$65="입주/잔금",($F77-SUM($G77:S77))*30%,IF(S$65="입주/잔금",($F77-SUM($G77:R77))*50%,IF(R$65="입주/잔금",($F77-SUM($G77:Q77))*20%,IF(T$65=0,0,IF(T$65="2차중도금",$F77*30%-SUM($G77:S77),IF(T$65="3차중도금",$F77*40%-SUM($G77:S77),IF(T$65="4차중도금",$F77*50%-SUM($G77:S77),$F77*10%)))))))+(IF(T$65="5차중도금",$F77*60%-SUM($G77:S77)-$F77*10%,IF(T$65="6차중도금",$F77*70%-SUM($G77:S77)-$F77*10%,0)))</f>
        <v>0</v>
      </c>
      <c r="U77" s="605">
        <f>IF(U$65="입주/잔금",($F77-SUM($G77:T77))*30%,IF(T$65="입주/잔금",($F77-SUM($G77:S77))*50%,IF(S$65="입주/잔금",($F77-SUM($G77:R77))*20%,IF(U$65=0,0,IF(U$65="2차중도금",$F77*30%-SUM($G77:T77),IF(U$65="3차중도금",$F77*40%-SUM($G77:T77),IF(U$65="4차중도금",$F77*50%-SUM($G77:T77),$F77*10%)))))))+(IF(U$65="5차중도금",$F77*60%-SUM($G77:T77)-$F77*10%,IF(U$65="6차중도금",$F77*70%-SUM($G77:T77)-$F77*10%,0)))</f>
        <v>1579923.6497659995</v>
      </c>
      <c r="V77" s="605">
        <f>IF(V$65="입주/잔금",($F77-SUM($G77:U77))*30%,IF(U$65="입주/잔금",($F77-SUM($G77:T77))*50%,IF(T$65="입주/잔금",($F77-SUM($G77:S77))*20%,IF(V$65=0,0,IF(V$65="2차중도금",$F77*30%-SUM($G77:U77),IF(V$65="3차중도금",$F77*40%-SUM($G77:U77),IF(V$65="4차중도금",$F77*50%-SUM($G77:U77),$F77*10%)))))))+(IF(V$65="5차중도금",$F77*60%-SUM($G77:U77)-$F77*10%,IF(V$65="6차중도금",$F77*70%-SUM($G77:U77)-$F77*10%,0)))</f>
        <v>0</v>
      </c>
      <c r="W77" s="605">
        <f>IF(W$65="입주/잔금",($F77-SUM($G77:V77))*30%,IF(V$65="입주/잔금",($F77-SUM($G77:U77))*50%,IF(U$65="입주/잔금",($F77-SUM($G77:T77))*20%,IF(W$65=0,0,IF(W$65="2차중도금",$F77*30%-SUM($G77:V77),IF(W$65="3차중도금",$F77*40%-SUM($G77:V77),IF(W$65="4차중도금",$F77*50%-SUM($G77:V77),$F77*10%)))))))+(IF(W$65="5차중도금",$F77*60%-SUM($G77:V77)-$F77*10%,IF(W$65="6차중도금",$F77*70%-SUM($G77:V77)-$F77*10%,0)))</f>
        <v>0</v>
      </c>
      <c r="X77" s="605">
        <f>IF(X$65="입주/잔금",($F77-SUM($G77:W77))*30%,IF(W$65="입주/잔금",($F77-SUM($G77:V77))*50%,IF(V$65="입주/잔금",($F77-SUM($G77:U77))*20%,IF(X$65=0,0,IF(X$65="2차중도금",$F77*30%-SUM($G77:W77),IF(X$65="3차중도금",$F77*40%-SUM($G77:W77),IF(X$65="4차중도금",$F77*50%-SUM($G77:W77),$F77*10%)))))))+(IF(X$65="5차중도금",$F77*60%-SUM($G77:W77)-$F77*10%,IF(X$65="6차중도금",$F77*70%-SUM($G77:W77)-$F77*10%,0)))</f>
        <v>0</v>
      </c>
      <c r="Y77" s="605">
        <f>IF(Y$65="입주/잔금",($F77-SUM($G77:X77))*30%,IF(X$65="입주/잔금",($F77-SUM($G77:W77))*50%,IF(W$65="입주/잔금",($F77-SUM($G77:V77))*20%,IF(Y$65=0,0,IF(Y$65="2차중도금",$F77*30%-SUM($G77:X77),IF(Y$65="3차중도금",$F77*40%-SUM($G77:X77),IF(Y$65="4차중도금",$F77*50%-SUM($G77:X77),$F77*10%)))))))+(IF(Y$65="5차중도금",$F77*60%-SUM($G77:X77)-$F77*10%,IF(Y$65="6차중도금",$F77*70%-SUM($G77:X77)-$F77*10%,0)))</f>
        <v>789961.82488299999</v>
      </c>
      <c r="Z77" s="605">
        <f>IF(Z$65="입주/잔금",($F77-SUM($G77:Y77))*30%,IF(Y$65="입주/잔금",($F77-SUM($G77:X77))*50%,IF(X$65="입주/잔금",($F77-SUM($G77:W77))*20%,IF(Z$65=0,0,IF(Z$65="2차중도금",$F77*30%-SUM($G77:Y77),IF(Z$65="3차중도금",$F77*40%-SUM($G77:Y77),IF(Z$65="4차중도금",$F77*50%-SUM($G77:Y77),$F77*10%)))))))+(IF(Z$65="5차중도금",$F77*60%-SUM($G77:Y77)-$F77*10%,IF(Z$65="6차중도금",$F77*70%-SUM($G77:Y77)-$F77*10%,0)))</f>
        <v>0</v>
      </c>
      <c r="AA77" s="605">
        <f>IF(AA$65="입주/잔금",($F77-SUM($G77:Z77))*30%,IF(Z$65="입주/잔금",($F77-SUM($G77:Y77))*50%,IF(Y$65="입주/잔금",($F77-SUM($G77:X77))*20%,IF(AA$65=0,0,IF(AA$65="2차중도금",$F77*30%-SUM($G77:Z77),IF(AA$65="3차중도금",$F77*40%-SUM($G77:Z77),IF(AA$65="4차중도금",$F77*50%-SUM($G77:Z77),$F77*10%)))))))+(IF(AA$65="5차중도금",$F77*60%-SUM($G77:Z77)-$F77*10%,IF(AA$65="6차중도금",$F77*70%-SUM($G77:Z77)-$F77*10%,0)))</f>
        <v>0</v>
      </c>
      <c r="AB77" s="605">
        <f>IF(AB$65="입주/잔금",($F77-SUM($G77:AA77))*30%,IF(AA$65="입주/잔금",($F77-SUM($G77:Z77))*50%,IF(Z$65="입주/잔금",($F77-SUM($G77:Y77))*20%,IF(AB$65=0,0,IF(AB$65="2차중도금",$F77*30%-SUM($G77:AA77),IF(AB$65="3차중도금",$F77*40%-SUM($G77:AA77),IF(AB$65="4차중도금",$F77*50%-SUM($G77:AA77),$F77*10%)))))))+(IF(AB$65="5차중도금",$F77*60%-SUM($G77:AA77)-$F77*10%,IF(AB$65="6차중도금",$F77*70%-SUM($G77:AA77)-$F77*10%,0)))</f>
        <v>0</v>
      </c>
      <c r="AC77" s="605">
        <f>IF(AC$65="입주/잔금",($F77-SUM($G77:AB77))*30%,IF(AB$65="입주/잔금",($F77-SUM($G77:AA77))*50%,IF(AA$65="입주/잔금",($F77-SUM($G77:Z77))*20%,IF(AC$65=0,0,IF(AC$65="2차중도금",$F77*30%-SUM($G77:AB77),IF(AC$65="3차중도금",$F77*40%-SUM($G77:AB77),IF(AC$65="4차중도금",$F77*50%-SUM($G77:AB77),$F77*10%)))))))+(IF(AC$65="5차중도금",$F77*60%-SUM($G77:AB77)-$F77*10%,IF(AC$65="6차중도금",$F77*70%-SUM($G77:AB77)-$F77*10%,0)))</f>
        <v>789961.82488299953</v>
      </c>
      <c r="AD77" s="605">
        <f>IF(AD$65="입주/잔금",($F77-SUM($G77:AC77))*30%,IF(AC$65="입주/잔금",($F77-SUM($G77:AB77))*50%,IF(AB$65="입주/잔금",($F77-SUM($G77:AA77))*20%,IF(AD$65=0,0,IF(AD$65="2차중도금",$F77*30%-SUM($G77:AC77),IF(AD$65="3차중도금",$F77*40%-SUM($G77:AC77),IF(AD$65="4차중도금",$F77*50%-SUM($G77:AC77),$F77*10%)))))))+(IF(AD$65="5차중도금",$F77*60%-SUM($G77:AC77)-$F77*10%,IF(AD$65="6차중도금",$F77*70%-SUM($G77:AC77)-$F77*10%,0)))</f>
        <v>0</v>
      </c>
      <c r="AE77" s="605">
        <f>IF(AE$65="입주/잔금",($F77-SUM($G77:AD77))*30%,IF(AD$65="입주/잔금",($F77-SUM($G77:AC77))*50%,IF(AC$65="입주/잔금",($F77-SUM($G77:AB77))*20%,IF(AE$65=0,0,IF(AE$65="2차중도금",$F77*30%-SUM($G77:AD77),IF(AE$65="3차중도금",$F77*40%-SUM($G77:AD77),IF(AE$65="4차중도금",$F77*50%-SUM($G77:AD77),$F77*10%)))))))+(IF(AE$65="5차중도금",$F77*60%-SUM($G77:AD77)-$F77*10%,IF(AE$65="6차중도금",$F77*70%-SUM($G77:AD77)-$F77*10%,0)))</f>
        <v>0</v>
      </c>
      <c r="AF77" s="605">
        <f>IF(AF$65="입주/잔금",($F77-SUM($G77:AE77))*30%,IF(AE$65="입주/잔금",($F77-SUM($G77:AD77))*50%,IF(AD$65="입주/잔금",($F77-SUM($G77:AC77))*20%,IF(AF$65=0,0,IF(AF$65="2차중도금",$F77*30%-SUM($G77:AE77),IF(AF$65="3차중도금",$F77*40%-SUM($G77:AE77),IF(AF$65="4차중도금",$F77*50%-SUM($G77:AE77),$F77*10%)))))))+(IF(AF$65="5차중도금",$F77*60%-SUM($G77:AE77)-$F77*10%,IF(AF$65="6차중도금",$F77*70%-SUM($G77:AE77)-$F77*10%,0)))</f>
        <v>0</v>
      </c>
      <c r="AG77" s="605">
        <f>IF(AG$65="입주/잔금",($F77-SUM($G77:AF77))*30%,IF(AF$65="입주/잔금",($F77-SUM($G77:AE77))*50%,IF(AE$65="입주/잔금",($F77-SUM($G77:AD77))*20%,IF(AG$65=0,0,IF(AG$65="2차중도금",$F77*30%-SUM($G77:AF77),IF(AG$65="3차중도금",$F77*40%-SUM($G77:AF77),IF(AG$65="4차중도금",$F77*50%-SUM($G77:AF77),$F77*10%)))))))+(IF(AG$65="5차중도금",$F77*60%-SUM($G77:AF77)-$F77*10%,IF(AG$65="6차중도금",$F77*70%-SUM($G77:AF77)-$F77*10%,0)))</f>
        <v>0</v>
      </c>
      <c r="AH77" s="605">
        <f>IF(AH$65="입주/잔금",($F77-SUM($G77:AG77))*30%,IF(AG$65="입주/잔금",($F77-SUM($G77:AF77))*50%,IF(AF$65="입주/잔금",($F77-SUM($G77:AE77))*20%,IF(AH$65=0,0,IF(AH$65="2차중도금",$F77*30%-SUM($G77:AG77),IF(AH$65="3차중도금",$F77*40%-SUM($G77:AG77),IF(AH$65="4차중도금",$F77*50%-SUM($G77:AG77),$F77*10%)))))))+(IF(AH$65="5차중도금",$F77*60%-SUM($G77:AG77)-$F77*10%,IF(AH$65="6차중도금",$F77*70%-SUM($G77:AG77)-$F77*10%,0)))</f>
        <v>789961.82488299999</v>
      </c>
      <c r="AI77" s="605">
        <f>IF(AI$65="입주/잔금",($F77-SUM($G77:AH77))*30%,IF(AH$65="입주/잔금",($F77-SUM($G77:AG77))*50%,IF(AG$65="입주/잔금",($F77-SUM($G77:AF77))*20%,IF(AI$65=0,0,IF(AI$65="2차중도금",$F77*30%-SUM($G77:AH77),IF(AI$65="3차중도금",$F77*40%-SUM($G77:AH77),IF(AI$65="4차중도금",$F77*50%-SUM($G77:AH77),$F77*10%)))))))+(IF(AI$65="5차중도금",$F77*60%-SUM($G77:AH77)-$F77*10%,IF(AI$65="6차중도금",$F77*70%-SUM($G77:AH77)-$F77*10%,0)))</f>
        <v>0</v>
      </c>
      <c r="AJ77" s="605">
        <f>IF(AJ$65="입주/잔금",($F77-SUM($G77:AI77))*30%,IF(AI$65="입주/잔금",($F77-SUM($G77:AH77))*50%,IF(AH$65="입주/잔금",($F77-SUM($G77:AG77))*20%,IF(AJ$65=0,0,IF(AJ$65="2차중도금",$F77*30%-SUM($G77:AI77),IF(AJ$65="3차중도금",$F77*40%-SUM($G77:AI77),IF(AJ$65="4차중도금",$F77*50%-SUM($G77:AI77),$F77*10%)))))))+(IF(AJ$65="5차중도금",$F77*60%-SUM($G77:AI77)-$F77*10%,IF(AJ$65="6차중도금",$F77*70%-SUM($G77:AI77)-$F77*10%,0)))</f>
        <v>0</v>
      </c>
      <c r="AK77" s="605">
        <f>IF(AK$65="입주/잔금",($F77-SUM($G77:AJ77))*30%,IF(AJ$65="입주/잔금",($F77-SUM($G77:AI77))*50%,IF(AI$65="입주/잔금",($F77-SUM($G77:AH77))*20%,IF(AK$65=0,0,IF(AK$65="2차중도금",$F77*30%-SUM($G77:AJ77),IF(AK$65="3차중도금",$F77*40%-SUM($G77:AJ77),IF(AK$65="4차중도금",$F77*50%-SUM($G77:AJ77),$F77*10%)))))))+(IF(AK$65="5차중도금",$F77*60%-SUM($G77:AJ77)-$F77*10%,IF(AK$65="6차중도금",$F77*70%-SUM($G77:AJ77)-$F77*10%,0)))</f>
        <v>0</v>
      </c>
      <c r="AL77" s="605">
        <f>IF(AL$65="입주/잔금",($F77-SUM($G77:AK77))*30%,IF(AK$65="입주/잔금",($F77-SUM($G77:AJ77))*50%,IF(AJ$65="입주/잔금",($F77-SUM($G77:AI77))*20%,IF(AL$65=0,0,IF(AL$65="2차중도금",$F77*30%-SUM($G77:AK77),IF(AL$65="3차중도금",$F77*40%-SUM($G77:AK77),IF(AL$65="4차중도금",$F77*50%-SUM($G77:AK77),$F77*10%)))))))+(IF(AL$65="5차중도금",$F77*60%-SUM($G77:AK77)-$F77*10%,IF(AL$65="6차중도금",$F77*70%-SUM($G77:AK77)-$F77*10%,0)))</f>
        <v>0</v>
      </c>
      <c r="AM77" s="605">
        <f>IF(AM$65="입주/잔금",($F77-SUM($G77:AL77))*30%,IF(AL$65="입주/잔금",($F77-SUM($G77:AK77))*50%,IF(AK$65="입주/잔금",($F77-SUM($G77:AJ77))*20%,IF(AM$65=0,0,IF(AM$65="2차중도금",$F77*30%-SUM($G77:AL77),IF(AM$65="3차중도금",$F77*40%-SUM($G77:AL77),IF(AM$65="4차중도금",$F77*50%-SUM($G77:AL77),$F77*10%)))))))+(IF(AM$65="5차중도금",$F77*60%-SUM($G77:AL77)-$F77*10%,IF(AM$65="6차중도금",$F77*70%-SUM($G77:AL77)-$F77*10%,0)))</f>
        <v>789961.82488299906</v>
      </c>
      <c r="AN77" s="605">
        <f>IF(AN$65="입주/잔금",($F77-SUM($G77:AM77))*30%,IF(AM$65="입주/잔금",($F77-SUM($G77:AL77))*50%,IF(AL$65="입주/잔금",($F77-SUM($G77:AK77))*20%,IF(AN$65=0,0,IF(AN$65="2차중도금",$F77*30%-SUM($G77:AM77),IF(AN$65="3차중도금",$F77*40%-SUM($G77:AM77),IF(AN$65="4차중도금",$F77*50%-SUM($G77:AM77),$F77*10%)))))))+(IF(AN$65="5차중도금",$F77*60%-SUM($G77:AM77)-$F77*10%,IF(AN$65="6차중도금",$F77*70%-SUM($G77:AM77)-$F77*10%,0)))</f>
        <v>0</v>
      </c>
      <c r="AO77" s="605">
        <f>IF(AO$65="입주/잔금",($F77-SUM($G77:AN77))*30%,IF(AN$65="입주/잔금",($F77-SUM($G77:AM77))*50%,IF(AM$65="입주/잔금",($F77-SUM($G77:AL77))*20%,IF(AO$65=0,0,IF(AO$65="2차중도금",$F77*30%-SUM($G77:AN77),IF(AO$65="3차중도금",$F77*40%-SUM($G77:AN77),IF(AO$65="4차중도금",$F77*50%-SUM($G77:AN77),$F77*10%)))))))+(IF(AO$65="5차중도금",$F77*60%-SUM($G77:AN77)-$F77*10%,IF(AO$65="6차중도금",$F77*70%-SUM($G77:AN77)-$F77*10%,0)))</f>
        <v>0</v>
      </c>
      <c r="AP77" s="605">
        <f>IF(AP$65="입주/잔금",($F77-SUM($G77:AO77))*30%,IF(AO$65="입주/잔금",($F77-SUM($G77:AN77))*50%,IF(AN$65="입주/잔금",($F77-SUM($G77:AM77))*20%,IF(AP$65=0,0,IF(AP$65="2차중도금",$F77*30%-SUM($G77:AO77),IF(AP$65="3차중도금",$F77*40%-SUM($G77:AO77),IF(AP$65="4차중도금",$F77*50%-SUM($G77:AO77),$F77*10%)))))))+(IF(AP$65="5차중도금",$F77*60%-SUM($G77:AO77)-$F77*10%,IF(AP$65="6차중도금",$F77*70%-SUM($G77:AO77)-$F77*10%,0)))</f>
        <v>0</v>
      </c>
      <c r="AQ77" s="605">
        <f>IF(AQ$65="입주/잔금",($F77-SUM($G77:AP77))*30%,IF(AP$65="입주/잔금",($F77-SUM($G77:AO77))*50%,IF(AO$65="입주/잔금",($F77-SUM($G77:AN77))*20%,IF(AQ$65=0,0,IF(AQ$65="2차중도금",$F77*30%-SUM($G77:AP77),IF(AQ$65="3차중도금",$F77*40%-SUM($G77:AP77),IF(AQ$65="4차중도금",$F77*50%-SUM($G77:AP77),$F77*10%)))))))+(IF(AQ$65="5차중도금",$F77*60%-SUM($G77:AP77)-$F77*10%,IF(AQ$65="6차중도금",$F77*70%-SUM($G77:AP77)-$F77*10%,0)))</f>
        <v>0</v>
      </c>
      <c r="AR77" s="605">
        <f>IF(AR$65="입주/잔금",($F77-SUM($G77:AQ77))*30%,IF(AQ$65="입주/잔금",($F77-SUM($G77:AP77))*50%,IF(AP$65="입주/잔금",($F77-SUM($G77:AO77))*20%,IF(AR$65=0,0,IF(AR$65="2차중도금",$F77*30%-SUM($G77:AQ77),IF(AR$65="3차중도금",$F77*40%-SUM($G77:AQ77),IF(AR$65="4차중도금",$F77*50%-SUM($G77:AQ77),$F77*10%)))))))+(IF(AR$65="5차중도금",$F77*60%-SUM($G77:AQ77)-$F77*10%,IF(AR$65="6차중도금",$F77*70%-SUM($G77:AQ77)-$F77*10%,0)))</f>
        <v>710965.64239469997</v>
      </c>
      <c r="AS77" s="605">
        <f>IF(AS$65="입주/잔금",($F77-SUM($G77:AR77))*30%,IF(AR$65="입주/잔금",($F77-SUM($G77:AQ77))*50%,IF(AQ$65="입주/잔금",($F77-SUM($G77:AP77))*20%,IF(AS$65=0,0,IF(AS$65="2차중도금",$F77*30%-SUM($G77:AR77),IF(AS$65="3차중도금",$F77*40%-SUM($G77:AR77),IF(AS$65="4차중도금",$F77*50%-SUM($G77:AR77),$F77*10%)))))))+(IF(AS$65="5차중도금",$F77*60%-SUM($G77:AR77)-$F77*10%,IF(AS$65="6차중도금",$F77*70%-SUM($G77:AR77)-$F77*10%,0)))</f>
        <v>1184942.7373245</v>
      </c>
      <c r="AT77" s="605">
        <f>IF(AT$65="입주/잔금",($F77-SUM($G77:AS77))*30%,IF(AS$65="입주/잔금",($F77-SUM($G77:AR77))*50%,IF(AR$65="입주/잔금",($F77-SUM($G77:AQ77))*20%,IF(AT$65=0,0,IF(AT$65="2차중도금",$F77*30%-SUM($G77:AS77),IF(AT$65="3차중도금",$F77*40%-SUM($G77:AS77),IF(AT$65="4차중도금",$F77*50%-SUM($G77:AS77),$F77*10%)))))))+(IF(AT$65="5차중도금",$F77*60%-SUM($G77:AS77)-$F77*10%,IF(AT$65="6차중도금",$F77*70%-SUM($G77:AS77)-$F77*10%,0)))</f>
        <v>473977.09492980002</v>
      </c>
      <c r="AU77" s="605">
        <f>IF(AU$65="입주/잔금",($F77-SUM($G77:AT77))*30%,IF(AT$65="입주/잔금",($F77-SUM($G77:AS77))*50%,IF(AS$65="입주/잔금",($F77-SUM($G77:AR77))*20%,IF(AU$65=0,0,IF(AU$65="2차중도금",$F77*30%-SUM($G77:AT77),IF(AU$65="3차중도금",$F77*40%-SUM($G77:AT77),IF(AU$65="4차중도금",$F77*50%-SUM($G77:AT77),$F77*10%)))))))+(IF(AU$65="5차중도금",$F77*60%-SUM($G77:AT77)-$F77*10%,IF(AU$65="6차중도금",$F77*70%-SUM($G77:AT77)-$F77*10%,0)))</f>
        <v>0</v>
      </c>
      <c r="AV77" s="605">
        <f>IF(AV$65="입주/잔금",($F77-SUM($G77:AU77))*30%,IF(AU$65="입주/잔금",($F77-SUM($G77:AT77))*50%,IF(AT$65="입주/잔금",($F77-SUM($G77:AS77))*20%,IF(AV$65=0,0,IF(AV$65="2차중도금",$F77*30%-SUM($G77:AU77),IF(AV$65="3차중도금",$F77*40%-SUM($G77:AU77),IF(AV$65="4차중도금",$F77*50%-SUM($G77:AU77),$F77*10%)))))))+(IF(AV$65="5차중도금",$F77*60%-SUM($G77:AU77)-$F77*10%,IF(AV$65="6차중도금",$F77*70%-SUM($G77:AU77)-$F77*10%,0)))</f>
        <v>0</v>
      </c>
      <c r="AW77" s="605">
        <f>IF(AW$65="입주/잔금",($F77-SUM($G77:AV77))*30%,IF(AV$65="입주/잔금",($F77-SUM($G77:AU77))*50%,IF(AU$65="입주/잔금",($F77-SUM($G77:AT77))*20%,IF(AW$65=0,0,IF(AW$65="2차중도금",$F77*30%-SUM($G77:AV77),IF(AW$65="3차중도금",$F77*40%-SUM($G77:AV77),IF(AW$65="4차중도금",$F77*50%-SUM($G77:AV77),$F77*10%)))))))+(IF(AW$65="5차중도금",$F77*60%-SUM($G77:AV77)-$F77*10%,IF(AW$65="6차중도금",$F77*70%-SUM($G77:AV77)-$F77*10%,0)))</f>
        <v>0</v>
      </c>
      <c r="AX77" s="605">
        <f>IF(AX$65="입주/잔금",($F77-SUM($G77:AW77))*30%,IF(AW$65="입주/잔금",($F77-SUM($G77:AV77))*50%,IF(AV$65="입주/잔금",($F77-SUM($G77:AU77))*20%,IF(AX$65=0,0,IF(AX$65="2차중도금",$F77*30%-SUM($G77:AW77),IF(AX$65="3차중도금",$F77*40%-SUM($G77:AW77),IF(AX$65="4차중도금",$F77*50%-SUM($G77:AW77),$F77*10%)))))))+(IF(AX$65="5차중도금",$F77*60%-SUM($G77:AW77)-$F77*10%,IF(AX$65="6차중도금",$F77*70%-SUM($G77:AW77)-$F77*10%,0)))</f>
        <v>0</v>
      </c>
      <c r="AY77" s="605">
        <f>IF(AY$65="입주/잔금",($F77-SUM($G77:AX77))*30%,IF(AX$65="입주/잔금",($F77-SUM($G77:AW77))*50%,IF(AW$65="입주/잔금",($F77-SUM($G77:AV77))*20%,IF(AY$65=0,0,IF(AY$65="2차중도금",$F77*30%-SUM($G77:AX77),IF(AY$65="3차중도금",$F77*40%-SUM($G77:AX77),IF(AY$65="4차중도금",$F77*50%-SUM($G77:AX77),$F77*10%)))))))+(IF(AY$65="5차중도금",$F77*60%-SUM($G77:AX77)-$F77*10%,IF(AY$65="6차중도금",$F77*70%-SUM($G77:AX77)-$F77*10%,0)))</f>
        <v>0</v>
      </c>
      <c r="AZ77" s="605">
        <f>IF(AZ$65="입주/잔금",($F77-SUM($G77:AY77))*30%,IF(AY$65="입주/잔금",($F77-SUM($G77:AX77))*50%,IF(AX$65="입주/잔금",($F77-SUM($G77:AW77))*20%,IF(AZ$65=0,0,IF(AZ$65="2차중도금",$F77*30%-SUM($G77:AY77),IF(AZ$65="3차중도금",$F77*40%-SUM($G77:AY77),IF(AZ$65="4차중도금",$F77*50%-SUM($G77:AY77),$F77*10%)))))))+(IF(AZ$65="5차중도금",$F77*60%-SUM($G77:AY77)-$F77*10%,IF(AZ$65="6차중도금",$F77*70%-SUM($G77:AY77)-$F77*10%,0)))</f>
        <v>0</v>
      </c>
      <c r="BA77" s="605">
        <f>IF(BA$65="입주/잔금",($F77-SUM($G77:AZ77))*30%,IF(AZ$65="입주/잔금",($F77-SUM($G77:AY77))*50%,IF(AY$65="입주/잔금",($F77-SUM($G77:AX77))*20%,IF(BA$65=0,0,IF(BA$65="2차중도금",$F77*30%-SUM($G77:AZ77),IF(BA$65="3차중도금",$F77*40%-SUM($G77:AZ77),IF(BA$65="4차중도금",$F77*50%-SUM($G77:AZ77),$F77*10%)))))))+(IF(BA$65="5차중도금",$F77*60%-SUM($G77:AZ77)-$F77*10%,IF(BA$65="6차중도금",$F77*70%-SUM($G77:AZ77)-$F77*10%,0)))</f>
        <v>0</v>
      </c>
      <c r="BB77" s="605">
        <f>IF(BB$65="입주/잔금",($F77-SUM($G77:BA77))*30%,IF(BA$65="입주/잔금",($F77-SUM($G77:AZ77))*50%,IF(AZ$65="입주/잔금",($F77-SUM($G77:AY77))*20%,IF(BB$65=0,0,IF(BB$65="2차중도금",$F77*30%-SUM($G77:BA77),IF(BB$65="3차중도금",$F77*40%-SUM($G77:BA77),IF(BB$65="4차중도금",$F77*50%-SUM($G77:BA77),$F77*10%)))))))+(IF(BB$65="5차중도금",$F77*60%-SUM($G77:BA77)-$F77*10%,IF(BB$65="6차중도금",$F77*70%-SUM($G77:BA77)-$F77*10%,0)))</f>
        <v>0</v>
      </c>
      <c r="BC77" s="605">
        <f>IF(BC$65="입주/잔금",($F77-SUM($G77:BB77))*30%,IF(BB$65="입주/잔금",($F77-SUM($G77:BA77))*50%,IF(BA$65="입주/잔금",($F77-SUM($G77:AZ77))*20%,IF(BC$65=0,0,IF(BC$65="2차중도금",$F77*30%-SUM($G77:BB77),IF(BC$65="3차중도금",$F77*40%-SUM($G77:BB77),IF(BC$65="4차중도금",$F77*50%-SUM($G77:BB77),$F77*10%)))))))+(IF(BC$65="5차중도금",$F77*60%-SUM($G77:BB77)-$F77*10%,IF(BC$65="6차중도금",$F77*70%-SUM($G77:BB77)-$F77*10%,0)))</f>
        <v>0</v>
      </c>
      <c r="BD77" s="605">
        <f>IF(BD$65="입주/잔금",($F77-SUM($G77:BC77))*30%,IF(BC$65="입주/잔금",($F77-SUM($G77:BB77))*50%,IF(BB$65="입주/잔금",($F77-SUM($G77:BA77))*20%,IF(BD$65=0,0,IF(BD$65="2차중도금",$F77*30%-SUM($G77:BC77),IF(BD$65="3차중도금",$F77*40%-SUM($G77:BC77),IF(BD$65="4차중도금",$F77*50%-SUM($G77:BC77),$F77*10%)))))))+(IF(BD$65="5차중도금",$F77*60%-SUM($G77:BC77)-$F77*10%,IF(BD$65="6차중도금",$F77*70%-SUM($G77:BC77)-$F77*10%,0)))</f>
        <v>0</v>
      </c>
      <c r="BE77" s="605">
        <f>IF(BE$65="입주/잔금",($F77-SUM($G77:BD77))*30%,IF(BD$65="입주/잔금",($F77-SUM($G77:BC77))*50%,IF(BC$65="입주/잔금",($F77-SUM($G77:BB77))*20%,IF(BE$65=0,0,IF(BE$65="2차중도금",$F77*30%-SUM($G77:BD77),IF(BE$65="3차중도금",$F77*40%-SUM($G77:BD77),IF(BE$65="4차중도금",$F77*50%-SUM($G77:BD77),$F77*10%)))))))+(IF(BE$65="5차중도금",$F77*60%-SUM($G77:BD77)-$F77*10%,IF(BE$65="6차중도금",$F77*70%-SUM($G77:BD77)-$F77*10%,0)))</f>
        <v>0</v>
      </c>
      <c r="BF77" s="609">
        <f t="shared" si="30"/>
        <v>7899618.248829999</v>
      </c>
      <c r="BG77" s="556">
        <f t="shared" si="32"/>
        <v>0</v>
      </c>
      <c r="BH77" s="610"/>
    </row>
    <row r="78" spans="1:60">
      <c r="A78" s="1853"/>
      <c r="B78" s="611">
        <f t="shared" si="33"/>
        <v>45200</v>
      </c>
      <c r="C78" s="605">
        <f t="shared" si="34"/>
        <v>157992364.97659996</v>
      </c>
      <c r="D78" s="1501">
        <v>0.03</v>
      </c>
      <c r="E78" s="607">
        <f t="shared" si="35"/>
        <v>0.88000000000000023</v>
      </c>
      <c r="F78" s="608">
        <f t="shared" si="31"/>
        <v>4739770.949297999</v>
      </c>
      <c r="G78" s="605"/>
      <c r="H78" s="605"/>
      <c r="I78" s="605"/>
      <c r="J78" s="605"/>
      <c r="K78" s="605"/>
      <c r="L78" s="605"/>
      <c r="M78" s="605"/>
      <c r="N78" s="605"/>
      <c r="O78" s="605"/>
      <c r="P78" s="605"/>
      <c r="Q78" s="605"/>
      <c r="R78" s="605"/>
      <c r="S78" s="605">
        <f>$F78*10%</f>
        <v>473977.0949297999</v>
      </c>
      <c r="T78" s="605">
        <f>IF(T$65="입주/잔금",($F78-SUM($G78:S78))*30%,IF(S$65="입주/잔금",($F78-SUM($G78:R78))*50%,IF(R$65="입주/잔금",($F78-SUM($G78:Q78))*20%,IF(T$65=0,0,IF(T$65="2차중도금",$F78*30%-SUM($G78:S78),IF(T$65="3차중도금",$F78*40%-SUM($G78:S78),IF(T$65="4차중도금",$F78*50%-SUM($G78:S78),$F78*10%)))))))+(IF(T$65="5차중도금",$F78*60%-SUM($G78:S78)-$F78*10%,IF(T$65="6차중도금",$F78*70%-SUM($G78:S78)-$F78*10%,0)))</f>
        <v>0</v>
      </c>
      <c r="U78" s="605">
        <f>IF(U$65="입주/잔금",($F78-SUM($G78:T78))*30%,IF(T$65="입주/잔금",($F78-SUM($G78:S78))*50%,IF(S$65="입주/잔금",($F78-SUM($G78:R78))*20%,IF(U$65=0,0,IF(U$65="2차중도금",$F78*30%-SUM($G78:T78),IF(U$65="3차중도금",$F78*40%-SUM($G78:T78),IF(U$65="4차중도금",$F78*50%-SUM($G78:T78),$F78*10%)))))))+(IF(U$65="5차중도금",$F78*60%-SUM($G78:T78)-$F78*10%,IF(U$65="6차중도금",$F78*70%-SUM($G78:T78)-$F78*10%,0)))</f>
        <v>947954.18985959981</v>
      </c>
      <c r="V78" s="605">
        <f>IF(V$65="입주/잔금",($F78-SUM($G78:U78))*30%,IF(U$65="입주/잔금",($F78-SUM($G78:T78))*50%,IF(T$65="입주/잔금",($F78-SUM($G78:S78))*20%,IF(V$65=0,0,IF(V$65="2차중도금",$F78*30%-SUM($G78:U78),IF(V$65="3차중도금",$F78*40%-SUM($G78:U78),IF(V$65="4차중도금",$F78*50%-SUM($G78:U78),$F78*10%)))))))+(IF(V$65="5차중도금",$F78*60%-SUM($G78:U78)-$F78*10%,IF(V$65="6차중도금",$F78*70%-SUM($G78:U78)-$F78*10%,0)))</f>
        <v>0</v>
      </c>
      <c r="W78" s="605">
        <f>IF(W$65="입주/잔금",($F78-SUM($G78:V78))*30%,IF(V$65="입주/잔금",($F78-SUM($G78:U78))*50%,IF(U$65="입주/잔금",($F78-SUM($G78:T78))*20%,IF(W$65=0,0,IF(W$65="2차중도금",$F78*30%-SUM($G78:V78),IF(W$65="3차중도금",$F78*40%-SUM($G78:V78),IF(W$65="4차중도금",$F78*50%-SUM($G78:V78),$F78*10%)))))))+(IF(W$65="5차중도금",$F78*60%-SUM($G78:V78)-$F78*10%,IF(W$65="6차중도금",$F78*70%-SUM($G78:V78)-$F78*10%,0)))</f>
        <v>0</v>
      </c>
      <c r="X78" s="605">
        <f>IF(X$65="입주/잔금",($F78-SUM($G78:W78))*30%,IF(W$65="입주/잔금",($F78-SUM($G78:V78))*50%,IF(V$65="입주/잔금",($F78-SUM($G78:U78))*20%,IF(X$65=0,0,IF(X$65="2차중도금",$F78*30%-SUM($G78:W78),IF(X$65="3차중도금",$F78*40%-SUM($G78:W78),IF(X$65="4차중도금",$F78*50%-SUM($G78:W78),$F78*10%)))))))+(IF(X$65="5차중도금",$F78*60%-SUM($G78:W78)-$F78*10%,IF(X$65="6차중도금",$F78*70%-SUM($G78:W78)-$F78*10%,0)))</f>
        <v>0</v>
      </c>
      <c r="Y78" s="605">
        <f>IF(Y$65="입주/잔금",($F78-SUM($G78:X78))*30%,IF(X$65="입주/잔금",($F78-SUM($G78:W78))*50%,IF(W$65="입주/잔금",($F78-SUM($G78:V78))*20%,IF(Y$65=0,0,IF(Y$65="2차중도금",$F78*30%-SUM($G78:X78),IF(Y$65="3차중도금",$F78*40%-SUM($G78:X78),IF(Y$65="4차중도금",$F78*50%-SUM($G78:X78),$F78*10%)))))))+(IF(Y$65="5차중도금",$F78*60%-SUM($G78:X78)-$F78*10%,IF(Y$65="6차중도금",$F78*70%-SUM($G78:X78)-$F78*10%,0)))</f>
        <v>473977.0949297999</v>
      </c>
      <c r="Z78" s="605">
        <f>IF(Z$65="입주/잔금",($F78-SUM($G78:Y78))*30%,IF(Y$65="입주/잔금",($F78-SUM($G78:X78))*50%,IF(X$65="입주/잔금",($F78-SUM($G78:W78))*20%,IF(Z$65=0,0,IF(Z$65="2차중도금",$F78*30%-SUM($G78:Y78),IF(Z$65="3차중도금",$F78*40%-SUM($G78:Y78),IF(Z$65="4차중도금",$F78*50%-SUM($G78:Y78),$F78*10%)))))))+(IF(Z$65="5차중도금",$F78*60%-SUM($G78:Y78)-$F78*10%,IF(Z$65="6차중도금",$F78*70%-SUM($G78:Y78)-$F78*10%,0)))</f>
        <v>0</v>
      </c>
      <c r="AA78" s="605">
        <f>IF(AA$65="입주/잔금",($F78-SUM($G78:Z78))*30%,IF(Z$65="입주/잔금",($F78-SUM($G78:Y78))*50%,IF(Y$65="입주/잔금",($F78-SUM($G78:X78))*20%,IF(AA$65=0,0,IF(AA$65="2차중도금",$F78*30%-SUM($G78:Z78),IF(AA$65="3차중도금",$F78*40%-SUM($G78:Z78),IF(AA$65="4차중도금",$F78*50%-SUM($G78:Z78),$F78*10%)))))))+(IF(AA$65="5차중도금",$F78*60%-SUM($G78:Z78)-$F78*10%,IF(AA$65="6차중도금",$F78*70%-SUM($G78:Z78)-$F78*10%,0)))</f>
        <v>0</v>
      </c>
      <c r="AB78" s="605">
        <f>IF(AB$65="입주/잔금",($F78-SUM($G78:AA78))*30%,IF(AA$65="입주/잔금",($F78-SUM($G78:Z78))*50%,IF(Z$65="입주/잔금",($F78-SUM($G78:Y78))*20%,IF(AB$65=0,0,IF(AB$65="2차중도금",$F78*30%-SUM($G78:AA78),IF(AB$65="3차중도금",$F78*40%-SUM($G78:AA78),IF(AB$65="4차중도금",$F78*50%-SUM($G78:AA78),$F78*10%)))))))+(IF(AB$65="5차중도금",$F78*60%-SUM($G78:AA78)-$F78*10%,IF(AB$65="6차중도금",$F78*70%-SUM($G78:AA78)-$F78*10%,0)))</f>
        <v>0</v>
      </c>
      <c r="AC78" s="605">
        <f>IF(AC$65="입주/잔금",($F78-SUM($G78:AB78))*30%,IF(AB$65="입주/잔금",($F78-SUM($G78:AA78))*50%,IF(AA$65="입주/잔금",($F78-SUM($G78:Z78))*20%,IF(AC$65=0,0,IF(AC$65="2차중도금",$F78*30%-SUM($G78:AB78),IF(AC$65="3차중도금",$F78*40%-SUM($G78:AB78),IF(AC$65="4차중도금",$F78*50%-SUM($G78:AB78),$F78*10%)))))))+(IF(AC$65="5차중도금",$F78*60%-SUM($G78:AB78)-$F78*10%,IF(AC$65="6차중도금",$F78*70%-SUM($G78:AB78)-$F78*10%,0)))</f>
        <v>473977.0949297999</v>
      </c>
      <c r="AD78" s="605">
        <f>IF(AD$65="입주/잔금",($F78-SUM($G78:AC78))*30%,IF(AC$65="입주/잔금",($F78-SUM($G78:AB78))*50%,IF(AB$65="입주/잔금",($F78-SUM($G78:AA78))*20%,IF(AD$65=0,0,IF(AD$65="2차중도금",$F78*30%-SUM($G78:AC78),IF(AD$65="3차중도금",$F78*40%-SUM($G78:AC78),IF(AD$65="4차중도금",$F78*50%-SUM($G78:AC78),$F78*10%)))))))+(IF(AD$65="5차중도금",$F78*60%-SUM($G78:AC78)-$F78*10%,IF(AD$65="6차중도금",$F78*70%-SUM($G78:AC78)-$F78*10%,0)))</f>
        <v>0</v>
      </c>
      <c r="AE78" s="605">
        <f>IF(AE$65="입주/잔금",($F78-SUM($G78:AD78))*30%,IF(AD$65="입주/잔금",($F78-SUM($G78:AC78))*50%,IF(AC$65="입주/잔금",($F78-SUM($G78:AB78))*20%,IF(AE$65=0,0,IF(AE$65="2차중도금",$F78*30%-SUM($G78:AD78),IF(AE$65="3차중도금",$F78*40%-SUM($G78:AD78),IF(AE$65="4차중도금",$F78*50%-SUM($G78:AD78),$F78*10%)))))))+(IF(AE$65="5차중도금",$F78*60%-SUM($G78:AD78)-$F78*10%,IF(AE$65="6차중도금",$F78*70%-SUM($G78:AD78)-$F78*10%,0)))</f>
        <v>0</v>
      </c>
      <c r="AF78" s="605">
        <f>IF(AF$65="입주/잔금",($F78-SUM($G78:AE78))*30%,IF(AE$65="입주/잔금",($F78-SUM($G78:AD78))*50%,IF(AD$65="입주/잔금",($F78-SUM($G78:AC78))*20%,IF(AF$65=0,0,IF(AF$65="2차중도금",$F78*30%-SUM($G78:AE78),IF(AF$65="3차중도금",$F78*40%-SUM($G78:AE78),IF(AF$65="4차중도금",$F78*50%-SUM($G78:AE78),$F78*10%)))))))+(IF(AF$65="5차중도금",$F78*60%-SUM($G78:AE78)-$F78*10%,IF(AF$65="6차중도금",$F78*70%-SUM($G78:AE78)-$F78*10%,0)))</f>
        <v>0</v>
      </c>
      <c r="AG78" s="605">
        <f>IF(AG$65="입주/잔금",($F78-SUM($G78:AF78))*30%,IF(AF$65="입주/잔금",($F78-SUM($G78:AE78))*50%,IF(AE$65="입주/잔금",($F78-SUM($G78:AD78))*20%,IF(AG$65=0,0,IF(AG$65="2차중도금",$F78*30%-SUM($G78:AF78),IF(AG$65="3차중도금",$F78*40%-SUM($G78:AF78),IF(AG$65="4차중도금",$F78*50%-SUM($G78:AF78),$F78*10%)))))))+(IF(AG$65="5차중도금",$F78*60%-SUM($G78:AF78)-$F78*10%,IF(AG$65="6차중도금",$F78*70%-SUM($G78:AF78)-$F78*10%,0)))</f>
        <v>0</v>
      </c>
      <c r="AH78" s="605">
        <f>IF(AH$65="입주/잔금",($F78-SUM($G78:AG78))*30%,IF(AG$65="입주/잔금",($F78-SUM($G78:AF78))*50%,IF(AF$65="입주/잔금",($F78-SUM($G78:AE78))*20%,IF(AH$65=0,0,IF(AH$65="2차중도금",$F78*30%-SUM($G78:AG78),IF(AH$65="3차중도금",$F78*40%-SUM($G78:AG78),IF(AH$65="4차중도금",$F78*50%-SUM($G78:AG78),$F78*10%)))))))+(IF(AH$65="5차중도금",$F78*60%-SUM($G78:AG78)-$F78*10%,IF(AH$65="6차중도금",$F78*70%-SUM($G78:AG78)-$F78*10%,0)))</f>
        <v>473977.0949297999</v>
      </c>
      <c r="AI78" s="605">
        <f>IF(AI$65="입주/잔금",($F78-SUM($G78:AH78))*30%,IF(AH$65="입주/잔금",($F78-SUM($G78:AG78))*50%,IF(AG$65="입주/잔금",($F78-SUM($G78:AF78))*20%,IF(AI$65=0,0,IF(AI$65="2차중도금",$F78*30%-SUM($G78:AH78),IF(AI$65="3차중도금",$F78*40%-SUM($G78:AH78),IF(AI$65="4차중도금",$F78*50%-SUM($G78:AH78),$F78*10%)))))))+(IF(AI$65="5차중도금",$F78*60%-SUM($G78:AH78)-$F78*10%,IF(AI$65="6차중도금",$F78*70%-SUM($G78:AH78)-$F78*10%,0)))</f>
        <v>0</v>
      </c>
      <c r="AJ78" s="605">
        <f>IF(AJ$65="입주/잔금",($F78-SUM($G78:AI78))*30%,IF(AI$65="입주/잔금",($F78-SUM($G78:AH78))*50%,IF(AH$65="입주/잔금",($F78-SUM($G78:AG78))*20%,IF(AJ$65=0,0,IF(AJ$65="2차중도금",$F78*30%-SUM($G78:AI78),IF(AJ$65="3차중도금",$F78*40%-SUM($G78:AI78),IF(AJ$65="4차중도금",$F78*50%-SUM($G78:AI78),$F78*10%)))))))+(IF(AJ$65="5차중도금",$F78*60%-SUM($G78:AI78)-$F78*10%,IF(AJ$65="6차중도금",$F78*70%-SUM($G78:AI78)-$F78*10%,0)))</f>
        <v>0</v>
      </c>
      <c r="AK78" s="605">
        <f>IF(AK$65="입주/잔금",($F78-SUM($G78:AJ78))*30%,IF(AJ$65="입주/잔금",($F78-SUM($G78:AI78))*50%,IF(AI$65="입주/잔금",($F78-SUM($G78:AH78))*20%,IF(AK$65=0,0,IF(AK$65="2차중도금",$F78*30%-SUM($G78:AJ78),IF(AK$65="3차중도금",$F78*40%-SUM($G78:AJ78),IF(AK$65="4차중도금",$F78*50%-SUM($G78:AJ78),$F78*10%)))))))+(IF(AK$65="5차중도금",$F78*60%-SUM($G78:AJ78)-$F78*10%,IF(AK$65="6차중도금",$F78*70%-SUM($G78:AJ78)-$F78*10%,0)))</f>
        <v>0</v>
      </c>
      <c r="AL78" s="605">
        <f>IF(AL$65="입주/잔금",($F78-SUM($G78:AK78))*30%,IF(AK$65="입주/잔금",($F78-SUM($G78:AJ78))*50%,IF(AJ$65="입주/잔금",($F78-SUM($G78:AI78))*20%,IF(AL$65=0,0,IF(AL$65="2차중도금",$F78*30%-SUM($G78:AK78),IF(AL$65="3차중도금",$F78*40%-SUM($G78:AK78),IF(AL$65="4차중도금",$F78*50%-SUM($G78:AK78),$F78*10%)))))))+(IF(AL$65="5차중도금",$F78*60%-SUM($G78:AK78)-$F78*10%,IF(AL$65="6차중도금",$F78*70%-SUM($G78:AK78)-$F78*10%,0)))</f>
        <v>0</v>
      </c>
      <c r="AM78" s="605">
        <f>IF(AM$65="입주/잔금",($F78-SUM($G78:AL78))*30%,IF(AL$65="입주/잔금",($F78-SUM($G78:AK78))*50%,IF(AK$65="입주/잔금",($F78-SUM($G78:AJ78))*20%,IF(AM$65=0,0,IF(AM$65="2차중도금",$F78*30%-SUM($G78:AL78),IF(AM$65="3차중도금",$F78*40%-SUM($G78:AL78),IF(AM$65="4차중도금",$F78*50%-SUM($G78:AL78),$F78*10%)))))))+(IF(AM$65="5차중도금",$F78*60%-SUM($G78:AL78)-$F78*10%,IF(AM$65="6차중도금",$F78*70%-SUM($G78:AL78)-$F78*10%,0)))</f>
        <v>473977.0949297999</v>
      </c>
      <c r="AN78" s="605">
        <f>IF(AN$65="입주/잔금",($F78-SUM($G78:AM78))*30%,IF(AM$65="입주/잔금",($F78-SUM($G78:AL78))*50%,IF(AL$65="입주/잔금",($F78-SUM($G78:AK78))*20%,IF(AN$65=0,0,IF(AN$65="2차중도금",$F78*30%-SUM($G78:AM78),IF(AN$65="3차중도금",$F78*40%-SUM($G78:AM78),IF(AN$65="4차중도금",$F78*50%-SUM($G78:AM78),$F78*10%)))))))+(IF(AN$65="5차중도금",$F78*60%-SUM($G78:AM78)-$F78*10%,IF(AN$65="6차중도금",$F78*70%-SUM($G78:AM78)-$F78*10%,0)))</f>
        <v>0</v>
      </c>
      <c r="AO78" s="605">
        <f>IF(AO$65="입주/잔금",($F78-SUM($G78:AN78))*30%,IF(AN$65="입주/잔금",($F78-SUM($G78:AM78))*50%,IF(AM$65="입주/잔금",($F78-SUM($G78:AL78))*20%,IF(AO$65=0,0,IF(AO$65="2차중도금",$F78*30%-SUM($G78:AN78),IF(AO$65="3차중도금",$F78*40%-SUM($G78:AN78),IF(AO$65="4차중도금",$F78*50%-SUM($G78:AN78),$F78*10%)))))))+(IF(AO$65="5차중도금",$F78*60%-SUM($G78:AN78)-$F78*10%,IF(AO$65="6차중도금",$F78*70%-SUM($G78:AN78)-$F78*10%,0)))</f>
        <v>0</v>
      </c>
      <c r="AP78" s="605">
        <f>IF(AP$65="입주/잔금",($F78-SUM($G78:AO78))*30%,IF(AO$65="입주/잔금",($F78-SUM($G78:AN78))*50%,IF(AN$65="입주/잔금",($F78-SUM($G78:AM78))*20%,IF(AP$65=0,0,IF(AP$65="2차중도금",$F78*30%-SUM($G78:AO78),IF(AP$65="3차중도금",$F78*40%-SUM($G78:AO78),IF(AP$65="4차중도금",$F78*50%-SUM($G78:AO78),$F78*10%)))))))+(IF(AP$65="5차중도금",$F78*60%-SUM($G78:AO78)-$F78*10%,IF(AP$65="6차중도금",$F78*70%-SUM($G78:AO78)-$F78*10%,0)))</f>
        <v>0</v>
      </c>
      <c r="AQ78" s="605">
        <f>IF(AQ$65="입주/잔금",($F78-SUM($G78:AP78))*30%,IF(AP$65="입주/잔금",($F78-SUM($G78:AO78))*50%,IF(AO$65="입주/잔금",($F78-SUM($G78:AN78))*20%,IF(AQ$65=0,0,IF(AQ$65="2차중도금",$F78*30%-SUM($G78:AP78),IF(AQ$65="3차중도금",$F78*40%-SUM($G78:AP78),IF(AQ$65="4차중도금",$F78*50%-SUM($G78:AP78),$F78*10%)))))))+(IF(AQ$65="5차중도금",$F78*60%-SUM($G78:AP78)-$F78*10%,IF(AQ$65="6차중도금",$F78*70%-SUM($G78:AP78)-$F78*10%,0)))</f>
        <v>0</v>
      </c>
      <c r="AR78" s="605">
        <f>IF(AR$65="입주/잔금",($F78-SUM($G78:AQ78))*30%,IF(AQ$65="입주/잔금",($F78-SUM($G78:AP78))*50%,IF(AP$65="입주/잔금",($F78-SUM($G78:AO78))*20%,IF(AR$65=0,0,IF(AR$65="2차중도금",$F78*30%-SUM($G78:AQ78),IF(AR$65="3차중도금",$F78*40%-SUM($G78:AQ78),IF(AR$65="4차중도금",$F78*50%-SUM($G78:AQ78),$F78*10%)))))))+(IF(AR$65="5차중도금",$F78*60%-SUM($G78:AQ78)-$F78*10%,IF(AR$65="6차중도금",$F78*70%-SUM($G78:AQ78)-$F78*10%,0)))</f>
        <v>426579.38543681992</v>
      </c>
      <c r="AS78" s="605">
        <f>IF(AS$65="입주/잔금",($F78-SUM($G78:AR78))*30%,IF(AR$65="입주/잔금",($F78-SUM($G78:AQ78))*50%,IF(AQ$65="입주/잔금",($F78-SUM($G78:AP78))*20%,IF(AS$65=0,0,IF(AS$65="2차중도금",$F78*30%-SUM($G78:AR78),IF(AS$65="3차중도금",$F78*40%-SUM($G78:AR78),IF(AS$65="4차중도금",$F78*50%-SUM($G78:AR78),$F78*10%)))))))+(IF(AS$65="5차중도금",$F78*60%-SUM($G78:AR78)-$F78*10%,IF(AS$65="6차중도금",$F78*70%-SUM($G78:AR78)-$F78*10%,0)))</f>
        <v>710965.64239469985</v>
      </c>
      <c r="AT78" s="605">
        <f>IF(AT$65="입주/잔금",($F78-SUM($G78:AS78))*30%,IF(AS$65="입주/잔금",($F78-SUM($G78:AR78))*50%,IF(AR$65="입주/잔금",($F78-SUM($G78:AQ78))*20%,IF(AT$65=0,0,IF(AT$65="2차중도금",$F78*30%-SUM($G78:AS78),IF(AT$65="3차중도금",$F78*40%-SUM($G78:AS78),IF(AT$65="4차중도금",$F78*50%-SUM($G78:AS78),$F78*10%)))))))+(IF(AT$65="5차중도금",$F78*60%-SUM($G78:AS78)-$F78*10%,IF(AT$65="6차중도금",$F78*70%-SUM($G78:AS78)-$F78*10%,0)))</f>
        <v>284386.25695787993</v>
      </c>
      <c r="AU78" s="605">
        <f>IF(AU$65="입주/잔금",($F78-SUM($G78:AT78))*30%,IF(AT$65="입주/잔금",($F78-SUM($G78:AS78))*50%,IF(AS$65="입주/잔금",($F78-SUM($G78:AR78))*20%,IF(AU$65=0,0,IF(AU$65="2차중도금",$F78*30%-SUM($G78:AT78),IF(AU$65="3차중도금",$F78*40%-SUM($G78:AT78),IF(AU$65="4차중도금",$F78*50%-SUM($G78:AT78),$F78*10%)))))))+(IF(AU$65="5차중도금",$F78*60%-SUM($G78:AT78)-$F78*10%,IF(AU$65="6차중도금",$F78*70%-SUM($G78:AT78)-$F78*10%,0)))</f>
        <v>0</v>
      </c>
      <c r="AV78" s="605">
        <f>IF(AV$65="입주/잔금",($F78-SUM($G78:AU78))*30%,IF(AU$65="입주/잔금",($F78-SUM($G78:AT78))*50%,IF(AT$65="입주/잔금",($F78-SUM($G78:AS78))*20%,IF(AV$65=0,0,IF(AV$65="2차중도금",$F78*30%-SUM($G78:AU78),IF(AV$65="3차중도금",$F78*40%-SUM($G78:AU78),IF(AV$65="4차중도금",$F78*50%-SUM($G78:AU78),$F78*10%)))))))+(IF(AV$65="5차중도금",$F78*60%-SUM($G78:AU78)-$F78*10%,IF(AV$65="6차중도금",$F78*70%-SUM($G78:AU78)-$F78*10%,0)))</f>
        <v>0</v>
      </c>
      <c r="AW78" s="605">
        <f>IF(AW$65="입주/잔금",($F78-SUM($G78:AV78))*30%,IF(AV$65="입주/잔금",($F78-SUM($G78:AU78))*50%,IF(AU$65="입주/잔금",($F78-SUM($G78:AT78))*20%,IF(AW$65=0,0,IF(AW$65="2차중도금",$F78*30%-SUM($G78:AV78),IF(AW$65="3차중도금",$F78*40%-SUM($G78:AV78),IF(AW$65="4차중도금",$F78*50%-SUM($G78:AV78),$F78*10%)))))))+(IF(AW$65="5차중도금",$F78*60%-SUM($G78:AV78)-$F78*10%,IF(AW$65="6차중도금",$F78*70%-SUM($G78:AV78)-$F78*10%,0)))</f>
        <v>0</v>
      </c>
      <c r="AX78" s="605">
        <f>IF(AX$65="입주/잔금",($F78-SUM($G78:AW78))*30%,IF(AW$65="입주/잔금",($F78-SUM($G78:AV78))*50%,IF(AV$65="입주/잔금",($F78-SUM($G78:AU78))*20%,IF(AX$65=0,0,IF(AX$65="2차중도금",$F78*30%-SUM($G78:AW78),IF(AX$65="3차중도금",$F78*40%-SUM($G78:AW78),IF(AX$65="4차중도금",$F78*50%-SUM($G78:AW78),$F78*10%)))))))+(IF(AX$65="5차중도금",$F78*60%-SUM($G78:AW78)-$F78*10%,IF(AX$65="6차중도금",$F78*70%-SUM($G78:AW78)-$F78*10%,0)))</f>
        <v>0</v>
      </c>
      <c r="AY78" s="605">
        <f>IF(AY$65="입주/잔금",($F78-SUM($G78:AX78))*30%,IF(AX$65="입주/잔금",($F78-SUM($G78:AW78))*50%,IF(AW$65="입주/잔금",($F78-SUM($G78:AV78))*20%,IF(AY$65=0,0,IF(AY$65="2차중도금",$F78*30%-SUM($G78:AX78),IF(AY$65="3차중도금",$F78*40%-SUM($G78:AX78),IF(AY$65="4차중도금",$F78*50%-SUM($G78:AX78),$F78*10%)))))))+(IF(AY$65="5차중도금",$F78*60%-SUM($G78:AX78)-$F78*10%,IF(AY$65="6차중도금",$F78*70%-SUM($G78:AX78)-$F78*10%,0)))</f>
        <v>0</v>
      </c>
      <c r="AZ78" s="605">
        <f>IF(AZ$65="입주/잔금",($F78-SUM($G78:AY78))*30%,IF(AY$65="입주/잔금",($F78-SUM($G78:AX78))*50%,IF(AX$65="입주/잔금",($F78-SUM($G78:AW78))*20%,IF(AZ$65=0,0,IF(AZ$65="2차중도금",$F78*30%-SUM($G78:AY78),IF(AZ$65="3차중도금",$F78*40%-SUM($G78:AY78),IF(AZ$65="4차중도금",$F78*50%-SUM($G78:AY78),$F78*10%)))))))+(IF(AZ$65="5차중도금",$F78*60%-SUM($G78:AY78)-$F78*10%,IF(AZ$65="6차중도금",$F78*70%-SUM($G78:AY78)-$F78*10%,0)))</f>
        <v>0</v>
      </c>
      <c r="BA78" s="605">
        <f>IF(BA$65="입주/잔금",($F78-SUM($G78:AZ78))*30%,IF(AZ$65="입주/잔금",($F78-SUM($G78:AY78))*50%,IF(AY$65="입주/잔금",($F78-SUM($G78:AX78))*20%,IF(BA$65=0,0,IF(BA$65="2차중도금",$F78*30%-SUM($G78:AZ78),IF(BA$65="3차중도금",$F78*40%-SUM($G78:AZ78),IF(BA$65="4차중도금",$F78*50%-SUM($G78:AZ78),$F78*10%)))))))+(IF(BA$65="5차중도금",$F78*60%-SUM($G78:AZ78)-$F78*10%,IF(BA$65="6차중도금",$F78*70%-SUM($G78:AZ78)-$F78*10%,0)))</f>
        <v>0</v>
      </c>
      <c r="BB78" s="605">
        <f>IF(BB$65="입주/잔금",($F78-SUM($G78:BA78))*30%,IF(BA$65="입주/잔금",($F78-SUM($G78:AZ78))*50%,IF(AZ$65="입주/잔금",($F78-SUM($G78:AY78))*20%,IF(BB$65=0,0,IF(BB$65="2차중도금",$F78*30%-SUM($G78:BA78),IF(BB$65="3차중도금",$F78*40%-SUM($G78:BA78),IF(BB$65="4차중도금",$F78*50%-SUM($G78:BA78),$F78*10%)))))))+(IF(BB$65="5차중도금",$F78*60%-SUM($G78:BA78)-$F78*10%,IF(BB$65="6차중도금",$F78*70%-SUM($G78:BA78)-$F78*10%,0)))</f>
        <v>0</v>
      </c>
      <c r="BC78" s="605">
        <f>IF(BC$65="입주/잔금",($F78-SUM($G78:BB78))*30%,IF(BB$65="입주/잔금",($F78-SUM($G78:BA78))*50%,IF(BA$65="입주/잔금",($F78-SUM($G78:AZ78))*20%,IF(BC$65=0,0,IF(BC$65="2차중도금",$F78*30%-SUM($G78:BB78),IF(BC$65="3차중도금",$F78*40%-SUM($G78:BB78),IF(BC$65="4차중도금",$F78*50%-SUM($G78:BB78),$F78*10%)))))))+(IF(BC$65="5차중도금",$F78*60%-SUM($G78:BB78)-$F78*10%,IF(BC$65="6차중도금",$F78*70%-SUM($G78:BB78)-$F78*10%,0)))</f>
        <v>0</v>
      </c>
      <c r="BD78" s="605">
        <f>IF(BD$65="입주/잔금",($F78-SUM($G78:BC78))*30%,IF(BC$65="입주/잔금",($F78-SUM($G78:BB78))*50%,IF(BB$65="입주/잔금",($F78-SUM($G78:BA78))*20%,IF(BD$65=0,0,IF(BD$65="2차중도금",$F78*30%-SUM($G78:BC78),IF(BD$65="3차중도금",$F78*40%-SUM($G78:BC78),IF(BD$65="4차중도금",$F78*50%-SUM($G78:BC78),$F78*10%)))))))+(IF(BD$65="5차중도금",$F78*60%-SUM($G78:BC78)-$F78*10%,IF(BD$65="6차중도금",$F78*70%-SUM($G78:BC78)-$F78*10%,0)))</f>
        <v>0</v>
      </c>
      <c r="BE78" s="605">
        <f>IF(BE$65="입주/잔금",($F78-SUM($G78:BD78))*30%,IF(BD$65="입주/잔금",($F78-SUM($G78:BC78))*50%,IF(BC$65="입주/잔금",($F78-SUM($G78:BB78))*20%,IF(BE$65=0,0,IF(BE$65="2차중도금",$F78*30%-SUM($G78:BD78),IF(BE$65="3차중도금",$F78*40%-SUM($G78:BD78),IF(BE$65="4차중도금",$F78*50%-SUM($G78:BD78),$F78*10%)))))))+(IF(BE$65="5차중도금",$F78*60%-SUM($G78:BD78)-$F78*10%,IF(BE$65="6차중도금",$F78*70%-SUM($G78:BD78)-$F78*10%,0)))</f>
        <v>0</v>
      </c>
      <c r="BF78" s="609">
        <f t="shared" si="30"/>
        <v>4739770.949297999</v>
      </c>
      <c r="BG78" s="556">
        <f t="shared" si="32"/>
        <v>0</v>
      </c>
      <c r="BH78" s="610"/>
    </row>
    <row r="79" spans="1:60">
      <c r="A79" s="1853"/>
      <c r="B79" s="611">
        <f t="shared" si="33"/>
        <v>45231</v>
      </c>
      <c r="C79" s="605">
        <f t="shared" si="34"/>
        <v>157992364.97659996</v>
      </c>
      <c r="D79" s="1501">
        <v>0.03</v>
      </c>
      <c r="E79" s="607">
        <f t="shared" si="35"/>
        <v>0.91000000000000025</v>
      </c>
      <c r="F79" s="608">
        <f t="shared" si="31"/>
        <v>4739770.949297999</v>
      </c>
      <c r="G79" s="605"/>
      <c r="H79" s="605"/>
      <c r="I79" s="605"/>
      <c r="J79" s="605"/>
      <c r="K79" s="605"/>
      <c r="L79" s="605"/>
      <c r="M79" s="605"/>
      <c r="N79" s="605"/>
      <c r="O79" s="605"/>
      <c r="P79" s="605"/>
      <c r="Q79" s="605"/>
      <c r="R79" s="605"/>
      <c r="S79" s="605"/>
      <c r="T79" s="605">
        <f>$F79*10%</f>
        <v>473977.0949297999</v>
      </c>
      <c r="U79" s="605">
        <f>IF(U$65="입주/잔금",($F79-SUM($G79:T79))*30%,IF(T$65="입주/잔금",($F79-SUM($G79:S79))*50%,IF(S$65="입주/잔금",($F79-SUM($G79:R79))*20%,IF(U$65=0,0,IF(U$65="2차중도금",$F79*30%-SUM($G79:T79),IF(U$65="3차중도금",$F79*40%-SUM($G79:T79),IF(U$65="4차중도금",$F79*50%-SUM($G79:T79),$F79*10%)))))))+(IF(U$65="5차중도금",$F79*60%-SUM($G79:T79)-$F79*10%,IF(U$65="6차중도금",$F79*70%-SUM($G79:T79)-$F79*10%,0)))</f>
        <v>947954.18985959981</v>
      </c>
      <c r="V79" s="605">
        <f>IF(V$65="입주/잔금",($F79-SUM($G79:U79))*30%,IF(U$65="입주/잔금",($F79-SUM($G79:T79))*50%,IF(T$65="입주/잔금",($F79-SUM($G79:S79))*20%,IF(V$65=0,0,IF(V$65="2차중도금",$F79*30%-SUM($G79:U79),IF(V$65="3차중도금",$F79*40%-SUM($G79:U79),IF(V$65="4차중도금",$F79*50%-SUM($G79:U79),$F79*10%)))))))+(IF(V$65="5차중도금",$F79*60%-SUM($G79:U79)-$F79*10%,IF(V$65="6차중도금",$F79*70%-SUM($G79:U79)-$F79*10%,0)))</f>
        <v>0</v>
      </c>
      <c r="W79" s="605">
        <f>IF(W$65="입주/잔금",($F79-SUM($G79:V79))*30%,IF(V$65="입주/잔금",($F79-SUM($G79:U79))*50%,IF(U$65="입주/잔금",($F79-SUM($G79:T79))*20%,IF(W$65=0,0,IF(W$65="2차중도금",$F79*30%-SUM($G79:V79),IF(W$65="3차중도금",$F79*40%-SUM($G79:V79),IF(W$65="4차중도금",$F79*50%-SUM($G79:V79),$F79*10%)))))))+(IF(W$65="5차중도금",$F79*60%-SUM($G79:V79)-$F79*10%,IF(W$65="6차중도금",$F79*70%-SUM($G79:V79)-$F79*10%,0)))</f>
        <v>0</v>
      </c>
      <c r="X79" s="605">
        <f>IF(X$65="입주/잔금",($F79-SUM($G79:W79))*30%,IF(W$65="입주/잔금",($F79-SUM($G79:V79))*50%,IF(V$65="입주/잔금",($F79-SUM($G79:U79))*20%,IF(X$65=0,0,IF(X$65="2차중도금",$F79*30%-SUM($G79:W79),IF(X$65="3차중도금",$F79*40%-SUM($G79:W79),IF(X$65="4차중도금",$F79*50%-SUM($G79:W79),$F79*10%)))))))+(IF(X$65="5차중도금",$F79*60%-SUM($G79:W79)-$F79*10%,IF(X$65="6차중도금",$F79*70%-SUM($G79:W79)-$F79*10%,0)))</f>
        <v>0</v>
      </c>
      <c r="Y79" s="605">
        <f>IF(Y$65="입주/잔금",($F79-SUM($G79:X79))*30%,IF(X$65="입주/잔금",($F79-SUM($G79:W79))*50%,IF(W$65="입주/잔금",($F79-SUM($G79:V79))*20%,IF(Y$65=0,0,IF(Y$65="2차중도금",$F79*30%-SUM($G79:X79),IF(Y$65="3차중도금",$F79*40%-SUM($G79:X79),IF(Y$65="4차중도금",$F79*50%-SUM($G79:X79),$F79*10%)))))))+(IF(Y$65="5차중도금",$F79*60%-SUM($G79:X79)-$F79*10%,IF(Y$65="6차중도금",$F79*70%-SUM($G79:X79)-$F79*10%,0)))</f>
        <v>473977.0949297999</v>
      </c>
      <c r="Z79" s="605">
        <f>IF(Z$65="입주/잔금",($F79-SUM($G79:Y79))*30%,IF(Y$65="입주/잔금",($F79-SUM($G79:X79))*50%,IF(X$65="입주/잔금",($F79-SUM($G79:W79))*20%,IF(Z$65=0,0,IF(Z$65="2차중도금",$F79*30%-SUM($G79:Y79),IF(Z$65="3차중도금",$F79*40%-SUM($G79:Y79),IF(Z$65="4차중도금",$F79*50%-SUM($G79:Y79),$F79*10%)))))))+(IF(Z$65="5차중도금",$F79*60%-SUM($G79:Y79)-$F79*10%,IF(Z$65="6차중도금",$F79*70%-SUM($G79:Y79)-$F79*10%,0)))</f>
        <v>0</v>
      </c>
      <c r="AA79" s="605">
        <f>IF(AA$65="입주/잔금",($F79-SUM($G79:Z79))*30%,IF(Z$65="입주/잔금",($F79-SUM($G79:Y79))*50%,IF(Y$65="입주/잔금",($F79-SUM($G79:X79))*20%,IF(AA$65=0,0,IF(AA$65="2차중도금",$F79*30%-SUM($G79:Z79),IF(AA$65="3차중도금",$F79*40%-SUM($G79:Z79),IF(AA$65="4차중도금",$F79*50%-SUM($G79:Z79),$F79*10%)))))))+(IF(AA$65="5차중도금",$F79*60%-SUM($G79:Z79)-$F79*10%,IF(AA$65="6차중도금",$F79*70%-SUM($G79:Z79)-$F79*10%,0)))</f>
        <v>0</v>
      </c>
      <c r="AB79" s="605">
        <f>IF(AB$65="입주/잔금",($F79-SUM($G79:AA79))*30%,IF(AA$65="입주/잔금",($F79-SUM($G79:Z79))*50%,IF(Z$65="입주/잔금",($F79-SUM($G79:Y79))*20%,IF(AB$65=0,0,IF(AB$65="2차중도금",$F79*30%-SUM($G79:AA79),IF(AB$65="3차중도금",$F79*40%-SUM($G79:AA79),IF(AB$65="4차중도금",$F79*50%-SUM($G79:AA79),$F79*10%)))))))+(IF(AB$65="5차중도금",$F79*60%-SUM($G79:AA79)-$F79*10%,IF(AB$65="6차중도금",$F79*70%-SUM($G79:AA79)-$F79*10%,0)))</f>
        <v>0</v>
      </c>
      <c r="AC79" s="605">
        <f>IF(AC$65="입주/잔금",($F79-SUM($G79:AB79))*30%,IF(AB$65="입주/잔금",($F79-SUM($G79:AA79))*50%,IF(AA$65="입주/잔금",($F79-SUM($G79:Z79))*20%,IF(AC$65=0,0,IF(AC$65="2차중도금",$F79*30%-SUM($G79:AB79),IF(AC$65="3차중도금",$F79*40%-SUM($G79:AB79),IF(AC$65="4차중도금",$F79*50%-SUM($G79:AB79),$F79*10%)))))))+(IF(AC$65="5차중도금",$F79*60%-SUM($G79:AB79)-$F79*10%,IF(AC$65="6차중도금",$F79*70%-SUM($G79:AB79)-$F79*10%,0)))</f>
        <v>473977.0949297999</v>
      </c>
      <c r="AD79" s="605">
        <f>IF(AD$65="입주/잔금",($F79-SUM($G79:AC79))*30%,IF(AC$65="입주/잔금",($F79-SUM($G79:AB79))*50%,IF(AB$65="입주/잔금",($F79-SUM($G79:AA79))*20%,IF(AD$65=0,0,IF(AD$65="2차중도금",$F79*30%-SUM($G79:AC79),IF(AD$65="3차중도금",$F79*40%-SUM($G79:AC79),IF(AD$65="4차중도금",$F79*50%-SUM($G79:AC79),$F79*10%)))))))+(IF(AD$65="5차중도금",$F79*60%-SUM($G79:AC79)-$F79*10%,IF(AD$65="6차중도금",$F79*70%-SUM($G79:AC79)-$F79*10%,0)))</f>
        <v>0</v>
      </c>
      <c r="AE79" s="605">
        <f>IF(AE$65="입주/잔금",($F79-SUM($G79:AD79))*30%,IF(AD$65="입주/잔금",($F79-SUM($G79:AC79))*50%,IF(AC$65="입주/잔금",($F79-SUM($G79:AB79))*20%,IF(AE$65=0,0,IF(AE$65="2차중도금",$F79*30%-SUM($G79:AD79),IF(AE$65="3차중도금",$F79*40%-SUM($G79:AD79),IF(AE$65="4차중도금",$F79*50%-SUM($G79:AD79),$F79*10%)))))))+(IF(AE$65="5차중도금",$F79*60%-SUM($G79:AD79)-$F79*10%,IF(AE$65="6차중도금",$F79*70%-SUM($G79:AD79)-$F79*10%,0)))</f>
        <v>0</v>
      </c>
      <c r="AF79" s="605">
        <f>IF(AF$65="입주/잔금",($F79-SUM($G79:AE79))*30%,IF(AE$65="입주/잔금",($F79-SUM($G79:AD79))*50%,IF(AD$65="입주/잔금",($F79-SUM($G79:AC79))*20%,IF(AF$65=0,0,IF(AF$65="2차중도금",$F79*30%-SUM($G79:AE79),IF(AF$65="3차중도금",$F79*40%-SUM($G79:AE79),IF(AF$65="4차중도금",$F79*50%-SUM($G79:AE79),$F79*10%)))))))+(IF(AF$65="5차중도금",$F79*60%-SUM($G79:AE79)-$F79*10%,IF(AF$65="6차중도금",$F79*70%-SUM($G79:AE79)-$F79*10%,0)))</f>
        <v>0</v>
      </c>
      <c r="AG79" s="605">
        <f>IF(AG$65="입주/잔금",($F79-SUM($G79:AF79))*30%,IF(AF$65="입주/잔금",($F79-SUM($G79:AE79))*50%,IF(AE$65="입주/잔금",($F79-SUM($G79:AD79))*20%,IF(AG$65=0,0,IF(AG$65="2차중도금",$F79*30%-SUM($G79:AF79),IF(AG$65="3차중도금",$F79*40%-SUM($G79:AF79),IF(AG$65="4차중도금",$F79*50%-SUM($G79:AF79),$F79*10%)))))))+(IF(AG$65="5차중도금",$F79*60%-SUM($G79:AF79)-$F79*10%,IF(AG$65="6차중도금",$F79*70%-SUM($G79:AF79)-$F79*10%,0)))</f>
        <v>0</v>
      </c>
      <c r="AH79" s="605">
        <f>IF(AH$65="입주/잔금",($F79-SUM($G79:AG79))*30%,IF(AG$65="입주/잔금",($F79-SUM($G79:AF79))*50%,IF(AF$65="입주/잔금",($F79-SUM($G79:AE79))*20%,IF(AH$65=0,0,IF(AH$65="2차중도금",$F79*30%-SUM($G79:AG79),IF(AH$65="3차중도금",$F79*40%-SUM($G79:AG79),IF(AH$65="4차중도금",$F79*50%-SUM($G79:AG79),$F79*10%)))))))+(IF(AH$65="5차중도금",$F79*60%-SUM($G79:AG79)-$F79*10%,IF(AH$65="6차중도금",$F79*70%-SUM($G79:AG79)-$F79*10%,0)))</f>
        <v>473977.0949297999</v>
      </c>
      <c r="AI79" s="605">
        <f>IF(AI$65="입주/잔금",($F79-SUM($G79:AH79))*30%,IF(AH$65="입주/잔금",($F79-SUM($G79:AG79))*50%,IF(AG$65="입주/잔금",($F79-SUM($G79:AF79))*20%,IF(AI$65=0,0,IF(AI$65="2차중도금",$F79*30%-SUM($G79:AH79),IF(AI$65="3차중도금",$F79*40%-SUM($G79:AH79),IF(AI$65="4차중도금",$F79*50%-SUM($G79:AH79),$F79*10%)))))))+(IF(AI$65="5차중도금",$F79*60%-SUM($G79:AH79)-$F79*10%,IF(AI$65="6차중도금",$F79*70%-SUM($G79:AH79)-$F79*10%,0)))</f>
        <v>0</v>
      </c>
      <c r="AJ79" s="605">
        <f>IF(AJ$65="입주/잔금",($F79-SUM($G79:AI79))*30%,IF(AI$65="입주/잔금",($F79-SUM($G79:AH79))*50%,IF(AH$65="입주/잔금",($F79-SUM($G79:AG79))*20%,IF(AJ$65=0,0,IF(AJ$65="2차중도금",$F79*30%-SUM($G79:AI79),IF(AJ$65="3차중도금",$F79*40%-SUM($G79:AI79),IF(AJ$65="4차중도금",$F79*50%-SUM($G79:AI79),$F79*10%)))))))+(IF(AJ$65="5차중도금",$F79*60%-SUM($G79:AI79)-$F79*10%,IF(AJ$65="6차중도금",$F79*70%-SUM($G79:AI79)-$F79*10%,0)))</f>
        <v>0</v>
      </c>
      <c r="AK79" s="605">
        <f>IF(AK$65="입주/잔금",($F79-SUM($G79:AJ79))*30%,IF(AJ$65="입주/잔금",($F79-SUM($G79:AI79))*50%,IF(AI$65="입주/잔금",($F79-SUM($G79:AH79))*20%,IF(AK$65=0,0,IF(AK$65="2차중도금",$F79*30%-SUM($G79:AJ79),IF(AK$65="3차중도금",$F79*40%-SUM($G79:AJ79),IF(AK$65="4차중도금",$F79*50%-SUM($G79:AJ79),$F79*10%)))))))+(IF(AK$65="5차중도금",$F79*60%-SUM($G79:AJ79)-$F79*10%,IF(AK$65="6차중도금",$F79*70%-SUM($G79:AJ79)-$F79*10%,0)))</f>
        <v>0</v>
      </c>
      <c r="AL79" s="605">
        <f>IF(AL$65="입주/잔금",($F79-SUM($G79:AK79))*30%,IF(AK$65="입주/잔금",($F79-SUM($G79:AJ79))*50%,IF(AJ$65="입주/잔금",($F79-SUM($G79:AI79))*20%,IF(AL$65=0,0,IF(AL$65="2차중도금",$F79*30%-SUM($G79:AK79),IF(AL$65="3차중도금",$F79*40%-SUM($G79:AK79),IF(AL$65="4차중도금",$F79*50%-SUM($G79:AK79),$F79*10%)))))))+(IF(AL$65="5차중도금",$F79*60%-SUM($G79:AK79)-$F79*10%,IF(AL$65="6차중도금",$F79*70%-SUM($G79:AK79)-$F79*10%,0)))</f>
        <v>0</v>
      </c>
      <c r="AM79" s="605">
        <f>IF(AM$65="입주/잔금",($F79-SUM($G79:AL79))*30%,IF(AL$65="입주/잔금",($F79-SUM($G79:AK79))*50%,IF(AK$65="입주/잔금",($F79-SUM($G79:AJ79))*20%,IF(AM$65=0,0,IF(AM$65="2차중도금",$F79*30%-SUM($G79:AL79),IF(AM$65="3차중도금",$F79*40%-SUM($G79:AL79),IF(AM$65="4차중도금",$F79*50%-SUM($G79:AL79),$F79*10%)))))))+(IF(AM$65="5차중도금",$F79*60%-SUM($G79:AL79)-$F79*10%,IF(AM$65="6차중도금",$F79*70%-SUM($G79:AL79)-$F79*10%,0)))</f>
        <v>473977.0949297999</v>
      </c>
      <c r="AN79" s="605">
        <f>IF(AN$65="입주/잔금",($F79-SUM($G79:AM79))*30%,IF(AM$65="입주/잔금",($F79-SUM($G79:AL79))*50%,IF(AL$65="입주/잔금",($F79-SUM($G79:AK79))*20%,IF(AN$65=0,0,IF(AN$65="2차중도금",$F79*30%-SUM($G79:AM79),IF(AN$65="3차중도금",$F79*40%-SUM($G79:AM79),IF(AN$65="4차중도금",$F79*50%-SUM($G79:AM79),$F79*10%)))))))+(IF(AN$65="5차중도금",$F79*60%-SUM($G79:AM79)-$F79*10%,IF(AN$65="6차중도금",$F79*70%-SUM($G79:AM79)-$F79*10%,0)))</f>
        <v>0</v>
      </c>
      <c r="AO79" s="605">
        <f>IF(AO$65="입주/잔금",($F79-SUM($G79:AN79))*30%,IF(AN$65="입주/잔금",($F79-SUM($G79:AM79))*50%,IF(AM$65="입주/잔금",($F79-SUM($G79:AL79))*20%,IF(AO$65=0,0,IF(AO$65="2차중도금",$F79*30%-SUM($G79:AN79),IF(AO$65="3차중도금",$F79*40%-SUM($G79:AN79),IF(AO$65="4차중도금",$F79*50%-SUM($G79:AN79),$F79*10%)))))))+(IF(AO$65="5차중도금",$F79*60%-SUM($G79:AN79)-$F79*10%,IF(AO$65="6차중도금",$F79*70%-SUM($G79:AN79)-$F79*10%,0)))</f>
        <v>0</v>
      </c>
      <c r="AP79" s="605">
        <f>IF(AP$65="입주/잔금",($F79-SUM($G79:AO79))*30%,IF(AO$65="입주/잔금",($F79-SUM($G79:AN79))*50%,IF(AN$65="입주/잔금",($F79-SUM($G79:AM79))*20%,IF(AP$65=0,0,IF(AP$65="2차중도금",$F79*30%-SUM($G79:AO79),IF(AP$65="3차중도금",$F79*40%-SUM($G79:AO79),IF(AP$65="4차중도금",$F79*50%-SUM($G79:AO79),$F79*10%)))))))+(IF(AP$65="5차중도금",$F79*60%-SUM($G79:AO79)-$F79*10%,IF(AP$65="6차중도금",$F79*70%-SUM($G79:AO79)-$F79*10%,0)))</f>
        <v>0</v>
      </c>
      <c r="AQ79" s="605">
        <f>IF(AQ$65="입주/잔금",($F79-SUM($G79:AP79))*30%,IF(AP$65="입주/잔금",($F79-SUM($G79:AO79))*50%,IF(AO$65="입주/잔금",($F79-SUM($G79:AN79))*20%,IF(AQ$65=0,0,IF(AQ$65="2차중도금",$F79*30%-SUM($G79:AP79),IF(AQ$65="3차중도금",$F79*40%-SUM($G79:AP79),IF(AQ$65="4차중도금",$F79*50%-SUM($G79:AP79),$F79*10%)))))))+(IF(AQ$65="5차중도금",$F79*60%-SUM($G79:AP79)-$F79*10%,IF(AQ$65="6차중도금",$F79*70%-SUM($G79:AP79)-$F79*10%,0)))</f>
        <v>0</v>
      </c>
      <c r="AR79" s="605">
        <f>IF(AR$65="입주/잔금",($F79-SUM($G79:AQ79))*30%,IF(AQ$65="입주/잔금",($F79-SUM($G79:AP79))*50%,IF(AP$65="입주/잔금",($F79-SUM($G79:AO79))*20%,IF(AR$65=0,0,IF(AR$65="2차중도금",$F79*30%-SUM($G79:AQ79),IF(AR$65="3차중도금",$F79*40%-SUM($G79:AQ79),IF(AR$65="4차중도금",$F79*50%-SUM($G79:AQ79),$F79*10%)))))))+(IF(AR$65="5차중도금",$F79*60%-SUM($G79:AQ79)-$F79*10%,IF(AR$65="6차중도금",$F79*70%-SUM($G79:AQ79)-$F79*10%,0)))</f>
        <v>426579.38543681992</v>
      </c>
      <c r="AS79" s="605">
        <f>IF(AS$65="입주/잔금",($F79-SUM($G79:AR79))*30%,IF(AR$65="입주/잔금",($F79-SUM($G79:AQ79))*50%,IF(AQ$65="입주/잔금",($F79-SUM($G79:AP79))*20%,IF(AS$65=0,0,IF(AS$65="2차중도금",$F79*30%-SUM($G79:AR79),IF(AS$65="3차중도금",$F79*40%-SUM($G79:AR79),IF(AS$65="4차중도금",$F79*50%-SUM($G79:AR79),$F79*10%)))))))+(IF(AS$65="5차중도금",$F79*60%-SUM($G79:AR79)-$F79*10%,IF(AS$65="6차중도금",$F79*70%-SUM($G79:AR79)-$F79*10%,0)))</f>
        <v>710965.64239469985</v>
      </c>
      <c r="AT79" s="605">
        <f>IF(AT$65="입주/잔금",($F79-SUM($G79:AS79))*30%,IF(AS$65="입주/잔금",($F79-SUM($G79:AR79))*50%,IF(AR$65="입주/잔금",($F79-SUM($G79:AQ79))*20%,IF(AT$65=0,0,IF(AT$65="2차중도금",$F79*30%-SUM($G79:AS79),IF(AT$65="3차중도금",$F79*40%-SUM($G79:AS79),IF(AT$65="4차중도금",$F79*50%-SUM($G79:AS79),$F79*10%)))))))+(IF(AT$65="5차중도금",$F79*60%-SUM($G79:AS79)-$F79*10%,IF(AT$65="6차중도금",$F79*70%-SUM($G79:AS79)-$F79*10%,0)))</f>
        <v>284386.25695787993</v>
      </c>
      <c r="AU79" s="605">
        <f>IF(AU$65="입주/잔금",($F79-SUM($G79:AT79))*30%,IF(AT$65="입주/잔금",($F79-SUM($G79:AS79))*50%,IF(AS$65="입주/잔금",($F79-SUM($G79:AR79))*20%,IF(AU$65=0,0,IF(AU$65="2차중도금",$F79*30%-SUM($G79:AT79),IF(AU$65="3차중도금",$F79*40%-SUM($G79:AT79),IF(AU$65="4차중도금",$F79*50%-SUM($G79:AT79),$F79*10%)))))))+(IF(AU$65="5차중도금",$F79*60%-SUM($G79:AT79)-$F79*10%,IF(AU$65="6차중도금",$F79*70%-SUM($G79:AT79)-$F79*10%,0)))</f>
        <v>0</v>
      </c>
      <c r="AV79" s="605">
        <f>IF(AV$65="입주/잔금",($F79-SUM($G79:AU79))*30%,IF(AU$65="입주/잔금",($F79-SUM($G79:AT79))*50%,IF(AT$65="입주/잔금",($F79-SUM($G79:AS79))*20%,IF(AV$65=0,0,IF(AV$65="2차중도금",$F79*30%-SUM($G79:AU79),IF(AV$65="3차중도금",$F79*40%-SUM($G79:AU79),IF(AV$65="4차중도금",$F79*50%-SUM($G79:AU79),$F79*10%)))))))+(IF(AV$65="5차중도금",$F79*60%-SUM($G79:AU79)-$F79*10%,IF(AV$65="6차중도금",$F79*70%-SUM($G79:AU79)-$F79*10%,0)))</f>
        <v>0</v>
      </c>
      <c r="AW79" s="605">
        <f>IF(AW$65="입주/잔금",($F79-SUM($G79:AV79))*30%,IF(AV$65="입주/잔금",($F79-SUM($G79:AU79))*50%,IF(AU$65="입주/잔금",($F79-SUM($G79:AT79))*20%,IF(AW$65=0,0,IF(AW$65="2차중도금",$F79*30%-SUM($G79:AV79),IF(AW$65="3차중도금",$F79*40%-SUM($G79:AV79),IF(AW$65="4차중도금",$F79*50%-SUM($G79:AV79),$F79*10%)))))))+(IF(AW$65="5차중도금",$F79*60%-SUM($G79:AV79)-$F79*10%,IF(AW$65="6차중도금",$F79*70%-SUM($G79:AV79)-$F79*10%,0)))</f>
        <v>0</v>
      </c>
      <c r="AX79" s="605">
        <f>IF(AX$65="입주/잔금",($F79-SUM($G79:AW79))*30%,IF(AW$65="입주/잔금",($F79-SUM($G79:AV79))*50%,IF(AV$65="입주/잔금",($F79-SUM($G79:AU79))*20%,IF(AX$65=0,0,IF(AX$65="2차중도금",$F79*30%-SUM($G79:AW79),IF(AX$65="3차중도금",$F79*40%-SUM($G79:AW79),IF(AX$65="4차중도금",$F79*50%-SUM($G79:AW79),$F79*10%)))))))+(IF(AX$65="5차중도금",$F79*60%-SUM($G79:AW79)-$F79*10%,IF(AX$65="6차중도금",$F79*70%-SUM($G79:AW79)-$F79*10%,0)))</f>
        <v>0</v>
      </c>
      <c r="AY79" s="605">
        <f>IF(AY$65="입주/잔금",($F79-SUM($G79:AX79))*30%,IF(AX$65="입주/잔금",($F79-SUM($G79:AW79))*50%,IF(AW$65="입주/잔금",($F79-SUM($G79:AV79))*20%,IF(AY$65=0,0,IF(AY$65="2차중도금",$F79*30%-SUM($G79:AX79),IF(AY$65="3차중도금",$F79*40%-SUM($G79:AX79),IF(AY$65="4차중도금",$F79*50%-SUM($G79:AX79),$F79*10%)))))))+(IF(AY$65="5차중도금",$F79*60%-SUM($G79:AX79)-$F79*10%,IF(AY$65="6차중도금",$F79*70%-SUM($G79:AX79)-$F79*10%,0)))</f>
        <v>0</v>
      </c>
      <c r="AZ79" s="605">
        <f>IF(AZ$65="입주/잔금",($F79-SUM($G79:AY79))*30%,IF(AY$65="입주/잔금",($F79-SUM($G79:AX79))*50%,IF(AX$65="입주/잔금",($F79-SUM($G79:AW79))*20%,IF(AZ$65=0,0,IF(AZ$65="2차중도금",$F79*30%-SUM($G79:AY79),IF(AZ$65="3차중도금",$F79*40%-SUM($G79:AY79),IF(AZ$65="4차중도금",$F79*50%-SUM($G79:AY79),$F79*10%)))))))+(IF(AZ$65="5차중도금",$F79*60%-SUM($G79:AY79)-$F79*10%,IF(AZ$65="6차중도금",$F79*70%-SUM($G79:AY79)-$F79*10%,0)))</f>
        <v>0</v>
      </c>
      <c r="BA79" s="605">
        <f>IF(BA$65="입주/잔금",($F79-SUM($G79:AZ79))*30%,IF(AZ$65="입주/잔금",($F79-SUM($G79:AY79))*50%,IF(AY$65="입주/잔금",($F79-SUM($G79:AX79))*20%,IF(BA$65=0,0,IF(BA$65="2차중도금",$F79*30%-SUM($G79:AZ79),IF(BA$65="3차중도금",$F79*40%-SUM($G79:AZ79),IF(BA$65="4차중도금",$F79*50%-SUM($G79:AZ79),$F79*10%)))))))+(IF(BA$65="5차중도금",$F79*60%-SUM($G79:AZ79)-$F79*10%,IF(BA$65="6차중도금",$F79*70%-SUM($G79:AZ79)-$F79*10%,0)))</f>
        <v>0</v>
      </c>
      <c r="BB79" s="605">
        <f>IF(BB$65="입주/잔금",($F79-SUM($G79:BA79))*30%,IF(BA$65="입주/잔금",($F79-SUM($G79:AZ79))*50%,IF(AZ$65="입주/잔금",($F79-SUM($G79:AY79))*20%,IF(BB$65=0,0,IF(BB$65="2차중도금",$F79*30%-SUM($G79:BA79),IF(BB$65="3차중도금",$F79*40%-SUM($G79:BA79),IF(BB$65="4차중도금",$F79*50%-SUM($G79:BA79),$F79*10%)))))))+(IF(BB$65="5차중도금",$F79*60%-SUM($G79:BA79)-$F79*10%,IF(BB$65="6차중도금",$F79*70%-SUM($G79:BA79)-$F79*10%,0)))</f>
        <v>0</v>
      </c>
      <c r="BC79" s="605">
        <f>IF(BC$65="입주/잔금",($F79-SUM($G79:BB79))*30%,IF(BB$65="입주/잔금",($F79-SUM($G79:BA79))*50%,IF(BA$65="입주/잔금",($F79-SUM($G79:AZ79))*20%,IF(BC$65=0,0,IF(BC$65="2차중도금",$F79*30%-SUM($G79:BB79),IF(BC$65="3차중도금",$F79*40%-SUM($G79:BB79),IF(BC$65="4차중도금",$F79*50%-SUM($G79:BB79),$F79*10%)))))))+(IF(BC$65="5차중도금",$F79*60%-SUM($G79:BB79)-$F79*10%,IF(BC$65="6차중도금",$F79*70%-SUM($G79:BB79)-$F79*10%,0)))</f>
        <v>0</v>
      </c>
      <c r="BD79" s="605">
        <f>IF(BD$65="입주/잔금",($F79-SUM($G79:BC79))*30%,IF(BC$65="입주/잔금",($F79-SUM($G79:BB79))*50%,IF(BB$65="입주/잔금",($F79-SUM($G79:BA79))*20%,IF(BD$65=0,0,IF(BD$65="2차중도금",$F79*30%-SUM($G79:BC79),IF(BD$65="3차중도금",$F79*40%-SUM($G79:BC79),IF(BD$65="4차중도금",$F79*50%-SUM($G79:BC79),$F79*10%)))))))+(IF(BD$65="5차중도금",$F79*60%-SUM($G79:BC79)-$F79*10%,IF(BD$65="6차중도금",$F79*70%-SUM($G79:BC79)-$F79*10%,0)))</f>
        <v>0</v>
      </c>
      <c r="BE79" s="605">
        <f>IF(BE$65="입주/잔금",($F79-SUM($G79:BD79))*30%,IF(BD$65="입주/잔금",($F79-SUM($G79:BC79))*50%,IF(BC$65="입주/잔금",($F79-SUM($G79:BB79))*20%,IF(BE$65=0,0,IF(BE$65="2차중도금",$F79*30%-SUM($G79:BD79),IF(BE$65="3차중도금",$F79*40%-SUM($G79:BD79),IF(BE$65="4차중도금",$F79*50%-SUM($G79:BD79),$F79*10%)))))))+(IF(BE$65="5차중도금",$F79*60%-SUM($G79:BD79)-$F79*10%,IF(BE$65="6차중도금",$F79*70%-SUM($G79:BD79)-$F79*10%,0)))</f>
        <v>0</v>
      </c>
      <c r="BF79" s="609">
        <f t="shared" si="30"/>
        <v>4739770.949297999</v>
      </c>
      <c r="BG79" s="556">
        <f t="shared" si="32"/>
        <v>0</v>
      </c>
      <c r="BH79" s="610"/>
    </row>
    <row r="80" spans="1:60">
      <c r="A80" s="1853"/>
      <c r="B80" s="613">
        <f t="shared" si="33"/>
        <v>45261</v>
      </c>
      <c r="C80" s="605">
        <f t="shared" si="34"/>
        <v>157992364.97659996</v>
      </c>
      <c r="D80" s="1501">
        <v>0.03</v>
      </c>
      <c r="E80" s="607">
        <f t="shared" si="35"/>
        <v>0.94000000000000028</v>
      </c>
      <c r="F80" s="608">
        <f t="shared" si="31"/>
        <v>4739770.949297999</v>
      </c>
      <c r="G80" s="605"/>
      <c r="H80" s="605"/>
      <c r="I80" s="605"/>
      <c r="J80" s="605"/>
      <c r="K80" s="605"/>
      <c r="L80" s="605"/>
      <c r="M80" s="605"/>
      <c r="N80" s="605"/>
      <c r="O80" s="605"/>
      <c r="P80" s="605"/>
      <c r="Q80" s="605"/>
      <c r="R80" s="605"/>
      <c r="S80" s="605"/>
      <c r="T80" s="605"/>
      <c r="U80" s="605">
        <f>$F80*10%</f>
        <v>473977.0949297999</v>
      </c>
      <c r="V80" s="605">
        <f>IF(V$65="입주/잔금",($F80-SUM($G80:U80))*30%,IF(U$65="입주/잔금",($F80-SUM($G80:T80))*50%,IF(T$65="입주/잔금",($F80-SUM($G80:S80))*20%,IF(V$65=0,0,IF(V$65="2차중도금",$F80*30%-SUM($G80:U80),IF(V$65="3차중도금",$F80*40%-SUM($G80:U80),IF(V$65="4차중도금",$F80*50%-SUM($G80:U80),$F80*10%)))))))+(IF(V$65="5차중도금",$F80*60%-SUM($G80:U80)-$F80*10%,IF(V$65="6차중도금",$F80*70%-SUM($G80:U80)-$F80*10%,0)))</f>
        <v>0</v>
      </c>
      <c r="W80" s="605">
        <f>IF(W$65="입주/잔금",($F80-SUM($G80:V80))*30%,IF(V$65="입주/잔금",($F80-SUM($G80:U80))*50%,IF(U$65="입주/잔금",($F80-SUM($G80:T80))*20%,IF(W$65=0,0,IF(W$65="2차중도금",$F80*30%-SUM($G80:V80),IF(W$65="3차중도금",$F80*40%-SUM($G80:V80),IF(W$65="4차중도금",$F80*50%-SUM($G80:V80),$F80*10%)))))))+(IF(W$65="5차중도금",$F80*60%-SUM($G80:V80)-$F80*10%,IF(W$65="6차중도금",$F80*70%-SUM($G80:V80)-$F80*10%,0)))</f>
        <v>0</v>
      </c>
      <c r="X80" s="605">
        <f>IF(X$65="입주/잔금",($F80-SUM($G80:W80))*30%,IF(W$65="입주/잔금",($F80-SUM($G80:V80))*50%,IF(V$65="입주/잔금",($F80-SUM($G80:U80))*20%,IF(X$65=0,0,IF(X$65="2차중도금",$F80*30%-SUM($G80:W80),IF(X$65="3차중도금",$F80*40%-SUM($G80:W80),IF(X$65="4차중도금",$F80*50%-SUM($G80:W80),$F80*10%)))))))+(IF(X$65="5차중도금",$F80*60%-SUM($G80:W80)-$F80*10%,IF(X$65="6차중도금",$F80*70%-SUM($G80:W80)-$F80*10%,0)))</f>
        <v>0</v>
      </c>
      <c r="Y80" s="605">
        <f>IF(Y$65="입주/잔금",($F80-SUM($G80:X80))*30%,IF(X$65="입주/잔금",($F80-SUM($G80:W80))*50%,IF(W$65="입주/잔금",($F80-SUM($G80:V80))*20%,IF(Y$65=0,0,IF(Y$65="2차중도금",$F80*30%-SUM($G80:X80),IF(Y$65="3차중도금",$F80*40%-SUM($G80:X80),IF(Y$65="4차중도금",$F80*50%-SUM($G80:X80),$F80*10%)))))))+(IF(Y$65="5차중도금",$F80*60%-SUM($G80:X80)-$F80*10%,IF(Y$65="6차중도금",$F80*70%-SUM($G80:X80)-$F80*10%,0)))</f>
        <v>1421931.2847893997</v>
      </c>
      <c r="Z80" s="605">
        <f>IF(Z$65="입주/잔금",($F80-SUM($G80:Y80))*30%,IF(Y$65="입주/잔금",($F80-SUM($G80:X80))*50%,IF(X$65="입주/잔금",($F80-SUM($G80:W80))*20%,IF(Z$65=0,0,IF(Z$65="2차중도금",$F80*30%-SUM($G80:Y80),IF(Z$65="3차중도금",$F80*40%-SUM($G80:Y80),IF(Z$65="4차중도금",$F80*50%-SUM($G80:Y80),$F80*10%)))))))+(IF(Z$65="5차중도금",$F80*60%-SUM($G80:Y80)-$F80*10%,IF(Z$65="6차중도금",$F80*70%-SUM($G80:Y80)-$F80*10%,0)))</f>
        <v>0</v>
      </c>
      <c r="AA80" s="605">
        <f>IF(AA$65="입주/잔금",($F80-SUM($G80:Z80))*30%,IF(Z$65="입주/잔금",($F80-SUM($G80:Y80))*50%,IF(Y$65="입주/잔금",($F80-SUM($G80:X80))*20%,IF(AA$65=0,0,IF(AA$65="2차중도금",$F80*30%-SUM($G80:Z80),IF(AA$65="3차중도금",$F80*40%-SUM($G80:Z80),IF(AA$65="4차중도금",$F80*50%-SUM($G80:Z80),$F80*10%)))))))+(IF(AA$65="5차중도금",$F80*60%-SUM($G80:Z80)-$F80*10%,IF(AA$65="6차중도금",$F80*70%-SUM($G80:Z80)-$F80*10%,0)))</f>
        <v>0</v>
      </c>
      <c r="AB80" s="605">
        <f>IF(AB$65="입주/잔금",($F80-SUM($G80:AA80))*30%,IF(AA$65="입주/잔금",($F80-SUM($G80:Z80))*50%,IF(Z$65="입주/잔금",($F80-SUM($G80:Y80))*20%,IF(AB$65=0,0,IF(AB$65="2차중도금",$F80*30%-SUM($G80:AA80),IF(AB$65="3차중도금",$F80*40%-SUM($G80:AA80),IF(AB$65="4차중도금",$F80*50%-SUM($G80:AA80),$F80*10%)))))))+(IF(AB$65="5차중도금",$F80*60%-SUM($G80:AA80)-$F80*10%,IF(AB$65="6차중도금",$F80*70%-SUM($G80:AA80)-$F80*10%,0)))</f>
        <v>0</v>
      </c>
      <c r="AC80" s="605">
        <f>IF(AC$65="입주/잔금",($F80-SUM($G80:AB80))*30%,IF(AB$65="입주/잔금",($F80-SUM($G80:AA80))*50%,IF(AA$65="입주/잔금",($F80-SUM($G80:Z80))*20%,IF(AC$65=0,0,IF(AC$65="2차중도금",$F80*30%-SUM($G80:AB80),IF(AC$65="3차중도금",$F80*40%-SUM($G80:AB80),IF(AC$65="4차중도금",$F80*50%-SUM($G80:AB80),$F80*10%)))))))+(IF(AC$65="5차중도금",$F80*60%-SUM($G80:AB80)-$F80*10%,IF(AC$65="6차중도금",$F80*70%-SUM($G80:AB80)-$F80*10%,0)))</f>
        <v>473977.0949297999</v>
      </c>
      <c r="AD80" s="605">
        <f>IF(AD$65="입주/잔금",($F80-SUM($G80:AC80))*30%,IF(AC$65="입주/잔금",($F80-SUM($G80:AB80))*50%,IF(AB$65="입주/잔금",($F80-SUM($G80:AA80))*20%,IF(AD$65=0,0,IF(AD$65="2차중도금",$F80*30%-SUM($G80:AC80),IF(AD$65="3차중도금",$F80*40%-SUM($G80:AC80),IF(AD$65="4차중도금",$F80*50%-SUM($G80:AC80),$F80*10%)))))))+(IF(AD$65="5차중도금",$F80*60%-SUM($G80:AC80)-$F80*10%,IF(AD$65="6차중도금",$F80*70%-SUM($G80:AC80)-$F80*10%,0)))</f>
        <v>0</v>
      </c>
      <c r="AE80" s="605">
        <f>IF(AE$65="입주/잔금",($F80-SUM($G80:AD80))*30%,IF(AD$65="입주/잔금",($F80-SUM($G80:AC80))*50%,IF(AC$65="입주/잔금",($F80-SUM($G80:AB80))*20%,IF(AE$65=0,0,IF(AE$65="2차중도금",$F80*30%-SUM($G80:AD80),IF(AE$65="3차중도금",$F80*40%-SUM($G80:AD80),IF(AE$65="4차중도금",$F80*50%-SUM($G80:AD80),$F80*10%)))))))+(IF(AE$65="5차중도금",$F80*60%-SUM($G80:AD80)-$F80*10%,IF(AE$65="6차중도금",$F80*70%-SUM($G80:AD80)-$F80*10%,0)))</f>
        <v>0</v>
      </c>
      <c r="AF80" s="605">
        <f>IF(AF$65="입주/잔금",($F80-SUM($G80:AE80))*30%,IF(AE$65="입주/잔금",($F80-SUM($G80:AD80))*50%,IF(AD$65="입주/잔금",($F80-SUM($G80:AC80))*20%,IF(AF$65=0,0,IF(AF$65="2차중도금",$F80*30%-SUM($G80:AE80),IF(AF$65="3차중도금",$F80*40%-SUM($G80:AE80),IF(AF$65="4차중도금",$F80*50%-SUM($G80:AE80),$F80*10%)))))))+(IF(AF$65="5차중도금",$F80*60%-SUM($G80:AE80)-$F80*10%,IF(AF$65="6차중도금",$F80*70%-SUM($G80:AE80)-$F80*10%,0)))</f>
        <v>0</v>
      </c>
      <c r="AG80" s="605">
        <f>IF(AG$65="입주/잔금",($F80-SUM($G80:AF80))*30%,IF(AF$65="입주/잔금",($F80-SUM($G80:AE80))*50%,IF(AE$65="입주/잔금",($F80-SUM($G80:AD80))*20%,IF(AG$65=0,0,IF(AG$65="2차중도금",$F80*30%-SUM($G80:AF80),IF(AG$65="3차중도금",$F80*40%-SUM($G80:AF80),IF(AG$65="4차중도금",$F80*50%-SUM($G80:AF80),$F80*10%)))))))+(IF(AG$65="5차중도금",$F80*60%-SUM($G80:AF80)-$F80*10%,IF(AG$65="6차중도금",$F80*70%-SUM($G80:AF80)-$F80*10%,0)))</f>
        <v>0</v>
      </c>
      <c r="AH80" s="605">
        <f>IF(AH$65="입주/잔금",($F80-SUM($G80:AG80))*30%,IF(AG$65="입주/잔금",($F80-SUM($G80:AF80))*50%,IF(AF$65="입주/잔금",($F80-SUM($G80:AE80))*20%,IF(AH$65=0,0,IF(AH$65="2차중도금",$F80*30%-SUM($G80:AG80),IF(AH$65="3차중도금",$F80*40%-SUM($G80:AG80),IF(AH$65="4차중도금",$F80*50%-SUM($G80:AG80),$F80*10%)))))))+(IF(AH$65="5차중도금",$F80*60%-SUM($G80:AG80)-$F80*10%,IF(AH$65="6차중도금",$F80*70%-SUM($G80:AG80)-$F80*10%,0)))</f>
        <v>473977.0949297999</v>
      </c>
      <c r="AI80" s="605">
        <f>IF(AI$65="입주/잔금",($F80-SUM($G80:AH80))*30%,IF(AH$65="입주/잔금",($F80-SUM($G80:AG80))*50%,IF(AG$65="입주/잔금",($F80-SUM($G80:AF80))*20%,IF(AI$65=0,0,IF(AI$65="2차중도금",$F80*30%-SUM($G80:AH80),IF(AI$65="3차중도금",$F80*40%-SUM($G80:AH80),IF(AI$65="4차중도금",$F80*50%-SUM($G80:AH80),$F80*10%)))))))+(IF(AI$65="5차중도금",$F80*60%-SUM($G80:AH80)-$F80*10%,IF(AI$65="6차중도금",$F80*70%-SUM($G80:AH80)-$F80*10%,0)))</f>
        <v>0</v>
      </c>
      <c r="AJ80" s="605">
        <f>IF(AJ$65="입주/잔금",($F80-SUM($G80:AI80))*30%,IF(AI$65="입주/잔금",($F80-SUM($G80:AH80))*50%,IF(AH$65="입주/잔금",($F80-SUM($G80:AG80))*20%,IF(AJ$65=0,0,IF(AJ$65="2차중도금",$F80*30%-SUM($G80:AI80),IF(AJ$65="3차중도금",$F80*40%-SUM($G80:AI80),IF(AJ$65="4차중도금",$F80*50%-SUM($G80:AI80),$F80*10%)))))))+(IF(AJ$65="5차중도금",$F80*60%-SUM($G80:AI80)-$F80*10%,IF(AJ$65="6차중도금",$F80*70%-SUM($G80:AI80)-$F80*10%,0)))</f>
        <v>0</v>
      </c>
      <c r="AK80" s="605">
        <f>IF(AK$65="입주/잔금",($F80-SUM($G80:AJ80))*30%,IF(AJ$65="입주/잔금",($F80-SUM($G80:AI80))*50%,IF(AI$65="입주/잔금",($F80-SUM($G80:AH80))*20%,IF(AK$65=0,0,IF(AK$65="2차중도금",$F80*30%-SUM($G80:AJ80),IF(AK$65="3차중도금",$F80*40%-SUM($G80:AJ80),IF(AK$65="4차중도금",$F80*50%-SUM($G80:AJ80),$F80*10%)))))))+(IF(AK$65="5차중도금",$F80*60%-SUM($G80:AJ80)-$F80*10%,IF(AK$65="6차중도금",$F80*70%-SUM($G80:AJ80)-$F80*10%,0)))</f>
        <v>0</v>
      </c>
      <c r="AL80" s="605">
        <f>IF(AL$65="입주/잔금",($F80-SUM($G80:AK80))*30%,IF(AK$65="입주/잔금",($F80-SUM($G80:AJ80))*50%,IF(AJ$65="입주/잔금",($F80-SUM($G80:AI80))*20%,IF(AL$65=0,0,IF(AL$65="2차중도금",$F80*30%-SUM($G80:AK80),IF(AL$65="3차중도금",$F80*40%-SUM($G80:AK80),IF(AL$65="4차중도금",$F80*50%-SUM($G80:AK80),$F80*10%)))))))+(IF(AL$65="5차중도금",$F80*60%-SUM($G80:AK80)-$F80*10%,IF(AL$65="6차중도금",$F80*70%-SUM($G80:AK80)-$F80*10%,0)))</f>
        <v>0</v>
      </c>
      <c r="AM80" s="605">
        <f>IF(AM$65="입주/잔금",($F80-SUM($G80:AL80))*30%,IF(AL$65="입주/잔금",($F80-SUM($G80:AK80))*50%,IF(AK$65="입주/잔금",($F80-SUM($G80:AJ80))*20%,IF(AM$65=0,0,IF(AM$65="2차중도금",$F80*30%-SUM($G80:AL80),IF(AM$65="3차중도금",$F80*40%-SUM($G80:AL80),IF(AM$65="4차중도금",$F80*50%-SUM($G80:AL80),$F80*10%)))))))+(IF(AM$65="5차중도금",$F80*60%-SUM($G80:AL80)-$F80*10%,IF(AM$65="6차중도금",$F80*70%-SUM($G80:AL80)-$F80*10%,0)))</f>
        <v>473977.0949297999</v>
      </c>
      <c r="AN80" s="605">
        <f>IF(AN$65="입주/잔금",($F80-SUM($G80:AM80))*30%,IF(AM$65="입주/잔금",($F80-SUM($G80:AL80))*50%,IF(AL$65="입주/잔금",($F80-SUM($G80:AK80))*20%,IF(AN$65=0,0,IF(AN$65="2차중도금",$F80*30%-SUM($G80:AM80),IF(AN$65="3차중도금",$F80*40%-SUM($G80:AM80),IF(AN$65="4차중도금",$F80*50%-SUM($G80:AM80),$F80*10%)))))))+(IF(AN$65="5차중도금",$F80*60%-SUM($G80:AM80)-$F80*10%,IF(AN$65="6차중도금",$F80*70%-SUM($G80:AM80)-$F80*10%,0)))</f>
        <v>0</v>
      </c>
      <c r="AO80" s="605">
        <f>IF(AO$65="입주/잔금",($F80-SUM($G80:AN80))*30%,IF(AN$65="입주/잔금",($F80-SUM($G80:AM80))*50%,IF(AM$65="입주/잔금",($F80-SUM($G80:AL80))*20%,IF(AO$65=0,0,IF(AO$65="2차중도금",$F80*30%-SUM($G80:AN80),IF(AO$65="3차중도금",$F80*40%-SUM($G80:AN80),IF(AO$65="4차중도금",$F80*50%-SUM($G80:AN80),$F80*10%)))))))+(IF(AO$65="5차중도금",$F80*60%-SUM($G80:AN80)-$F80*10%,IF(AO$65="6차중도금",$F80*70%-SUM($G80:AN80)-$F80*10%,0)))</f>
        <v>0</v>
      </c>
      <c r="AP80" s="605">
        <f>IF(AP$65="입주/잔금",($F80-SUM($G80:AO80))*30%,IF(AO$65="입주/잔금",($F80-SUM($G80:AN80))*50%,IF(AN$65="입주/잔금",($F80-SUM($G80:AM80))*20%,IF(AP$65=0,0,IF(AP$65="2차중도금",$F80*30%-SUM($G80:AO80),IF(AP$65="3차중도금",$F80*40%-SUM($G80:AO80),IF(AP$65="4차중도금",$F80*50%-SUM($G80:AO80),$F80*10%)))))))+(IF(AP$65="5차중도금",$F80*60%-SUM($G80:AO80)-$F80*10%,IF(AP$65="6차중도금",$F80*70%-SUM($G80:AO80)-$F80*10%,0)))</f>
        <v>0</v>
      </c>
      <c r="AQ80" s="605">
        <f>IF(AQ$65="입주/잔금",($F80-SUM($G80:AP80))*30%,IF(AP$65="입주/잔금",($F80-SUM($G80:AO80))*50%,IF(AO$65="입주/잔금",($F80-SUM($G80:AN80))*20%,IF(AQ$65=0,0,IF(AQ$65="2차중도금",$F80*30%-SUM($G80:AP80),IF(AQ$65="3차중도금",$F80*40%-SUM($G80:AP80),IF(AQ$65="4차중도금",$F80*50%-SUM($G80:AP80),$F80*10%)))))))+(IF(AQ$65="5차중도금",$F80*60%-SUM($G80:AP80)-$F80*10%,IF(AQ$65="6차중도금",$F80*70%-SUM($G80:AP80)-$F80*10%,0)))</f>
        <v>0</v>
      </c>
      <c r="AR80" s="605">
        <f>IF(AR$65="입주/잔금",($F80-SUM($G80:AQ80))*30%,IF(AQ$65="입주/잔금",($F80-SUM($G80:AP80))*50%,IF(AP$65="입주/잔금",($F80-SUM($G80:AO80))*20%,IF(AR$65=0,0,IF(AR$65="2차중도금",$F80*30%-SUM($G80:AQ80),IF(AR$65="3차중도금",$F80*40%-SUM($G80:AQ80),IF(AR$65="4차중도금",$F80*50%-SUM($G80:AQ80),$F80*10%)))))))+(IF(AR$65="5차중도금",$F80*60%-SUM($G80:AQ80)-$F80*10%,IF(AR$65="6차중도금",$F80*70%-SUM($G80:AQ80)-$F80*10%,0)))</f>
        <v>426579.38543681992</v>
      </c>
      <c r="AS80" s="605">
        <f>IF(AS$65="입주/잔금",($F80-SUM($G80:AR80))*30%,IF(AR$65="입주/잔금",($F80-SUM($G80:AQ80))*50%,IF(AQ$65="입주/잔금",($F80-SUM($G80:AP80))*20%,IF(AS$65=0,0,IF(AS$65="2차중도금",$F80*30%-SUM($G80:AR80),IF(AS$65="3차중도금",$F80*40%-SUM($G80:AR80),IF(AS$65="4차중도금",$F80*50%-SUM($G80:AR80),$F80*10%)))))))+(IF(AS$65="5차중도금",$F80*60%-SUM($G80:AR80)-$F80*10%,IF(AS$65="6차중도금",$F80*70%-SUM($G80:AR80)-$F80*10%,0)))</f>
        <v>710965.64239469985</v>
      </c>
      <c r="AT80" s="605">
        <f>IF(AT$65="입주/잔금",($F80-SUM($G80:AS80))*30%,IF(AS$65="입주/잔금",($F80-SUM($G80:AR80))*50%,IF(AR$65="입주/잔금",($F80-SUM($G80:AQ80))*20%,IF(AT$65=0,0,IF(AT$65="2차중도금",$F80*30%-SUM($G80:AS80),IF(AT$65="3차중도금",$F80*40%-SUM($G80:AS80),IF(AT$65="4차중도금",$F80*50%-SUM($G80:AS80),$F80*10%)))))))+(IF(AT$65="5차중도금",$F80*60%-SUM($G80:AS80)-$F80*10%,IF(AT$65="6차중도금",$F80*70%-SUM($G80:AS80)-$F80*10%,0)))</f>
        <v>284386.25695787993</v>
      </c>
      <c r="AU80" s="605">
        <f>IF(AU$65="입주/잔금",($F80-SUM($G80:AT80))*30%,IF(AT$65="입주/잔금",($F80-SUM($G80:AS80))*50%,IF(AS$65="입주/잔금",($F80-SUM($G80:AR80))*20%,IF(AU$65=0,0,IF(AU$65="2차중도금",$F80*30%-SUM($G80:AT80),IF(AU$65="3차중도금",$F80*40%-SUM($G80:AT80),IF(AU$65="4차중도금",$F80*50%-SUM($G80:AT80),$F80*10%)))))))+(IF(AU$65="5차중도금",$F80*60%-SUM($G80:AT80)-$F80*10%,IF(AU$65="6차중도금",$F80*70%-SUM($G80:AT80)-$F80*10%,0)))</f>
        <v>0</v>
      </c>
      <c r="AV80" s="605">
        <f>IF(AV$65="입주/잔금",($F80-SUM($G80:AU80))*30%,IF(AU$65="입주/잔금",($F80-SUM($G80:AT80))*50%,IF(AT$65="입주/잔금",($F80-SUM($G80:AS80))*20%,IF(AV$65=0,0,IF(AV$65="2차중도금",$F80*30%-SUM($G80:AU80),IF(AV$65="3차중도금",$F80*40%-SUM($G80:AU80),IF(AV$65="4차중도금",$F80*50%-SUM($G80:AU80),$F80*10%)))))))+(IF(AV$65="5차중도금",$F80*60%-SUM($G80:AU80)-$F80*10%,IF(AV$65="6차중도금",$F80*70%-SUM($G80:AU80)-$F80*10%,0)))</f>
        <v>0</v>
      </c>
      <c r="AW80" s="605">
        <f>IF(AW$65="입주/잔금",($F80-SUM($G80:AV80))*30%,IF(AV$65="입주/잔금",($F80-SUM($G80:AU80))*50%,IF(AU$65="입주/잔금",($F80-SUM($G80:AT80))*20%,IF(AW$65=0,0,IF(AW$65="2차중도금",$F80*30%-SUM($G80:AV80),IF(AW$65="3차중도금",$F80*40%-SUM($G80:AV80),IF(AW$65="4차중도금",$F80*50%-SUM($G80:AV80),$F80*10%)))))))+(IF(AW$65="5차중도금",$F80*60%-SUM($G80:AV80)-$F80*10%,IF(AW$65="6차중도금",$F80*70%-SUM($G80:AV80)-$F80*10%,0)))</f>
        <v>0</v>
      </c>
      <c r="AX80" s="605">
        <f>IF(AX$65="입주/잔금",($F80-SUM($G80:AW80))*30%,IF(AW$65="입주/잔금",($F80-SUM($G80:AV80))*50%,IF(AV$65="입주/잔금",($F80-SUM($G80:AU80))*20%,IF(AX$65=0,0,IF(AX$65="2차중도금",$F80*30%-SUM($G80:AW80),IF(AX$65="3차중도금",$F80*40%-SUM($G80:AW80),IF(AX$65="4차중도금",$F80*50%-SUM($G80:AW80),$F80*10%)))))))+(IF(AX$65="5차중도금",$F80*60%-SUM($G80:AW80)-$F80*10%,IF(AX$65="6차중도금",$F80*70%-SUM($G80:AW80)-$F80*10%,0)))</f>
        <v>0</v>
      </c>
      <c r="AY80" s="605">
        <f>IF(AY$65="입주/잔금",($F80-SUM($G80:AX80))*30%,IF(AX$65="입주/잔금",($F80-SUM($G80:AW80))*50%,IF(AW$65="입주/잔금",($F80-SUM($G80:AV80))*20%,IF(AY$65=0,0,IF(AY$65="2차중도금",$F80*30%-SUM($G80:AX80),IF(AY$65="3차중도금",$F80*40%-SUM($G80:AX80),IF(AY$65="4차중도금",$F80*50%-SUM($G80:AX80),$F80*10%)))))))+(IF(AY$65="5차중도금",$F80*60%-SUM($G80:AX80)-$F80*10%,IF(AY$65="6차중도금",$F80*70%-SUM($G80:AX80)-$F80*10%,0)))</f>
        <v>0</v>
      </c>
      <c r="AZ80" s="605">
        <f>IF(AZ$65="입주/잔금",($F80-SUM($G80:AY80))*30%,IF(AY$65="입주/잔금",($F80-SUM($G80:AX80))*50%,IF(AX$65="입주/잔금",($F80-SUM($G80:AW80))*20%,IF(AZ$65=0,0,IF(AZ$65="2차중도금",$F80*30%-SUM($G80:AY80),IF(AZ$65="3차중도금",$F80*40%-SUM($G80:AY80),IF(AZ$65="4차중도금",$F80*50%-SUM($G80:AY80),$F80*10%)))))))+(IF(AZ$65="5차중도금",$F80*60%-SUM($G80:AY80)-$F80*10%,IF(AZ$65="6차중도금",$F80*70%-SUM($G80:AY80)-$F80*10%,0)))</f>
        <v>0</v>
      </c>
      <c r="BA80" s="605">
        <f>IF(BA$65="입주/잔금",($F80-SUM($G80:AZ80))*30%,IF(AZ$65="입주/잔금",($F80-SUM($G80:AY80))*50%,IF(AY$65="입주/잔금",($F80-SUM($G80:AX80))*20%,IF(BA$65=0,0,IF(BA$65="2차중도금",$F80*30%-SUM($G80:AZ80),IF(BA$65="3차중도금",$F80*40%-SUM($G80:AZ80),IF(BA$65="4차중도금",$F80*50%-SUM($G80:AZ80),$F80*10%)))))))+(IF(BA$65="5차중도금",$F80*60%-SUM($G80:AZ80)-$F80*10%,IF(BA$65="6차중도금",$F80*70%-SUM($G80:AZ80)-$F80*10%,0)))</f>
        <v>0</v>
      </c>
      <c r="BB80" s="605">
        <f>IF(BB$65="입주/잔금",($F80-SUM($G80:BA80))*30%,IF(BA$65="입주/잔금",($F80-SUM($G80:AZ80))*50%,IF(AZ$65="입주/잔금",($F80-SUM($G80:AY80))*20%,IF(BB$65=0,0,IF(BB$65="2차중도금",$F80*30%-SUM($G80:BA80),IF(BB$65="3차중도금",$F80*40%-SUM($G80:BA80),IF(BB$65="4차중도금",$F80*50%-SUM($G80:BA80),$F80*10%)))))))+(IF(BB$65="5차중도금",$F80*60%-SUM($G80:BA80)-$F80*10%,IF(BB$65="6차중도금",$F80*70%-SUM($G80:BA80)-$F80*10%,0)))</f>
        <v>0</v>
      </c>
      <c r="BC80" s="605">
        <f>IF(BC$65="입주/잔금",($F80-SUM($G80:BB80))*30%,IF(BB$65="입주/잔금",($F80-SUM($G80:BA80))*50%,IF(BA$65="입주/잔금",($F80-SUM($G80:AZ80))*20%,IF(BC$65=0,0,IF(BC$65="2차중도금",$F80*30%-SUM($G80:BB80),IF(BC$65="3차중도금",$F80*40%-SUM($G80:BB80),IF(BC$65="4차중도금",$F80*50%-SUM($G80:BB80),$F80*10%)))))))+(IF(BC$65="5차중도금",$F80*60%-SUM($G80:BB80)-$F80*10%,IF(BC$65="6차중도금",$F80*70%-SUM($G80:BB80)-$F80*10%,0)))</f>
        <v>0</v>
      </c>
      <c r="BD80" s="605">
        <f>IF(BD$65="입주/잔금",($F80-SUM($G80:BC80))*30%,IF(BC$65="입주/잔금",($F80-SUM($G80:BB80))*50%,IF(BB$65="입주/잔금",($F80-SUM($G80:BA80))*20%,IF(BD$65=0,0,IF(BD$65="2차중도금",$F80*30%-SUM($G80:BC80),IF(BD$65="3차중도금",$F80*40%-SUM($G80:BC80),IF(BD$65="4차중도금",$F80*50%-SUM($G80:BC80),$F80*10%)))))))+(IF(BD$65="5차중도금",$F80*60%-SUM($G80:BC80)-$F80*10%,IF(BD$65="6차중도금",$F80*70%-SUM($G80:BC80)-$F80*10%,0)))</f>
        <v>0</v>
      </c>
      <c r="BE80" s="605">
        <f>IF(BE$65="입주/잔금",($F80-SUM($G80:BD80))*30%,IF(BD$65="입주/잔금",($F80-SUM($G80:BC80))*50%,IF(BC$65="입주/잔금",($F80-SUM($G80:BB80))*20%,IF(BE$65=0,0,IF(BE$65="2차중도금",$F80*30%-SUM($G80:BD80),IF(BE$65="3차중도금",$F80*40%-SUM($G80:BD80),IF(BE$65="4차중도금",$F80*50%-SUM($G80:BD80),$F80*10%)))))))+(IF(BE$65="5차중도금",$F80*60%-SUM($G80:BD80)-$F80*10%,IF(BE$65="6차중도금",$F80*70%-SUM($G80:BD80)-$F80*10%,0)))</f>
        <v>0</v>
      </c>
      <c r="BF80" s="609">
        <f t="shared" si="30"/>
        <v>4739770.949297999</v>
      </c>
      <c r="BG80" s="556">
        <f t="shared" si="32"/>
        <v>0</v>
      </c>
      <c r="BH80" s="610"/>
    </row>
    <row r="81" spans="1:60">
      <c r="A81" s="1853"/>
      <c r="B81" s="611">
        <f t="shared" si="33"/>
        <v>45292</v>
      </c>
      <c r="C81" s="605">
        <f t="shared" si="34"/>
        <v>157992364.97659996</v>
      </c>
      <c r="D81" s="1501">
        <v>0.02</v>
      </c>
      <c r="E81" s="607">
        <f t="shared" si="35"/>
        <v>0.9600000000000003</v>
      </c>
      <c r="F81" s="608">
        <f t="shared" si="31"/>
        <v>3159847.2995319995</v>
      </c>
      <c r="G81" s="605"/>
      <c r="H81" s="605"/>
      <c r="I81" s="605"/>
      <c r="J81" s="605"/>
      <c r="K81" s="605"/>
      <c r="L81" s="605"/>
      <c r="M81" s="605"/>
      <c r="N81" s="605"/>
      <c r="O81" s="605"/>
      <c r="P81" s="605"/>
      <c r="Q81" s="605"/>
      <c r="R81" s="605"/>
      <c r="S81" s="605"/>
      <c r="T81" s="605"/>
      <c r="U81" s="605"/>
      <c r="V81" s="605">
        <f>$F81*10%</f>
        <v>315984.72995319997</v>
      </c>
      <c r="W81" s="605">
        <f>IF(W$65="입주/잔금",($F81-SUM($G81:V81))*30%,IF(V$65="입주/잔금",($F81-SUM($G81:U81))*50%,IF(U$65="입주/잔금",($F81-SUM($G81:T81))*20%,IF(W$65=0,0,IF(W$65="2차중도금",$F81*30%-SUM($G81:V81),IF(W$65="3차중도금",$F81*40%-SUM($G81:V81),IF(W$65="4차중도금",$F81*50%-SUM($G81:V81),$F81*10%)))))))+(IF(W$65="5차중도금",$F81*60%-SUM($G81:V81)-$F81*10%,IF(W$65="6차중도금",$F81*70%-SUM($G81:V81)-$F81*10%,0)))</f>
        <v>0</v>
      </c>
      <c r="X81" s="605">
        <f>IF(X$65="입주/잔금",($F81-SUM($G81:W81))*30%,IF(W$65="입주/잔금",($F81-SUM($G81:V81))*50%,IF(V$65="입주/잔금",($F81-SUM($G81:U81))*20%,IF(X$65=0,0,IF(X$65="2차중도금",$F81*30%-SUM($G81:W81),IF(X$65="3차중도금",$F81*40%-SUM($G81:W81),IF(X$65="4차중도금",$F81*50%-SUM($G81:W81),$F81*10%)))))))+(IF(X$65="5차중도금",$F81*60%-SUM($G81:W81)-$F81*10%,IF(X$65="6차중도금",$F81*70%-SUM($G81:W81)-$F81*10%,0)))</f>
        <v>0</v>
      </c>
      <c r="Y81" s="605">
        <f>IF(Y$65="입주/잔금",($F81-SUM($G81:X81))*30%,IF(X$65="입주/잔금",($F81-SUM($G81:W81))*50%,IF(W$65="입주/잔금",($F81-SUM($G81:V81))*20%,IF(Y$65=0,0,IF(Y$65="2차중도금",$F81*30%-SUM($G81:X81),IF(Y$65="3차중도금",$F81*40%-SUM($G81:X81),IF(Y$65="4차중도금",$F81*50%-SUM($G81:X81),$F81*10%)))))))+(IF(Y$65="5차중도금",$F81*60%-SUM($G81:X81)-$F81*10%,IF(Y$65="6차중도금",$F81*70%-SUM($G81:X81)-$F81*10%,0)))</f>
        <v>947954.18985959992</v>
      </c>
      <c r="Z81" s="605">
        <f>IF(Z$65="입주/잔금",($F81-SUM($G81:Y81))*30%,IF(Y$65="입주/잔금",($F81-SUM($G81:X81))*50%,IF(X$65="입주/잔금",($F81-SUM($G81:W81))*20%,IF(Z$65=0,0,IF(Z$65="2차중도금",$F81*30%-SUM($G81:Y81),IF(Z$65="3차중도금",$F81*40%-SUM($G81:Y81),IF(Z$65="4차중도금",$F81*50%-SUM($G81:Y81),$F81*10%)))))))+(IF(Z$65="5차중도금",$F81*60%-SUM($G81:Y81)-$F81*10%,IF(Z$65="6차중도금",$F81*70%-SUM($G81:Y81)-$F81*10%,0)))</f>
        <v>0</v>
      </c>
      <c r="AA81" s="605">
        <f>IF(AA$65="입주/잔금",($F81-SUM($G81:Z81))*30%,IF(Z$65="입주/잔금",($F81-SUM($G81:Y81))*50%,IF(Y$65="입주/잔금",($F81-SUM($G81:X81))*20%,IF(AA$65=0,0,IF(AA$65="2차중도금",$F81*30%-SUM($G81:Z81),IF(AA$65="3차중도금",$F81*40%-SUM($G81:Z81),IF(AA$65="4차중도금",$F81*50%-SUM($G81:Z81),$F81*10%)))))))+(IF(AA$65="5차중도금",$F81*60%-SUM($G81:Z81)-$F81*10%,IF(AA$65="6차중도금",$F81*70%-SUM($G81:Z81)-$F81*10%,0)))</f>
        <v>0</v>
      </c>
      <c r="AB81" s="605">
        <f>IF(AB$65="입주/잔금",($F81-SUM($G81:AA81))*30%,IF(AA$65="입주/잔금",($F81-SUM($G81:Z81))*50%,IF(Z$65="입주/잔금",($F81-SUM($G81:Y81))*20%,IF(AB$65=0,0,IF(AB$65="2차중도금",$F81*30%-SUM($G81:AA81),IF(AB$65="3차중도금",$F81*40%-SUM($G81:AA81),IF(AB$65="4차중도금",$F81*50%-SUM($G81:AA81),$F81*10%)))))))+(IF(AB$65="5차중도금",$F81*60%-SUM($G81:AA81)-$F81*10%,IF(AB$65="6차중도금",$F81*70%-SUM($G81:AA81)-$F81*10%,0)))</f>
        <v>0</v>
      </c>
      <c r="AC81" s="605">
        <f>IF(AC$65="입주/잔금",($F81-SUM($G81:AB81))*30%,IF(AB$65="입주/잔금",($F81-SUM($G81:AA81))*50%,IF(AA$65="입주/잔금",($F81-SUM($G81:Z81))*20%,IF(AC$65=0,0,IF(AC$65="2차중도금",$F81*30%-SUM($G81:AB81),IF(AC$65="3차중도금",$F81*40%-SUM($G81:AB81),IF(AC$65="4차중도금",$F81*50%-SUM($G81:AB81),$F81*10%)))))))+(IF(AC$65="5차중도금",$F81*60%-SUM($G81:AB81)-$F81*10%,IF(AC$65="6차중도금",$F81*70%-SUM($G81:AB81)-$F81*10%,0)))</f>
        <v>315984.72995319986</v>
      </c>
      <c r="AD81" s="605">
        <f>IF(AD$65="입주/잔금",($F81-SUM($G81:AC81))*30%,IF(AC$65="입주/잔금",($F81-SUM($G81:AB81))*50%,IF(AB$65="입주/잔금",($F81-SUM($G81:AA81))*20%,IF(AD$65=0,0,IF(AD$65="2차중도금",$F81*30%-SUM($G81:AC81),IF(AD$65="3차중도금",$F81*40%-SUM($G81:AC81),IF(AD$65="4차중도금",$F81*50%-SUM($G81:AC81),$F81*10%)))))))+(IF(AD$65="5차중도금",$F81*60%-SUM($G81:AC81)-$F81*10%,IF(AD$65="6차중도금",$F81*70%-SUM($G81:AC81)-$F81*10%,0)))</f>
        <v>0</v>
      </c>
      <c r="AE81" s="605">
        <f>IF(AE$65="입주/잔금",($F81-SUM($G81:AD81))*30%,IF(AD$65="입주/잔금",($F81-SUM($G81:AC81))*50%,IF(AC$65="입주/잔금",($F81-SUM($G81:AB81))*20%,IF(AE$65=0,0,IF(AE$65="2차중도금",$F81*30%-SUM($G81:AD81),IF(AE$65="3차중도금",$F81*40%-SUM($G81:AD81),IF(AE$65="4차중도금",$F81*50%-SUM($G81:AD81),$F81*10%)))))))+(IF(AE$65="5차중도금",$F81*60%-SUM($G81:AD81)-$F81*10%,IF(AE$65="6차중도금",$F81*70%-SUM($G81:AD81)-$F81*10%,0)))</f>
        <v>0</v>
      </c>
      <c r="AF81" s="605">
        <f>IF(AF$65="입주/잔금",($F81-SUM($G81:AE81))*30%,IF(AE$65="입주/잔금",($F81-SUM($G81:AD81))*50%,IF(AD$65="입주/잔금",($F81-SUM($G81:AC81))*20%,IF(AF$65=0,0,IF(AF$65="2차중도금",$F81*30%-SUM($G81:AE81),IF(AF$65="3차중도금",$F81*40%-SUM($G81:AE81),IF(AF$65="4차중도금",$F81*50%-SUM($G81:AE81),$F81*10%)))))))+(IF(AF$65="5차중도금",$F81*60%-SUM($G81:AE81)-$F81*10%,IF(AF$65="6차중도금",$F81*70%-SUM($G81:AE81)-$F81*10%,0)))</f>
        <v>0</v>
      </c>
      <c r="AG81" s="605">
        <f>IF(AG$65="입주/잔금",($F81-SUM($G81:AF81))*30%,IF(AF$65="입주/잔금",($F81-SUM($G81:AE81))*50%,IF(AE$65="입주/잔금",($F81-SUM($G81:AD81))*20%,IF(AG$65=0,0,IF(AG$65="2차중도금",$F81*30%-SUM($G81:AF81),IF(AG$65="3차중도금",$F81*40%-SUM($G81:AF81),IF(AG$65="4차중도금",$F81*50%-SUM($G81:AF81),$F81*10%)))))))+(IF(AG$65="5차중도금",$F81*60%-SUM($G81:AF81)-$F81*10%,IF(AG$65="6차중도금",$F81*70%-SUM($G81:AF81)-$F81*10%,0)))</f>
        <v>0</v>
      </c>
      <c r="AH81" s="605">
        <f>IF(AH$65="입주/잔금",($F81-SUM($G81:AG81))*30%,IF(AG$65="입주/잔금",($F81-SUM($G81:AF81))*50%,IF(AF$65="입주/잔금",($F81-SUM($G81:AE81))*20%,IF(AH$65=0,0,IF(AH$65="2차중도금",$F81*30%-SUM($G81:AG81),IF(AH$65="3차중도금",$F81*40%-SUM($G81:AG81),IF(AH$65="4차중도금",$F81*50%-SUM($G81:AG81),$F81*10%)))))))+(IF(AH$65="5차중도금",$F81*60%-SUM($G81:AG81)-$F81*10%,IF(AH$65="6차중도금",$F81*70%-SUM($G81:AG81)-$F81*10%,0)))</f>
        <v>315984.72995319986</v>
      </c>
      <c r="AI81" s="605">
        <f>IF(AI$65="입주/잔금",($F81-SUM($G81:AH81))*30%,IF(AH$65="입주/잔금",($F81-SUM($G81:AG81))*50%,IF(AG$65="입주/잔금",($F81-SUM($G81:AF81))*20%,IF(AI$65=0,0,IF(AI$65="2차중도금",$F81*30%-SUM($G81:AH81),IF(AI$65="3차중도금",$F81*40%-SUM($G81:AH81),IF(AI$65="4차중도금",$F81*50%-SUM($G81:AH81),$F81*10%)))))))+(IF(AI$65="5차중도금",$F81*60%-SUM($G81:AH81)-$F81*10%,IF(AI$65="6차중도금",$F81*70%-SUM($G81:AH81)-$F81*10%,0)))</f>
        <v>0</v>
      </c>
      <c r="AJ81" s="605">
        <f>IF(AJ$65="입주/잔금",($F81-SUM($G81:AI81))*30%,IF(AI$65="입주/잔금",($F81-SUM($G81:AH81))*50%,IF(AH$65="입주/잔금",($F81-SUM($G81:AG81))*20%,IF(AJ$65=0,0,IF(AJ$65="2차중도금",$F81*30%-SUM($G81:AI81),IF(AJ$65="3차중도금",$F81*40%-SUM($G81:AI81),IF(AJ$65="4차중도금",$F81*50%-SUM($G81:AI81),$F81*10%)))))))+(IF(AJ$65="5차중도금",$F81*60%-SUM($G81:AI81)-$F81*10%,IF(AJ$65="6차중도금",$F81*70%-SUM($G81:AI81)-$F81*10%,0)))</f>
        <v>0</v>
      </c>
      <c r="AK81" s="605">
        <f>IF(AK$65="입주/잔금",($F81-SUM($G81:AJ81))*30%,IF(AJ$65="입주/잔금",($F81-SUM($G81:AI81))*50%,IF(AI$65="입주/잔금",($F81-SUM($G81:AH81))*20%,IF(AK$65=0,0,IF(AK$65="2차중도금",$F81*30%-SUM($G81:AJ81),IF(AK$65="3차중도금",$F81*40%-SUM($G81:AJ81),IF(AK$65="4차중도금",$F81*50%-SUM($G81:AJ81),$F81*10%)))))))+(IF(AK$65="5차중도금",$F81*60%-SUM($G81:AJ81)-$F81*10%,IF(AK$65="6차중도금",$F81*70%-SUM($G81:AJ81)-$F81*10%,0)))</f>
        <v>0</v>
      </c>
      <c r="AL81" s="605">
        <f>IF(AL$65="입주/잔금",($F81-SUM($G81:AK81))*30%,IF(AK$65="입주/잔금",($F81-SUM($G81:AJ81))*50%,IF(AJ$65="입주/잔금",($F81-SUM($G81:AI81))*20%,IF(AL$65=0,0,IF(AL$65="2차중도금",$F81*30%-SUM($G81:AK81),IF(AL$65="3차중도금",$F81*40%-SUM($G81:AK81),IF(AL$65="4차중도금",$F81*50%-SUM($G81:AK81),$F81*10%)))))))+(IF(AL$65="5차중도금",$F81*60%-SUM($G81:AK81)-$F81*10%,IF(AL$65="6차중도금",$F81*70%-SUM($G81:AK81)-$F81*10%,0)))</f>
        <v>0</v>
      </c>
      <c r="AM81" s="605">
        <f>IF(AM$65="입주/잔금",($F81-SUM($G81:AL81))*30%,IF(AL$65="입주/잔금",($F81-SUM($G81:AK81))*50%,IF(AK$65="입주/잔금",($F81-SUM($G81:AJ81))*20%,IF(AM$65=0,0,IF(AM$65="2차중도금",$F81*30%-SUM($G81:AL81),IF(AM$65="3차중도금",$F81*40%-SUM($G81:AL81),IF(AM$65="4차중도금",$F81*50%-SUM($G81:AL81),$F81*10%)))))))+(IF(AM$65="5차중도금",$F81*60%-SUM($G81:AL81)-$F81*10%,IF(AM$65="6차중도금",$F81*70%-SUM($G81:AL81)-$F81*10%,0)))</f>
        <v>315984.72995320009</v>
      </c>
      <c r="AN81" s="605">
        <f>IF(AN$65="입주/잔금",($F81-SUM($G81:AM81))*30%,IF(AM$65="입주/잔금",($F81-SUM($G81:AL81))*50%,IF(AL$65="입주/잔금",($F81-SUM($G81:AK81))*20%,IF(AN$65=0,0,IF(AN$65="2차중도금",$F81*30%-SUM($G81:AM81),IF(AN$65="3차중도금",$F81*40%-SUM($G81:AM81),IF(AN$65="4차중도금",$F81*50%-SUM($G81:AM81),$F81*10%)))))))+(IF(AN$65="5차중도금",$F81*60%-SUM($G81:AM81)-$F81*10%,IF(AN$65="6차중도금",$F81*70%-SUM($G81:AM81)-$F81*10%,0)))</f>
        <v>0</v>
      </c>
      <c r="AO81" s="605">
        <f>IF(AO$65="입주/잔금",($F81-SUM($G81:AN81))*30%,IF(AN$65="입주/잔금",($F81-SUM($G81:AM81))*50%,IF(AM$65="입주/잔금",($F81-SUM($G81:AL81))*20%,IF(AO$65=0,0,IF(AO$65="2차중도금",$F81*30%-SUM($G81:AN81),IF(AO$65="3차중도금",$F81*40%-SUM($G81:AN81),IF(AO$65="4차중도금",$F81*50%-SUM($G81:AN81),$F81*10%)))))))+(IF(AO$65="5차중도금",$F81*60%-SUM($G81:AN81)-$F81*10%,IF(AO$65="6차중도금",$F81*70%-SUM($G81:AN81)-$F81*10%,0)))</f>
        <v>0</v>
      </c>
      <c r="AP81" s="605">
        <f>IF(AP$65="입주/잔금",($F81-SUM($G81:AO81))*30%,IF(AO$65="입주/잔금",($F81-SUM($G81:AN81))*50%,IF(AN$65="입주/잔금",($F81-SUM($G81:AM81))*20%,IF(AP$65=0,0,IF(AP$65="2차중도금",$F81*30%-SUM($G81:AO81),IF(AP$65="3차중도금",$F81*40%-SUM($G81:AO81),IF(AP$65="4차중도금",$F81*50%-SUM($G81:AO81),$F81*10%)))))))+(IF(AP$65="5차중도금",$F81*60%-SUM($G81:AO81)-$F81*10%,IF(AP$65="6차중도금",$F81*70%-SUM($G81:AO81)-$F81*10%,0)))</f>
        <v>0</v>
      </c>
      <c r="AQ81" s="605">
        <f>IF(AQ$65="입주/잔금",($F81-SUM($G81:AP81))*30%,IF(AP$65="입주/잔금",($F81-SUM($G81:AO81))*50%,IF(AO$65="입주/잔금",($F81-SUM($G81:AN81))*20%,IF(AQ$65=0,0,IF(AQ$65="2차중도금",$F81*30%-SUM($G81:AP81),IF(AQ$65="3차중도금",$F81*40%-SUM($G81:AP81),IF(AQ$65="4차중도금",$F81*50%-SUM($G81:AP81),$F81*10%)))))))+(IF(AQ$65="5차중도금",$F81*60%-SUM($G81:AP81)-$F81*10%,IF(AQ$65="6차중도금",$F81*70%-SUM($G81:AP81)-$F81*10%,0)))</f>
        <v>0</v>
      </c>
      <c r="AR81" s="605">
        <f>IF(AR$65="입주/잔금",($F81-SUM($G81:AQ81))*30%,IF(AQ$65="입주/잔금",($F81-SUM($G81:AP81))*50%,IF(AP$65="입주/잔금",($F81-SUM($G81:AO81))*20%,IF(AR$65=0,0,IF(AR$65="2차중도금",$F81*30%-SUM($G81:AQ81),IF(AR$65="3차중도금",$F81*40%-SUM($G81:AQ81),IF(AR$65="4차중도금",$F81*50%-SUM($G81:AQ81),$F81*10%)))))))+(IF(AR$65="5차중도금",$F81*60%-SUM($G81:AQ81)-$F81*10%,IF(AR$65="6차중도금",$F81*70%-SUM($G81:AQ81)-$F81*10%,0)))</f>
        <v>284386.25695787993</v>
      </c>
      <c r="AS81" s="605">
        <f>IF(AS$65="입주/잔금",($F81-SUM($G81:AR81))*30%,IF(AR$65="입주/잔금",($F81-SUM($G81:AQ81))*50%,IF(AQ$65="입주/잔금",($F81-SUM($G81:AP81))*20%,IF(AS$65=0,0,IF(AS$65="2차중도금",$F81*30%-SUM($G81:AR81),IF(AS$65="3차중도금",$F81*40%-SUM($G81:AR81),IF(AS$65="4차중도금",$F81*50%-SUM($G81:AR81),$F81*10%)))))))+(IF(AS$65="5차중도금",$F81*60%-SUM($G81:AR81)-$F81*10%,IF(AS$65="6차중도금",$F81*70%-SUM($G81:AR81)-$F81*10%,0)))</f>
        <v>473977.0949297999</v>
      </c>
      <c r="AT81" s="605">
        <f>IF(AT$65="입주/잔금",($F81-SUM($G81:AS81))*30%,IF(AS$65="입주/잔금",($F81-SUM($G81:AR81))*50%,IF(AR$65="입주/잔금",($F81-SUM($G81:AQ81))*20%,IF(AT$65=0,0,IF(AT$65="2차중도금",$F81*30%-SUM($G81:AS81),IF(AT$65="3차중도금",$F81*40%-SUM($G81:AS81),IF(AT$65="4차중도금",$F81*50%-SUM($G81:AS81),$F81*10%)))))))+(IF(AT$65="5차중도금",$F81*60%-SUM($G81:AS81)-$F81*10%,IF(AT$65="6차중도금",$F81*70%-SUM($G81:AS81)-$F81*10%,0)))</f>
        <v>189590.83797191997</v>
      </c>
      <c r="AU81" s="605">
        <f>IF(AU$65="입주/잔금",($F81-SUM($G81:AT81))*30%,IF(AT$65="입주/잔금",($F81-SUM($G81:AS81))*50%,IF(AS$65="입주/잔금",($F81-SUM($G81:AR81))*20%,IF(AU$65=0,0,IF(AU$65="2차중도금",$F81*30%-SUM($G81:AT81),IF(AU$65="3차중도금",$F81*40%-SUM($G81:AT81),IF(AU$65="4차중도금",$F81*50%-SUM($G81:AT81),$F81*10%)))))))+(IF(AU$65="5차중도금",$F81*60%-SUM($G81:AT81)-$F81*10%,IF(AU$65="6차중도금",$F81*70%-SUM($G81:AT81)-$F81*10%,0)))</f>
        <v>0</v>
      </c>
      <c r="AV81" s="605">
        <f>IF(AV$65="입주/잔금",($F81-SUM($G81:AU81))*30%,IF(AU$65="입주/잔금",($F81-SUM($G81:AT81))*50%,IF(AT$65="입주/잔금",($F81-SUM($G81:AS81))*20%,IF(AV$65=0,0,IF(AV$65="2차중도금",$F81*30%-SUM($G81:AU81),IF(AV$65="3차중도금",$F81*40%-SUM($G81:AU81),IF(AV$65="4차중도금",$F81*50%-SUM($G81:AU81),$F81*10%)))))))+(IF(AV$65="5차중도금",$F81*60%-SUM($G81:AU81)-$F81*10%,IF(AV$65="6차중도금",$F81*70%-SUM($G81:AU81)-$F81*10%,0)))</f>
        <v>0</v>
      </c>
      <c r="AW81" s="605">
        <f>IF(AW$65="입주/잔금",($F81-SUM($G81:AV81))*30%,IF(AV$65="입주/잔금",($F81-SUM($G81:AU81))*50%,IF(AU$65="입주/잔금",($F81-SUM($G81:AT81))*20%,IF(AW$65=0,0,IF(AW$65="2차중도금",$F81*30%-SUM($G81:AV81),IF(AW$65="3차중도금",$F81*40%-SUM($G81:AV81),IF(AW$65="4차중도금",$F81*50%-SUM($G81:AV81),$F81*10%)))))))+(IF(AW$65="5차중도금",$F81*60%-SUM($G81:AV81)-$F81*10%,IF(AW$65="6차중도금",$F81*70%-SUM($G81:AV81)-$F81*10%,0)))</f>
        <v>0</v>
      </c>
      <c r="AX81" s="605">
        <f>IF(AX$65="입주/잔금",($F81-SUM($G81:AW81))*30%,IF(AW$65="입주/잔금",($F81-SUM($G81:AV81))*50%,IF(AV$65="입주/잔금",($F81-SUM($G81:AU81))*20%,IF(AX$65=0,0,IF(AX$65="2차중도금",$F81*30%-SUM($G81:AW81),IF(AX$65="3차중도금",$F81*40%-SUM($G81:AW81),IF(AX$65="4차중도금",$F81*50%-SUM($G81:AW81),$F81*10%)))))))+(IF(AX$65="5차중도금",$F81*60%-SUM($G81:AW81)-$F81*10%,IF(AX$65="6차중도금",$F81*70%-SUM($G81:AW81)-$F81*10%,0)))</f>
        <v>0</v>
      </c>
      <c r="AY81" s="605">
        <f>IF(AY$65="입주/잔금",($F81-SUM($G81:AX81))*30%,IF(AX$65="입주/잔금",($F81-SUM($G81:AW81))*50%,IF(AW$65="입주/잔금",($F81-SUM($G81:AV81))*20%,IF(AY$65=0,0,IF(AY$65="2차중도금",$F81*30%-SUM($G81:AX81),IF(AY$65="3차중도금",$F81*40%-SUM($G81:AX81),IF(AY$65="4차중도금",$F81*50%-SUM($G81:AX81),$F81*10%)))))))+(IF(AY$65="5차중도금",$F81*60%-SUM($G81:AX81)-$F81*10%,IF(AY$65="6차중도금",$F81*70%-SUM($G81:AX81)-$F81*10%,0)))</f>
        <v>0</v>
      </c>
      <c r="AZ81" s="605">
        <f>IF(AZ$65="입주/잔금",($F81-SUM($G81:AY81))*30%,IF(AY$65="입주/잔금",($F81-SUM($G81:AX81))*50%,IF(AX$65="입주/잔금",($F81-SUM($G81:AW81))*20%,IF(AZ$65=0,0,IF(AZ$65="2차중도금",$F81*30%-SUM($G81:AY81),IF(AZ$65="3차중도금",$F81*40%-SUM($G81:AY81),IF(AZ$65="4차중도금",$F81*50%-SUM($G81:AY81),$F81*10%)))))))+(IF(AZ$65="5차중도금",$F81*60%-SUM($G81:AY81)-$F81*10%,IF(AZ$65="6차중도금",$F81*70%-SUM($G81:AY81)-$F81*10%,0)))</f>
        <v>0</v>
      </c>
      <c r="BA81" s="605">
        <f>IF(BA$65="입주/잔금",($F81-SUM($G81:AZ81))*30%,IF(AZ$65="입주/잔금",($F81-SUM($G81:AY81))*50%,IF(AY$65="입주/잔금",($F81-SUM($G81:AX81))*20%,IF(BA$65=0,0,IF(BA$65="2차중도금",$F81*30%-SUM($G81:AZ81),IF(BA$65="3차중도금",$F81*40%-SUM($G81:AZ81),IF(BA$65="4차중도금",$F81*50%-SUM($G81:AZ81),$F81*10%)))))))+(IF(BA$65="5차중도금",$F81*60%-SUM($G81:AZ81)-$F81*10%,IF(BA$65="6차중도금",$F81*70%-SUM($G81:AZ81)-$F81*10%,0)))</f>
        <v>0</v>
      </c>
      <c r="BB81" s="605">
        <f>IF(BB$65="입주/잔금",($F81-SUM($G81:BA81))*30%,IF(BA$65="입주/잔금",($F81-SUM($G81:AZ81))*50%,IF(AZ$65="입주/잔금",($F81-SUM($G81:AY81))*20%,IF(BB$65=0,0,IF(BB$65="2차중도금",$F81*30%-SUM($G81:BA81),IF(BB$65="3차중도금",$F81*40%-SUM($G81:BA81),IF(BB$65="4차중도금",$F81*50%-SUM($G81:BA81),$F81*10%)))))))+(IF(BB$65="5차중도금",$F81*60%-SUM($G81:BA81)-$F81*10%,IF(BB$65="6차중도금",$F81*70%-SUM($G81:BA81)-$F81*10%,0)))</f>
        <v>0</v>
      </c>
      <c r="BC81" s="605">
        <f>IF(BC$65="입주/잔금",($F81-SUM($G81:BB81))*30%,IF(BB$65="입주/잔금",($F81-SUM($G81:BA81))*50%,IF(BA$65="입주/잔금",($F81-SUM($G81:AZ81))*20%,IF(BC$65=0,0,IF(BC$65="2차중도금",$F81*30%-SUM($G81:BB81),IF(BC$65="3차중도금",$F81*40%-SUM($G81:BB81),IF(BC$65="4차중도금",$F81*50%-SUM($G81:BB81),$F81*10%)))))))+(IF(BC$65="5차중도금",$F81*60%-SUM($G81:BB81)-$F81*10%,IF(BC$65="6차중도금",$F81*70%-SUM($G81:BB81)-$F81*10%,0)))</f>
        <v>0</v>
      </c>
      <c r="BD81" s="605">
        <f>IF(BD$65="입주/잔금",($F81-SUM($G81:BC81))*30%,IF(BC$65="입주/잔금",($F81-SUM($G81:BB81))*50%,IF(BB$65="입주/잔금",($F81-SUM($G81:BA81))*20%,IF(BD$65=0,0,IF(BD$65="2차중도금",$F81*30%-SUM($G81:BC81),IF(BD$65="3차중도금",$F81*40%-SUM($G81:BC81),IF(BD$65="4차중도금",$F81*50%-SUM($G81:BC81),$F81*10%)))))))+(IF(BD$65="5차중도금",$F81*60%-SUM($G81:BC81)-$F81*10%,IF(BD$65="6차중도금",$F81*70%-SUM($G81:BC81)-$F81*10%,0)))</f>
        <v>0</v>
      </c>
      <c r="BE81" s="605">
        <f>IF(BE$65="입주/잔금",($F81-SUM($G81:BD81))*30%,IF(BD$65="입주/잔금",($F81-SUM($G81:BC81))*50%,IF(BC$65="입주/잔금",($F81-SUM($G81:BB81))*20%,IF(BE$65=0,0,IF(BE$65="2차중도금",$F81*30%-SUM($G81:BD81),IF(BE$65="3차중도금",$F81*40%-SUM($G81:BD81),IF(BE$65="4차중도금",$F81*50%-SUM($G81:BD81),$F81*10%)))))))+(IF(BE$65="5차중도금",$F81*60%-SUM($G81:BD81)-$F81*10%,IF(BE$65="6차중도금",$F81*70%-SUM($G81:BD81)-$F81*10%,0)))</f>
        <v>0</v>
      </c>
      <c r="BF81" s="609">
        <f t="shared" si="30"/>
        <v>3159847.2995319995</v>
      </c>
      <c r="BG81" s="556">
        <f t="shared" si="32"/>
        <v>0</v>
      </c>
      <c r="BH81" s="610"/>
    </row>
    <row r="82" spans="1:60">
      <c r="A82" s="1853"/>
      <c r="B82" s="611">
        <f t="shared" si="33"/>
        <v>45323</v>
      </c>
      <c r="C82" s="605">
        <f t="shared" si="34"/>
        <v>157992364.97659996</v>
      </c>
      <c r="D82" s="1501">
        <v>0.02</v>
      </c>
      <c r="E82" s="607">
        <f t="shared" si="35"/>
        <v>0.98000000000000032</v>
      </c>
      <c r="F82" s="608">
        <f t="shared" si="31"/>
        <v>3159847.2995319995</v>
      </c>
      <c r="G82" s="605"/>
      <c r="H82" s="605"/>
      <c r="I82" s="605"/>
      <c r="J82" s="605"/>
      <c r="K82" s="605"/>
      <c r="L82" s="605"/>
      <c r="M82" s="605"/>
      <c r="N82" s="605"/>
      <c r="O82" s="605"/>
      <c r="P82" s="605"/>
      <c r="Q82" s="605"/>
      <c r="R82" s="605"/>
      <c r="S82" s="605"/>
      <c r="T82" s="605"/>
      <c r="U82" s="605"/>
      <c r="V82" s="605"/>
      <c r="W82" s="605">
        <f>$F82*10%</f>
        <v>315984.72995319997</v>
      </c>
      <c r="X82" s="605">
        <f>IF(X$65="입주/잔금",($F82-SUM($G82:W82))*30%,IF(W$65="입주/잔금",($F82-SUM($G82:V82))*50%,IF(V$65="입주/잔금",($F82-SUM($G82:U82))*20%,IF(X$65=0,0,IF(X$65="2차중도금",$F82*30%-SUM($G82:W82),IF(X$65="3차중도금",$F82*40%-SUM($G82:W82),IF(X$65="4차중도금",$F82*50%-SUM($G82:W82),$F82*10%)))))))+(IF(X$65="5차중도금",$F82*60%-SUM($G82:W82)-$F82*10%,IF(X$65="6차중도금",$F82*70%-SUM($G82:W82)-$F82*10%,0)))</f>
        <v>0</v>
      </c>
      <c r="Y82" s="605">
        <f>IF(Y$65="입주/잔금",($F82-SUM($G82:X82))*30%,IF(X$65="입주/잔금",($F82-SUM($G82:W82))*50%,IF(W$65="입주/잔금",($F82-SUM($G82:V82))*20%,IF(Y$65=0,0,IF(Y$65="2차중도금",$F82*30%-SUM($G82:X82),IF(Y$65="3차중도금",$F82*40%-SUM($G82:X82),IF(Y$65="4차중도금",$F82*50%-SUM($G82:X82),$F82*10%)))))))+(IF(Y$65="5차중도금",$F82*60%-SUM($G82:X82)-$F82*10%,IF(Y$65="6차중도금",$F82*70%-SUM($G82:X82)-$F82*10%,0)))</f>
        <v>947954.18985959992</v>
      </c>
      <c r="Z82" s="605">
        <f>IF(Z$65="입주/잔금",($F82-SUM($G82:Y82))*30%,IF(Y$65="입주/잔금",($F82-SUM($G82:X82))*50%,IF(X$65="입주/잔금",($F82-SUM($G82:W82))*20%,IF(Z$65=0,0,IF(Z$65="2차중도금",$F82*30%-SUM($G82:Y82),IF(Z$65="3차중도금",$F82*40%-SUM($G82:Y82),IF(Z$65="4차중도금",$F82*50%-SUM($G82:Y82),$F82*10%)))))))+(IF(Z$65="5차중도금",$F82*60%-SUM($G82:Y82)-$F82*10%,IF(Z$65="6차중도금",$F82*70%-SUM($G82:Y82)-$F82*10%,0)))</f>
        <v>0</v>
      </c>
      <c r="AA82" s="605">
        <f>IF(AA$65="입주/잔금",($F82-SUM($G82:Z82))*30%,IF(Z$65="입주/잔금",($F82-SUM($G82:Y82))*50%,IF(Y$65="입주/잔금",($F82-SUM($G82:X82))*20%,IF(AA$65=0,0,IF(AA$65="2차중도금",$F82*30%-SUM($G82:Z82),IF(AA$65="3차중도금",$F82*40%-SUM($G82:Z82),IF(AA$65="4차중도금",$F82*50%-SUM($G82:Z82),$F82*10%)))))))+(IF(AA$65="5차중도금",$F82*60%-SUM($G82:Z82)-$F82*10%,IF(AA$65="6차중도금",$F82*70%-SUM($G82:Z82)-$F82*10%,0)))</f>
        <v>0</v>
      </c>
      <c r="AB82" s="605">
        <f>IF(AB$65="입주/잔금",($F82-SUM($G82:AA82))*30%,IF(AA$65="입주/잔금",($F82-SUM($G82:Z82))*50%,IF(Z$65="입주/잔금",($F82-SUM($G82:Y82))*20%,IF(AB$65=0,0,IF(AB$65="2차중도금",$F82*30%-SUM($G82:AA82),IF(AB$65="3차중도금",$F82*40%-SUM($G82:AA82),IF(AB$65="4차중도금",$F82*50%-SUM($G82:AA82),$F82*10%)))))))+(IF(AB$65="5차중도금",$F82*60%-SUM($G82:AA82)-$F82*10%,IF(AB$65="6차중도금",$F82*70%-SUM($G82:AA82)-$F82*10%,0)))</f>
        <v>0</v>
      </c>
      <c r="AC82" s="605">
        <f>IF(AC$65="입주/잔금",($F82-SUM($G82:AB82))*30%,IF(AB$65="입주/잔금",($F82-SUM($G82:AA82))*50%,IF(AA$65="입주/잔금",($F82-SUM($G82:Z82))*20%,IF(AC$65=0,0,IF(AC$65="2차중도금",$F82*30%-SUM($G82:AB82),IF(AC$65="3차중도금",$F82*40%-SUM($G82:AB82),IF(AC$65="4차중도금",$F82*50%-SUM($G82:AB82),$F82*10%)))))))+(IF(AC$65="5차중도금",$F82*60%-SUM($G82:AB82)-$F82*10%,IF(AC$65="6차중도금",$F82*70%-SUM($G82:AB82)-$F82*10%,0)))</f>
        <v>315984.72995319986</v>
      </c>
      <c r="AD82" s="605">
        <f>IF(AD$65="입주/잔금",($F82-SUM($G82:AC82))*30%,IF(AC$65="입주/잔금",($F82-SUM($G82:AB82))*50%,IF(AB$65="입주/잔금",($F82-SUM($G82:AA82))*20%,IF(AD$65=0,0,IF(AD$65="2차중도금",$F82*30%-SUM($G82:AC82),IF(AD$65="3차중도금",$F82*40%-SUM($G82:AC82),IF(AD$65="4차중도금",$F82*50%-SUM($G82:AC82),$F82*10%)))))))+(IF(AD$65="5차중도금",$F82*60%-SUM($G82:AC82)-$F82*10%,IF(AD$65="6차중도금",$F82*70%-SUM($G82:AC82)-$F82*10%,0)))</f>
        <v>0</v>
      </c>
      <c r="AE82" s="605">
        <f>IF(AE$65="입주/잔금",($F82-SUM($G82:AD82))*30%,IF(AD$65="입주/잔금",($F82-SUM($G82:AC82))*50%,IF(AC$65="입주/잔금",($F82-SUM($G82:AB82))*20%,IF(AE$65=0,0,IF(AE$65="2차중도금",$F82*30%-SUM($G82:AD82),IF(AE$65="3차중도금",$F82*40%-SUM($G82:AD82),IF(AE$65="4차중도금",$F82*50%-SUM($G82:AD82),$F82*10%)))))))+(IF(AE$65="5차중도금",$F82*60%-SUM($G82:AD82)-$F82*10%,IF(AE$65="6차중도금",$F82*70%-SUM($G82:AD82)-$F82*10%,0)))</f>
        <v>0</v>
      </c>
      <c r="AF82" s="605">
        <f>IF(AF$65="입주/잔금",($F82-SUM($G82:AE82))*30%,IF(AE$65="입주/잔금",($F82-SUM($G82:AD82))*50%,IF(AD$65="입주/잔금",($F82-SUM($G82:AC82))*20%,IF(AF$65=0,0,IF(AF$65="2차중도금",$F82*30%-SUM($G82:AE82),IF(AF$65="3차중도금",$F82*40%-SUM($G82:AE82),IF(AF$65="4차중도금",$F82*50%-SUM($G82:AE82),$F82*10%)))))))+(IF(AF$65="5차중도금",$F82*60%-SUM($G82:AE82)-$F82*10%,IF(AF$65="6차중도금",$F82*70%-SUM($G82:AE82)-$F82*10%,0)))</f>
        <v>0</v>
      </c>
      <c r="AG82" s="605">
        <f>IF(AG$65="입주/잔금",($F82-SUM($G82:AF82))*30%,IF(AF$65="입주/잔금",($F82-SUM($G82:AE82))*50%,IF(AE$65="입주/잔금",($F82-SUM($G82:AD82))*20%,IF(AG$65=0,0,IF(AG$65="2차중도금",$F82*30%-SUM($G82:AF82),IF(AG$65="3차중도금",$F82*40%-SUM($G82:AF82),IF(AG$65="4차중도금",$F82*50%-SUM($G82:AF82),$F82*10%)))))))+(IF(AG$65="5차중도금",$F82*60%-SUM($G82:AF82)-$F82*10%,IF(AG$65="6차중도금",$F82*70%-SUM($G82:AF82)-$F82*10%,0)))</f>
        <v>0</v>
      </c>
      <c r="AH82" s="605">
        <f>IF(AH$65="입주/잔금",($F82-SUM($G82:AG82))*30%,IF(AG$65="입주/잔금",($F82-SUM($G82:AF82))*50%,IF(AF$65="입주/잔금",($F82-SUM($G82:AE82))*20%,IF(AH$65=0,0,IF(AH$65="2차중도금",$F82*30%-SUM($G82:AG82),IF(AH$65="3차중도금",$F82*40%-SUM($G82:AG82),IF(AH$65="4차중도금",$F82*50%-SUM($G82:AG82),$F82*10%)))))))+(IF(AH$65="5차중도금",$F82*60%-SUM($G82:AG82)-$F82*10%,IF(AH$65="6차중도금",$F82*70%-SUM($G82:AG82)-$F82*10%,0)))</f>
        <v>315984.72995319986</v>
      </c>
      <c r="AI82" s="605">
        <f>IF(AI$65="입주/잔금",($F82-SUM($G82:AH82))*30%,IF(AH$65="입주/잔금",($F82-SUM($G82:AG82))*50%,IF(AG$65="입주/잔금",($F82-SUM($G82:AF82))*20%,IF(AI$65=0,0,IF(AI$65="2차중도금",$F82*30%-SUM($G82:AH82),IF(AI$65="3차중도금",$F82*40%-SUM($G82:AH82),IF(AI$65="4차중도금",$F82*50%-SUM($G82:AH82),$F82*10%)))))))+(IF(AI$65="5차중도금",$F82*60%-SUM($G82:AH82)-$F82*10%,IF(AI$65="6차중도금",$F82*70%-SUM($G82:AH82)-$F82*10%,0)))</f>
        <v>0</v>
      </c>
      <c r="AJ82" s="605">
        <f>IF(AJ$65="입주/잔금",($F82-SUM($G82:AI82))*30%,IF(AI$65="입주/잔금",($F82-SUM($G82:AH82))*50%,IF(AH$65="입주/잔금",($F82-SUM($G82:AG82))*20%,IF(AJ$65=0,0,IF(AJ$65="2차중도금",$F82*30%-SUM($G82:AI82),IF(AJ$65="3차중도금",$F82*40%-SUM($G82:AI82),IF(AJ$65="4차중도금",$F82*50%-SUM($G82:AI82),$F82*10%)))))))+(IF(AJ$65="5차중도금",$F82*60%-SUM($G82:AI82)-$F82*10%,IF(AJ$65="6차중도금",$F82*70%-SUM($G82:AI82)-$F82*10%,0)))</f>
        <v>0</v>
      </c>
      <c r="AK82" s="605">
        <f>IF(AK$65="입주/잔금",($F82-SUM($G82:AJ82))*30%,IF(AJ$65="입주/잔금",($F82-SUM($G82:AI82))*50%,IF(AI$65="입주/잔금",($F82-SUM($G82:AH82))*20%,IF(AK$65=0,0,IF(AK$65="2차중도금",$F82*30%-SUM($G82:AJ82),IF(AK$65="3차중도금",$F82*40%-SUM($G82:AJ82),IF(AK$65="4차중도금",$F82*50%-SUM($G82:AJ82),$F82*10%)))))))+(IF(AK$65="5차중도금",$F82*60%-SUM($G82:AJ82)-$F82*10%,IF(AK$65="6차중도금",$F82*70%-SUM($G82:AJ82)-$F82*10%,0)))</f>
        <v>0</v>
      </c>
      <c r="AL82" s="605">
        <f>IF(AL$65="입주/잔금",($F82-SUM($G82:AK82))*30%,IF(AK$65="입주/잔금",($F82-SUM($G82:AJ82))*50%,IF(AJ$65="입주/잔금",($F82-SUM($G82:AI82))*20%,IF(AL$65=0,0,IF(AL$65="2차중도금",$F82*30%-SUM($G82:AK82),IF(AL$65="3차중도금",$F82*40%-SUM($G82:AK82),IF(AL$65="4차중도금",$F82*50%-SUM($G82:AK82),$F82*10%)))))))+(IF(AL$65="5차중도금",$F82*60%-SUM($G82:AK82)-$F82*10%,IF(AL$65="6차중도금",$F82*70%-SUM($G82:AK82)-$F82*10%,0)))</f>
        <v>0</v>
      </c>
      <c r="AM82" s="605">
        <f>IF(AM$65="입주/잔금",($F82-SUM($G82:AL82))*30%,IF(AL$65="입주/잔금",($F82-SUM($G82:AK82))*50%,IF(AK$65="입주/잔금",($F82-SUM($G82:AJ82))*20%,IF(AM$65=0,0,IF(AM$65="2차중도금",$F82*30%-SUM($G82:AL82),IF(AM$65="3차중도금",$F82*40%-SUM($G82:AL82),IF(AM$65="4차중도금",$F82*50%-SUM($G82:AL82),$F82*10%)))))))+(IF(AM$65="5차중도금",$F82*60%-SUM($G82:AL82)-$F82*10%,IF(AM$65="6차중도금",$F82*70%-SUM($G82:AL82)-$F82*10%,0)))</f>
        <v>315984.72995320009</v>
      </c>
      <c r="AN82" s="605">
        <f>IF(AN$65="입주/잔금",($F82-SUM($G82:AM82))*30%,IF(AM$65="입주/잔금",($F82-SUM($G82:AL82))*50%,IF(AL$65="입주/잔금",($F82-SUM($G82:AK82))*20%,IF(AN$65=0,0,IF(AN$65="2차중도금",$F82*30%-SUM($G82:AM82),IF(AN$65="3차중도금",$F82*40%-SUM($G82:AM82),IF(AN$65="4차중도금",$F82*50%-SUM($G82:AM82),$F82*10%)))))))+(IF(AN$65="5차중도금",$F82*60%-SUM($G82:AM82)-$F82*10%,IF(AN$65="6차중도금",$F82*70%-SUM($G82:AM82)-$F82*10%,0)))</f>
        <v>0</v>
      </c>
      <c r="AO82" s="605">
        <f>IF(AO$65="입주/잔금",($F82-SUM($G82:AN82))*30%,IF(AN$65="입주/잔금",($F82-SUM($G82:AM82))*50%,IF(AM$65="입주/잔금",($F82-SUM($G82:AL82))*20%,IF(AO$65=0,0,IF(AO$65="2차중도금",$F82*30%-SUM($G82:AN82),IF(AO$65="3차중도금",$F82*40%-SUM($G82:AN82),IF(AO$65="4차중도금",$F82*50%-SUM($G82:AN82),$F82*10%)))))))+(IF(AO$65="5차중도금",$F82*60%-SUM($G82:AN82)-$F82*10%,IF(AO$65="6차중도금",$F82*70%-SUM($G82:AN82)-$F82*10%,0)))</f>
        <v>0</v>
      </c>
      <c r="AP82" s="605">
        <f>IF(AP$65="입주/잔금",($F82-SUM($G82:AO82))*30%,IF(AO$65="입주/잔금",($F82-SUM($G82:AN82))*50%,IF(AN$65="입주/잔금",($F82-SUM($G82:AM82))*20%,IF(AP$65=0,0,IF(AP$65="2차중도금",$F82*30%-SUM($G82:AO82),IF(AP$65="3차중도금",$F82*40%-SUM($G82:AO82),IF(AP$65="4차중도금",$F82*50%-SUM($G82:AO82),$F82*10%)))))))+(IF(AP$65="5차중도금",$F82*60%-SUM($G82:AO82)-$F82*10%,IF(AP$65="6차중도금",$F82*70%-SUM($G82:AO82)-$F82*10%,0)))</f>
        <v>0</v>
      </c>
      <c r="AQ82" s="605">
        <f>IF(AQ$65="입주/잔금",($F82-SUM($G82:AP82))*30%,IF(AP$65="입주/잔금",($F82-SUM($G82:AO82))*50%,IF(AO$65="입주/잔금",($F82-SUM($G82:AN82))*20%,IF(AQ$65=0,0,IF(AQ$65="2차중도금",$F82*30%-SUM($G82:AP82),IF(AQ$65="3차중도금",$F82*40%-SUM($G82:AP82),IF(AQ$65="4차중도금",$F82*50%-SUM($G82:AP82),$F82*10%)))))))+(IF(AQ$65="5차중도금",$F82*60%-SUM($G82:AP82)-$F82*10%,IF(AQ$65="6차중도금",$F82*70%-SUM($G82:AP82)-$F82*10%,0)))</f>
        <v>0</v>
      </c>
      <c r="AR82" s="605">
        <f>IF(AR$65="입주/잔금",($F82-SUM($G82:AQ82))*30%,IF(AQ$65="입주/잔금",($F82-SUM($G82:AP82))*50%,IF(AP$65="입주/잔금",($F82-SUM($G82:AO82))*20%,IF(AR$65=0,0,IF(AR$65="2차중도금",$F82*30%-SUM($G82:AQ82),IF(AR$65="3차중도금",$F82*40%-SUM($G82:AQ82),IF(AR$65="4차중도금",$F82*50%-SUM($G82:AQ82),$F82*10%)))))))+(IF(AR$65="5차중도금",$F82*60%-SUM($G82:AQ82)-$F82*10%,IF(AR$65="6차중도금",$F82*70%-SUM($G82:AQ82)-$F82*10%,0)))</f>
        <v>284386.25695787993</v>
      </c>
      <c r="AS82" s="605">
        <f>IF(AS$65="입주/잔금",($F82-SUM($G82:AR82))*30%,IF(AR$65="입주/잔금",($F82-SUM($G82:AQ82))*50%,IF(AQ$65="입주/잔금",($F82-SUM($G82:AP82))*20%,IF(AS$65=0,0,IF(AS$65="2차중도금",$F82*30%-SUM($G82:AR82),IF(AS$65="3차중도금",$F82*40%-SUM($G82:AR82),IF(AS$65="4차중도금",$F82*50%-SUM($G82:AR82),$F82*10%)))))))+(IF(AS$65="5차중도금",$F82*60%-SUM($G82:AR82)-$F82*10%,IF(AS$65="6차중도금",$F82*70%-SUM($G82:AR82)-$F82*10%,0)))</f>
        <v>473977.0949297999</v>
      </c>
      <c r="AT82" s="605">
        <f>IF(AT$65="입주/잔금",($F82-SUM($G82:AS82))*30%,IF(AS$65="입주/잔금",($F82-SUM($G82:AR82))*50%,IF(AR$65="입주/잔금",($F82-SUM($G82:AQ82))*20%,IF(AT$65=0,0,IF(AT$65="2차중도금",$F82*30%-SUM($G82:AS82),IF(AT$65="3차중도금",$F82*40%-SUM($G82:AS82),IF(AT$65="4차중도금",$F82*50%-SUM($G82:AS82),$F82*10%)))))))+(IF(AT$65="5차중도금",$F82*60%-SUM($G82:AS82)-$F82*10%,IF(AT$65="6차중도금",$F82*70%-SUM($G82:AS82)-$F82*10%,0)))</f>
        <v>189590.83797191997</v>
      </c>
      <c r="AU82" s="605">
        <f>IF(AU$65="입주/잔금",($F82-SUM($G82:AT82))*30%,IF(AT$65="입주/잔금",($F82-SUM($G82:AS82))*50%,IF(AS$65="입주/잔금",($F82-SUM($G82:AR82))*20%,IF(AU$65=0,0,IF(AU$65="2차중도금",$F82*30%-SUM($G82:AT82),IF(AU$65="3차중도금",$F82*40%-SUM($G82:AT82),IF(AU$65="4차중도금",$F82*50%-SUM($G82:AT82),$F82*10%)))))))+(IF(AU$65="5차중도금",$F82*60%-SUM($G82:AT82)-$F82*10%,IF(AU$65="6차중도금",$F82*70%-SUM($G82:AT82)-$F82*10%,0)))</f>
        <v>0</v>
      </c>
      <c r="AV82" s="605">
        <f>IF(AV$65="입주/잔금",($F82-SUM($G82:AU82))*30%,IF(AU$65="입주/잔금",($F82-SUM($G82:AT82))*50%,IF(AT$65="입주/잔금",($F82-SUM($G82:AS82))*20%,IF(AV$65=0,0,IF(AV$65="2차중도금",$F82*30%-SUM($G82:AU82),IF(AV$65="3차중도금",$F82*40%-SUM($G82:AU82),IF(AV$65="4차중도금",$F82*50%-SUM($G82:AU82),$F82*10%)))))))+(IF(AV$65="5차중도금",$F82*60%-SUM($G82:AU82)-$F82*10%,IF(AV$65="6차중도금",$F82*70%-SUM($G82:AU82)-$F82*10%,0)))</f>
        <v>0</v>
      </c>
      <c r="AW82" s="605">
        <f>IF(AW$65="입주/잔금",($F82-SUM($G82:AV82))*30%,IF(AV$65="입주/잔금",($F82-SUM($G82:AU82))*50%,IF(AU$65="입주/잔금",($F82-SUM($G82:AT82))*20%,IF(AW$65=0,0,IF(AW$65="2차중도금",$F82*30%-SUM($G82:AV82),IF(AW$65="3차중도금",$F82*40%-SUM($G82:AV82),IF(AW$65="4차중도금",$F82*50%-SUM($G82:AV82),$F82*10%)))))))+(IF(AW$65="5차중도금",$F82*60%-SUM($G82:AV82)-$F82*10%,IF(AW$65="6차중도금",$F82*70%-SUM($G82:AV82)-$F82*10%,0)))</f>
        <v>0</v>
      </c>
      <c r="AX82" s="605">
        <f>IF(AX$65="입주/잔금",($F82-SUM($G82:AW82))*30%,IF(AW$65="입주/잔금",($F82-SUM($G82:AV82))*50%,IF(AV$65="입주/잔금",($F82-SUM($G82:AU82))*20%,IF(AX$65=0,0,IF(AX$65="2차중도금",$F82*30%-SUM($G82:AW82),IF(AX$65="3차중도금",$F82*40%-SUM($G82:AW82),IF(AX$65="4차중도금",$F82*50%-SUM($G82:AW82),$F82*10%)))))))+(IF(AX$65="5차중도금",$F82*60%-SUM($G82:AW82)-$F82*10%,IF(AX$65="6차중도금",$F82*70%-SUM($G82:AW82)-$F82*10%,0)))</f>
        <v>0</v>
      </c>
      <c r="AY82" s="605">
        <f>IF(AY$65="입주/잔금",($F82-SUM($G82:AX82))*30%,IF(AX$65="입주/잔금",($F82-SUM($G82:AW82))*50%,IF(AW$65="입주/잔금",($F82-SUM($G82:AV82))*20%,IF(AY$65=0,0,IF(AY$65="2차중도금",$F82*30%-SUM($G82:AX82),IF(AY$65="3차중도금",$F82*40%-SUM($G82:AX82),IF(AY$65="4차중도금",$F82*50%-SUM($G82:AX82),$F82*10%)))))))+(IF(AY$65="5차중도금",$F82*60%-SUM($G82:AX82)-$F82*10%,IF(AY$65="6차중도금",$F82*70%-SUM($G82:AX82)-$F82*10%,0)))</f>
        <v>0</v>
      </c>
      <c r="AZ82" s="605">
        <f>IF(AZ$65="입주/잔금",($F82-SUM($G82:AY82))*30%,IF(AY$65="입주/잔금",($F82-SUM($G82:AX82))*50%,IF(AX$65="입주/잔금",($F82-SUM($G82:AW82))*20%,IF(AZ$65=0,0,IF(AZ$65="2차중도금",$F82*30%-SUM($G82:AY82),IF(AZ$65="3차중도금",$F82*40%-SUM($G82:AY82),IF(AZ$65="4차중도금",$F82*50%-SUM($G82:AY82),$F82*10%)))))))+(IF(AZ$65="5차중도금",$F82*60%-SUM($G82:AY82)-$F82*10%,IF(AZ$65="6차중도금",$F82*70%-SUM($G82:AY82)-$F82*10%,0)))</f>
        <v>0</v>
      </c>
      <c r="BA82" s="605">
        <f>IF(BA$65="입주/잔금",($F82-SUM($G82:AZ82))*30%,IF(AZ$65="입주/잔금",($F82-SUM($G82:AY82))*50%,IF(AY$65="입주/잔금",($F82-SUM($G82:AX82))*20%,IF(BA$65=0,0,IF(BA$65="2차중도금",$F82*30%-SUM($G82:AZ82),IF(BA$65="3차중도금",$F82*40%-SUM($G82:AZ82),IF(BA$65="4차중도금",$F82*50%-SUM($G82:AZ82),$F82*10%)))))))+(IF(BA$65="5차중도금",$F82*60%-SUM($G82:AZ82)-$F82*10%,IF(BA$65="6차중도금",$F82*70%-SUM($G82:AZ82)-$F82*10%,0)))</f>
        <v>0</v>
      </c>
      <c r="BB82" s="605">
        <f>IF(BB$65="입주/잔금",($F82-SUM($G82:BA82))*30%,IF(BA$65="입주/잔금",($F82-SUM($G82:AZ82))*50%,IF(AZ$65="입주/잔금",($F82-SUM($G82:AY82))*20%,IF(BB$65=0,0,IF(BB$65="2차중도금",$F82*30%-SUM($G82:BA82),IF(BB$65="3차중도금",$F82*40%-SUM($G82:BA82),IF(BB$65="4차중도금",$F82*50%-SUM($G82:BA82),$F82*10%)))))))+(IF(BB$65="5차중도금",$F82*60%-SUM($G82:BA82)-$F82*10%,IF(BB$65="6차중도금",$F82*70%-SUM($G82:BA82)-$F82*10%,0)))</f>
        <v>0</v>
      </c>
      <c r="BC82" s="605">
        <f>IF(BC$65="입주/잔금",($F82-SUM($G82:BB82))*30%,IF(BB$65="입주/잔금",($F82-SUM($G82:BA82))*50%,IF(BA$65="입주/잔금",($F82-SUM($G82:AZ82))*20%,IF(BC$65=0,0,IF(BC$65="2차중도금",$F82*30%-SUM($G82:BB82),IF(BC$65="3차중도금",$F82*40%-SUM($G82:BB82),IF(BC$65="4차중도금",$F82*50%-SUM($G82:BB82),$F82*10%)))))))+(IF(BC$65="5차중도금",$F82*60%-SUM($G82:BB82)-$F82*10%,IF(BC$65="6차중도금",$F82*70%-SUM($G82:BB82)-$F82*10%,0)))</f>
        <v>0</v>
      </c>
      <c r="BD82" s="605">
        <f>IF(BD$65="입주/잔금",($F82-SUM($G82:BC82))*30%,IF(BC$65="입주/잔금",($F82-SUM($G82:BB82))*50%,IF(BB$65="입주/잔금",($F82-SUM($G82:BA82))*20%,IF(BD$65=0,0,IF(BD$65="2차중도금",$F82*30%-SUM($G82:BC82),IF(BD$65="3차중도금",$F82*40%-SUM($G82:BC82),IF(BD$65="4차중도금",$F82*50%-SUM($G82:BC82),$F82*10%)))))))+(IF(BD$65="5차중도금",$F82*60%-SUM($G82:BC82)-$F82*10%,IF(BD$65="6차중도금",$F82*70%-SUM($G82:BC82)-$F82*10%,0)))</f>
        <v>0</v>
      </c>
      <c r="BE82" s="605">
        <f>IF(BE$65="입주/잔금",($F82-SUM($G82:BD82))*30%,IF(BD$65="입주/잔금",($F82-SUM($G82:BC82))*50%,IF(BC$65="입주/잔금",($F82-SUM($G82:BB82))*20%,IF(BE$65=0,0,IF(BE$65="2차중도금",$F82*30%-SUM($G82:BD82),IF(BE$65="3차중도금",$F82*40%-SUM($G82:BD82),IF(BE$65="4차중도금",$F82*50%-SUM($G82:BD82),$F82*10%)))))))+(IF(BE$65="5차중도금",$F82*60%-SUM($G82:BD82)-$F82*10%,IF(BE$65="6차중도금",$F82*70%-SUM($G82:BD82)-$F82*10%,0)))</f>
        <v>0</v>
      </c>
      <c r="BF82" s="609">
        <f t="shared" si="30"/>
        <v>3159847.2995319995</v>
      </c>
      <c r="BG82" s="556">
        <f t="shared" si="32"/>
        <v>0</v>
      </c>
      <c r="BH82" s="610"/>
    </row>
    <row r="83" spans="1:60">
      <c r="A83" s="1853"/>
      <c r="B83" s="611">
        <f t="shared" si="33"/>
        <v>45352</v>
      </c>
      <c r="C83" s="605">
        <f t="shared" si="34"/>
        <v>157992364.97659996</v>
      </c>
      <c r="D83" s="1501">
        <v>0.02</v>
      </c>
      <c r="E83" s="607">
        <f t="shared" si="35"/>
        <v>1.0000000000000002</v>
      </c>
      <c r="F83" s="608">
        <f t="shared" si="31"/>
        <v>3159847.2995319995</v>
      </c>
      <c r="G83" s="605"/>
      <c r="H83" s="605"/>
      <c r="I83" s="605"/>
      <c r="J83" s="605"/>
      <c r="K83" s="605"/>
      <c r="L83" s="605"/>
      <c r="M83" s="605"/>
      <c r="N83" s="605"/>
      <c r="O83" s="605"/>
      <c r="P83" s="605"/>
      <c r="Q83" s="605"/>
      <c r="R83" s="605"/>
      <c r="S83" s="605"/>
      <c r="T83" s="605"/>
      <c r="U83" s="605"/>
      <c r="V83" s="605"/>
      <c r="W83" s="605"/>
      <c r="X83" s="605">
        <f>$F83*10%</f>
        <v>315984.72995319997</v>
      </c>
      <c r="Y83" s="605">
        <f>IF(Y$65="입주/잔금",($F83-SUM($G83:X83))*30%,IF(X$65="입주/잔금",($F83-SUM($G83:W83))*50%,IF(W$65="입주/잔금",($F83-SUM($G83:V83))*20%,IF(Y$65=0,0,IF(Y$65="2차중도금",$F83*30%-SUM($G83:X83),IF(Y$65="3차중도금",$F83*40%-SUM($G83:X83),IF(Y$65="4차중도금",$F83*50%-SUM($G83:X83),$F83*10%)))))))+(IF(Y$65="5차중도금",$F83*60%-SUM($G83:X83)-$F83*10%,IF(Y$65="6차중도금",$F83*70%-SUM($G83:X83)-$F83*10%,0)))</f>
        <v>947954.18985959992</v>
      </c>
      <c r="Z83" s="605">
        <f>IF(Z$65="입주/잔금",($F83-SUM($G83:Y83))*30%,IF(Y$65="입주/잔금",($F83-SUM($G83:X83))*50%,IF(X$65="입주/잔금",($F83-SUM($G83:W83))*20%,IF(Z$65=0,0,IF(Z$65="2차중도금",$F83*30%-SUM($G83:Y83),IF(Z$65="3차중도금",$F83*40%-SUM($G83:Y83),IF(Z$65="4차중도금",$F83*50%-SUM($G83:Y83),$F83*10%)))))))+(IF(Z$65="5차중도금",$F83*60%-SUM($G83:Y83)-$F83*10%,IF(Z$65="6차중도금",$F83*70%-SUM($G83:Y83)-$F83*10%,0)))</f>
        <v>0</v>
      </c>
      <c r="AA83" s="605">
        <f>IF(AA$65="입주/잔금",($F83-SUM($G83:Z83))*30%,IF(Z$65="입주/잔금",($F83-SUM($G83:Y83))*50%,IF(Y$65="입주/잔금",($F83-SUM($G83:X83))*20%,IF(AA$65=0,0,IF(AA$65="2차중도금",$F83*30%-SUM($G83:Z83),IF(AA$65="3차중도금",$F83*40%-SUM($G83:Z83),IF(AA$65="4차중도금",$F83*50%-SUM($G83:Z83),$F83*10%)))))))+(IF(AA$65="5차중도금",$F83*60%-SUM($G83:Z83)-$F83*10%,IF(AA$65="6차중도금",$F83*70%-SUM($G83:Z83)-$F83*10%,0)))</f>
        <v>0</v>
      </c>
      <c r="AB83" s="605">
        <f>IF(AB$65="입주/잔금",($F83-SUM($G83:AA83))*30%,IF(AA$65="입주/잔금",($F83-SUM($G83:Z83))*50%,IF(Z$65="입주/잔금",($F83-SUM($G83:Y83))*20%,IF(AB$65=0,0,IF(AB$65="2차중도금",$F83*30%-SUM($G83:AA83),IF(AB$65="3차중도금",$F83*40%-SUM($G83:AA83),IF(AB$65="4차중도금",$F83*50%-SUM($G83:AA83),$F83*10%)))))))+(IF(AB$65="5차중도금",$F83*60%-SUM($G83:AA83)-$F83*10%,IF(AB$65="6차중도금",$F83*70%-SUM($G83:AA83)-$F83*10%,0)))</f>
        <v>0</v>
      </c>
      <c r="AC83" s="605">
        <f>IF(AC$65="입주/잔금",($F83-SUM($G83:AB83))*30%,IF(AB$65="입주/잔금",($F83-SUM($G83:AA83))*50%,IF(AA$65="입주/잔금",($F83-SUM($G83:Z83))*20%,IF(AC$65=0,0,IF(AC$65="2차중도금",$F83*30%-SUM($G83:AB83),IF(AC$65="3차중도금",$F83*40%-SUM($G83:AB83),IF(AC$65="4차중도금",$F83*50%-SUM($G83:AB83),$F83*10%)))))))+(IF(AC$65="5차중도금",$F83*60%-SUM($G83:AB83)-$F83*10%,IF(AC$65="6차중도금",$F83*70%-SUM($G83:AB83)-$F83*10%,0)))</f>
        <v>315984.72995319986</v>
      </c>
      <c r="AD83" s="605">
        <f>IF(AD$65="입주/잔금",($F83-SUM($G83:AC83))*30%,IF(AC$65="입주/잔금",($F83-SUM($G83:AB83))*50%,IF(AB$65="입주/잔금",($F83-SUM($G83:AA83))*20%,IF(AD$65=0,0,IF(AD$65="2차중도금",$F83*30%-SUM($G83:AC83),IF(AD$65="3차중도금",$F83*40%-SUM($G83:AC83),IF(AD$65="4차중도금",$F83*50%-SUM($G83:AC83),$F83*10%)))))))+(IF(AD$65="5차중도금",$F83*60%-SUM($G83:AC83)-$F83*10%,IF(AD$65="6차중도금",$F83*70%-SUM($G83:AC83)-$F83*10%,0)))</f>
        <v>0</v>
      </c>
      <c r="AE83" s="605">
        <f>IF(AE$65="입주/잔금",($F83-SUM($G83:AD83))*30%,IF(AD$65="입주/잔금",($F83-SUM($G83:AC83))*50%,IF(AC$65="입주/잔금",($F83-SUM($G83:AB83))*20%,IF(AE$65=0,0,IF(AE$65="2차중도금",$F83*30%-SUM($G83:AD83),IF(AE$65="3차중도금",$F83*40%-SUM($G83:AD83),IF(AE$65="4차중도금",$F83*50%-SUM($G83:AD83),$F83*10%)))))))+(IF(AE$65="5차중도금",$F83*60%-SUM($G83:AD83)-$F83*10%,IF(AE$65="6차중도금",$F83*70%-SUM($G83:AD83)-$F83*10%,0)))</f>
        <v>0</v>
      </c>
      <c r="AF83" s="605">
        <f>IF(AF$65="입주/잔금",($F83-SUM($G83:AE83))*30%,IF(AE$65="입주/잔금",($F83-SUM($G83:AD83))*50%,IF(AD$65="입주/잔금",($F83-SUM($G83:AC83))*20%,IF(AF$65=0,0,IF(AF$65="2차중도금",$F83*30%-SUM($G83:AE83),IF(AF$65="3차중도금",$F83*40%-SUM($G83:AE83),IF(AF$65="4차중도금",$F83*50%-SUM($G83:AE83),$F83*10%)))))))+(IF(AF$65="5차중도금",$F83*60%-SUM($G83:AE83)-$F83*10%,IF(AF$65="6차중도금",$F83*70%-SUM($G83:AE83)-$F83*10%,0)))</f>
        <v>0</v>
      </c>
      <c r="AG83" s="605">
        <f>IF(AG$65="입주/잔금",($F83-SUM($G83:AF83))*30%,IF(AF$65="입주/잔금",($F83-SUM($G83:AE83))*50%,IF(AE$65="입주/잔금",($F83-SUM($G83:AD83))*20%,IF(AG$65=0,0,IF(AG$65="2차중도금",$F83*30%-SUM($G83:AF83),IF(AG$65="3차중도금",$F83*40%-SUM($G83:AF83),IF(AG$65="4차중도금",$F83*50%-SUM($G83:AF83),$F83*10%)))))))+(IF(AG$65="5차중도금",$F83*60%-SUM($G83:AF83)-$F83*10%,IF(AG$65="6차중도금",$F83*70%-SUM($G83:AF83)-$F83*10%,0)))</f>
        <v>0</v>
      </c>
      <c r="AH83" s="605">
        <f>IF(AH$65="입주/잔금",($F83-SUM($G83:AG83))*30%,IF(AG$65="입주/잔금",($F83-SUM($G83:AF83))*50%,IF(AF$65="입주/잔금",($F83-SUM($G83:AE83))*20%,IF(AH$65=0,0,IF(AH$65="2차중도금",$F83*30%-SUM($G83:AG83),IF(AH$65="3차중도금",$F83*40%-SUM($G83:AG83),IF(AH$65="4차중도금",$F83*50%-SUM($G83:AG83),$F83*10%)))))))+(IF(AH$65="5차중도금",$F83*60%-SUM($G83:AG83)-$F83*10%,IF(AH$65="6차중도금",$F83*70%-SUM($G83:AG83)-$F83*10%,0)))</f>
        <v>315984.72995319986</v>
      </c>
      <c r="AI83" s="605">
        <f>IF(AI$65="입주/잔금",($F83-SUM($G83:AH83))*30%,IF(AH$65="입주/잔금",($F83-SUM($G83:AG83))*50%,IF(AG$65="입주/잔금",($F83-SUM($G83:AF83))*20%,IF(AI$65=0,0,IF(AI$65="2차중도금",$F83*30%-SUM($G83:AH83),IF(AI$65="3차중도금",$F83*40%-SUM($G83:AH83),IF(AI$65="4차중도금",$F83*50%-SUM($G83:AH83),$F83*10%)))))))+(IF(AI$65="5차중도금",$F83*60%-SUM($G83:AH83)-$F83*10%,IF(AI$65="6차중도금",$F83*70%-SUM($G83:AH83)-$F83*10%,0)))</f>
        <v>0</v>
      </c>
      <c r="AJ83" s="605">
        <f>IF(AJ$65="입주/잔금",($F83-SUM($G83:AI83))*30%,IF(AI$65="입주/잔금",($F83-SUM($G83:AH83))*50%,IF(AH$65="입주/잔금",($F83-SUM($G83:AG83))*20%,IF(AJ$65=0,0,IF(AJ$65="2차중도금",$F83*30%-SUM($G83:AI83),IF(AJ$65="3차중도금",$F83*40%-SUM($G83:AI83),IF(AJ$65="4차중도금",$F83*50%-SUM($G83:AI83),$F83*10%)))))))+(IF(AJ$65="5차중도금",$F83*60%-SUM($G83:AI83)-$F83*10%,IF(AJ$65="6차중도금",$F83*70%-SUM($G83:AI83)-$F83*10%,0)))</f>
        <v>0</v>
      </c>
      <c r="AK83" s="605">
        <f>IF(AK$65="입주/잔금",($F83-SUM($G83:AJ83))*30%,IF(AJ$65="입주/잔금",($F83-SUM($G83:AI83))*50%,IF(AI$65="입주/잔금",($F83-SUM($G83:AH83))*20%,IF(AK$65=0,0,IF(AK$65="2차중도금",$F83*30%-SUM($G83:AJ83),IF(AK$65="3차중도금",$F83*40%-SUM($G83:AJ83),IF(AK$65="4차중도금",$F83*50%-SUM($G83:AJ83),$F83*10%)))))))+(IF(AK$65="5차중도금",$F83*60%-SUM($G83:AJ83)-$F83*10%,IF(AK$65="6차중도금",$F83*70%-SUM($G83:AJ83)-$F83*10%,0)))</f>
        <v>0</v>
      </c>
      <c r="AL83" s="605">
        <f>IF(AL$65="입주/잔금",($F83-SUM($G83:AK83))*30%,IF(AK$65="입주/잔금",($F83-SUM($G83:AJ83))*50%,IF(AJ$65="입주/잔금",($F83-SUM($G83:AI83))*20%,IF(AL$65=0,0,IF(AL$65="2차중도금",$F83*30%-SUM($G83:AK83),IF(AL$65="3차중도금",$F83*40%-SUM($G83:AK83),IF(AL$65="4차중도금",$F83*50%-SUM($G83:AK83),$F83*10%)))))))+(IF(AL$65="5차중도금",$F83*60%-SUM($G83:AK83)-$F83*10%,IF(AL$65="6차중도금",$F83*70%-SUM($G83:AK83)-$F83*10%,0)))</f>
        <v>0</v>
      </c>
      <c r="AM83" s="605">
        <f>IF(AM$65="입주/잔금",($F83-SUM($G83:AL83))*30%,IF(AL$65="입주/잔금",($F83-SUM($G83:AK83))*50%,IF(AK$65="입주/잔금",($F83-SUM($G83:AJ83))*20%,IF(AM$65=0,0,IF(AM$65="2차중도금",$F83*30%-SUM($G83:AL83),IF(AM$65="3차중도금",$F83*40%-SUM($G83:AL83),IF(AM$65="4차중도금",$F83*50%-SUM($G83:AL83),$F83*10%)))))))+(IF(AM$65="5차중도금",$F83*60%-SUM($G83:AL83)-$F83*10%,IF(AM$65="6차중도금",$F83*70%-SUM($G83:AL83)-$F83*10%,0)))</f>
        <v>315984.72995320009</v>
      </c>
      <c r="AN83" s="605">
        <f>IF(AN$65="입주/잔금",($F83-SUM($G83:AM83))*30%,IF(AM$65="입주/잔금",($F83-SUM($G83:AL83))*50%,IF(AL$65="입주/잔금",($F83-SUM($G83:AK83))*20%,IF(AN$65=0,0,IF(AN$65="2차중도금",$F83*30%-SUM($G83:AM83),IF(AN$65="3차중도금",$F83*40%-SUM($G83:AM83),IF(AN$65="4차중도금",$F83*50%-SUM($G83:AM83),$F83*10%)))))))+(IF(AN$65="5차중도금",$F83*60%-SUM($G83:AM83)-$F83*10%,IF(AN$65="6차중도금",$F83*70%-SUM($G83:AM83)-$F83*10%,0)))</f>
        <v>0</v>
      </c>
      <c r="AO83" s="605">
        <f>IF(AO$65="입주/잔금",($F83-SUM($G83:AN83))*30%,IF(AN$65="입주/잔금",($F83-SUM($G83:AM83))*50%,IF(AM$65="입주/잔금",($F83-SUM($G83:AL83))*20%,IF(AO$65=0,0,IF(AO$65="2차중도금",$F83*30%-SUM($G83:AN83),IF(AO$65="3차중도금",$F83*40%-SUM($G83:AN83),IF(AO$65="4차중도금",$F83*50%-SUM($G83:AN83),$F83*10%)))))))+(IF(AO$65="5차중도금",$F83*60%-SUM($G83:AN83)-$F83*10%,IF(AO$65="6차중도금",$F83*70%-SUM($G83:AN83)-$F83*10%,0)))</f>
        <v>0</v>
      </c>
      <c r="AP83" s="605">
        <f>IF(AP$65="입주/잔금",($F83-SUM($G83:AO83))*30%,IF(AO$65="입주/잔금",($F83-SUM($G83:AN83))*50%,IF(AN$65="입주/잔금",($F83-SUM($G83:AM83))*20%,IF(AP$65=0,0,IF(AP$65="2차중도금",$F83*30%-SUM($G83:AO83),IF(AP$65="3차중도금",$F83*40%-SUM($G83:AO83),IF(AP$65="4차중도금",$F83*50%-SUM($G83:AO83),$F83*10%)))))))+(IF(AP$65="5차중도금",$F83*60%-SUM($G83:AO83)-$F83*10%,IF(AP$65="6차중도금",$F83*70%-SUM($G83:AO83)-$F83*10%,0)))</f>
        <v>0</v>
      </c>
      <c r="AQ83" s="605">
        <f>IF(AQ$65="입주/잔금",($F83-SUM($G83:AP83))*30%,IF(AP$65="입주/잔금",($F83-SUM($G83:AO83))*50%,IF(AO$65="입주/잔금",($F83-SUM($G83:AN83))*20%,IF(AQ$65=0,0,IF(AQ$65="2차중도금",$F83*30%-SUM($G83:AP83),IF(AQ$65="3차중도금",$F83*40%-SUM($G83:AP83),IF(AQ$65="4차중도금",$F83*50%-SUM($G83:AP83),$F83*10%)))))))+(IF(AQ$65="5차중도금",$F83*60%-SUM($G83:AP83)-$F83*10%,IF(AQ$65="6차중도금",$F83*70%-SUM($G83:AP83)-$F83*10%,0)))</f>
        <v>0</v>
      </c>
      <c r="AR83" s="605">
        <f>IF(AR$65="입주/잔금",($F83-SUM($G83:AQ83))*30%,IF(AQ$65="입주/잔금",($F83-SUM($G83:AP83))*50%,IF(AP$65="입주/잔금",($F83-SUM($G83:AO83))*20%,IF(AR$65=0,0,IF(AR$65="2차중도금",$F83*30%-SUM($G83:AQ83),IF(AR$65="3차중도금",$F83*40%-SUM($G83:AQ83),IF(AR$65="4차중도금",$F83*50%-SUM($G83:AQ83),$F83*10%)))))))+(IF(AR$65="5차중도금",$F83*60%-SUM($G83:AQ83)-$F83*10%,IF(AR$65="6차중도금",$F83*70%-SUM($G83:AQ83)-$F83*10%,0)))</f>
        <v>284386.25695787993</v>
      </c>
      <c r="AS83" s="605">
        <f>IF(AS$65="입주/잔금",($F83-SUM($G83:AR83))*30%,IF(AR$65="입주/잔금",($F83-SUM($G83:AQ83))*50%,IF(AQ$65="입주/잔금",($F83-SUM($G83:AP83))*20%,IF(AS$65=0,0,IF(AS$65="2차중도금",$F83*30%-SUM($G83:AR83),IF(AS$65="3차중도금",$F83*40%-SUM($G83:AR83),IF(AS$65="4차중도금",$F83*50%-SUM($G83:AR83),$F83*10%)))))))+(IF(AS$65="5차중도금",$F83*60%-SUM($G83:AR83)-$F83*10%,IF(AS$65="6차중도금",$F83*70%-SUM($G83:AR83)-$F83*10%,0)))</f>
        <v>473977.0949297999</v>
      </c>
      <c r="AT83" s="605">
        <f>IF(AT$65="입주/잔금",($F83-SUM($G83:AS83))*30%,IF(AS$65="입주/잔금",($F83-SUM($G83:AR83))*50%,IF(AR$65="입주/잔금",($F83-SUM($G83:AQ83))*20%,IF(AT$65=0,0,IF(AT$65="2차중도금",$F83*30%-SUM($G83:AS83),IF(AT$65="3차중도금",$F83*40%-SUM($G83:AS83),IF(AT$65="4차중도금",$F83*50%-SUM($G83:AS83),$F83*10%)))))))+(IF(AT$65="5차중도금",$F83*60%-SUM($G83:AS83)-$F83*10%,IF(AT$65="6차중도금",$F83*70%-SUM($G83:AS83)-$F83*10%,0)))</f>
        <v>189590.83797191997</v>
      </c>
      <c r="AU83" s="605">
        <f>IF(AU$65="입주/잔금",($F83-SUM($G83:AT83))*30%,IF(AT$65="입주/잔금",($F83-SUM($G83:AS83))*50%,IF(AS$65="입주/잔금",($F83-SUM($G83:AR83))*20%,IF(AU$65=0,0,IF(AU$65="2차중도금",$F83*30%-SUM($G83:AT83),IF(AU$65="3차중도금",$F83*40%-SUM($G83:AT83),IF(AU$65="4차중도금",$F83*50%-SUM($G83:AT83),$F83*10%)))))))+(IF(AU$65="5차중도금",$F83*60%-SUM($G83:AT83)-$F83*10%,IF(AU$65="6차중도금",$F83*70%-SUM($G83:AT83)-$F83*10%,0)))</f>
        <v>0</v>
      </c>
      <c r="AV83" s="605">
        <f>IF(AV$65="입주/잔금",($F83-SUM($G83:AU83))*30%,IF(AU$65="입주/잔금",($F83-SUM($G83:AT83))*50%,IF(AT$65="입주/잔금",($F83-SUM($G83:AS83))*20%,IF(AV$65=0,0,IF(AV$65="2차중도금",$F83*30%-SUM($G83:AU83),IF(AV$65="3차중도금",$F83*40%-SUM($G83:AU83),IF(AV$65="4차중도금",$F83*50%-SUM($G83:AU83),$F83*10%)))))))+(IF(AV$65="5차중도금",$F83*60%-SUM($G83:AU83)-$F83*10%,IF(AV$65="6차중도금",$F83*70%-SUM($G83:AU83)-$F83*10%,0)))</f>
        <v>0</v>
      </c>
      <c r="AW83" s="605">
        <f>IF(AW$65="입주/잔금",($F83-SUM($G83:AV83))*30%,IF(AV$65="입주/잔금",($F83-SUM($G83:AU83))*50%,IF(AU$65="입주/잔금",($F83-SUM($G83:AT83))*20%,IF(AW$65=0,0,IF(AW$65="2차중도금",$F83*30%-SUM($G83:AV83),IF(AW$65="3차중도금",$F83*40%-SUM($G83:AV83),IF(AW$65="4차중도금",$F83*50%-SUM($G83:AV83),$F83*10%)))))))+(IF(AW$65="5차중도금",$F83*60%-SUM($G83:AV83)-$F83*10%,IF(AW$65="6차중도금",$F83*70%-SUM($G83:AV83)-$F83*10%,0)))</f>
        <v>0</v>
      </c>
      <c r="AX83" s="605">
        <f>IF(AX$65="입주/잔금",($F83-SUM($G83:AW83))*30%,IF(AW$65="입주/잔금",($F83-SUM($G83:AV83))*50%,IF(AV$65="입주/잔금",($F83-SUM($G83:AU83))*20%,IF(AX$65=0,0,IF(AX$65="2차중도금",$F83*30%-SUM($G83:AW83),IF(AX$65="3차중도금",$F83*40%-SUM($G83:AW83),IF(AX$65="4차중도금",$F83*50%-SUM($G83:AW83),$F83*10%)))))))+(IF(AX$65="5차중도금",$F83*60%-SUM($G83:AW83)-$F83*10%,IF(AX$65="6차중도금",$F83*70%-SUM($G83:AW83)-$F83*10%,0)))</f>
        <v>0</v>
      </c>
      <c r="AY83" s="605">
        <f>IF(AY$65="입주/잔금",($F83-SUM($G83:AX83))*30%,IF(AX$65="입주/잔금",($F83-SUM($G83:AW83))*50%,IF(AW$65="입주/잔금",($F83-SUM($G83:AV83))*20%,IF(AY$65=0,0,IF(AY$65="2차중도금",$F83*30%-SUM($G83:AX83),IF(AY$65="3차중도금",$F83*40%-SUM($G83:AX83),IF(AY$65="4차중도금",$F83*50%-SUM($G83:AX83),$F83*10%)))))))+(IF(AY$65="5차중도금",$F83*60%-SUM($G83:AX83)-$F83*10%,IF(AY$65="6차중도금",$F83*70%-SUM($G83:AX83)-$F83*10%,0)))</f>
        <v>0</v>
      </c>
      <c r="AZ83" s="605">
        <f>IF(AZ$65="입주/잔금",($F83-SUM($G83:AY83))*30%,IF(AY$65="입주/잔금",($F83-SUM($G83:AX83))*50%,IF(AX$65="입주/잔금",($F83-SUM($G83:AW83))*20%,IF(AZ$65=0,0,IF(AZ$65="2차중도금",$F83*30%-SUM($G83:AY83),IF(AZ$65="3차중도금",$F83*40%-SUM($G83:AY83),IF(AZ$65="4차중도금",$F83*50%-SUM($G83:AY83),$F83*10%)))))))+(IF(AZ$65="5차중도금",$F83*60%-SUM($G83:AY83)-$F83*10%,IF(AZ$65="6차중도금",$F83*70%-SUM($G83:AY83)-$F83*10%,0)))</f>
        <v>0</v>
      </c>
      <c r="BA83" s="605">
        <f>IF(BA$65="입주/잔금",($F83-SUM($G83:AZ83))*30%,IF(AZ$65="입주/잔금",($F83-SUM($G83:AY83))*50%,IF(AY$65="입주/잔금",($F83-SUM($G83:AX83))*20%,IF(BA$65=0,0,IF(BA$65="2차중도금",$F83*30%-SUM($G83:AZ83),IF(BA$65="3차중도금",$F83*40%-SUM($G83:AZ83),IF(BA$65="4차중도금",$F83*50%-SUM($G83:AZ83),$F83*10%)))))))+(IF(BA$65="5차중도금",$F83*60%-SUM($G83:AZ83)-$F83*10%,IF(BA$65="6차중도금",$F83*70%-SUM($G83:AZ83)-$F83*10%,0)))</f>
        <v>0</v>
      </c>
      <c r="BB83" s="605">
        <f>IF(BB$65="입주/잔금",($F83-SUM($G83:BA83))*30%,IF(BA$65="입주/잔금",($F83-SUM($G83:AZ83))*50%,IF(AZ$65="입주/잔금",($F83-SUM($G83:AY83))*20%,IF(BB$65=0,0,IF(BB$65="2차중도금",$F83*30%-SUM($G83:BA83),IF(BB$65="3차중도금",$F83*40%-SUM($G83:BA83),IF(BB$65="4차중도금",$F83*50%-SUM($G83:BA83),$F83*10%)))))))+(IF(BB$65="5차중도금",$F83*60%-SUM($G83:BA83)-$F83*10%,IF(BB$65="6차중도금",$F83*70%-SUM($G83:BA83)-$F83*10%,0)))</f>
        <v>0</v>
      </c>
      <c r="BC83" s="605">
        <f>IF(BC$65="입주/잔금",($F83-SUM($G83:BB83))*30%,IF(BB$65="입주/잔금",($F83-SUM($G83:BA83))*50%,IF(BA$65="입주/잔금",($F83-SUM($G83:AZ83))*20%,IF(BC$65=0,0,IF(BC$65="2차중도금",$F83*30%-SUM($G83:BB83),IF(BC$65="3차중도금",$F83*40%-SUM($G83:BB83),IF(BC$65="4차중도금",$F83*50%-SUM($G83:BB83),$F83*10%)))))))+(IF(BC$65="5차중도금",$F83*60%-SUM($G83:BB83)-$F83*10%,IF(BC$65="6차중도금",$F83*70%-SUM($G83:BB83)-$F83*10%,0)))</f>
        <v>0</v>
      </c>
      <c r="BD83" s="605">
        <f>IF(BD$65="입주/잔금",($F83-SUM($G83:BC83))*30%,IF(BC$65="입주/잔금",($F83-SUM($G83:BB83))*50%,IF(BB$65="입주/잔금",($F83-SUM($G83:BA83))*20%,IF(BD$65=0,0,IF(BD$65="2차중도금",$F83*30%-SUM($G83:BC83),IF(BD$65="3차중도금",$F83*40%-SUM($G83:BC83),IF(BD$65="4차중도금",$F83*50%-SUM($G83:BC83),$F83*10%)))))))+(IF(BD$65="5차중도금",$F83*60%-SUM($G83:BC83)-$F83*10%,IF(BD$65="6차중도금",$F83*70%-SUM($G83:BC83)-$F83*10%,0)))</f>
        <v>0</v>
      </c>
      <c r="BE83" s="605">
        <f>IF(BE$65="입주/잔금",($F83-SUM($G83:BD83))*30%,IF(BD$65="입주/잔금",($F83-SUM($G83:BC83))*50%,IF(BC$65="입주/잔금",($F83-SUM($G83:BB83))*20%,IF(BE$65=0,0,IF(BE$65="2차중도금",$F83*30%-SUM($G83:BD83),IF(BE$65="3차중도금",$F83*40%-SUM($G83:BD83),IF(BE$65="4차중도금",$F83*50%-SUM($G83:BD83),$F83*10%)))))))+(IF(BE$65="5차중도금",$F83*60%-SUM($G83:BD83)-$F83*10%,IF(BE$65="6차중도금",$F83*70%-SUM($G83:BD83)-$F83*10%,0)))</f>
        <v>0</v>
      </c>
      <c r="BF83" s="609">
        <f t="shared" si="30"/>
        <v>3159847.2995319995</v>
      </c>
      <c r="BG83" s="556">
        <f t="shared" si="32"/>
        <v>0</v>
      </c>
      <c r="BH83" s="610"/>
    </row>
    <row r="84" spans="1:60">
      <c r="A84" s="1853"/>
      <c r="B84" s="613">
        <f t="shared" si="33"/>
        <v>45383</v>
      </c>
      <c r="C84" s="605">
        <f t="shared" si="34"/>
        <v>157992364.97659996</v>
      </c>
      <c r="D84" s="1501"/>
      <c r="E84" s="607">
        <f t="shared" si="35"/>
        <v>1.0000000000000002</v>
      </c>
      <c r="F84" s="608">
        <f t="shared" si="31"/>
        <v>0</v>
      </c>
      <c r="G84" s="605"/>
      <c r="H84" s="605"/>
      <c r="I84" s="605"/>
      <c r="J84" s="605"/>
      <c r="K84" s="605"/>
      <c r="L84" s="605"/>
      <c r="M84" s="605"/>
      <c r="N84" s="605"/>
      <c r="O84" s="605"/>
      <c r="P84" s="605"/>
      <c r="Q84" s="605"/>
      <c r="R84" s="605"/>
      <c r="S84" s="605"/>
      <c r="T84" s="605"/>
      <c r="U84" s="605"/>
      <c r="V84" s="605"/>
      <c r="W84" s="605"/>
      <c r="X84" s="605"/>
      <c r="Y84" s="605">
        <f>$F84*10%</f>
        <v>0</v>
      </c>
      <c r="Z84" s="605">
        <f>IF(Z$65="입주/잔금",($F84-SUM($G84:Y84))*30%,IF(Y$65="입주/잔금",($F84-SUM($G84:X84))*50%,IF(X$65="입주/잔금",($F84-SUM($G84:W84))*20%,IF(Z$65=0,0,IF(Z$65="2차중도금",$F84*30%-SUM($G84:Y84),IF(Z$65="3차중도금",$F84*40%-SUM($G84:Y84),IF(Z$65="4차중도금",$F84*50%-SUM($G84:Y84),$F84*10%)))))))+(IF(Z$65="5차중도금",$F84*60%-SUM($G84:Y84)-$F84*10%,IF(Z$65="6차중도금",$F84*70%-SUM($G84:Y84)-$F84*10%,0)))</f>
        <v>0</v>
      </c>
      <c r="AA84" s="605">
        <f>IF(AA$65="입주/잔금",($F84-SUM($G84:Z84))*30%,IF(Z$65="입주/잔금",($F84-SUM($G84:Y84))*50%,IF(Y$65="입주/잔금",($F84-SUM($G84:X84))*20%,IF(AA$65=0,0,IF(AA$65="2차중도금",$F84*30%-SUM($G84:Z84),IF(AA$65="3차중도금",$F84*40%-SUM($G84:Z84),IF(AA$65="4차중도금",$F84*50%-SUM($G84:Z84),$F84*10%)))))))+(IF(AA$65="5차중도금",$F84*60%-SUM($G84:Z84)-$F84*10%,IF(AA$65="6차중도금",$F84*70%-SUM($G84:Z84)-$F84*10%,0)))</f>
        <v>0</v>
      </c>
      <c r="AB84" s="605">
        <f>IF(AB$65="입주/잔금",($F84-SUM($G84:AA84))*30%,IF(AA$65="입주/잔금",($F84-SUM($G84:Z84))*50%,IF(Z$65="입주/잔금",($F84-SUM($G84:Y84))*20%,IF(AB$65=0,0,IF(AB$65="2차중도금",$F84*30%-SUM($G84:AA84),IF(AB$65="3차중도금",$F84*40%-SUM($G84:AA84),IF(AB$65="4차중도금",$F84*50%-SUM($G84:AA84),$F84*10%)))))))+(IF(AB$65="5차중도금",$F84*60%-SUM($G84:AA84)-$F84*10%,IF(AB$65="6차중도금",$F84*70%-SUM($G84:AA84)-$F84*10%,0)))</f>
        <v>0</v>
      </c>
      <c r="AC84" s="605">
        <f>IF(AC$65="입주/잔금",($F84-SUM($G84:AB84))*30%,IF(AB$65="입주/잔금",($F84-SUM($G84:AA84))*50%,IF(AA$65="입주/잔금",($F84-SUM($G84:Z84))*20%,IF(AC$65=0,0,IF(AC$65="2차중도금",$F84*30%-SUM($G84:AB84),IF(AC$65="3차중도금",$F84*40%-SUM($G84:AB84),IF(AC$65="4차중도금",$F84*50%-SUM($G84:AB84),$F84*10%)))))))+(IF(AC$65="5차중도금",$F84*60%-SUM($G84:AB84)-$F84*10%,IF(AC$65="6차중도금",$F84*70%-SUM($G84:AB84)-$F84*10%,0)))</f>
        <v>0</v>
      </c>
      <c r="AD84" s="605">
        <f>IF(AD$65="입주/잔금",($F84-SUM($G84:AC84))*30%,IF(AC$65="입주/잔금",($F84-SUM($G84:AB84))*50%,IF(AB$65="입주/잔금",($F84-SUM($G84:AA84))*20%,IF(AD$65=0,0,IF(AD$65="2차중도금",$F84*30%-SUM($G84:AC84),IF(AD$65="3차중도금",$F84*40%-SUM($G84:AC84),IF(AD$65="4차중도금",$F84*50%-SUM($G84:AC84),$F84*10%)))))))+(IF(AD$65="5차중도금",$F84*60%-SUM($G84:AC84)-$F84*10%,IF(AD$65="6차중도금",$F84*70%-SUM($G84:AC84)-$F84*10%,0)))</f>
        <v>0</v>
      </c>
      <c r="AE84" s="605">
        <f>IF(AE$65="입주/잔금",($F84-SUM($G84:AD84))*30%,IF(AD$65="입주/잔금",($F84-SUM($G84:AC84))*50%,IF(AC$65="입주/잔금",($F84-SUM($G84:AB84))*20%,IF(AE$65=0,0,IF(AE$65="2차중도금",$F84*30%-SUM($G84:AD84),IF(AE$65="3차중도금",$F84*40%-SUM($G84:AD84),IF(AE$65="4차중도금",$F84*50%-SUM($G84:AD84),$F84*10%)))))))+(IF(AE$65="5차중도금",$F84*60%-SUM($G84:AD84)-$F84*10%,IF(AE$65="6차중도금",$F84*70%-SUM($G84:AD84)-$F84*10%,0)))</f>
        <v>0</v>
      </c>
      <c r="AF84" s="605">
        <f>IF(AF$65="입주/잔금",($F84-SUM($G84:AE84))*30%,IF(AE$65="입주/잔금",($F84-SUM($G84:AD84))*50%,IF(AD$65="입주/잔금",($F84-SUM($G84:AC84))*20%,IF(AF$65=0,0,IF(AF$65="2차중도금",$F84*30%-SUM($G84:AE84),IF(AF$65="3차중도금",$F84*40%-SUM($G84:AE84),IF(AF$65="4차중도금",$F84*50%-SUM($G84:AE84),$F84*10%)))))))+(IF(AF$65="5차중도금",$F84*60%-SUM($G84:AE84)-$F84*10%,IF(AF$65="6차중도금",$F84*70%-SUM($G84:AE84)-$F84*10%,0)))</f>
        <v>0</v>
      </c>
      <c r="AG84" s="605">
        <f>IF(AG$65="입주/잔금",($F84-SUM($G84:AF84))*30%,IF(AF$65="입주/잔금",($F84-SUM($G84:AE84))*50%,IF(AE$65="입주/잔금",($F84-SUM($G84:AD84))*20%,IF(AG$65=0,0,IF(AG$65="2차중도금",$F84*30%-SUM($G84:AF84),IF(AG$65="3차중도금",$F84*40%-SUM($G84:AF84),IF(AG$65="4차중도금",$F84*50%-SUM($G84:AF84),$F84*10%)))))))+(IF(AG$65="5차중도금",$F84*60%-SUM($G84:AF84)-$F84*10%,IF(AG$65="6차중도금",$F84*70%-SUM($G84:AF84)-$F84*10%,0)))</f>
        <v>0</v>
      </c>
      <c r="AH84" s="605">
        <f>IF(AH$65="입주/잔금",($F84-SUM($G84:AG84))*30%,IF(AG$65="입주/잔금",($F84-SUM($G84:AF84))*50%,IF(AF$65="입주/잔금",($F84-SUM($G84:AE84))*20%,IF(AH$65=0,0,IF(AH$65="2차중도금",$F84*30%-SUM($G84:AG84),IF(AH$65="3차중도금",$F84*40%-SUM($G84:AG84),IF(AH$65="4차중도금",$F84*50%-SUM($G84:AG84),$F84*10%)))))))+(IF(AH$65="5차중도금",$F84*60%-SUM($G84:AG84)-$F84*10%,IF(AH$65="6차중도금",$F84*70%-SUM($G84:AG84)-$F84*10%,0)))</f>
        <v>0</v>
      </c>
      <c r="AI84" s="605">
        <f>IF(AI$65="입주/잔금",($F84-SUM($G84:AH84))*30%,IF(AH$65="입주/잔금",($F84-SUM($G84:AG84))*50%,IF(AG$65="입주/잔금",($F84-SUM($G84:AF84))*20%,IF(AI$65=0,0,IF(AI$65="2차중도금",$F84*30%-SUM($G84:AH84),IF(AI$65="3차중도금",$F84*40%-SUM($G84:AH84),IF(AI$65="4차중도금",$F84*50%-SUM($G84:AH84),$F84*10%)))))))+(IF(AI$65="5차중도금",$F84*60%-SUM($G84:AH84)-$F84*10%,IF(AI$65="6차중도금",$F84*70%-SUM($G84:AH84)-$F84*10%,0)))</f>
        <v>0</v>
      </c>
      <c r="AJ84" s="605">
        <f>IF(AJ$65="입주/잔금",($F84-SUM($G84:AI84))*30%,IF(AI$65="입주/잔금",($F84-SUM($G84:AH84))*50%,IF(AH$65="입주/잔금",($F84-SUM($G84:AG84))*20%,IF(AJ$65=0,0,IF(AJ$65="2차중도금",$F84*30%-SUM($G84:AI84),IF(AJ$65="3차중도금",$F84*40%-SUM($G84:AI84),IF(AJ$65="4차중도금",$F84*50%-SUM($G84:AI84),$F84*10%)))))))+(IF(AJ$65="5차중도금",$F84*60%-SUM($G84:AI84)-$F84*10%,IF(AJ$65="6차중도금",$F84*70%-SUM($G84:AI84)-$F84*10%,0)))</f>
        <v>0</v>
      </c>
      <c r="AK84" s="605">
        <f>IF(AK$65="입주/잔금",($F84-SUM($G84:AJ84))*30%,IF(AJ$65="입주/잔금",($F84-SUM($G84:AI84))*50%,IF(AI$65="입주/잔금",($F84-SUM($G84:AH84))*20%,IF(AK$65=0,0,IF(AK$65="2차중도금",$F84*30%-SUM($G84:AJ84),IF(AK$65="3차중도금",$F84*40%-SUM($G84:AJ84),IF(AK$65="4차중도금",$F84*50%-SUM($G84:AJ84),$F84*10%)))))))+(IF(AK$65="5차중도금",$F84*60%-SUM($G84:AJ84)-$F84*10%,IF(AK$65="6차중도금",$F84*70%-SUM($G84:AJ84)-$F84*10%,0)))</f>
        <v>0</v>
      </c>
      <c r="AL84" s="605">
        <f>IF(AL$65="입주/잔금",($F84-SUM($G84:AK84))*30%,IF(AK$65="입주/잔금",($F84-SUM($G84:AJ84))*50%,IF(AJ$65="입주/잔금",($F84-SUM($G84:AI84))*20%,IF(AL$65=0,0,IF(AL$65="2차중도금",$F84*30%-SUM($G84:AK84),IF(AL$65="3차중도금",$F84*40%-SUM($G84:AK84),IF(AL$65="4차중도금",$F84*50%-SUM($G84:AK84),$F84*10%)))))))+(IF(AL$65="5차중도금",$F84*60%-SUM($G84:AK84)-$F84*10%,IF(AL$65="6차중도금",$F84*70%-SUM($G84:AK84)-$F84*10%,0)))</f>
        <v>0</v>
      </c>
      <c r="AM84" s="605">
        <f>IF(AM$65="입주/잔금",($F84-SUM($G84:AL84))*30%,IF(AL$65="입주/잔금",($F84-SUM($G84:AK84))*50%,IF(AK$65="입주/잔금",($F84-SUM($G84:AJ84))*20%,IF(AM$65=0,0,IF(AM$65="2차중도금",$F84*30%-SUM($G84:AL84),IF(AM$65="3차중도금",$F84*40%-SUM($G84:AL84),IF(AM$65="4차중도금",$F84*50%-SUM($G84:AL84),$F84*10%)))))))+(IF(AM$65="5차중도금",$F84*60%-SUM($G84:AL84)-$F84*10%,IF(AM$65="6차중도금",$F84*70%-SUM($G84:AL84)-$F84*10%,0)))</f>
        <v>0</v>
      </c>
      <c r="AN84" s="605">
        <f>IF(AN$65="입주/잔금",($F84-SUM($G84:AM84))*30%,IF(AM$65="입주/잔금",($F84-SUM($G84:AL84))*50%,IF(AL$65="입주/잔금",($F84-SUM($G84:AK84))*20%,IF(AN$65=0,0,IF(AN$65="2차중도금",$F84*30%-SUM($G84:AM84),IF(AN$65="3차중도금",$F84*40%-SUM($G84:AM84),IF(AN$65="4차중도금",$F84*50%-SUM($G84:AM84),$F84*10%)))))))+(IF(AN$65="5차중도금",$F84*60%-SUM($G84:AM84)-$F84*10%,IF(AN$65="6차중도금",$F84*70%-SUM($G84:AM84)-$F84*10%,0)))</f>
        <v>0</v>
      </c>
      <c r="AO84" s="605">
        <f>IF(AO$65="입주/잔금",($F84-SUM($G84:AN84))*30%,IF(AN$65="입주/잔금",($F84-SUM($G84:AM84))*50%,IF(AM$65="입주/잔금",($F84-SUM($G84:AL84))*20%,IF(AO$65=0,0,IF(AO$65="2차중도금",$F84*30%-SUM($G84:AN84),IF(AO$65="3차중도금",$F84*40%-SUM($G84:AN84),IF(AO$65="4차중도금",$F84*50%-SUM($G84:AN84),$F84*10%)))))))+(IF(AO$65="5차중도금",$F84*60%-SUM($G84:AN84)-$F84*10%,IF(AO$65="6차중도금",$F84*70%-SUM($G84:AN84)-$F84*10%,0)))</f>
        <v>0</v>
      </c>
      <c r="AP84" s="605">
        <f>IF(AP$65="입주/잔금",($F84-SUM($G84:AO84))*30%,IF(AO$65="입주/잔금",($F84-SUM($G84:AN84))*50%,IF(AN$65="입주/잔금",($F84-SUM($G84:AM84))*20%,IF(AP$65=0,0,IF(AP$65="2차중도금",$F84*30%-SUM($G84:AO84),IF(AP$65="3차중도금",$F84*40%-SUM($G84:AO84),IF(AP$65="4차중도금",$F84*50%-SUM($G84:AO84),$F84*10%)))))))+(IF(AP$65="5차중도금",$F84*60%-SUM($G84:AO84)-$F84*10%,IF(AP$65="6차중도금",$F84*70%-SUM($G84:AO84)-$F84*10%,0)))</f>
        <v>0</v>
      </c>
      <c r="AQ84" s="605">
        <f>IF(AQ$65="입주/잔금",($F84-SUM($G84:AP84))*30%,IF(AP$65="입주/잔금",($F84-SUM($G84:AO84))*50%,IF(AO$65="입주/잔금",($F84-SUM($G84:AN84))*20%,IF(AQ$65=0,0,IF(AQ$65="2차중도금",$F84*30%-SUM($G84:AP84),IF(AQ$65="3차중도금",$F84*40%-SUM($G84:AP84),IF(AQ$65="4차중도금",$F84*50%-SUM($G84:AP84),$F84*10%)))))))+(IF(AQ$65="5차중도금",$F84*60%-SUM($G84:AP84)-$F84*10%,IF(AQ$65="6차중도금",$F84*70%-SUM($G84:AP84)-$F84*10%,0)))</f>
        <v>0</v>
      </c>
      <c r="AR84" s="605">
        <f>IF(AR$65="입주/잔금",($F84-SUM($G84:AQ84))*30%,IF(AQ$65="입주/잔금",($F84-SUM($G84:AP84))*50%,IF(AP$65="입주/잔금",($F84-SUM($G84:AO84))*20%,IF(AR$65=0,0,IF(AR$65="2차중도금",$F84*30%-SUM($G84:AQ84),IF(AR$65="3차중도금",$F84*40%-SUM($G84:AQ84),IF(AR$65="4차중도금",$F84*50%-SUM($G84:AQ84),$F84*10%)))))))+(IF(AR$65="5차중도금",$F84*60%-SUM($G84:AQ84)-$F84*10%,IF(AR$65="6차중도금",$F84*70%-SUM($G84:AQ84)-$F84*10%,0)))</f>
        <v>0</v>
      </c>
      <c r="AS84" s="605">
        <f>IF(AS$65="입주/잔금",($F84-SUM($G84:AR84))*30%,IF(AR$65="입주/잔금",($F84-SUM($G84:AQ84))*50%,IF(AQ$65="입주/잔금",($F84-SUM($G84:AP84))*20%,IF(AS$65=0,0,IF(AS$65="2차중도금",$F84*30%-SUM($G84:AR84),IF(AS$65="3차중도금",$F84*40%-SUM($G84:AR84),IF(AS$65="4차중도금",$F84*50%-SUM($G84:AR84),$F84*10%)))))))+(IF(AS$65="5차중도금",$F84*60%-SUM($G84:AR84)-$F84*10%,IF(AS$65="6차중도금",$F84*70%-SUM($G84:AR84)-$F84*10%,0)))</f>
        <v>0</v>
      </c>
      <c r="AT84" s="605">
        <f>IF(AT$65="입주/잔금",($F84-SUM($G84:AS84))*30%,IF(AS$65="입주/잔금",($F84-SUM($G84:AR84))*50%,IF(AR$65="입주/잔금",($F84-SUM($G84:AQ84))*20%,IF(AT$65=0,0,IF(AT$65="2차중도금",$F84*30%-SUM($G84:AS84),IF(AT$65="3차중도금",$F84*40%-SUM($G84:AS84),IF(AT$65="4차중도금",$F84*50%-SUM($G84:AS84),$F84*10%)))))))+(IF(AT$65="5차중도금",$F84*60%-SUM($G84:AS84)-$F84*10%,IF(AT$65="6차중도금",$F84*70%-SUM($G84:AS84)-$F84*10%,0)))</f>
        <v>0</v>
      </c>
      <c r="AU84" s="605">
        <f>IF(AU$65="입주/잔금",($F84-SUM($G84:AT84))*30%,IF(AT$65="입주/잔금",($F84-SUM($G84:AS84))*50%,IF(AS$65="입주/잔금",($F84-SUM($G84:AR84))*20%,IF(AU$65=0,0,IF(AU$65="2차중도금",$F84*30%-SUM($G84:AT84),IF(AU$65="3차중도금",$F84*40%-SUM($G84:AT84),IF(AU$65="4차중도금",$F84*50%-SUM($G84:AT84),$F84*10%)))))))+(IF(AU$65="5차중도금",$F84*60%-SUM($G84:AT84)-$F84*10%,IF(AU$65="6차중도금",$F84*70%-SUM($G84:AT84)-$F84*10%,0)))</f>
        <v>0</v>
      </c>
      <c r="AV84" s="605">
        <f>IF(AV$65="입주/잔금",($F84-SUM($G84:AU84))*30%,IF(AU$65="입주/잔금",($F84-SUM($G84:AT84))*50%,IF(AT$65="입주/잔금",($F84-SUM($G84:AS84))*20%,IF(AV$65=0,0,IF(AV$65="2차중도금",$F84*30%-SUM($G84:AU84),IF(AV$65="3차중도금",$F84*40%-SUM($G84:AU84),IF(AV$65="4차중도금",$F84*50%-SUM($G84:AU84),$F84*10%)))))))+(IF(AV$65="5차중도금",$F84*60%-SUM($G84:AU84)-$F84*10%,IF(AV$65="6차중도금",$F84*70%-SUM($G84:AU84)-$F84*10%,0)))</f>
        <v>0</v>
      </c>
      <c r="AW84" s="605">
        <f>IF(AW$65="입주/잔금",($F84-SUM($G84:AV84))*30%,IF(AV$65="입주/잔금",($F84-SUM($G84:AU84))*50%,IF(AU$65="입주/잔금",($F84-SUM($G84:AT84))*20%,IF(AW$65=0,0,IF(AW$65="2차중도금",$F84*30%-SUM($G84:AV84),IF(AW$65="3차중도금",$F84*40%-SUM($G84:AV84),IF(AW$65="4차중도금",$F84*50%-SUM($G84:AV84),$F84*10%)))))))+(IF(AW$65="5차중도금",$F84*60%-SUM($G84:AV84)-$F84*10%,IF(AW$65="6차중도금",$F84*70%-SUM($G84:AV84)-$F84*10%,0)))</f>
        <v>0</v>
      </c>
      <c r="AX84" s="605">
        <f>IF(AX$65="입주/잔금",($F84-SUM($G84:AW84))*30%,IF(AW$65="입주/잔금",($F84-SUM($G84:AV84))*50%,IF(AV$65="입주/잔금",($F84-SUM($G84:AU84))*20%,IF(AX$65=0,0,IF(AX$65="2차중도금",$F84*30%-SUM($G84:AW84),IF(AX$65="3차중도금",$F84*40%-SUM($G84:AW84),IF(AX$65="4차중도금",$F84*50%-SUM($G84:AW84),$F84*10%)))))))+(IF(AX$65="5차중도금",$F84*60%-SUM($G84:AW84)-$F84*10%,IF(AX$65="6차중도금",$F84*70%-SUM($G84:AW84)-$F84*10%,0)))</f>
        <v>0</v>
      </c>
      <c r="AY84" s="605">
        <f>IF(AY$65="입주/잔금",($F84-SUM($G84:AX84))*30%,IF(AX$65="입주/잔금",($F84-SUM($G84:AW84))*50%,IF(AW$65="입주/잔금",($F84-SUM($G84:AV84))*20%,IF(AY$65=0,0,IF(AY$65="2차중도금",$F84*30%-SUM($G84:AX84),IF(AY$65="3차중도금",$F84*40%-SUM($G84:AX84),IF(AY$65="4차중도금",$F84*50%-SUM($G84:AX84),$F84*10%)))))))+(IF(AY$65="5차중도금",$F84*60%-SUM($G84:AX84)-$F84*10%,IF(AY$65="6차중도금",$F84*70%-SUM($G84:AX84)-$F84*10%,0)))</f>
        <v>0</v>
      </c>
      <c r="AZ84" s="605">
        <f>IF(AZ$65="입주/잔금",($F84-SUM($G84:AY84))*30%,IF(AY$65="입주/잔금",($F84-SUM($G84:AX84))*50%,IF(AX$65="입주/잔금",($F84-SUM($G84:AW84))*20%,IF(AZ$65=0,0,IF(AZ$65="2차중도금",$F84*30%-SUM($G84:AY84),IF(AZ$65="3차중도금",$F84*40%-SUM($G84:AY84),IF(AZ$65="4차중도금",$F84*50%-SUM($G84:AY84),$F84*10%)))))))+(IF(AZ$65="5차중도금",$F84*60%-SUM($G84:AY84)-$F84*10%,IF(AZ$65="6차중도금",$F84*70%-SUM($G84:AY84)-$F84*10%,0)))</f>
        <v>0</v>
      </c>
      <c r="BA84" s="605">
        <f>IF(BA$65="입주/잔금",($F84-SUM($G84:AZ84))*30%,IF(AZ$65="입주/잔금",($F84-SUM($G84:AY84))*50%,IF(AY$65="입주/잔금",($F84-SUM($G84:AX84))*20%,IF(BA$65=0,0,IF(BA$65="2차중도금",$F84*30%-SUM($G84:AZ84),IF(BA$65="3차중도금",$F84*40%-SUM($G84:AZ84),IF(BA$65="4차중도금",$F84*50%-SUM($G84:AZ84),$F84*10%)))))))+(IF(BA$65="5차중도금",$F84*60%-SUM($G84:AZ84)-$F84*10%,IF(BA$65="6차중도금",$F84*70%-SUM($G84:AZ84)-$F84*10%,0)))</f>
        <v>0</v>
      </c>
      <c r="BB84" s="605">
        <f>IF(BB$65="입주/잔금",($F84-SUM($G84:BA84))*30%,IF(BA$65="입주/잔금",($F84-SUM($G84:AZ84))*50%,IF(AZ$65="입주/잔금",($F84-SUM($G84:AY84))*20%,IF(BB$65=0,0,IF(BB$65="2차중도금",$F84*30%-SUM($G84:BA84),IF(BB$65="3차중도금",$F84*40%-SUM($G84:BA84),IF(BB$65="4차중도금",$F84*50%-SUM($G84:BA84),$F84*10%)))))))+(IF(BB$65="5차중도금",$F84*60%-SUM($G84:BA84)-$F84*10%,IF(BB$65="6차중도금",$F84*70%-SUM($G84:BA84)-$F84*10%,0)))</f>
        <v>0</v>
      </c>
      <c r="BC84" s="605">
        <f>IF(BC$65="입주/잔금",($F84-SUM($G84:BB84))*30%,IF(BB$65="입주/잔금",($F84-SUM($G84:BA84))*50%,IF(BA$65="입주/잔금",($F84-SUM($G84:AZ84))*20%,IF(BC$65=0,0,IF(BC$65="2차중도금",$F84*30%-SUM($G84:BB84),IF(BC$65="3차중도금",$F84*40%-SUM($G84:BB84),IF(BC$65="4차중도금",$F84*50%-SUM($G84:BB84),$F84*10%)))))))+(IF(BC$65="5차중도금",$F84*60%-SUM($G84:BB84)-$F84*10%,IF(BC$65="6차중도금",$F84*70%-SUM($G84:BB84)-$F84*10%,0)))</f>
        <v>0</v>
      </c>
      <c r="BD84" s="605">
        <f>IF(BD$65="입주/잔금",($F84-SUM($G84:BC84))*30%,IF(BC$65="입주/잔금",($F84-SUM($G84:BB84))*50%,IF(BB$65="입주/잔금",($F84-SUM($G84:BA84))*20%,IF(BD$65=0,0,IF(BD$65="2차중도금",$F84*30%-SUM($G84:BC84),IF(BD$65="3차중도금",$F84*40%-SUM($G84:BC84),IF(BD$65="4차중도금",$F84*50%-SUM($G84:BC84),$F84*10%)))))))+(IF(BD$65="5차중도금",$F84*60%-SUM($G84:BC84)-$F84*10%,IF(BD$65="6차중도금",$F84*70%-SUM($G84:BC84)-$F84*10%,0)))</f>
        <v>0</v>
      </c>
      <c r="BE84" s="605">
        <f>IF(BE$65="입주/잔금",($F84-SUM($G84:BD84))*30%,IF(BD$65="입주/잔금",($F84-SUM($G84:BC84))*50%,IF(BC$65="입주/잔금",($F84-SUM($G84:BB84))*20%,IF(BE$65=0,0,IF(BE$65="2차중도금",$F84*30%-SUM($G84:BD84),IF(BE$65="3차중도금",$F84*40%-SUM($G84:BD84),IF(BE$65="4차중도금",$F84*50%-SUM($G84:BD84),$F84*10%)))))))+(IF(BE$65="5차중도금",$F84*60%-SUM($G84:BD84)-$F84*10%,IF(BE$65="6차중도금",$F84*70%-SUM($G84:BD84)-$F84*10%,0)))</f>
        <v>0</v>
      </c>
      <c r="BF84" s="609">
        <f t="shared" si="30"/>
        <v>0</v>
      </c>
      <c r="BG84" s="556">
        <f t="shared" si="32"/>
        <v>0</v>
      </c>
      <c r="BH84" s="610"/>
    </row>
    <row r="85" spans="1:60">
      <c r="A85" s="1853"/>
      <c r="B85" s="611">
        <f t="shared" si="33"/>
        <v>45413</v>
      </c>
      <c r="C85" s="605">
        <f t="shared" si="34"/>
        <v>157992364.97659996</v>
      </c>
      <c r="D85" s="1501"/>
      <c r="E85" s="607">
        <f t="shared" si="35"/>
        <v>1.0000000000000002</v>
      </c>
      <c r="F85" s="608">
        <f t="shared" si="31"/>
        <v>0</v>
      </c>
      <c r="G85" s="605"/>
      <c r="H85" s="605"/>
      <c r="I85" s="605"/>
      <c r="J85" s="605"/>
      <c r="K85" s="605"/>
      <c r="L85" s="605"/>
      <c r="M85" s="605"/>
      <c r="N85" s="605"/>
      <c r="O85" s="605"/>
      <c r="P85" s="605"/>
      <c r="Q85" s="605"/>
      <c r="R85" s="605"/>
      <c r="S85" s="605"/>
      <c r="T85" s="605"/>
      <c r="U85" s="605"/>
      <c r="V85" s="605"/>
      <c r="W85" s="605"/>
      <c r="X85" s="605"/>
      <c r="Y85" s="605"/>
      <c r="Z85" s="605">
        <f>$F85*10%</f>
        <v>0</v>
      </c>
      <c r="AA85" s="605">
        <f>IF(AA$65="입주/잔금",($F85-SUM($G85:Z85))*30%,IF(Z$65="입주/잔금",($F85-SUM($G85:Y85))*50%,IF(Y$65="입주/잔금",($F85-SUM($G85:X85))*20%,IF(AA$65=0,0,IF(AA$65="2차중도금",$F85*30%-SUM($G85:Z85),IF(AA$65="3차중도금",$F85*40%-SUM($G85:Z85),IF(AA$65="4차중도금",$F85*50%-SUM($G85:Z85),$F85*10%)))))))+(IF(AA$65="5차중도금",$F85*60%-SUM($G85:Z85)-$F85*10%,IF(AA$65="6차중도금",$F85*70%-SUM($G85:Z85)-$F85*10%,0)))</f>
        <v>0</v>
      </c>
      <c r="AB85" s="605">
        <f>IF(AB$65="입주/잔금",($F85-SUM($G85:AA85))*30%,IF(AA$65="입주/잔금",($F85-SUM($G85:Z85))*50%,IF(Z$65="입주/잔금",($F85-SUM($G85:Y85))*20%,IF(AB$65=0,0,IF(AB$65="2차중도금",$F85*30%-SUM($G85:AA85),IF(AB$65="3차중도금",$F85*40%-SUM($G85:AA85),IF(AB$65="4차중도금",$F85*50%-SUM($G85:AA85),$F85*10%)))))))+(IF(AB$65="5차중도금",$F85*60%-SUM($G85:AA85)-$F85*10%,IF(AB$65="6차중도금",$F85*70%-SUM($G85:AA85)-$F85*10%,0)))</f>
        <v>0</v>
      </c>
      <c r="AC85" s="605">
        <f>IF(AC$65="입주/잔금",($F85-SUM($G85:AB85))*30%,IF(AB$65="입주/잔금",($F85-SUM($G85:AA85))*50%,IF(AA$65="입주/잔금",($F85-SUM($G85:Z85))*20%,IF(AC$65=0,0,IF(AC$65="2차중도금",$F85*30%-SUM($G85:AB85),IF(AC$65="3차중도금",$F85*40%-SUM($G85:AB85),IF(AC$65="4차중도금",$F85*50%-SUM($G85:AB85),$F85*10%)))))))+(IF(AC$65="5차중도금",$F85*60%-SUM($G85:AB85)-$F85*10%,IF(AC$65="6차중도금",$F85*70%-SUM($G85:AB85)-$F85*10%,0)))</f>
        <v>0</v>
      </c>
      <c r="AD85" s="605">
        <f>IF(AD$65="입주/잔금",($F85-SUM($G85:AC85))*30%,IF(AC$65="입주/잔금",($F85-SUM($G85:AB85))*50%,IF(AB$65="입주/잔금",($F85-SUM($G85:AA85))*20%,IF(AD$65=0,0,IF(AD$65="2차중도금",$F85*30%-SUM($G85:AC85),IF(AD$65="3차중도금",$F85*40%-SUM($G85:AC85),IF(AD$65="4차중도금",$F85*50%-SUM($G85:AC85),$F85*10%)))))))+(IF(AD$65="5차중도금",$F85*60%-SUM($G85:AC85)-$F85*10%,IF(AD$65="6차중도금",$F85*70%-SUM($G85:AC85)-$F85*10%,0)))</f>
        <v>0</v>
      </c>
      <c r="AE85" s="605">
        <f>IF(AE$65="입주/잔금",($F85-SUM($G85:AD85))*30%,IF(AD$65="입주/잔금",($F85-SUM($G85:AC85))*50%,IF(AC$65="입주/잔금",($F85-SUM($G85:AB85))*20%,IF(AE$65=0,0,IF(AE$65="2차중도금",$F85*30%-SUM($G85:AD85),IF(AE$65="3차중도금",$F85*40%-SUM($G85:AD85),IF(AE$65="4차중도금",$F85*50%-SUM($G85:AD85),$F85*10%)))))))+(IF(AE$65="5차중도금",$F85*60%-SUM($G85:AD85)-$F85*10%,IF(AE$65="6차중도금",$F85*70%-SUM($G85:AD85)-$F85*10%,0)))</f>
        <v>0</v>
      </c>
      <c r="AF85" s="605">
        <f>IF(AF$65="입주/잔금",($F85-SUM($G85:AE85))*30%,IF(AE$65="입주/잔금",($F85-SUM($G85:AD85))*50%,IF(AD$65="입주/잔금",($F85-SUM($G85:AC85))*20%,IF(AF$65=0,0,IF(AF$65="2차중도금",$F85*30%-SUM($G85:AE85),IF(AF$65="3차중도금",$F85*40%-SUM($G85:AE85),IF(AF$65="4차중도금",$F85*50%-SUM($G85:AE85),$F85*10%)))))))+(IF(AF$65="5차중도금",$F85*60%-SUM($G85:AE85)-$F85*10%,IF(AF$65="6차중도금",$F85*70%-SUM($G85:AE85)-$F85*10%,0)))</f>
        <v>0</v>
      </c>
      <c r="AG85" s="605">
        <f>IF(AG$65="입주/잔금",($F85-SUM($G85:AF85))*30%,IF(AF$65="입주/잔금",($F85-SUM($G85:AE85))*50%,IF(AE$65="입주/잔금",($F85-SUM($G85:AD85))*20%,IF(AG$65=0,0,IF(AG$65="2차중도금",$F85*30%-SUM($G85:AF85),IF(AG$65="3차중도금",$F85*40%-SUM($G85:AF85),IF(AG$65="4차중도금",$F85*50%-SUM($G85:AF85),$F85*10%)))))))+(IF(AG$65="5차중도금",$F85*60%-SUM($G85:AF85)-$F85*10%,IF(AG$65="6차중도금",$F85*70%-SUM($G85:AF85)-$F85*10%,0)))</f>
        <v>0</v>
      </c>
      <c r="AH85" s="605">
        <f>IF(AH$65="입주/잔금",($F85-SUM($G85:AG85))*30%,IF(AG$65="입주/잔금",($F85-SUM($G85:AF85))*50%,IF(AF$65="입주/잔금",($F85-SUM($G85:AE85))*20%,IF(AH$65=0,0,IF(AH$65="2차중도금",$F85*30%-SUM($G85:AG85),IF(AH$65="3차중도금",$F85*40%-SUM($G85:AG85),IF(AH$65="4차중도금",$F85*50%-SUM($G85:AG85),$F85*10%)))))))+(IF(AH$65="5차중도금",$F85*60%-SUM($G85:AG85)-$F85*10%,IF(AH$65="6차중도금",$F85*70%-SUM($G85:AG85)-$F85*10%,0)))</f>
        <v>0</v>
      </c>
      <c r="AI85" s="605">
        <f>IF(AI$65="입주/잔금",($F85-SUM($G85:AH85))*30%,IF(AH$65="입주/잔금",($F85-SUM($G85:AG85))*50%,IF(AG$65="입주/잔금",($F85-SUM($G85:AF85))*20%,IF(AI$65=0,0,IF(AI$65="2차중도금",$F85*30%-SUM($G85:AH85),IF(AI$65="3차중도금",$F85*40%-SUM($G85:AH85),IF(AI$65="4차중도금",$F85*50%-SUM($G85:AH85),$F85*10%)))))))+(IF(AI$65="5차중도금",$F85*60%-SUM($G85:AH85)-$F85*10%,IF(AI$65="6차중도금",$F85*70%-SUM($G85:AH85)-$F85*10%,0)))</f>
        <v>0</v>
      </c>
      <c r="AJ85" s="605">
        <f>IF(AJ$65="입주/잔금",($F85-SUM($G85:AI85))*30%,IF(AI$65="입주/잔금",($F85-SUM($G85:AH85))*50%,IF(AH$65="입주/잔금",($F85-SUM($G85:AG85))*20%,IF(AJ$65=0,0,IF(AJ$65="2차중도금",$F85*30%-SUM($G85:AI85),IF(AJ$65="3차중도금",$F85*40%-SUM($G85:AI85),IF(AJ$65="4차중도금",$F85*50%-SUM($G85:AI85),$F85*10%)))))))+(IF(AJ$65="5차중도금",$F85*60%-SUM($G85:AI85)-$F85*10%,IF(AJ$65="6차중도금",$F85*70%-SUM($G85:AI85)-$F85*10%,0)))</f>
        <v>0</v>
      </c>
      <c r="AK85" s="605">
        <f>IF(AK$65="입주/잔금",($F85-SUM($G85:AJ85))*30%,IF(AJ$65="입주/잔금",($F85-SUM($G85:AI85))*50%,IF(AI$65="입주/잔금",($F85-SUM($G85:AH85))*20%,IF(AK$65=0,0,IF(AK$65="2차중도금",$F85*30%-SUM($G85:AJ85),IF(AK$65="3차중도금",$F85*40%-SUM($G85:AJ85),IF(AK$65="4차중도금",$F85*50%-SUM($G85:AJ85),$F85*10%)))))))+(IF(AK$65="5차중도금",$F85*60%-SUM($G85:AJ85)-$F85*10%,IF(AK$65="6차중도금",$F85*70%-SUM($G85:AJ85)-$F85*10%,0)))</f>
        <v>0</v>
      </c>
      <c r="AL85" s="605">
        <f>IF(AL$65="입주/잔금",($F85-SUM($G85:AK85))*30%,IF(AK$65="입주/잔금",($F85-SUM($G85:AJ85))*50%,IF(AJ$65="입주/잔금",($F85-SUM($G85:AI85))*20%,IF(AL$65=0,0,IF(AL$65="2차중도금",$F85*30%-SUM($G85:AK85),IF(AL$65="3차중도금",$F85*40%-SUM($G85:AK85),IF(AL$65="4차중도금",$F85*50%-SUM($G85:AK85),$F85*10%)))))))+(IF(AL$65="5차중도금",$F85*60%-SUM($G85:AK85)-$F85*10%,IF(AL$65="6차중도금",$F85*70%-SUM($G85:AK85)-$F85*10%,0)))</f>
        <v>0</v>
      </c>
      <c r="AM85" s="605">
        <f>IF(AM$65="입주/잔금",($F85-SUM($G85:AL85))*30%,IF(AL$65="입주/잔금",($F85-SUM($G85:AK85))*50%,IF(AK$65="입주/잔금",($F85-SUM($G85:AJ85))*20%,IF(AM$65=0,0,IF(AM$65="2차중도금",$F85*30%-SUM($G85:AL85),IF(AM$65="3차중도금",$F85*40%-SUM($G85:AL85),IF(AM$65="4차중도금",$F85*50%-SUM($G85:AL85),$F85*10%)))))))+(IF(AM$65="5차중도금",$F85*60%-SUM($G85:AL85)-$F85*10%,IF(AM$65="6차중도금",$F85*70%-SUM($G85:AL85)-$F85*10%,0)))</f>
        <v>0</v>
      </c>
      <c r="AN85" s="605">
        <f>IF(AN$65="입주/잔금",($F85-SUM($G85:AM85))*30%,IF(AM$65="입주/잔금",($F85-SUM($G85:AL85))*50%,IF(AL$65="입주/잔금",($F85-SUM($G85:AK85))*20%,IF(AN$65=0,0,IF(AN$65="2차중도금",$F85*30%-SUM($G85:AM85),IF(AN$65="3차중도금",$F85*40%-SUM($G85:AM85),IF(AN$65="4차중도금",$F85*50%-SUM($G85:AM85),$F85*10%)))))))+(IF(AN$65="5차중도금",$F85*60%-SUM($G85:AM85)-$F85*10%,IF(AN$65="6차중도금",$F85*70%-SUM($G85:AM85)-$F85*10%,0)))</f>
        <v>0</v>
      </c>
      <c r="AO85" s="605">
        <f>IF(AO$65="입주/잔금",($F85-SUM($G85:AN85))*30%,IF(AN$65="입주/잔금",($F85-SUM($G85:AM85))*50%,IF(AM$65="입주/잔금",($F85-SUM($G85:AL85))*20%,IF(AO$65=0,0,IF(AO$65="2차중도금",$F85*30%-SUM($G85:AN85),IF(AO$65="3차중도금",$F85*40%-SUM($G85:AN85),IF(AO$65="4차중도금",$F85*50%-SUM($G85:AN85),$F85*10%)))))))+(IF(AO$65="5차중도금",$F85*60%-SUM($G85:AN85)-$F85*10%,IF(AO$65="6차중도금",$F85*70%-SUM($G85:AN85)-$F85*10%,0)))</f>
        <v>0</v>
      </c>
      <c r="AP85" s="605">
        <f>IF(AP$65="입주/잔금",($F85-SUM($G85:AO85))*30%,IF(AO$65="입주/잔금",($F85-SUM($G85:AN85))*50%,IF(AN$65="입주/잔금",($F85-SUM($G85:AM85))*20%,IF(AP$65=0,0,IF(AP$65="2차중도금",$F85*30%-SUM($G85:AO85),IF(AP$65="3차중도금",$F85*40%-SUM($G85:AO85),IF(AP$65="4차중도금",$F85*50%-SUM($G85:AO85),$F85*10%)))))))+(IF(AP$65="5차중도금",$F85*60%-SUM($G85:AO85)-$F85*10%,IF(AP$65="6차중도금",$F85*70%-SUM($G85:AO85)-$F85*10%,0)))</f>
        <v>0</v>
      </c>
      <c r="AQ85" s="605">
        <f>IF(AQ$65="입주/잔금",($F85-SUM($G85:AP85))*30%,IF(AP$65="입주/잔금",($F85-SUM($G85:AO85))*50%,IF(AO$65="입주/잔금",($F85-SUM($G85:AN85))*20%,IF(AQ$65=0,0,IF(AQ$65="2차중도금",$F85*30%-SUM($G85:AP85),IF(AQ$65="3차중도금",$F85*40%-SUM($G85:AP85),IF(AQ$65="4차중도금",$F85*50%-SUM($G85:AP85),$F85*10%)))))))+(IF(AQ$65="5차중도금",$F85*60%-SUM($G85:AP85)-$F85*10%,IF(AQ$65="6차중도금",$F85*70%-SUM($G85:AP85)-$F85*10%,0)))</f>
        <v>0</v>
      </c>
      <c r="AR85" s="605">
        <f>IF(AR$65="입주/잔금",($F85-SUM($G85:AQ85))*30%,IF(AQ$65="입주/잔금",($F85-SUM($G85:AP85))*50%,IF(AP$65="입주/잔금",($F85-SUM($G85:AO85))*20%,IF(AR$65=0,0,IF(AR$65="2차중도금",$F85*30%-SUM($G85:AQ85),IF(AR$65="3차중도금",$F85*40%-SUM($G85:AQ85),IF(AR$65="4차중도금",$F85*50%-SUM($G85:AQ85),$F85*10%)))))))+(IF(AR$65="5차중도금",$F85*60%-SUM($G85:AQ85)-$F85*10%,IF(AR$65="6차중도금",$F85*70%-SUM($G85:AQ85)-$F85*10%,0)))</f>
        <v>0</v>
      </c>
      <c r="AS85" s="605">
        <f>IF(AS$65="입주/잔금",($F85-SUM($G85:AR85))*30%,IF(AR$65="입주/잔금",($F85-SUM($G85:AQ85))*50%,IF(AQ$65="입주/잔금",($F85-SUM($G85:AP85))*20%,IF(AS$65=0,0,IF(AS$65="2차중도금",$F85*30%-SUM($G85:AR85),IF(AS$65="3차중도금",$F85*40%-SUM($G85:AR85),IF(AS$65="4차중도금",$F85*50%-SUM($G85:AR85),$F85*10%)))))))+(IF(AS$65="5차중도금",$F85*60%-SUM($G85:AR85)-$F85*10%,IF(AS$65="6차중도금",$F85*70%-SUM($G85:AR85)-$F85*10%,0)))</f>
        <v>0</v>
      </c>
      <c r="AT85" s="605">
        <f>IF(AT$65="입주/잔금",($F85-SUM($G85:AS85))*30%,IF(AS$65="입주/잔금",($F85-SUM($G85:AR85))*50%,IF(AR$65="입주/잔금",($F85-SUM($G85:AQ85))*20%,IF(AT$65=0,0,IF(AT$65="2차중도금",$F85*30%-SUM($G85:AS85),IF(AT$65="3차중도금",$F85*40%-SUM($G85:AS85),IF(AT$65="4차중도금",$F85*50%-SUM($G85:AS85),$F85*10%)))))))+(IF(AT$65="5차중도금",$F85*60%-SUM($G85:AS85)-$F85*10%,IF(AT$65="6차중도금",$F85*70%-SUM($G85:AS85)-$F85*10%,0)))</f>
        <v>0</v>
      </c>
      <c r="AU85" s="605">
        <f>IF(AU$65="입주/잔금",($F85-SUM($G85:AT85))*30%,IF(AT$65="입주/잔금",($F85-SUM($G85:AS85))*50%,IF(AS$65="입주/잔금",($F85-SUM($G85:AR85))*20%,IF(AU$65=0,0,IF(AU$65="2차중도금",$F85*30%-SUM($G85:AT85),IF(AU$65="3차중도금",$F85*40%-SUM($G85:AT85),IF(AU$65="4차중도금",$F85*50%-SUM($G85:AT85),$F85*10%)))))))+(IF(AU$65="5차중도금",$F85*60%-SUM($G85:AT85)-$F85*10%,IF(AU$65="6차중도금",$F85*70%-SUM($G85:AT85)-$F85*10%,0)))</f>
        <v>0</v>
      </c>
      <c r="AV85" s="605">
        <f>IF(AV$65="입주/잔금",($F85-SUM($G85:AU85))*30%,IF(AU$65="입주/잔금",($F85-SUM($G85:AT85))*50%,IF(AT$65="입주/잔금",($F85-SUM($G85:AS85))*20%,IF(AV$65=0,0,IF(AV$65="2차중도금",$F85*30%-SUM($G85:AU85),IF(AV$65="3차중도금",$F85*40%-SUM($G85:AU85),IF(AV$65="4차중도금",$F85*50%-SUM($G85:AU85),$F85*10%)))))))+(IF(AV$65="5차중도금",$F85*60%-SUM($G85:AU85)-$F85*10%,IF(AV$65="6차중도금",$F85*70%-SUM($G85:AU85)-$F85*10%,0)))</f>
        <v>0</v>
      </c>
      <c r="AW85" s="605">
        <f>IF(AW$65="입주/잔금",($F85-SUM($G85:AV85))*30%,IF(AV$65="입주/잔금",($F85-SUM($G85:AU85))*50%,IF(AU$65="입주/잔금",($F85-SUM($G85:AT85))*20%,IF(AW$65=0,0,IF(AW$65="2차중도금",$F85*30%-SUM($G85:AV85),IF(AW$65="3차중도금",$F85*40%-SUM($G85:AV85),IF(AW$65="4차중도금",$F85*50%-SUM($G85:AV85),$F85*10%)))))))+(IF(AW$65="5차중도금",$F85*60%-SUM($G85:AV85)-$F85*10%,IF(AW$65="6차중도금",$F85*70%-SUM($G85:AV85)-$F85*10%,0)))</f>
        <v>0</v>
      </c>
      <c r="AX85" s="605">
        <f>IF(AX$65="입주/잔금",($F85-SUM($G85:AW85))*30%,IF(AW$65="입주/잔금",($F85-SUM($G85:AV85))*50%,IF(AV$65="입주/잔금",($F85-SUM($G85:AU85))*20%,IF(AX$65=0,0,IF(AX$65="2차중도금",$F85*30%-SUM($G85:AW85),IF(AX$65="3차중도금",$F85*40%-SUM($G85:AW85),IF(AX$65="4차중도금",$F85*50%-SUM($G85:AW85),$F85*10%)))))))+(IF(AX$65="5차중도금",$F85*60%-SUM($G85:AW85)-$F85*10%,IF(AX$65="6차중도금",$F85*70%-SUM($G85:AW85)-$F85*10%,0)))</f>
        <v>0</v>
      </c>
      <c r="AY85" s="605">
        <f>IF(AY$65="입주/잔금",($F85-SUM($G85:AX85))*30%,IF(AX$65="입주/잔금",($F85-SUM($G85:AW85))*50%,IF(AW$65="입주/잔금",($F85-SUM($G85:AV85))*20%,IF(AY$65=0,0,IF(AY$65="2차중도금",$F85*30%-SUM($G85:AX85),IF(AY$65="3차중도금",$F85*40%-SUM($G85:AX85),IF(AY$65="4차중도금",$F85*50%-SUM($G85:AX85),$F85*10%)))))))+(IF(AY$65="5차중도금",$F85*60%-SUM($G85:AX85)-$F85*10%,IF(AY$65="6차중도금",$F85*70%-SUM($G85:AX85)-$F85*10%,0)))</f>
        <v>0</v>
      </c>
      <c r="AZ85" s="605">
        <f>IF(AZ$65="입주/잔금",($F85-SUM($G85:AY85))*30%,IF(AY$65="입주/잔금",($F85-SUM($G85:AX85))*50%,IF(AX$65="입주/잔금",($F85-SUM($G85:AW85))*20%,IF(AZ$65=0,0,IF(AZ$65="2차중도금",$F85*30%-SUM($G85:AY85),IF(AZ$65="3차중도금",$F85*40%-SUM($G85:AY85),IF(AZ$65="4차중도금",$F85*50%-SUM($G85:AY85),$F85*10%)))))))+(IF(AZ$65="5차중도금",$F85*60%-SUM($G85:AY85)-$F85*10%,IF(AZ$65="6차중도금",$F85*70%-SUM($G85:AY85)-$F85*10%,0)))</f>
        <v>0</v>
      </c>
      <c r="BA85" s="605">
        <f>IF(BA$65="입주/잔금",($F85-SUM($G85:AZ85))*30%,IF(AZ$65="입주/잔금",($F85-SUM($G85:AY85))*50%,IF(AY$65="입주/잔금",($F85-SUM($G85:AX85))*20%,IF(BA$65=0,0,IF(BA$65="2차중도금",$F85*30%-SUM($G85:AZ85),IF(BA$65="3차중도금",$F85*40%-SUM($G85:AZ85),IF(BA$65="4차중도금",$F85*50%-SUM($G85:AZ85),$F85*10%)))))))+(IF(BA$65="5차중도금",$F85*60%-SUM($G85:AZ85)-$F85*10%,IF(BA$65="6차중도금",$F85*70%-SUM($G85:AZ85)-$F85*10%,0)))</f>
        <v>0</v>
      </c>
      <c r="BB85" s="605">
        <f>IF(BB$65="입주/잔금",($F85-SUM($G85:BA85))*30%,IF(BA$65="입주/잔금",($F85-SUM($G85:AZ85))*50%,IF(AZ$65="입주/잔금",($F85-SUM($G85:AY85))*20%,IF(BB$65=0,0,IF(BB$65="2차중도금",$F85*30%-SUM($G85:BA85),IF(BB$65="3차중도금",$F85*40%-SUM($G85:BA85),IF(BB$65="4차중도금",$F85*50%-SUM($G85:BA85),$F85*10%)))))))+(IF(BB$65="5차중도금",$F85*60%-SUM($G85:BA85)-$F85*10%,IF(BB$65="6차중도금",$F85*70%-SUM($G85:BA85)-$F85*10%,0)))</f>
        <v>0</v>
      </c>
      <c r="BC85" s="605">
        <f>IF(BC$65="입주/잔금",($F85-SUM($G85:BB85))*30%,IF(BB$65="입주/잔금",($F85-SUM($G85:BA85))*50%,IF(BA$65="입주/잔금",($F85-SUM($G85:AZ85))*20%,IF(BC$65=0,0,IF(BC$65="2차중도금",$F85*30%-SUM($G85:BB85),IF(BC$65="3차중도금",$F85*40%-SUM($G85:BB85),IF(BC$65="4차중도금",$F85*50%-SUM($G85:BB85),$F85*10%)))))))+(IF(BC$65="5차중도금",$F85*60%-SUM($G85:BB85)-$F85*10%,IF(BC$65="6차중도금",$F85*70%-SUM($G85:BB85)-$F85*10%,0)))</f>
        <v>0</v>
      </c>
      <c r="BD85" s="605">
        <f>IF(BD$65="입주/잔금",($F85-SUM($G85:BC85))*30%,IF(BC$65="입주/잔금",($F85-SUM($G85:BB85))*50%,IF(BB$65="입주/잔금",($F85-SUM($G85:BA85))*20%,IF(BD$65=0,0,IF(BD$65="2차중도금",$F85*30%-SUM($G85:BC85),IF(BD$65="3차중도금",$F85*40%-SUM($G85:BC85),IF(BD$65="4차중도금",$F85*50%-SUM($G85:BC85),$F85*10%)))))))+(IF(BD$65="5차중도금",$F85*60%-SUM($G85:BC85)-$F85*10%,IF(BD$65="6차중도금",$F85*70%-SUM($G85:BC85)-$F85*10%,0)))</f>
        <v>0</v>
      </c>
      <c r="BE85" s="605">
        <f>IF(BE$65="입주/잔금",($F85-SUM($G85:BD85))*30%,IF(BD$65="입주/잔금",($F85-SUM($G85:BC85))*50%,IF(BC$65="입주/잔금",($F85-SUM($G85:BB85))*20%,IF(BE$65=0,0,IF(BE$65="2차중도금",$F85*30%-SUM($G85:BD85),IF(BE$65="3차중도금",$F85*40%-SUM($G85:BD85),IF(BE$65="4차중도금",$F85*50%-SUM($G85:BD85),$F85*10%)))))))+(IF(BE$65="5차중도금",$F85*60%-SUM($G85:BD85)-$F85*10%,IF(BE$65="6차중도금",$F85*70%-SUM($G85:BD85)-$F85*10%,0)))</f>
        <v>0</v>
      </c>
      <c r="BF85" s="609">
        <f t="shared" si="30"/>
        <v>0</v>
      </c>
      <c r="BG85" s="556">
        <f t="shared" si="32"/>
        <v>0</v>
      </c>
      <c r="BH85" s="610"/>
    </row>
    <row r="86" spans="1:60">
      <c r="A86" s="1853"/>
      <c r="B86" s="611">
        <f t="shared" si="33"/>
        <v>45444</v>
      </c>
      <c r="C86" s="605">
        <f t="shared" si="34"/>
        <v>157992364.97659996</v>
      </c>
      <c r="D86" s="1501"/>
      <c r="E86" s="607">
        <f t="shared" si="35"/>
        <v>1.0000000000000002</v>
      </c>
      <c r="F86" s="608">
        <f t="shared" si="31"/>
        <v>0</v>
      </c>
      <c r="G86" s="605"/>
      <c r="H86" s="605"/>
      <c r="I86" s="605"/>
      <c r="J86" s="605"/>
      <c r="K86" s="605"/>
      <c r="L86" s="605"/>
      <c r="M86" s="605"/>
      <c r="N86" s="605"/>
      <c r="O86" s="605"/>
      <c r="P86" s="605"/>
      <c r="Q86" s="605"/>
      <c r="R86" s="605"/>
      <c r="S86" s="605"/>
      <c r="T86" s="605"/>
      <c r="U86" s="605"/>
      <c r="V86" s="605"/>
      <c r="W86" s="605"/>
      <c r="X86" s="605"/>
      <c r="Y86" s="605"/>
      <c r="Z86" s="605"/>
      <c r="AA86" s="605">
        <f>$F86*10%</f>
        <v>0</v>
      </c>
      <c r="AB86" s="605">
        <f>IF(AB$65="입주/잔금",($F86-SUM($G86:AA86))*30%,IF(AA$65="입주/잔금",($F86-SUM($G86:Z86))*50%,IF(Z$65="입주/잔금",($F86-SUM($G86:Y86))*20%,IF(AB$65=0,0,IF(AB$65="2차중도금",$F86*30%-SUM($G86:AA86),IF(AB$65="3차중도금",$F86*40%-SUM($G86:AA86),IF(AB$65="4차중도금",$F86*50%-SUM($G86:AA86),$F86*10%)))))))+(IF(AB$65="5차중도금",$F86*60%-SUM($G86:AA86)-$F86*10%,IF(AB$65="6차중도금",$F86*70%-SUM($G86:AA86)-$F86*10%,0)))</f>
        <v>0</v>
      </c>
      <c r="AC86" s="605">
        <f>IF(AC$65="입주/잔금",($F86-SUM($G86:AB86))*30%,IF(AB$65="입주/잔금",($F86-SUM($G86:AA86))*50%,IF(AA$65="입주/잔금",($F86-SUM($G86:Z86))*20%,IF(AC$65=0,0,IF(AC$65="2차중도금",$F86*30%-SUM($G86:AB86),IF(AC$65="3차중도금",$F86*40%-SUM($G86:AB86),IF(AC$65="4차중도금",$F86*50%-SUM($G86:AB86),$F86*10%)))))))+(IF(AC$65="5차중도금",$F86*60%-SUM($G86:AB86)-$F86*10%,IF(AC$65="6차중도금",$F86*70%-SUM($G86:AB86)-$F86*10%,0)))</f>
        <v>0</v>
      </c>
      <c r="AD86" s="605">
        <f>IF(AD$65="입주/잔금",($F86-SUM($G86:AC86))*30%,IF(AC$65="입주/잔금",($F86-SUM($G86:AB86))*50%,IF(AB$65="입주/잔금",($F86-SUM($G86:AA86))*20%,IF(AD$65=0,0,IF(AD$65="2차중도금",$F86*30%-SUM($G86:AC86),IF(AD$65="3차중도금",$F86*40%-SUM($G86:AC86),IF(AD$65="4차중도금",$F86*50%-SUM($G86:AC86),$F86*10%)))))))+(IF(AD$65="5차중도금",$F86*60%-SUM($G86:AC86)-$F86*10%,IF(AD$65="6차중도금",$F86*70%-SUM($G86:AC86)-$F86*10%,0)))</f>
        <v>0</v>
      </c>
      <c r="AE86" s="605">
        <f>IF(AE$65="입주/잔금",($F86-SUM($G86:AD86))*30%,IF(AD$65="입주/잔금",($F86-SUM($G86:AC86))*50%,IF(AC$65="입주/잔금",($F86-SUM($G86:AB86))*20%,IF(AE$65=0,0,IF(AE$65="2차중도금",$F86*30%-SUM($G86:AD86),IF(AE$65="3차중도금",$F86*40%-SUM($G86:AD86),IF(AE$65="4차중도금",$F86*50%-SUM($G86:AD86),$F86*10%)))))))+(IF(AE$65="5차중도금",$F86*60%-SUM($G86:AD86)-$F86*10%,IF(AE$65="6차중도금",$F86*70%-SUM($G86:AD86)-$F86*10%,0)))</f>
        <v>0</v>
      </c>
      <c r="AF86" s="605">
        <f>IF(AF$65="입주/잔금",($F86-SUM($G86:AE86))*30%,IF(AE$65="입주/잔금",($F86-SUM($G86:AD86))*50%,IF(AD$65="입주/잔금",($F86-SUM($G86:AC86))*20%,IF(AF$65=0,0,IF(AF$65="2차중도금",$F86*30%-SUM($G86:AE86),IF(AF$65="3차중도금",$F86*40%-SUM($G86:AE86),IF(AF$65="4차중도금",$F86*50%-SUM($G86:AE86),$F86*10%)))))))+(IF(AF$65="5차중도금",$F86*60%-SUM($G86:AE86)-$F86*10%,IF(AF$65="6차중도금",$F86*70%-SUM($G86:AE86)-$F86*10%,0)))</f>
        <v>0</v>
      </c>
      <c r="AG86" s="605">
        <f>IF(AG$65="입주/잔금",($F86-SUM($G86:AF86))*30%,IF(AF$65="입주/잔금",($F86-SUM($G86:AE86))*50%,IF(AE$65="입주/잔금",($F86-SUM($G86:AD86))*20%,IF(AG$65=0,0,IF(AG$65="2차중도금",$F86*30%-SUM($G86:AF86),IF(AG$65="3차중도금",$F86*40%-SUM($G86:AF86),IF(AG$65="4차중도금",$F86*50%-SUM($G86:AF86),$F86*10%)))))))+(IF(AG$65="5차중도금",$F86*60%-SUM($G86:AF86)-$F86*10%,IF(AG$65="6차중도금",$F86*70%-SUM($G86:AF86)-$F86*10%,0)))</f>
        <v>0</v>
      </c>
      <c r="AH86" s="605">
        <f>IF(AH$65="입주/잔금",($F86-SUM($G86:AG86))*30%,IF(AG$65="입주/잔금",($F86-SUM($G86:AF86))*50%,IF(AF$65="입주/잔금",($F86-SUM($G86:AE86))*20%,IF(AH$65=0,0,IF(AH$65="2차중도금",$F86*30%-SUM($G86:AG86),IF(AH$65="3차중도금",$F86*40%-SUM($G86:AG86),IF(AH$65="4차중도금",$F86*50%-SUM($G86:AG86),$F86*10%)))))))+(IF(AH$65="5차중도금",$F86*60%-SUM($G86:AG86)-$F86*10%,IF(AH$65="6차중도금",$F86*70%-SUM($G86:AG86)-$F86*10%,0)))</f>
        <v>0</v>
      </c>
      <c r="AI86" s="605">
        <f>IF(AI$65="입주/잔금",($F86-SUM($G86:AH86))*30%,IF(AH$65="입주/잔금",($F86-SUM($G86:AG86))*50%,IF(AG$65="입주/잔금",($F86-SUM($G86:AF86))*20%,IF(AI$65=0,0,IF(AI$65="2차중도금",$F86*30%-SUM($G86:AH86),IF(AI$65="3차중도금",$F86*40%-SUM($G86:AH86),IF(AI$65="4차중도금",$F86*50%-SUM($G86:AH86),$F86*10%)))))))+(IF(AI$65="5차중도금",$F86*60%-SUM($G86:AH86)-$F86*10%,IF(AI$65="6차중도금",$F86*70%-SUM($G86:AH86)-$F86*10%,0)))</f>
        <v>0</v>
      </c>
      <c r="AJ86" s="605">
        <f>IF(AJ$65="입주/잔금",($F86-SUM($G86:AI86))*30%,IF(AI$65="입주/잔금",($F86-SUM($G86:AH86))*50%,IF(AH$65="입주/잔금",($F86-SUM($G86:AG86))*20%,IF(AJ$65=0,0,IF(AJ$65="2차중도금",$F86*30%-SUM($G86:AI86),IF(AJ$65="3차중도금",$F86*40%-SUM($G86:AI86),IF(AJ$65="4차중도금",$F86*50%-SUM($G86:AI86),$F86*10%)))))))+(IF(AJ$65="5차중도금",$F86*60%-SUM($G86:AI86)-$F86*10%,IF(AJ$65="6차중도금",$F86*70%-SUM($G86:AI86)-$F86*10%,0)))</f>
        <v>0</v>
      </c>
      <c r="AK86" s="605">
        <f>IF(AK$65="입주/잔금",($F86-SUM($G86:AJ86))*30%,IF(AJ$65="입주/잔금",($F86-SUM($G86:AI86))*50%,IF(AI$65="입주/잔금",($F86-SUM($G86:AH86))*20%,IF(AK$65=0,0,IF(AK$65="2차중도금",$F86*30%-SUM($G86:AJ86),IF(AK$65="3차중도금",$F86*40%-SUM($G86:AJ86),IF(AK$65="4차중도금",$F86*50%-SUM($G86:AJ86),$F86*10%)))))))+(IF(AK$65="5차중도금",$F86*60%-SUM($G86:AJ86)-$F86*10%,IF(AK$65="6차중도금",$F86*70%-SUM($G86:AJ86)-$F86*10%,0)))</f>
        <v>0</v>
      </c>
      <c r="AL86" s="605">
        <f>IF(AL$65="입주/잔금",($F86-SUM($G86:AK86))*30%,IF(AK$65="입주/잔금",($F86-SUM($G86:AJ86))*50%,IF(AJ$65="입주/잔금",($F86-SUM($G86:AI86))*20%,IF(AL$65=0,0,IF(AL$65="2차중도금",$F86*30%-SUM($G86:AK86),IF(AL$65="3차중도금",$F86*40%-SUM($G86:AK86),IF(AL$65="4차중도금",$F86*50%-SUM($G86:AK86),$F86*10%)))))))+(IF(AL$65="5차중도금",$F86*60%-SUM($G86:AK86)-$F86*10%,IF(AL$65="6차중도금",$F86*70%-SUM($G86:AK86)-$F86*10%,0)))</f>
        <v>0</v>
      </c>
      <c r="AM86" s="605">
        <f>IF(AM$65="입주/잔금",($F86-SUM($G86:AL86))*30%,IF(AL$65="입주/잔금",($F86-SUM($G86:AK86))*50%,IF(AK$65="입주/잔금",($F86-SUM($G86:AJ86))*20%,IF(AM$65=0,0,IF(AM$65="2차중도금",$F86*30%-SUM($G86:AL86),IF(AM$65="3차중도금",$F86*40%-SUM($G86:AL86),IF(AM$65="4차중도금",$F86*50%-SUM($G86:AL86),$F86*10%)))))))+(IF(AM$65="5차중도금",$F86*60%-SUM($G86:AL86)-$F86*10%,IF(AM$65="6차중도금",$F86*70%-SUM($G86:AL86)-$F86*10%,0)))</f>
        <v>0</v>
      </c>
      <c r="AN86" s="605">
        <f>IF(AN$65="입주/잔금",($F86-SUM($G86:AM86))*30%,IF(AM$65="입주/잔금",($F86-SUM($G86:AL86))*50%,IF(AL$65="입주/잔금",($F86-SUM($G86:AK86))*20%,IF(AN$65=0,0,IF(AN$65="2차중도금",$F86*30%-SUM($G86:AM86),IF(AN$65="3차중도금",$F86*40%-SUM($G86:AM86),IF(AN$65="4차중도금",$F86*50%-SUM($G86:AM86),$F86*10%)))))))+(IF(AN$65="5차중도금",$F86*60%-SUM($G86:AM86)-$F86*10%,IF(AN$65="6차중도금",$F86*70%-SUM($G86:AM86)-$F86*10%,0)))</f>
        <v>0</v>
      </c>
      <c r="AO86" s="605">
        <f>IF(AO$65="입주/잔금",($F86-SUM($G86:AN86))*30%,IF(AN$65="입주/잔금",($F86-SUM($G86:AM86))*50%,IF(AM$65="입주/잔금",($F86-SUM($G86:AL86))*20%,IF(AO$65=0,0,IF(AO$65="2차중도금",$F86*30%-SUM($G86:AN86),IF(AO$65="3차중도금",$F86*40%-SUM($G86:AN86),IF(AO$65="4차중도금",$F86*50%-SUM($G86:AN86),$F86*10%)))))))+(IF(AO$65="5차중도금",$F86*60%-SUM($G86:AN86)-$F86*10%,IF(AO$65="6차중도금",$F86*70%-SUM($G86:AN86)-$F86*10%,0)))</f>
        <v>0</v>
      </c>
      <c r="AP86" s="605">
        <f>IF(AP$65="입주/잔금",($F86-SUM($G86:AO86))*30%,IF(AO$65="입주/잔금",($F86-SUM($G86:AN86))*50%,IF(AN$65="입주/잔금",($F86-SUM($G86:AM86))*20%,IF(AP$65=0,0,IF(AP$65="2차중도금",$F86*30%-SUM($G86:AO86),IF(AP$65="3차중도금",$F86*40%-SUM($G86:AO86),IF(AP$65="4차중도금",$F86*50%-SUM($G86:AO86),$F86*10%)))))))+(IF(AP$65="5차중도금",$F86*60%-SUM($G86:AO86)-$F86*10%,IF(AP$65="6차중도금",$F86*70%-SUM($G86:AO86)-$F86*10%,0)))</f>
        <v>0</v>
      </c>
      <c r="AQ86" s="605">
        <f>IF(AQ$65="입주/잔금",($F86-SUM($G86:AP86))*30%,IF(AP$65="입주/잔금",($F86-SUM($G86:AO86))*50%,IF(AO$65="입주/잔금",($F86-SUM($G86:AN86))*20%,IF(AQ$65=0,0,IF(AQ$65="2차중도금",$F86*30%-SUM($G86:AP86),IF(AQ$65="3차중도금",$F86*40%-SUM($G86:AP86),IF(AQ$65="4차중도금",$F86*50%-SUM($G86:AP86),$F86*10%)))))))+(IF(AQ$65="5차중도금",$F86*60%-SUM($G86:AP86)-$F86*10%,IF(AQ$65="6차중도금",$F86*70%-SUM($G86:AP86)-$F86*10%,0)))</f>
        <v>0</v>
      </c>
      <c r="AR86" s="605">
        <f>IF(AR$65="입주/잔금",($F86-SUM($G86:AQ86))*30%,IF(AQ$65="입주/잔금",($F86-SUM($G86:AP86))*50%,IF(AP$65="입주/잔금",($F86-SUM($G86:AO86))*20%,IF(AR$65=0,0,IF(AR$65="2차중도금",$F86*30%-SUM($G86:AQ86),IF(AR$65="3차중도금",$F86*40%-SUM($G86:AQ86),IF(AR$65="4차중도금",$F86*50%-SUM($G86:AQ86),$F86*10%)))))))+(IF(AR$65="5차중도금",$F86*60%-SUM($G86:AQ86)-$F86*10%,IF(AR$65="6차중도금",$F86*70%-SUM($G86:AQ86)-$F86*10%,0)))</f>
        <v>0</v>
      </c>
      <c r="AS86" s="605">
        <f>IF(AS$65="입주/잔금",($F86-SUM($G86:AR86))*30%,IF(AR$65="입주/잔금",($F86-SUM($G86:AQ86))*50%,IF(AQ$65="입주/잔금",($F86-SUM($G86:AP86))*20%,IF(AS$65=0,0,IF(AS$65="2차중도금",$F86*30%-SUM($G86:AR86),IF(AS$65="3차중도금",$F86*40%-SUM($G86:AR86),IF(AS$65="4차중도금",$F86*50%-SUM($G86:AR86),$F86*10%)))))))+(IF(AS$65="5차중도금",$F86*60%-SUM($G86:AR86)-$F86*10%,IF(AS$65="6차중도금",$F86*70%-SUM($G86:AR86)-$F86*10%,0)))</f>
        <v>0</v>
      </c>
      <c r="AT86" s="605">
        <f>IF(AT$65="입주/잔금",($F86-SUM($G86:AS86))*30%,IF(AS$65="입주/잔금",($F86-SUM($G86:AR86))*50%,IF(AR$65="입주/잔금",($F86-SUM($G86:AQ86))*20%,IF(AT$65=0,0,IF(AT$65="2차중도금",$F86*30%-SUM($G86:AS86),IF(AT$65="3차중도금",$F86*40%-SUM($G86:AS86),IF(AT$65="4차중도금",$F86*50%-SUM($G86:AS86),$F86*10%)))))))+(IF(AT$65="5차중도금",$F86*60%-SUM($G86:AS86)-$F86*10%,IF(AT$65="6차중도금",$F86*70%-SUM($G86:AS86)-$F86*10%,0)))</f>
        <v>0</v>
      </c>
      <c r="AU86" s="605">
        <f>IF(AU$65="입주/잔금",($F86-SUM($G86:AT86))*30%,IF(AT$65="입주/잔금",($F86-SUM($G86:AS86))*50%,IF(AS$65="입주/잔금",($F86-SUM($G86:AR86))*20%,IF(AU$65=0,0,IF(AU$65="2차중도금",$F86*30%-SUM($G86:AT86),IF(AU$65="3차중도금",$F86*40%-SUM($G86:AT86),IF(AU$65="4차중도금",$F86*50%-SUM($G86:AT86),$F86*10%)))))))+(IF(AU$65="5차중도금",$F86*60%-SUM($G86:AT86)-$F86*10%,IF(AU$65="6차중도금",$F86*70%-SUM($G86:AT86)-$F86*10%,0)))</f>
        <v>0</v>
      </c>
      <c r="AV86" s="605">
        <f>IF(AV$65="입주/잔금",($F86-SUM($G86:AU86))*30%,IF(AU$65="입주/잔금",($F86-SUM($G86:AT86))*50%,IF(AT$65="입주/잔금",($F86-SUM($G86:AS86))*20%,IF(AV$65=0,0,IF(AV$65="2차중도금",$F86*30%-SUM($G86:AU86),IF(AV$65="3차중도금",$F86*40%-SUM($G86:AU86),IF(AV$65="4차중도금",$F86*50%-SUM($G86:AU86),$F86*10%)))))))+(IF(AV$65="5차중도금",$F86*60%-SUM($G86:AU86)-$F86*10%,IF(AV$65="6차중도금",$F86*70%-SUM($G86:AU86)-$F86*10%,0)))</f>
        <v>0</v>
      </c>
      <c r="AW86" s="605">
        <f>IF(AW$65="입주/잔금",($F86-SUM($G86:AV86))*30%,IF(AV$65="입주/잔금",($F86-SUM($G86:AU86))*50%,IF(AU$65="입주/잔금",($F86-SUM($G86:AT86))*20%,IF(AW$65=0,0,IF(AW$65="2차중도금",$F86*30%-SUM($G86:AV86),IF(AW$65="3차중도금",$F86*40%-SUM($G86:AV86),IF(AW$65="4차중도금",$F86*50%-SUM($G86:AV86),$F86*10%)))))))+(IF(AW$65="5차중도금",$F86*60%-SUM($G86:AV86)-$F86*10%,IF(AW$65="6차중도금",$F86*70%-SUM($G86:AV86)-$F86*10%,0)))</f>
        <v>0</v>
      </c>
      <c r="AX86" s="605">
        <f>IF(AX$65="입주/잔금",($F86-SUM($G86:AW86))*30%,IF(AW$65="입주/잔금",($F86-SUM($G86:AV86))*50%,IF(AV$65="입주/잔금",($F86-SUM($G86:AU86))*20%,IF(AX$65=0,0,IF(AX$65="2차중도금",$F86*30%-SUM($G86:AW86),IF(AX$65="3차중도금",$F86*40%-SUM($G86:AW86),IF(AX$65="4차중도금",$F86*50%-SUM($G86:AW86),$F86*10%)))))))+(IF(AX$65="5차중도금",$F86*60%-SUM($G86:AW86)-$F86*10%,IF(AX$65="6차중도금",$F86*70%-SUM($G86:AW86)-$F86*10%,0)))</f>
        <v>0</v>
      </c>
      <c r="AY86" s="605">
        <f>IF(AY$65="입주/잔금",($F86-SUM($G86:AX86))*30%,IF(AX$65="입주/잔금",($F86-SUM($G86:AW86))*50%,IF(AW$65="입주/잔금",($F86-SUM($G86:AV86))*20%,IF(AY$65=0,0,IF(AY$65="2차중도금",$F86*30%-SUM($G86:AX86),IF(AY$65="3차중도금",$F86*40%-SUM($G86:AX86),IF(AY$65="4차중도금",$F86*50%-SUM($G86:AX86),$F86*10%)))))))+(IF(AY$65="5차중도금",$F86*60%-SUM($G86:AX86)-$F86*10%,IF(AY$65="6차중도금",$F86*70%-SUM($G86:AX86)-$F86*10%,0)))</f>
        <v>0</v>
      </c>
      <c r="AZ86" s="605">
        <f>IF(AZ$65="입주/잔금",($F86-SUM($G86:AY86))*30%,IF(AY$65="입주/잔금",($F86-SUM($G86:AX86))*50%,IF(AX$65="입주/잔금",($F86-SUM($G86:AW86))*20%,IF(AZ$65=0,0,IF(AZ$65="2차중도금",$F86*30%-SUM($G86:AY86),IF(AZ$65="3차중도금",$F86*40%-SUM($G86:AY86),IF(AZ$65="4차중도금",$F86*50%-SUM($G86:AY86),$F86*10%)))))))+(IF(AZ$65="5차중도금",$F86*60%-SUM($G86:AY86)-$F86*10%,IF(AZ$65="6차중도금",$F86*70%-SUM($G86:AY86)-$F86*10%,0)))</f>
        <v>0</v>
      </c>
      <c r="BA86" s="605">
        <f>IF(BA$65="입주/잔금",($F86-SUM($G86:AZ86))*30%,IF(AZ$65="입주/잔금",($F86-SUM($G86:AY86))*50%,IF(AY$65="입주/잔금",($F86-SUM($G86:AX86))*20%,IF(BA$65=0,0,IF(BA$65="2차중도금",$F86*30%-SUM($G86:AZ86),IF(BA$65="3차중도금",$F86*40%-SUM($G86:AZ86),IF(BA$65="4차중도금",$F86*50%-SUM($G86:AZ86),$F86*10%)))))))+(IF(BA$65="5차중도금",$F86*60%-SUM($G86:AZ86)-$F86*10%,IF(BA$65="6차중도금",$F86*70%-SUM($G86:AZ86)-$F86*10%,0)))</f>
        <v>0</v>
      </c>
      <c r="BB86" s="605">
        <f>IF(BB$65="입주/잔금",($F86-SUM($G86:BA86))*30%,IF(BA$65="입주/잔금",($F86-SUM($G86:AZ86))*50%,IF(AZ$65="입주/잔금",($F86-SUM($G86:AY86))*20%,IF(BB$65=0,0,IF(BB$65="2차중도금",$F86*30%-SUM($G86:BA86),IF(BB$65="3차중도금",$F86*40%-SUM($G86:BA86),IF(BB$65="4차중도금",$F86*50%-SUM($G86:BA86),$F86*10%)))))))+(IF(BB$65="5차중도금",$F86*60%-SUM($G86:BA86)-$F86*10%,IF(BB$65="6차중도금",$F86*70%-SUM($G86:BA86)-$F86*10%,0)))</f>
        <v>0</v>
      </c>
      <c r="BC86" s="605">
        <f>IF(BC$65="입주/잔금",($F86-SUM($G86:BB86))*30%,IF(BB$65="입주/잔금",($F86-SUM($G86:BA86))*50%,IF(BA$65="입주/잔금",($F86-SUM($G86:AZ86))*20%,IF(BC$65=0,0,IF(BC$65="2차중도금",$F86*30%-SUM($G86:BB86),IF(BC$65="3차중도금",$F86*40%-SUM($G86:BB86),IF(BC$65="4차중도금",$F86*50%-SUM($G86:BB86),$F86*10%)))))))+(IF(BC$65="5차중도금",$F86*60%-SUM($G86:BB86)-$F86*10%,IF(BC$65="6차중도금",$F86*70%-SUM($G86:BB86)-$F86*10%,0)))</f>
        <v>0</v>
      </c>
      <c r="BD86" s="605">
        <f>IF(BD$65="입주/잔금",($F86-SUM($G86:BC86))*30%,IF(BC$65="입주/잔금",($F86-SUM($G86:BB86))*50%,IF(BB$65="입주/잔금",($F86-SUM($G86:BA86))*20%,IF(BD$65=0,0,IF(BD$65="2차중도금",$F86*30%-SUM($G86:BC86),IF(BD$65="3차중도금",$F86*40%-SUM($G86:BC86),IF(BD$65="4차중도금",$F86*50%-SUM($G86:BC86),$F86*10%)))))))+(IF(BD$65="5차중도금",$F86*60%-SUM($G86:BC86)-$F86*10%,IF(BD$65="6차중도금",$F86*70%-SUM($G86:BC86)-$F86*10%,0)))</f>
        <v>0</v>
      </c>
      <c r="BE86" s="605">
        <f>IF(BE$65="입주/잔금",($F86-SUM($G86:BD86))*30%,IF(BD$65="입주/잔금",($F86-SUM($G86:BC86))*50%,IF(BC$65="입주/잔금",($F86-SUM($G86:BB86))*20%,IF(BE$65=0,0,IF(BE$65="2차중도금",$F86*30%-SUM($G86:BD86),IF(BE$65="3차중도금",$F86*40%-SUM($G86:BD86),IF(BE$65="4차중도금",$F86*50%-SUM($G86:BD86),$F86*10%)))))))+(IF(BE$65="5차중도금",$F86*60%-SUM($G86:BD86)-$F86*10%,IF(BE$65="6차중도금",$F86*70%-SUM($G86:BD86)-$F86*10%,0)))</f>
        <v>0</v>
      </c>
      <c r="BF86" s="609">
        <f t="shared" si="30"/>
        <v>0</v>
      </c>
      <c r="BG86" s="556">
        <f t="shared" si="32"/>
        <v>0</v>
      </c>
      <c r="BH86" s="610"/>
    </row>
    <row r="87" spans="1:60">
      <c r="A87" s="1853"/>
      <c r="B87" s="611">
        <f t="shared" si="33"/>
        <v>45474</v>
      </c>
      <c r="C87" s="605">
        <f t="shared" si="34"/>
        <v>157992364.97659996</v>
      </c>
      <c r="D87" s="1501"/>
      <c r="E87" s="607">
        <f t="shared" si="35"/>
        <v>1.0000000000000002</v>
      </c>
      <c r="F87" s="608">
        <f t="shared" si="31"/>
        <v>0</v>
      </c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05"/>
      <c r="AB87" s="605">
        <f>$F87*10%</f>
        <v>0</v>
      </c>
      <c r="AC87" s="605">
        <f>IF(AC$65="입주/잔금",($F87-SUM($G87:AB87))*30%,IF(AB$65="입주/잔금",($F87-SUM($G87:AA87))*50%,IF(AA$65="입주/잔금",($F87-SUM($G87:Z87))*20%,IF(AC$65=0,0,IF(AC$65="2차중도금",$F87*30%-SUM($G87:AB87),IF(AC$65="3차중도금",$F87*40%-SUM($G87:AB87),IF(AC$65="4차중도금",$F87*50%-SUM($G87:AB87),$F87*10%)))))))+(IF(AC$65="5차중도금",$F87*60%-SUM($G87:AB87)-$F87*10%,IF(AC$65="6차중도금",$F87*70%-SUM($G87:AB87)-$F87*10%,0)))</f>
        <v>0</v>
      </c>
      <c r="AD87" s="605">
        <f>IF(AD$65="입주/잔금",($F87-SUM($G87:AC87))*30%,IF(AC$65="입주/잔금",($F87-SUM($G87:AB87))*50%,IF(AB$65="입주/잔금",($F87-SUM($G87:AA87))*20%,IF(AD$65=0,0,IF(AD$65="2차중도금",$F87*30%-SUM($G87:AC87),IF(AD$65="3차중도금",$F87*40%-SUM($G87:AC87),IF(AD$65="4차중도금",$F87*50%-SUM($G87:AC87),$F87*10%)))))))+(IF(AD$65="5차중도금",$F87*60%-SUM($G87:AC87)-$F87*10%,IF(AD$65="6차중도금",$F87*70%-SUM($G87:AC87)-$F87*10%,0)))</f>
        <v>0</v>
      </c>
      <c r="AE87" s="605">
        <f>IF(AE$65="입주/잔금",($F87-SUM($G87:AD87))*30%,IF(AD$65="입주/잔금",($F87-SUM($G87:AC87))*50%,IF(AC$65="입주/잔금",($F87-SUM($G87:AB87))*20%,IF(AE$65=0,0,IF(AE$65="2차중도금",$F87*30%-SUM($G87:AD87),IF(AE$65="3차중도금",$F87*40%-SUM($G87:AD87),IF(AE$65="4차중도금",$F87*50%-SUM($G87:AD87),$F87*10%)))))))+(IF(AE$65="5차중도금",$F87*60%-SUM($G87:AD87)-$F87*10%,IF(AE$65="6차중도금",$F87*70%-SUM($G87:AD87)-$F87*10%,0)))</f>
        <v>0</v>
      </c>
      <c r="AF87" s="605">
        <f>IF(AF$65="입주/잔금",($F87-SUM($G87:AE87))*30%,IF(AE$65="입주/잔금",($F87-SUM($G87:AD87))*50%,IF(AD$65="입주/잔금",($F87-SUM($G87:AC87))*20%,IF(AF$65=0,0,IF(AF$65="2차중도금",$F87*30%-SUM($G87:AE87),IF(AF$65="3차중도금",$F87*40%-SUM($G87:AE87),IF(AF$65="4차중도금",$F87*50%-SUM($G87:AE87),$F87*10%)))))))+(IF(AF$65="5차중도금",$F87*60%-SUM($G87:AE87)-$F87*10%,IF(AF$65="6차중도금",$F87*70%-SUM($G87:AE87)-$F87*10%,0)))</f>
        <v>0</v>
      </c>
      <c r="AG87" s="605">
        <f>IF(AG$65="입주/잔금",($F87-SUM($G87:AF87))*30%,IF(AF$65="입주/잔금",($F87-SUM($G87:AE87))*50%,IF(AE$65="입주/잔금",($F87-SUM($G87:AD87))*20%,IF(AG$65=0,0,IF(AG$65="2차중도금",$F87*30%-SUM($G87:AF87),IF(AG$65="3차중도금",$F87*40%-SUM($G87:AF87),IF(AG$65="4차중도금",$F87*50%-SUM($G87:AF87),$F87*10%)))))))+(IF(AG$65="5차중도금",$F87*60%-SUM($G87:AF87)-$F87*10%,IF(AG$65="6차중도금",$F87*70%-SUM($G87:AF87)-$F87*10%,0)))</f>
        <v>0</v>
      </c>
      <c r="AH87" s="605">
        <f>IF(AH$65="입주/잔금",($F87-SUM($G87:AG87))*30%,IF(AG$65="입주/잔금",($F87-SUM($G87:AF87))*50%,IF(AF$65="입주/잔금",($F87-SUM($G87:AE87))*20%,IF(AH$65=0,0,IF(AH$65="2차중도금",$F87*30%-SUM($G87:AG87),IF(AH$65="3차중도금",$F87*40%-SUM($G87:AG87),IF(AH$65="4차중도금",$F87*50%-SUM($G87:AG87),$F87*10%)))))))+(IF(AH$65="5차중도금",$F87*60%-SUM($G87:AG87)-$F87*10%,IF(AH$65="6차중도금",$F87*70%-SUM($G87:AG87)-$F87*10%,0)))</f>
        <v>0</v>
      </c>
      <c r="AI87" s="605">
        <f>IF(AI$65="입주/잔금",($F87-SUM($G87:AH87))*30%,IF(AH$65="입주/잔금",($F87-SUM($G87:AG87))*50%,IF(AG$65="입주/잔금",($F87-SUM($G87:AF87))*20%,IF(AI$65=0,0,IF(AI$65="2차중도금",$F87*30%-SUM($G87:AH87),IF(AI$65="3차중도금",$F87*40%-SUM($G87:AH87),IF(AI$65="4차중도금",$F87*50%-SUM($G87:AH87),$F87*10%)))))))+(IF(AI$65="5차중도금",$F87*60%-SUM($G87:AH87)-$F87*10%,IF(AI$65="6차중도금",$F87*70%-SUM($G87:AH87)-$F87*10%,0)))</f>
        <v>0</v>
      </c>
      <c r="AJ87" s="605">
        <f>IF(AJ$65="입주/잔금",($F87-SUM($G87:AI87))*30%,IF(AI$65="입주/잔금",($F87-SUM($G87:AH87))*50%,IF(AH$65="입주/잔금",($F87-SUM($G87:AG87))*20%,IF(AJ$65=0,0,IF(AJ$65="2차중도금",$F87*30%-SUM($G87:AI87),IF(AJ$65="3차중도금",$F87*40%-SUM($G87:AI87),IF(AJ$65="4차중도금",$F87*50%-SUM($G87:AI87),$F87*10%)))))))+(IF(AJ$65="5차중도금",$F87*60%-SUM($G87:AI87)-$F87*10%,IF(AJ$65="6차중도금",$F87*70%-SUM($G87:AI87)-$F87*10%,0)))</f>
        <v>0</v>
      </c>
      <c r="AK87" s="605">
        <f>IF(AK$65="입주/잔금",($F87-SUM($G87:AJ87))*30%,IF(AJ$65="입주/잔금",($F87-SUM($G87:AI87))*50%,IF(AI$65="입주/잔금",($F87-SUM($G87:AH87))*20%,IF(AK$65=0,0,IF(AK$65="2차중도금",$F87*30%-SUM($G87:AJ87),IF(AK$65="3차중도금",$F87*40%-SUM($G87:AJ87),IF(AK$65="4차중도금",$F87*50%-SUM($G87:AJ87),$F87*10%)))))))+(IF(AK$65="5차중도금",$F87*60%-SUM($G87:AJ87)-$F87*10%,IF(AK$65="6차중도금",$F87*70%-SUM($G87:AJ87)-$F87*10%,0)))</f>
        <v>0</v>
      </c>
      <c r="AL87" s="605">
        <f>IF(AL$65="입주/잔금",($F87-SUM($G87:AK87))*30%,IF(AK$65="입주/잔금",($F87-SUM($G87:AJ87))*50%,IF(AJ$65="입주/잔금",($F87-SUM($G87:AI87))*20%,IF(AL$65=0,0,IF(AL$65="2차중도금",$F87*30%-SUM($G87:AK87),IF(AL$65="3차중도금",$F87*40%-SUM($G87:AK87),IF(AL$65="4차중도금",$F87*50%-SUM($G87:AK87),$F87*10%)))))))+(IF(AL$65="5차중도금",$F87*60%-SUM($G87:AK87)-$F87*10%,IF(AL$65="6차중도금",$F87*70%-SUM($G87:AK87)-$F87*10%,0)))</f>
        <v>0</v>
      </c>
      <c r="AM87" s="605">
        <f>IF(AM$65="입주/잔금",($F87-SUM($G87:AL87))*30%,IF(AL$65="입주/잔금",($F87-SUM($G87:AK87))*50%,IF(AK$65="입주/잔금",($F87-SUM($G87:AJ87))*20%,IF(AM$65=0,0,IF(AM$65="2차중도금",$F87*30%-SUM($G87:AL87),IF(AM$65="3차중도금",$F87*40%-SUM($G87:AL87),IF(AM$65="4차중도금",$F87*50%-SUM($G87:AL87),$F87*10%)))))))+(IF(AM$65="5차중도금",$F87*60%-SUM($G87:AL87)-$F87*10%,IF(AM$65="6차중도금",$F87*70%-SUM($G87:AL87)-$F87*10%,0)))</f>
        <v>0</v>
      </c>
      <c r="AN87" s="605">
        <f>IF(AN$65="입주/잔금",($F87-SUM($G87:AM87))*30%,IF(AM$65="입주/잔금",($F87-SUM($G87:AL87))*50%,IF(AL$65="입주/잔금",($F87-SUM($G87:AK87))*20%,IF(AN$65=0,0,IF(AN$65="2차중도금",$F87*30%-SUM($G87:AM87),IF(AN$65="3차중도금",$F87*40%-SUM($G87:AM87),IF(AN$65="4차중도금",$F87*50%-SUM($G87:AM87),$F87*10%)))))))+(IF(AN$65="5차중도금",$F87*60%-SUM($G87:AM87)-$F87*10%,IF(AN$65="6차중도금",$F87*70%-SUM($G87:AM87)-$F87*10%,0)))</f>
        <v>0</v>
      </c>
      <c r="AO87" s="605">
        <f>IF(AO$65="입주/잔금",($F87-SUM($G87:AN87))*30%,IF(AN$65="입주/잔금",($F87-SUM($G87:AM87))*50%,IF(AM$65="입주/잔금",($F87-SUM($G87:AL87))*20%,IF(AO$65=0,0,IF(AO$65="2차중도금",$F87*30%-SUM($G87:AN87),IF(AO$65="3차중도금",$F87*40%-SUM($G87:AN87),IF(AO$65="4차중도금",$F87*50%-SUM($G87:AN87),$F87*10%)))))))+(IF(AO$65="5차중도금",$F87*60%-SUM($G87:AN87)-$F87*10%,IF(AO$65="6차중도금",$F87*70%-SUM($G87:AN87)-$F87*10%,0)))</f>
        <v>0</v>
      </c>
      <c r="AP87" s="605">
        <f>IF(AP$65="입주/잔금",($F87-SUM($G87:AO87))*30%,IF(AO$65="입주/잔금",($F87-SUM($G87:AN87))*50%,IF(AN$65="입주/잔금",($F87-SUM($G87:AM87))*20%,IF(AP$65=0,0,IF(AP$65="2차중도금",$F87*30%-SUM($G87:AO87),IF(AP$65="3차중도금",$F87*40%-SUM($G87:AO87),IF(AP$65="4차중도금",$F87*50%-SUM($G87:AO87),$F87*10%)))))))+(IF(AP$65="5차중도금",$F87*60%-SUM($G87:AO87)-$F87*10%,IF(AP$65="6차중도금",$F87*70%-SUM($G87:AO87)-$F87*10%,0)))</f>
        <v>0</v>
      </c>
      <c r="AQ87" s="605">
        <f>IF(AQ$65="입주/잔금",($F87-SUM($G87:AP87))*30%,IF(AP$65="입주/잔금",($F87-SUM($G87:AO87))*50%,IF(AO$65="입주/잔금",($F87-SUM($G87:AN87))*20%,IF(AQ$65=0,0,IF(AQ$65="2차중도금",$F87*30%-SUM($G87:AP87),IF(AQ$65="3차중도금",$F87*40%-SUM($G87:AP87),IF(AQ$65="4차중도금",$F87*50%-SUM($G87:AP87),$F87*10%)))))))+(IF(AQ$65="5차중도금",$F87*60%-SUM($G87:AP87)-$F87*10%,IF(AQ$65="6차중도금",$F87*70%-SUM($G87:AP87)-$F87*10%,0)))</f>
        <v>0</v>
      </c>
      <c r="AR87" s="605">
        <f>IF(AR$65="입주/잔금",($F87-SUM($G87:AQ87))*30%,IF(AQ$65="입주/잔금",($F87-SUM($G87:AP87))*50%,IF(AP$65="입주/잔금",($F87-SUM($G87:AO87))*20%,IF(AR$65=0,0,IF(AR$65="2차중도금",$F87*30%-SUM($G87:AQ87),IF(AR$65="3차중도금",$F87*40%-SUM($G87:AQ87),IF(AR$65="4차중도금",$F87*50%-SUM($G87:AQ87),$F87*10%)))))))+(IF(AR$65="5차중도금",$F87*60%-SUM($G87:AQ87)-$F87*10%,IF(AR$65="6차중도금",$F87*70%-SUM($G87:AQ87)-$F87*10%,0)))</f>
        <v>0</v>
      </c>
      <c r="AS87" s="605">
        <f>IF(AS$65="입주/잔금",($F87-SUM($G87:AR87))*30%,IF(AR$65="입주/잔금",($F87-SUM($G87:AQ87))*50%,IF(AQ$65="입주/잔금",($F87-SUM($G87:AP87))*20%,IF(AS$65=0,0,IF(AS$65="2차중도금",$F87*30%-SUM($G87:AR87),IF(AS$65="3차중도금",$F87*40%-SUM($G87:AR87),IF(AS$65="4차중도금",$F87*50%-SUM($G87:AR87),$F87*10%)))))))+(IF(AS$65="5차중도금",$F87*60%-SUM($G87:AR87)-$F87*10%,IF(AS$65="6차중도금",$F87*70%-SUM($G87:AR87)-$F87*10%,0)))</f>
        <v>0</v>
      </c>
      <c r="AT87" s="605">
        <f>IF(AT$65="입주/잔금",($F87-SUM($G87:AS87))*30%,IF(AS$65="입주/잔금",($F87-SUM($G87:AR87))*50%,IF(AR$65="입주/잔금",($F87-SUM($G87:AQ87))*20%,IF(AT$65=0,0,IF(AT$65="2차중도금",$F87*30%-SUM($G87:AS87),IF(AT$65="3차중도금",$F87*40%-SUM($G87:AS87),IF(AT$65="4차중도금",$F87*50%-SUM($G87:AS87),$F87*10%)))))))+(IF(AT$65="5차중도금",$F87*60%-SUM($G87:AS87)-$F87*10%,IF(AT$65="6차중도금",$F87*70%-SUM($G87:AS87)-$F87*10%,0)))</f>
        <v>0</v>
      </c>
      <c r="AU87" s="605">
        <f>IF(AU$65="입주/잔금",($F87-SUM($G87:AT87))*30%,IF(AT$65="입주/잔금",($F87-SUM($G87:AS87))*50%,IF(AS$65="입주/잔금",($F87-SUM($G87:AR87))*20%,IF(AU$65=0,0,IF(AU$65="2차중도금",$F87*30%-SUM($G87:AT87),IF(AU$65="3차중도금",$F87*40%-SUM($G87:AT87),IF(AU$65="4차중도금",$F87*50%-SUM($G87:AT87),$F87*10%)))))))+(IF(AU$65="5차중도금",$F87*60%-SUM($G87:AT87)-$F87*10%,IF(AU$65="6차중도금",$F87*70%-SUM($G87:AT87)-$F87*10%,0)))</f>
        <v>0</v>
      </c>
      <c r="AV87" s="605">
        <f>IF(AV$65="입주/잔금",($F87-SUM($G87:AU87))*30%,IF(AU$65="입주/잔금",($F87-SUM($G87:AT87))*50%,IF(AT$65="입주/잔금",($F87-SUM($G87:AS87))*20%,IF(AV$65=0,0,IF(AV$65="2차중도금",$F87*30%-SUM($G87:AU87),IF(AV$65="3차중도금",$F87*40%-SUM($G87:AU87),IF(AV$65="4차중도금",$F87*50%-SUM($G87:AU87),$F87*10%)))))))+(IF(AV$65="5차중도금",$F87*60%-SUM($G87:AU87)-$F87*10%,IF(AV$65="6차중도금",$F87*70%-SUM($G87:AU87)-$F87*10%,0)))</f>
        <v>0</v>
      </c>
      <c r="AW87" s="605">
        <f>IF(AW$65="입주/잔금",($F87-SUM($G87:AV87))*30%,IF(AV$65="입주/잔금",($F87-SUM($G87:AU87))*50%,IF(AU$65="입주/잔금",($F87-SUM($G87:AT87))*20%,IF(AW$65=0,0,IF(AW$65="2차중도금",$F87*30%-SUM($G87:AV87),IF(AW$65="3차중도금",$F87*40%-SUM($G87:AV87),IF(AW$65="4차중도금",$F87*50%-SUM($G87:AV87),$F87*10%)))))))+(IF(AW$65="5차중도금",$F87*60%-SUM($G87:AV87)-$F87*10%,IF(AW$65="6차중도금",$F87*70%-SUM($G87:AV87)-$F87*10%,0)))</f>
        <v>0</v>
      </c>
      <c r="AX87" s="605">
        <f>IF(AX$65="입주/잔금",($F87-SUM($G87:AW87))*30%,IF(AW$65="입주/잔금",($F87-SUM($G87:AV87))*50%,IF(AV$65="입주/잔금",($F87-SUM($G87:AU87))*20%,IF(AX$65=0,0,IF(AX$65="2차중도금",$F87*30%-SUM($G87:AW87),IF(AX$65="3차중도금",$F87*40%-SUM($G87:AW87),IF(AX$65="4차중도금",$F87*50%-SUM($G87:AW87),$F87*10%)))))))+(IF(AX$65="5차중도금",$F87*60%-SUM($G87:AW87)-$F87*10%,IF(AX$65="6차중도금",$F87*70%-SUM($G87:AW87)-$F87*10%,0)))</f>
        <v>0</v>
      </c>
      <c r="AY87" s="605">
        <f>IF(AY$65="입주/잔금",($F87-SUM($G87:AX87))*30%,IF(AX$65="입주/잔금",($F87-SUM($G87:AW87))*50%,IF(AW$65="입주/잔금",($F87-SUM($G87:AV87))*20%,IF(AY$65=0,0,IF(AY$65="2차중도금",$F87*30%-SUM($G87:AX87),IF(AY$65="3차중도금",$F87*40%-SUM($G87:AX87),IF(AY$65="4차중도금",$F87*50%-SUM($G87:AX87),$F87*10%)))))))+(IF(AY$65="5차중도금",$F87*60%-SUM($G87:AX87)-$F87*10%,IF(AY$65="6차중도금",$F87*70%-SUM($G87:AX87)-$F87*10%,0)))</f>
        <v>0</v>
      </c>
      <c r="AZ87" s="605">
        <f>IF(AZ$65="입주/잔금",($F87-SUM($G87:AY87))*30%,IF(AY$65="입주/잔금",($F87-SUM($G87:AX87))*50%,IF(AX$65="입주/잔금",($F87-SUM($G87:AW87))*20%,IF(AZ$65=0,0,IF(AZ$65="2차중도금",$F87*30%-SUM($G87:AY87),IF(AZ$65="3차중도금",$F87*40%-SUM($G87:AY87),IF(AZ$65="4차중도금",$F87*50%-SUM($G87:AY87),$F87*10%)))))))+(IF(AZ$65="5차중도금",$F87*60%-SUM($G87:AY87)-$F87*10%,IF(AZ$65="6차중도금",$F87*70%-SUM($G87:AY87)-$F87*10%,0)))</f>
        <v>0</v>
      </c>
      <c r="BA87" s="605">
        <f>IF(BA$65="입주/잔금",($F87-SUM($G87:AZ87))*30%,IF(AZ$65="입주/잔금",($F87-SUM($G87:AY87))*50%,IF(AY$65="입주/잔금",($F87-SUM($G87:AX87))*20%,IF(BA$65=0,0,IF(BA$65="2차중도금",$F87*30%-SUM($G87:AZ87),IF(BA$65="3차중도금",$F87*40%-SUM($G87:AZ87),IF(BA$65="4차중도금",$F87*50%-SUM($G87:AZ87),$F87*10%)))))))+(IF(BA$65="5차중도금",$F87*60%-SUM($G87:AZ87)-$F87*10%,IF(BA$65="6차중도금",$F87*70%-SUM($G87:AZ87)-$F87*10%,0)))</f>
        <v>0</v>
      </c>
      <c r="BB87" s="605">
        <f>IF(BB$65="입주/잔금",($F87-SUM($G87:BA87))*30%,IF(BA$65="입주/잔금",($F87-SUM($G87:AZ87))*50%,IF(AZ$65="입주/잔금",($F87-SUM($G87:AY87))*20%,IF(BB$65=0,0,IF(BB$65="2차중도금",$F87*30%-SUM($G87:BA87),IF(BB$65="3차중도금",$F87*40%-SUM($G87:BA87),IF(BB$65="4차중도금",$F87*50%-SUM($G87:BA87),$F87*10%)))))))+(IF(BB$65="5차중도금",$F87*60%-SUM($G87:BA87)-$F87*10%,IF(BB$65="6차중도금",$F87*70%-SUM($G87:BA87)-$F87*10%,0)))</f>
        <v>0</v>
      </c>
      <c r="BC87" s="605">
        <f>IF(BC$65="입주/잔금",($F87-SUM($G87:BB87))*30%,IF(BB$65="입주/잔금",($F87-SUM($G87:BA87))*50%,IF(BA$65="입주/잔금",($F87-SUM($G87:AZ87))*20%,IF(BC$65=0,0,IF(BC$65="2차중도금",$F87*30%-SUM($G87:BB87),IF(BC$65="3차중도금",$F87*40%-SUM($G87:BB87),IF(BC$65="4차중도금",$F87*50%-SUM($G87:BB87),$F87*10%)))))))+(IF(BC$65="5차중도금",$F87*60%-SUM($G87:BB87)-$F87*10%,IF(BC$65="6차중도금",$F87*70%-SUM($G87:BB87)-$F87*10%,0)))</f>
        <v>0</v>
      </c>
      <c r="BD87" s="605">
        <f>IF(BD$65="입주/잔금",($F87-SUM($G87:BC87))*30%,IF(BC$65="입주/잔금",($F87-SUM($G87:BB87))*50%,IF(BB$65="입주/잔금",($F87-SUM($G87:BA87))*20%,IF(BD$65=0,0,IF(BD$65="2차중도금",$F87*30%-SUM($G87:BC87),IF(BD$65="3차중도금",$F87*40%-SUM($G87:BC87),IF(BD$65="4차중도금",$F87*50%-SUM($G87:BC87),$F87*10%)))))))+(IF(BD$65="5차중도금",$F87*60%-SUM($G87:BC87)-$F87*10%,IF(BD$65="6차중도금",$F87*70%-SUM($G87:BC87)-$F87*10%,0)))</f>
        <v>0</v>
      </c>
      <c r="BE87" s="605">
        <f>IF(BE$65="입주/잔금",($F87-SUM($G87:BD87))*30%,IF(BD$65="입주/잔금",($F87-SUM($G87:BC87))*50%,IF(BC$65="입주/잔금",($F87-SUM($G87:BB87))*20%,IF(BE$65=0,0,IF(BE$65="2차중도금",$F87*30%-SUM($G87:BD87),IF(BE$65="3차중도금",$F87*40%-SUM($G87:BD87),IF(BE$65="4차중도금",$F87*50%-SUM($G87:BD87),$F87*10%)))))))+(IF(BE$65="5차중도금",$F87*60%-SUM($G87:BD87)-$F87*10%,IF(BE$65="6차중도금",$F87*70%-SUM($G87:BD87)-$F87*10%,0)))</f>
        <v>0</v>
      </c>
      <c r="BF87" s="609">
        <f t="shared" si="30"/>
        <v>0</v>
      </c>
      <c r="BG87" s="556">
        <f t="shared" si="32"/>
        <v>0</v>
      </c>
      <c r="BH87" s="610"/>
    </row>
    <row r="88" spans="1:60">
      <c r="A88" s="1853"/>
      <c r="B88" s="613">
        <f t="shared" si="33"/>
        <v>45505</v>
      </c>
      <c r="C88" s="605">
        <f t="shared" si="34"/>
        <v>157992364.97659996</v>
      </c>
      <c r="D88" s="1501"/>
      <c r="E88" s="607">
        <f t="shared" si="35"/>
        <v>1.0000000000000002</v>
      </c>
      <c r="F88" s="608">
        <f t="shared" si="31"/>
        <v>0</v>
      </c>
      <c r="G88" s="605"/>
      <c r="H88" s="605"/>
      <c r="I88" s="605"/>
      <c r="J88" s="605"/>
      <c r="K88" s="605"/>
      <c r="L88" s="605"/>
      <c r="M88" s="605"/>
      <c r="N88" s="605"/>
      <c r="O88" s="605"/>
      <c r="P88" s="605"/>
      <c r="Q88" s="605"/>
      <c r="R88" s="605"/>
      <c r="S88" s="605"/>
      <c r="T88" s="605"/>
      <c r="U88" s="605"/>
      <c r="V88" s="605"/>
      <c r="W88" s="605"/>
      <c r="X88" s="605"/>
      <c r="Y88" s="605"/>
      <c r="Z88" s="605"/>
      <c r="AA88" s="605"/>
      <c r="AB88" s="605"/>
      <c r="AC88" s="605">
        <f>$F88*10%</f>
        <v>0</v>
      </c>
      <c r="AD88" s="605">
        <f>IF(AD$65="입주/잔금",($F88-SUM($G88:AC88))*30%,IF(AC$65="입주/잔금",($F88-SUM($G88:AB88))*50%,IF(AB$65="입주/잔금",($F88-SUM($G88:AA88))*20%,IF(AD$65=0,0,IF(AD$65="2차중도금",$F88*30%-SUM($G88:AC88),IF(AD$65="3차중도금",$F88*40%-SUM($G88:AC88),IF(AD$65="4차중도금",$F88*50%-SUM($G88:AC88),$F88*10%)))))))+(IF(AD$65="5차중도금",$F88*60%-SUM($G88:AC88)-$F88*10%,IF(AD$65="6차중도금",$F88*70%-SUM($G88:AC88)-$F88*10%,0)))</f>
        <v>0</v>
      </c>
      <c r="AE88" s="605">
        <f>IF(AE$65="입주/잔금",($F88-SUM($G88:AD88))*30%,IF(AD$65="입주/잔금",($F88-SUM($G88:AC88))*50%,IF(AC$65="입주/잔금",($F88-SUM($G88:AB88))*20%,IF(AE$65=0,0,IF(AE$65="2차중도금",$F88*30%-SUM($G88:AD88),IF(AE$65="3차중도금",$F88*40%-SUM($G88:AD88),IF(AE$65="4차중도금",$F88*50%-SUM($G88:AD88),$F88*10%)))))))+(IF(AE$65="5차중도금",$F88*60%-SUM($G88:AD88)-$F88*10%,IF(AE$65="6차중도금",$F88*70%-SUM($G88:AD88)-$F88*10%,0)))</f>
        <v>0</v>
      </c>
      <c r="AF88" s="605">
        <f>IF(AF$65="입주/잔금",($F88-SUM($G88:AE88))*30%,IF(AE$65="입주/잔금",($F88-SUM($G88:AD88))*50%,IF(AD$65="입주/잔금",($F88-SUM($G88:AC88))*20%,IF(AF$65=0,0,IF(AF$65="2차중도금",$F88*30%-SUM($G88:AE88),IF(AF$65="3차중도금",$F88*40%-SUM($G88:AE88),IF(AF$65="4차중도금",$F88*50%-SUM($G88:AE88),$F88*10%)))))))+(IF(AF$65="5차중도금",$F88*60%-SUM($G88:AE88)-$F88*10%,IF(AF$65="6차중도금",$F88*70%-SUM($G88:AE88)-$F88*10%,0)))</f>
        <v>0</v>
      </c>
      <c r="AG88" s="605">
        <f>IF(AG$65="입주/잔금",($F88-SUM($G88:AF88))*30%,IF(AF$65="입주/잔금",($F88-SUM($G88:AE88))*50%,IF(AE$65="입주/잔금",($F88-SUM($G88:AD88))*20%,IF(AG$65=0,0,IF(AG$65="2차중도금",$F88*30%-SUM($G88:AF88),IF(AG$65="3차중도금",$F88*40%-SUM($G88:AF88),IF(AG$65="4차중도금",$F88*50%-SUM($G88:AF88),$F88*10%)))))))+(IF(AG$65="5차중도금",$F88*60%-SUM($G88:AF88)-$F88*10%,IF(AG$65="6차중도금",$F88*70%-SUM($G88:AF88)-$F88*10%,0)))</f>
        <v>0</v>
      </c>
      <c r="AH88" s="605">
        <f>IF(AH$65="입주/잔금",($F88-SUM($G88:AG88))*30%,IF(AG$65="입주/잔금",($F88-SUM($G88:AF88))*50%,IF(AF$65="입주/잔금",($F88-SUM($G88:AE88))*20%,IF(AH$65=0,0,IF(AH$65="2차중도금",$F88*30%-SUM($G88:AG88),IF(AH$65="3차중도금",$F88*40%-SUM($G88:AG88),IF(AH$65="4차중도금",$F88*50%-SUM($G88:AG88),$F88*10%)))))))+(IF(AH$65="5차중도금",$F88*60%-SUM($G88:AG88)-$F88*10%,IF(AH$65="6차중도금",$F88*70%-SUM($G88:AG88)-$F88*10%,0)))</f>
        <v>0</v>
      </c>
      <c r="AI88" s="605">
        <f>IF(AI$65="입주/잔금",($F88-SUM($G88:AH88))*30%,IF(AH$65="입주/잔금",($F88-SUM($G88:AG88))*50%,IF(AG$65="입주/잔금",($F88-SUM($G88:AF88))*20%,IF(AI$65=0,0,IF(AI$65="2차중도금",$F88*30%-SUM($G88:AH88),IF(AI$65="3차중도금",$F88*40%-SUM($G88:AH88),IF(AI$65="4차중도금",$F88*50%-SUM($G88:AH88),$F88*10%)))))))+(IF(AI$65="5차중도금",$F88*60%-SUM($G88:AH88)-$F88*10%,IF(AI$65="6차중도금",$F88*70%-SUM($G88:AH88)-$F88*10%,0)))</f>
        <v>0</v>
      </c>
      <c r="AJ88" s="605">
        <f>IF(AJ$65="입주/잔금",($F88-SUM($G88:AI88))*30%,IF(AI$65="입주/잔금",($F88-SUM($G88:AH88))*50%,IF(AH$65="입주/잔금",($F88-SUM($G88:AG88))*20%,IF(AJ$65=0,0,IF(AJ$65="2차중도금",$F88*30%-SUM($G88:AI88),IF(AJ$65="3차중도금",$F88*40%-SUM($G88:AI88),IF(AJ$65="4차중도금",$F88*50%-SUM($G88:AI88),$F88*10%)))))))+(IF(AJ$65="5차중도금",$F88*60%-SUM($G88:AI88)-$F88*10%,IF(AJ$65="6차중도금",$F88*70%-SUM($G88:AI88)-$F88*10%,0)))</f>
        <v>0</v>
      </c>
      <c r="AK88" s="605">
        <f>IF(AK$65="입주/잔금",($F88-SUM($G88:AJ88))*30%,IF(AJ$65="입주/잔금",($F88-SUM($G88:AI88))*50%,IF(AI$65="입주/잔금",($F88-SUM($G88:AH88))*20%,IF(AK$65=0,0,IF(AK$65="2차중도금",$F88*30%-SUM($G88:AJ88),IF(AK$65="3차중도금",$F88*40%-SUM($G88:AJ88),IF(AK$65="4차중도금",$F88*50%-SUM($G88:AJ88),$F88*10%)))))))+(IF(AK$65="5차중도금",$F88*60%-SUM($G88:AJ88)-$F88*10%,IF(AK$65="6차중도금",$F88*70%-SUM($G88:AJ88)-$F88*10%,0)))</f>
        <v>0</v>
      </c>
      <c r="AL88" s="605">
        <f>IF(AL$65="입주/잔금",($F88-SUM($G88:AK88))*30%,IF(AK$65="입주/잔금",($F88-SUM($G88:AJ88))*50%,IF(AJ$65="입주/잔금",($F88-SUM($G88:AI88))*20%,IF(AL$65=0,0,IF(AL$65="2차중도금",$F88*30%-SUM($G88:AK88),IF(AL$65="3차중도금",$F88*40%-SUM($G88:AK88),IF(AL$65="4차중도금",$F88*50%-SUM($G88:AK88),$F88*10%)))))))+(IF(AL$65="5차중도금",$F88*60%-SUM($G88:AK88)-$F88*10%,IF(AL$65="6차중도금",$F88*70%-SUM($G88:AK88)-$F88*10%,0)))</f>
        <v>0</v>
      </c>
      <c r="AM88" s="605">
        <f>IF(AM$65="입주/잔금",($F88-SUM($G88:AL88))*30%,IF(AL$65="입주/잔금",($F88-SUM($G88:AK88))*50%,IF(AK$65="입주/잔금",($F88-SUM($G88:AJ88))*20%,IF(AM$65=0,0,IF(AM$65="2차중도금",$F88*30%-SUM($G88:AL88),IF(AM$65="3차중도금",$F88*40%-SUM($G88:AL88),IF(AM$65="4차중도금",$F88*50%-SUM($G88:AL88),$F88*10%)))))))+(IF(AM$65="5차중도금",$F88*60%-SUM($G88:AL88)-$F88*10%,IF(AM$65="6차중도금",$F88*70%-SUM($G88:AL88)-$F88*10%,0)))</f>
        <v>0</v>
      </c>
      <c r="AN88" s="605">
        <f>IF(AN$65="입주/잔금",($F88-SUM($G88:AM88))*30%,IF(AM$65="입주/잔금",($F88-SUM($G88:AL88))*50%,IF(AL$65="입주/잔금",($F88-SUM($G88:AK88))*20%,IF(AN$65=0,0,IF(AN$65="2차중도금",$F88*30%-SUM($G88:AM88),IF(AN$65="3차중도금",$F88*40%-SUM($G88:AM88),IF(AN$65="4차중도금",$F88*50%-SUM($G88:AM88),$F88*10%)))))))+(IF(AN$65="5차중도금",$F88*60%-SUM($G88:AM88)-$F88*10%,IF(AN$65="6차중도금",$F88*70%-SUM($G88:AM88)-$F88*10%,0)))</f>
        <v>0</v>
      </c>
      <c r="AO88" s="605">
        <f>IF(AO$65="입주/잔금",($F88-SUM($G88:AN88))*30%,IF(AN$65="입주/잔금",($F88-SUM($G88:AM88))*50%,IF(AM$65="입주/잔금",($F88-SUM($G88:AL88))*20%,IF(AO$65=0,0,IF(AO$65="2차중도금",$F88*30%-SUM($G88:AN88),IF(AO$65="3차중도금",$F88*40%-SUM($G88:AN88),IF(AO$65="4차중도금",$F88*50%-SUM($G88:AN88),$F88*10%)))))))+(IF(AO$65="5차중도금",$F88*60%-SUM($G88:AN88)-$F88*10%,IF(AO$65="6차중도금",$F88*70%-SUM($G88:AN88)-$F88*10%,0)))</f>
        <v>0</v>
      </c>
      <c r="AP88" s="605">
        <f>IF(AP$65="입주/잔금",($F88-SUM($G88:AO88))*30%,IF(AO$65="입주/잔금",($F88-SUM($G88:AN88))*50%,IF(AN$65="입주/잔금",($F88-SUM($G88:AM88))*20%,IF(AP$65=0,0,IF(AP$65="2차중도금",$F88*30%-SUM($G88:AO88),IF(AP$65="3차중도금",$F88*40%-SUM($G88:AO88),IF(AP$65="4차중도금",$F88*50%-SUM($G88:AO88),$F88*10%)))))))+(IF(AP$65="5차중도금",$F88*60%-SUM($G88:AO88)-$F88*10%,IF(AP$65="6차중도금",$F88*70%-SUM($G88:AO88)-$F88*10%,0)))</f>
        <v>0</v>
      </c>
      <c r="AQ88" s="605">
        <f>IF(AQ$65="입주/잔금",($F88-SUM($G88:AP88))*30%,IF(AP$65="입주/잔금",($F88-SUM($G88:AO88))*50%,IF(AO$65="입주/잔금",($F88-SUM($G88:AN88))*20%,IF(AQ$65=0,0,IF(AQ$65="2차중도금",$F88*30%-SUM($G88:AP88),IF(AQ$65="3차중도금",$F88*40%-SUM($G88:AP88),IF(AQ$65="4차중도금",$F88*50%-SUM($G88:AP88),$F88*10%)))))))+(IF(AQ$65="5차중도금",$F88*60%-SUM($G88:AP88)-$F88*10%,IF(AQ$65="6차중도금",$F88*70%-SUM($G88:AP88)-$F88*10%,0)))</f>
        <v>0</v>
      </c>
      <c r="AR88" s="605">
        <f>IF(AR$65="입주/잔금",($F88-SUM($G88:AQ88))*30%,IF(AQ$65="입주/잔금",($F88-SUM($G88:AP88))*50%,IF(AP$65="입주/잔금",($F88-SUM($G88:AO88))*20%,IF(AR$65=0,0,IF(AR$65="2차중도금",$F88*30%-SUM($G88:AQ88),IF(AR$65="3차중도금",$F88*40%-SUM($G88:AQ88),IF(AR$65="4차중도금",$F88*50%-SUM($G88:AQ88),$F88*10%)))))))+(IF(AR$65="5차중도금",$F88*60%-SUM($G88:AQ88)-$F88*10%,IF(AR$65="6차중도금",$F88*70%-SUM($G88:AQ88)-$F88*10%,0)))</f>
        <v>0</v>
      </c>
      <c r="AS88" s="605">
        <f>IF(AS$65="입주/잔금",($F88-SUM($G88:AR88))*30%,IF(AR$65="입주/잔금",($F88-SUM($G88:AQ88))*50%,IF(AQ$65="입주/잔금",($F88-SUM($G88:AP88))*20%,IF(AS$65=0,0,IF(AS$65="2차중도금",$F88*30%-SUM($G88:AR88),IF(AS$65="3차중도금",$F88*40%-SUM($G88:AR88),IF(AS$65="4차중도금",$F88*50%-SUM($G88:AR88),$F88*10%)))))))+(IF(AS$65="5차중도금",$F88*60%-SUM($G88:AR88)-$F88*10%,IF(AS$65="6차중도금",$F88*70%-SUM($G88:AR88)-$F88*10%,0)))</f>
        <v>0</v>
      </c>
      <c r="AT88" s="605">
        <f>IF(AT$65="입주/잔금",($F88-SUM($G88:AS88))*30%,IF(AS$65="입주/잔금",($F88-SUM($G88:AR88))*50%,IF(AR$65="입주/잔금",($F88-SUM($G88:AQ88))*20%,IF(AT$65=0,0,IF(AT$65="2차중도금",$F88*30%-SUM($G88:AS88),IF(AT$65="3차중도금",$F88*40%-SUM($G88:AS88),IF(AT$65="4차중도금",$F88*50%-SUM($G88:AS88),$F88*10%)))))))+(IF(AT$65="5차중도금",$F88*60%-SUM($G88:AS88)-$F88*10%,IF(AT$65="6차중도금",$F88*70%-SUM($G88:AS88)-$F88*10%,0)))</f>
        <v>0</v>
      </c>
      <c r="AU88" s="605">
        <f>IF(AU$65="입주/잔금",($F88-SUM($G88:AT88))*30%,IF(AT$65="입주/잔금",($F88-SUM($G88:AS88))*50%,IF(AS$65="입주/잔금",($F88-SUM($G88:AR88))*20%,IF(AU$65=0,0,IF(AU$65="2차중도금",$F88*30%-SUM($G88:AT88),IF(AU$65="3차중도금",$F88*40%-SUM($G88:AT88),IF(AU$65="4차중도금",$F88*50%-SUM($G88:AT88),$F88*10%)))))))+(IF(AU$65="5차중도금",$F88*60%-SUM($G88:AT88)-$F88*10%,IF(AU$65="6차중도금",$F88*70%-SUM($G88:AT88)-$F88*10%,0)))</f>
        <v>0</v>
      </c>
      <c r="AV88" s="605">
        <f>IF(AV$65="입주/잔금",($F88-SUM($G88:AU88))*30%,IF(AU$65="입주/잔금",($F88-SUM($G88:AT88))*50%,IF(AT$65="입주/잔금",($F88-SUM($G88:AS88))*20%,IF(AV$65=0,0,IF(AV$65="2차중도금",$F88*30%-SUM($G88:AU88),IF(AV$65="3차중도금",$F88*40%-SUM($G88:AU88),IF(AV$65="4차중도금",$F88*50%-SUM($G88:AU88),$F88*10%)))))))+(IF(AV$65="5차중도금",$F88*60%-SUM($G88:AU88)-$F88*10%,IF(AV$65="6차중도금",$F88*70%-SUM($G88:AU88)-$F88*10%,0)))</f>
        <v>0</v>
      </c>
      <c r="AW88" s="605">
        <f>IF(AW$65="입주/잔금",($F88-SUM($G88:AV88))*30%,IF(AV$65="입주/잔금",($F88-SUM($G88:AU88))*50%,IF(AU$65="입주/잔금",($F88-SUM($G88:AT88))*20%,IF(AW$65=0,0,IF(AW$65="2차중도금",$F88*30%-SUM($G88:AV88),IF(AW$65="3차중도금",$F88*40%-SUM($G88:AV88),IF(AW$65="4차중도금",$F88*50%-SUM($G88:AV88),$F88*10%)))))))+(IF(AW$65="5차중도금",$F88*60%-SUM($G88:AV88)-$F88*10%,IF(AW$65="6차중도금",$F88*70%-SUM($G88:AV88)-$F88*10%,0)))</f>
        <v>0</v>
      </c>
      <c r="AX88" s="605">
        <f>IF(AX$65="입주/잔금",($F88-SUM($G88:AW88))*30%,IF(AW$65="입주/잔금",($F88-SUM($G88:AV88))*50%,IF(AV$65="입주/잔금",($F88-SUM($G88:AU88))*20%,IF(AX$65=0,0,IF(AX$65="2차중도금",$F88*30%-SUM($G88:AW88),IF(AX$65="3차중도금",$F88*40%-SUM($G88:AW88),IF(AX$65="4차중도금",$F88*50%-SUM($G88:AW88),$F88*10%)))))))+(IF(AX$65="5차중도금",$F88*60%-SUM($G88:AW88)-$F88*10%,IF(AX$65="6차중도금",$F88*70%-SUM($G88:AW88)-$F88*10%,0)))</f>
        <v>0</v>
      </c>
      <c r="AY88" s="605">
        <f>IF(AY$65="입주/잔금",($F88-SUM($G88:AX88))*30%,IF(AX$65="입주/잔금",($F88-SUM($G88:AW88))*50%,IF(AW$65="입주/잔금",($F88-SUM($G88:AV88))*20%,IF(AY$65=0,0,IF(AY$65="2차중도금",$F88*30%-SUM($G88:AX88),IF(AY$65="3차중도금",$F88*40%-SUM($G88:AX88),IF(AY$65="4차중도금",$F88*50%-SUM($G88:AX88),$F88*10%)))))))+(IF(AY$65="5차중도금",$F88*60%-SUM($G88:AX88)-$F88*10%,IF(AY$65="6차중도금",$F88*70%-SUM($G88:AX88)-$F88*10%,0)))</f>
        <v>0</v>
      </c>
      <c r="AZ88" s="605">
        <f>IF(AZ$65="입주/잔금",($F88-SUM($G88:AY88))*30%,IF(AY$65="입주/잔금",($F88-SUM($G88:AX88))*50%,IF(AX$65="입주/잔금",($F88-SUM($G88:AW88))*20%,IF(AZ$65=0,0,IF(AZ$65="2차중도금",$F88*30%-SUM($G88:AY88),IF(AZ$65="3차중도금",$F88*40%-SUM($G88:AY88),IF(AZ$65="4차중도금",$F88*50%-SUM($G88:AY88),$F88*10%)))))))+(IF(AZ$65="5차중도금",$F88*60%-SUM($G88:AY88)-$F88*10%,IF(AZ$65="6차중도금",$F88*70%-SUM($G88:AY88)-$F88*10%,0)))</f>
        <v>0</v>
      </c>
      <c r="BA88" s="605">
        <f>IF(BA$65="입주/잔금",($F88-SUM($G88:AZ88))*30%,IF(AZ$65="입주/잔금",($F88-SUM($G88:AY88))*50%,IF(AY$65="입주/잔금",($F88-SUM($G88:AX88))*20%,IF(BA$65=0,0,IF(BA$65="2차중도금",$F88*30%-SUM($G88:AZ88),IF(BA$65="3차중도금",$F88*40%-SUM($G88:AZ88),IF(BA$65="4차중도금",$F88*50%-SUM($G88:AZ88),$F88*10%)))))))+(IF(BA$65="5차중도금",$F88*60%-SUM($G88:AZ88)-$F88*10%,IF(BA$65="6차중도금",$F88*70%-SUM($G88:AZ88)-$F88*10%,0)))</f>
        <v>0</v>
      </c>
      <c r="BB88" s="605">
        <f>IF(BB$65="입주/잔금",($F88-SUM($G88:BA88))*30%,IF(BA$65="입주/잔금",($F88-SUM($G88:AZ88))*50%,IF(AZ$65="입주/잔금",($F88-SUM($G88:AY88))*20%,IF(BB$65=0,0,IF(BB$65="2차중도금",$F88*30%-SUM($G88:BA88),IF(BB$65="3차중도금",$F88*40%-SUM($G88:BA88),IF(BB$65="4차중도금",$F88*50%-SUM($G88:BA88),$F88*10%)))))))+(IF(BB$65="5차중도금",$F88*60%-SUM($G88:BA88)-$F88*10%,IF(BB$65="6차중도금",$F88*70%-SUM($G88:BA88)-$F88*10%,0)))</f>
        <v>0</v>
      </c>
      <c r="BC88" s="605">
        <f>IF(BC$65="입주/잔금",($F88-SUM($G88:BB88))*30%,IF(BB$65="입주/잔금",($F88-SUM($G88:BA88))*50%,IF(BA$65="입주/잔금",($F88-SUM($G88:AZ88))*20%,IF(BC$65=0,0,IF(BC$65="2차중도금",$F88*30%-SUM($G88:BB88),IF(BC$65="3차중도금",$F88*40%-SUM($G88:BB88),IF(BC$65="4차중도금",$F88*50%-SUM($G88:BB88),$F88*10%)))))))+(IF(BC$65="5차중도금",$F88*60%-SUM($G88:BB88)-$F88*10%,IF(BC$65="6차중도금",$F88*70%-SUM($G88:BB88)-$F88*10%,0)))</f>
        <v>0</v>
      </c>
      <c r="BD88" s="605">
        <f>IF(BD$65="입주/잔금",($F88-SUM($G88:BC88))*30%,IF(BC$65="입주/잔금",($F88-SUM($G88:BB88))*50%,IF(BB$65="입주/잔금",($F88-SUM($G88:BA88))*20%,IF(BD$65=0,0,IF(BD$65="2차중도금",$F88*30%-SUM($G88:BC88),IF(BD$65="3차중도금",$F88*40%-SUM($G88:BC88),IF(BD$65="4차중도금",$F88*50%-SUM($G88:BC88),$F88*10%)))))))+(IF(BD$65="5차중도금",$F88*60%-SUM($G88:BC88)-$F88*10%,IF(BD$65="6차중도금",$F88*70%-SUM($G88:BC88)-$F88*10%,0)))</f>
        <v>0</v>
      </c>
      <c r="BE88" s="605">
        <f>IF(BE$65="입주/잔금",($F88-SUM($G88:BD88))*30%,IF(BD$65="입주/잔금",($F88-SUM($G88:BC88))*50%,IF(BC$65="입주/잔금",($F88-SUM($G88:BB88))*20%,IF(BE$65=0,0,IF(BE$65="2차중도금",$F88*30%-SUM($G88:BD88),IF(BE$65="3차중도금",$F88*40%-SUM($G88:BD88),IF(BE$65="4차중도금",$F88*50%-SUM($G88:BD88),$F88*10%)))))))+(IF(BE$65="5차중도금",$F88*60%-SUM($G88:BD88)-$F88*10%,IF(BE$65="6차중도금",$F88*70%-SUM($G88:BD88)-$F88*10%,0)))</f>
        <v>0</v>
      </c>
      <c r="BF88" s="609">
        <f t="shared" si="30"/>
        <v>0</v>
      </c>
      <c r="BG88" s="556">
        <f t="shared" si="32"/>
        <v>0</v>
      </c>
      <c r="BH88" s="610"/>
    </row>
    <row r="89" spans="1:60">
      <c r="A89" s="1853"/>
      <c r="B89" s="611">
        <f t="shared" si="33"/>
        <v>45536</v>
      </c>
      <c r="C89" s="605">
        <f t="shared" si="34"/>
        <v>157992364.97659996</v>
      </c>
      <c r="D89" s="1501"/>
      <c r="E89" s="612">
        <f t="shared" si="35"/>
        <v>1.0000000000000002</v>
      </c>
      <c r="F89" s="608">
        <f t="shared" si="31"/>
        <v>0</v>
      </c>
      <c r="G89" s="605"/>
      <c r="H89" s="605"/>
      <c r="I89" s="605"/>
      <c r="J89" s="605"/>
      <c r="K89" s="605"/>
      <c r="L89" s="605"/>
      <c r="M89" s="605"/>
      <c r="N89" s="605"/>
      <c r="O89" s="605"/>
      <c r="P89" s="605"/>
      <c r="Q89" s="605"/>
      <c r="R89" s="605"/>
      <c r="S89" s="605"/>
      <c r="T89" s="605"/>
      <c r="U89" s="605"/>
      <c r="V89" s="605"/>
      <c r="W89" s="605"/>
      <c r="X89" s="605"/>
      <c r="Y89" s="605"/>
      <c r="Z89" s="605"/>
      <c r="AA89" s="605"/>
      <c r="AB89" s="605"/>
      <c r="AC89" s="605"/>
      <c r="AD89" s="605">
        <f>$F89*10%</f>
        <v>0</v>
      </c>
      <c r="AE89" s="605">
        <f>IF(AE$65="입주/잔금",($F89-SUM($G89:AD89))*30%,IF(AD$65="입주/잔금",($F89-SUM($G89:AC89))*50%,IF(AC$65="입주/잔금",($F89-SUM($G89:AB89))*20%,IF(AE$65=0,0,IF(AE$65="2차중도금",$F89*30%-SUM($G89:AD89),IF(AE$65="3차중도금",$F89*40%-SUM($G89:AD89),IF(AE$65="4차중도금",$F89*50%-SUM($G89:AD89),$F89*10%)))))))+(IF(AE$65="5차중도금",$F89*60%-SUM($G89:AD89)-$F89*10%,IF(AE$65="6차중도금",$F89*70%-SUM($G89:AD89)-$F89*10%,0)))</f>
        <v>0</v>
      </c>
      <c r="AF89" s="605">
        <f>IF(AF$65="입주/잔금",($F89-SUM($G89:AE89))*30%,IF(AE$65="입주/잔금",($F89-SUM($G89:AD89))*50%,IF(AD$65="입주/잔금",($F89-SUM($G89:AC89))*20%,IF(AF$65=0,0,IF(AF$65="2차중도금",$F89*30%-SUM($G89:AE89),IF(AF$65="3차중도금",$F89*40%-SUM($G89:AE89),IF(AF$65="4차중도금",$F89*50%-SUM($G89:AE89),$F89*10%)))))))+(IF(AF$65="5차중도금",$F89*60%-SUM($G89:AE89)-$F89*10%,IF(AF$65="6차중도금",$F89*70%-SUM($G89:AE89)-$F89*10%,0)))</f>
        <v>0</v>
      </c>
      <c r="AG89" s="605">
        <f>IF(AG$65="입주/잔금",($F89-SUM($G89:AF89))*30%,IF(AF$65="입주/잔금",($F89-SUM($G89:AE89))*50%,IF(AE$65="입주/잔금",($F89-SUM($G89:AD89))*20%,IF(AG$65=0,0,IF(AG$65="2차중도금",$F89*30%-SUM($G89:AF89),IF(AG$65="3차중도금",$F89*40%-SUM($G89:AF89),IF(AG$65="4차중도금",$F89*50%-SUM($G89:AF89),$F89*10%)))))))+(IF(AG$65="5차중도금",$F89*60%-SUM($G89:AF89)-$F89*10%,IF(AG$65="6차중도금",$F89*70%-SUM($G89:AF89)-$F89*10%,0)))</f>
        <v>0</v>
      </c>
      <c r="AH89" s="605">
        <f>IF(AH$65="입주/잔금",($F89-SUM($G89:AG89))*30%,IF(AG$65="입주/잔금",($F89-SUM($G89:AF89))*50%,IF(AF$65="입주/잔금",($F89-SUM($G89:AE89))*20%,IF(AH$65=0,0,IF(AH$65="2차중도금",$F89*30%-SUM($G89:AG89),IF(AH$65="3차중도금",$F89*40%-SUM($G89:AG89),IF(AH$65="4차중도금",$F89*50%-SUM($G89:AG89),$F89*10%)))))))+(IF(AH$65="5차중도금",$F89*60%-SUM($G89:AG89)-$F89*10%,IF(AH$65="6차중도금",$F89*70%-SUM($G89:AG89)-$F89*10%,0)))</f>
        <v>0</v>
      </c>
      <c r="AI89" s="605">
        <f>IF(AI$65="입주/잔금",($F89-SUM($G89:AH89))*30%,IF(AH$65="입주/잔금",($F89-SUM($G89:AG89))*50%,IF(AG$65="입주/잔금",($F89-SUM($G89:AF89))*20%,IF(AI$65=0,0,IF(AI$65="2차중도금",$F89*30%-SUM($G89:AH89),IF(AI$65="3차중도금",$F89*40%-SUM($G89:AH89),IF(AI$65="4차중도금",$F89*50%-SUM($G89:AH89),$F89*10%)))))))+(IF(AI$65="5차중도금",$F89*60%-SUM($G89:AH89)-$F89*10%,IF(AI$65="6차중도금",$F89*70%-SUM($G89:AH89)-$F89*10%,0)))</f>
        <v>0</v>
      </c>
      <c r="AJ89" s="605">
        <f>IF(AJ$65="입주/잔금",($F89-SUM($G89:AI89))*30%,IF(AI$65="입주/잔금",($F89-SUM($G89:AH89))*50%,IF(AH$65="입주/잔금",($F89-SUM($G89:AG89))*20%,IF(AJ$65=0,0,IF(AJ$65="2차중도금",$F89*30%-SUM($G89:AI89),IF(AJ$65="3차중도금",$F89*40%-SUM($G89:AI89),IF(AJ$65="4차중도금",$F89*50%-SUM($G89:AI89),$F89*10%)))))))+(IF(AJ$65="5차중도금",$F89*60%-SUM($G89:AI89)-$F89*10%,IF(AJ$65="6차중도금",$F89*70%-SUM($G89:AI89)-$F89*10%,0)))</f>
        <v>0</v>
      </c>
      <c r="AK89" s="605">
        <f>IF(AK$65="입주/잔금",($F89-SUM($G89:AJ89))*30%,IF(AJ$65="입주/잔금",($F89-SUM($G89:AI89))*50%,IF(AI$65="입주/잔금",($F89-SUM($G89:AH89))*20%,IF(AK$65=0,0,IF(AK$65="2차중도금",$F89*30%-SUM($G89:AJ89),IF(AK$65="3차중도금",$F89*40%-SUM($G89:AJ89),IF(AK$65="4차중도금",$F89*50%-SUM($G89:AJ89),$F89*10%)))))))+(IF(AK$65="5차중도금",$F89*60%-SUM($G89:AJ89)-$F89*10%,IF(AK$65="6차중도금",$F89*70%-SUM($G89:AJ89)-$F89*10%,0)))</f>
        <v>0</v>
      </c>
      <c r="AL89" s="605">
        <f>IF(AL$65="입주/잔금",($F89-SUM($G89:AK89))*30%,IF(AK$65="입주/잔금",($F89-SUM($G89:AJ89))*50%,IF(AJ$65="입주/잔금",($F89-SUM($G89:AI89))*20%,IF(AL$65=0,0,IF(AL$65="2차중도금",$F89*30%-SUM($G89:AK89),IF(AL$65="3차중도금",$F89*40%-SUM($G89:AK89),IF(AL$65="4차중도금",$F89*50%-SUM($G89:AK89),$F89*10%)))))))+(IF(AL$65="5차중도금",$F89*60%-SUM($G89:AK89)-$F89*10%,IF(AL$65="6차중도금",$F89*70%-SUM($G89:AK89)-$F89*10%,0)))</f>
        <v>0</v>
      </c>
      <c r="AM89" s="605">
        <f>IF(AM$65="입주/잔금",($F89-SUM($G89:AL89))*30%,IF(AL$65="입주/잔금",($F89-SUM($G89:AK89))*50%,IF(AK$65="입주/잔금",($F89-SUM($G89:AJ89))*20%,IF(AM$65=0,0,IF(AM$65="2차중도금",$F89*30%-SUM($G89:AL89),IF(AM$65="3차중도금",$F89*40%-SUM($G89:AL89),IF(AM$65="4차중도금",$F89*50%-SUM($G89:AL89),$F89*10%)))))))+(IF(AM$65="5차중도금",$F89*60%-SUM($G89:AL89)-$F89*10%,IF(AM$65="6차중도금",$F89*70%-SUM($G89:AL89)-$F89*10%,0)))</f>
        <v>0</v>
      </c>
      <c r="AN89" s="605">
        <f>IF(AN$65="입주/잔금",($F89-SUM($G89:AM89))*30%,IF(AM$65="입주/잔금",($F89-SUM($G89:AL89))*50%,IF(AL$65="입주/잔금",($F89-SUM($G89:AK89))*20%,IF(AN$65=0,0,IF(AN$65="2차중도금",$F89*30%-SUM($G89:AM89),IF(AN$65="3차중도금",$F89*40%-SUM($G89:AM89),IF(AN$65="4차중도금",$F89*50%-SUM($G89:AM89),$F89*10%)))))))+(IF(AN$65="5차중도금",$F89*60%-SUM($G89:AM89)-$F89*10%,IF(AN$65="6차중도금",$F89*70%-SUM($G89:AM89)-$F89*10%,0)))</f>
        <v>0</v>
      </c>
      <c r="AO89" s="605">
        <f>IF(AO$65="입주/잔금",($F89-SUM($G89:AN89))*30%,IF(AN$65="입주/잔금",($F89-SUM($G89:AM89))*50%,IF(AM$65="입주/잔금",($F89-SUM($G89:AL89))*20%,IF(AO$65=0,0,IF(AO$65="2차중도금",$F89*30%-SUM($G89:AN89),IF(AO$65="3차중도금",$F89*40%-SUM($G89:AN89),IF(AO$65="4차중도금",$F89*50%-SUM($G89:AN89),$F89*10%)))))))+(IF(AO$65="5차중도금",$F89*60%-SUM($G89:AN89)-$F89*10%,IF(AO$65="6차중도금",$F89*70%-SUM($G89:AN89)-$F89*10%,0)))</f>
        <v>0</v>
      </c>
      <c r="AP89" s="605">
        <f>IF(AP$65="입주/잔금",($F89-SUM($G89:AO89))*30%,IF(AO$65="입주/잔금",($F89-SUM($G89:AN89))*50%,IF(AN$65="입주/잔금",($F89-SUM($G89:AM89))*20%,IF(AP$65=0,0,IF(AP$65="2차중도금",$F89*30%-SUM($G89:AO89),IF(AP$65="3차중도금",$F89*40%-SUM($G89:AO89),IF(AP$65="4차중도금",$F89*50%-SUM($G89:AO89),$F89*10%)))))))+(IF(AP$65="5차중도금",$F89*60%-SUM($G89:AO89)-$F89*10%,IF(AP$65="6차중도금",$F89*70%-SUM($G89:AO89)-$F89*10%,0)))</f>
        <v>0</v>
      </c>
      <c r="AQ89" s="605">
        <f>IF(AQ$65="입주/잔금",($F89-SUM($G89:AP89))*30%,IF(AP$65="입주/잔금",($F89-SUM($G89:AO89))*50%,IF(AO$65="입주/잔금",($F89-SUM($G89:AN89))*20%,IF(AQ$65=0,0,IF(AQ$65="2차중도금",$F89*30%-SUM($G89:AP89),IF(AQ$65="3차중도금",$F89*40%-SUM($G89:AP89),IF(AQ$65="4차중도금",$F89*50%-SUM($G89:AP89),$F89*10%)))))))+(IF(AQ$65="5차중도금",$F89*60%-SUM($G89:AP89)-$F89*10%,IF(AQ$65="6차중도금",$F89*70%-SUM($G89:AP89)-$F89*10%,0)))</f>
        <v>0</v>
      </c>
      <c r="AR89" s="605">
        <f>IF(AR$65="입주/잔금",($F89-SUM($G89:AQ89))*30%,IF(AQ$65="입주/잔금",($F89-SUM($G89:AP89))*50%,IF(AP$65="입주/잔금",($F89-SUM($G89:AO89))*20%,IF(AR$65=0,0,IF(AR$65="2차중도금",$F89*30%-SUM($G89:AQ89),IF(AR$65="3차중도금",$F89*40%-SUM($G89:AQ89),IF(AR$65="4차중도금",$F89*50%-SUM($G89:AQ89),$F89*10%)))))))+(IF(AR$65="5차중도금",$F89*60%-SUM($G89:AQ89)-$F89*10%,IF(AR$65="6차중도금",$F89*70%-SUM($G89:AQ89)-$F89*10%,0)))</f>
        <v>0</v>
      </c>
      <c r="AS89" s="605">
        <f>IF(AS$65="입주/잔금",($F89-SUM($G89:AR89))*30%,IF(AR$65="입주/잔금",($F89-SUM($G89:AQ89))*50%,IF(AQ$65="입주/잔금",($F89-SUM($G89:AP89))*20%,IF(AS$65=0,0,IF(AS$65="2차중도금",$F89*30%-SUM($G89:AR89),IF(AS$65="3차중도금",$F89*40%-SUM($G89:AR89),IF(AS$65="4차중도금",$F89*50%-SUM($G89:AR89),$F89*10%)))))))+(IF(AS$65="5차중도금",$F89*60%-SUM($G89:AR89)-$F89*10%,IF(AS$65="6차중도금",$F89*70%-SUM($G89:AR89)-$F89*10%,0)))</f>
        <v>0</v>
      </c>
      <c r="AT89" s="605">
        <f>IF(AT$65="입주/잔금",($F89-SUM($G89:AS89))*30%,IF(AS$65="입주/잔금",($F89-SUM($G89:AR89))*50%,IF(AR$65="입주/잔금",($F89-SUM($G89:AQ89))*20%,IF(AT$65=0,0,IF(AT$65="2차중도금",$F89*30%-SUM($G89:AS89),IF(AT$65="3차중도금",$F89*40%-SUM($G89:AS89),IF(AT$65="4차중도금",$F89*50%-SUM($G89:AS89),$F89*10%)))))))+(IF(AT$65="5차중도금",$F89*60%-SUM($G89:AS89)-$F89*10%,IF(AT$65="6차중도금",$F89*70%-SUM($G89:AS89)-$F89*10%,0)))</f>
        <v>0</v>
      </c>
      <c r="AU89" s="605">
        <f>IF(AU$65="입주/잔금",($F89-SUM($G89:AT89))*30%,IF(AT$65="입주/잔금",($F89-SUM($G89:AS89))*50%,IF(AS$65="입주/잔금",($F89-SUM($G89:AR89))*20%,IF(AU$65=0,0,IF(AU$65="2차중도금",$F89*30%-SUM($G89:AT89),IF(AU$65="3차중도금",$F89*40%-SUM($G89:AT89),IF(AU$65="4차중도금",$F89*50%-SUM($G89:AT89),$F89*10%)))))))+(IF(AU$65="5차중도금",$F89*60%-SUM($G89:AT89)-$F89*10%,IF(AU$65="6차중도금",$F89*70%-SUM($G89:AT89)-$F89*10%,0)))</f>
        <v>0</v>
      </c>
      <c r="AV89" s="605">
        <f>IF(AV$65="입주/잔금",($F89-SUM($G89:AU89))*30%,IF(AU$65="입주/잔금",($F89-SUM($G89:AT89))*50%,IF(AT$65="입주/잔금",($F89-SUM($G89:AS89))*20%,IF(AV$65=0,0,IF(AV$65="2차중도금",$F89*30%-SUM($G89:AU89),IF(AV$65="3차중도금",$F89*40%-SUM($G89:AU89),IF(AV$65="4차중도금",$F89*50%-SUM($G89:AU89),$F89*10%)))))))+(IF(AV$65="5차중도금",$F89*60%-SUM($G89:AU89)-$F89*10%,IF(AV$65="6차중도금",$F89*70%-SUM($G89:AU89)-$F89*10%,0)))</f>
        <v>0</v>
      </c>
      <c r="AW89" s="605">
        <f>IF(AW$65="입주/잔금",($F89-SUM($G89:AV89))*30%,IF(AV$65="입주/잔금",($F89-SUM($G89:AU89))*50%,IF(AU$65="입주/잔금",($F89-SUM($G89:AT89))*20%,IF(AW$65=0,0,IF(AW$65="2차중도금",$F89*30%-SUM($G89:AV89),IF(AW$65="3차중도금",$F89*40%-SUM($G89:AV89),IF(AW$65="4차중도금",$F89*50%-SUM($G89:AV89),$F89*10%)))))))+(IF(AW$65="5차중도금",$F89*60%-SUM($G89:AV89)-$F89*10%,IF(AW$65="6차중도금",$F89*70%-SUM($G89:AV89)-$F89*10%,0)))</f>
        <v>0</v>
      </c>
      <c r="AX89" s="605">
        <f>IF(AX$65="입주/잔금",($F89-SUM($G89:AW89))*30%,IF(AW$65="입주/잔금",($F89-SUM($G89:AV89))*50%,IF(AV$65="입주/잔금",($F89-SUM($G89:AU89))*20%,IF(AX$65=0,0,IF(AX$65="2차중도금",$F89*30%-SUM($G89:AW89),IF(AX$65="3차중도금",$F89*40%-SUM($G89:AW89),IF(AX$65="4차중도금",$F89*50%-SUM($G89:AW89),$F89*10%)))))))+(IF(AX$65="5차중도금",$F89*60%-SUM($G89:AW89)-$F89*10%,IF(AX$65="6차중도금",$F89*70%-SUM($G89:AW89)-$F89*10%,0)))</f>
        <v>0</v>
      </c>
      <c r="AY89" s="605">
        <f>IF(AY$65="입주/잔금",($F89-SUM($G89:AX89))*30%,IF(AX$65="입주/잔금",($F89-SUM($G89:AW89))*50%,IF(AW$65="입주/잔금",($F89-SUM($G89:AV89))*20%,IF(AY$65=0,0,IF(AY$65="2차중도금",$F89*30%-SUM($G89:AX89),IF(AY$65="3차중도금",$F89*40%-SUM($G89:AX89),IF(AY$65="4차중도금",$F89*50%-SUM($G89:AX89),$F89*10%)))))))+(IF(AY$65="5차중도금",$F89*60%-SUM($G89:AX89)-$F89*10%,IF(AY$65="6차중도금",$F89*70%-SUM($G89:AX89)-$F89*10%,0)))</f>
        <v>0</v>
      </c>
      <c r="AZ89" s="605">
        <f>IF(AZ$65="입주/잔금",($F89-SUM($G89:AY89))*30%,IF(AY$65="입주/잔금",($F89-SUM($G89:AX89))*50%,IF(AX$65="입주/잔금",($F89-SUM($G89:AW89))*20%,IF(AZ$65=0,0,IF(AZ$65="2차중도금",$F89*30%-SUM($G89:AY89),IF(AZ$65="3차중도금",$F89*40%-SUM($G89:AY89),IF(AZ$65="4차중도금",$F89*50%-SUM($G89:AY89),$F89*10%)))))))+(IF(AZ$65="5차중도금",$F89*60%-SUM($G89:AY89)-$F89*10%,IF(AZ$65="6차중도금",$F89*70%-SUM($G89:AY89)-$F89*10%,0)))</f>
        <v>0</v>
      </c>
      <c r="BA89" s="605">
        <f>IF(BA$65="입주/잔금",($F89-SUM($G89:AZ89))*30%,IF(AZ$65="입주/잔금",($F89-SUM($G89:AY89))*50%,IF(AY$65="입주/잔금",($F89-SUM($G89:AX89))*20%,IF(BA$65=0,0,IF(BA$65="2차중도금",$F89*30%-SUM($G89:AZ89),IF(BA$65="3차중도금",$F89*40%-SUM($G89:AZ89),IF(BA$65="4차중도금",$F89*50%-SUM($G89:AZ89),$F89*10%)))))))+(IF(BA$65="5차중도금",$F89*60%-SUM($G89:AZ89)-$F89*10%,IF(BA$65="6차중도금",$F89*70%-SUM($G89:AZ89)-$F89*10%,0)))</f>
        <v>0</v>
      </c>
      <c r="BB89" s="605">
        <f>IF(BB$65="입주/잔금",($F89-SUM($G89:BA89))*30%,IF(BA$65="입주/잔금",($F89-SUM($G89:AZ89))*50%,IF(AZ$65="입주/잔금",($F89-SUM($G89:AY89))*20%,IF(BB$65=0,0,IF(BB$65="2차중도금",$F89*30%-SUM($G89:BA89),IF(BB$65="3차중도금",$F89*40%-SUM($G89:BA89),IF(BB$65="4차중도금",$F89*50%-SUM($G89:BA89),$F89*10%)))))))+(IF(BB$65="5차중도금",$F89*60%-SUM($G89:BA89)-$F89*10%,IF(BB$65="6차중도금",$F89*70%-SUM($G89:BA89)-$F89*10%,0)))</f>
        <v>0</v>
      </c>
      <c r="BC89" s="605">
        <f>IF(BC$65="입주/잔금",($F89-SUM($G89:BB89))*30%,IF(BB$65="입주/잔금",($F89-SUM($G89:BA89))*50%,IF(BA$65="입주/잔금",($F89-SUM($G89:AZ89))*20%,IF(BC$65=0,0,IF(BC$65="2차중도금",$F89*30%-SUM($G89:BB89),IF(BC$65="3차중도금",$F89*40%-SUM($G89:BB89),IF(BC$65="4차중도금",$F89*50%-SUM($G89:BB89),$F89*10%)))))))+(IF(BC$65="5차중도금",$F89*60%-SUM($G89:BB89)-$F89*10%,IF(BC$65="6차중도금",$F89*70%-SUM($G89:BB89)-$F89*10%,0)))</f>
        <v>0</v>
      </c>
      <c r="BD89" s="605">
        <f>IF(BD$65="입주/잔금",($F89-SUM($G89:BC89))*30%,IF(BC$65="입주/잔금",($F89-SUM($G89:BB89))*50%,IF(BB$65="입주/잔금",($F89-SUM($G89:BA89))*20%,IF(BD$65=0,0,IF(BD$65="2차중도금",$F89*30%-SUM($G89:BC89),IF(BD$65="3차중도금",$F89*40%-SUM($G89:BC89),IF(BD$65="4차중도금",$F89*50%-SUM($G89:BC89),$F89*10%)))))))+(IF(BD$65="5차중도금",$F89*60%-SUM($G89:BC89)-$F89*10%,IF(BD$65="6차중도금",$F89*70%-SUM($G89:BC89)-$F89*10%,0)))</f>
        <v>0</v>
      </c>
      <c r="BE89" s="605">
        <f>IF(BE$65="입주/잔금",($F89-SUM($G89:BD89))*30%,IF(BD$65="입주/잔금",($F89-SUM($G89:BC89))*50%,IF(BC$65="입주/잔금",($F89-SUM($G89:BB89))*20%,IF(BE$65=0,0,IF(BE$65="2차중도금",$F89*30%-SUM($G89:BD89),IF(BE$65="3차중도금",$F89*40%-SUM($G89:BD89),IF(BE$65="4차중도금",$F89*50%-SUM($G89:BD89),$F89*10%)))))))+(IF(BE$65="5차중도금",$F89*60%-SUM($G89:BD89)-$F89*10%,IF(BE$65="6차중도금",$F89*70%-SUM($G89:BD89)-$F89*10%,0)))</f>
        <v>0</v>
      </c>
      <c r="BF89" s="609">
        <f t="shared" si="30"/>
        <v>0</v>
      </c>
      <c r="BG89" s="556">
        <f t="shared" si="32"/>
        <v>0</v>
      </c>
      <c r="BH89" s="610"/>
    </row>
    <row r="90" spans="1:60">
      <c r="A90" s="1853"/>
      <c r="B90" s="611">
        <f t="shared" si="33"/>
        <v>45566</v>
      </c>
      <c r="C90" s="605">
        <f t="shared" ref="C90:C116" si="36">C79</f>
        <v>157992364.97659996</v>
      </c>
      <c r="D90" s="1501"/>
      <c r="E90" s="607">
        <f t="shared" si="35"/>
        <v>1.0000000000000002</v>
      </c>
      <c r="F90" s="608">
        <f t="shared" si="31"/>
        <v>0</v>
      </c>
      <c r="G90" s="605"/>
      <c r="H90" s="605"/>
      <c r="I90" s="605"/>
      <c r="J90" s="605"/>
      <c r="K90" s="605"/>
      <c r="L90" s="605"/>
      <c r="M90" s="605"/>
      <c r="N90" s="605"/>
      <c r="O90" s="605"/>
      <c r="P90" s="605"/>
      <c r="Q90" s="605"/>
      <c r="R90" s="605"/>
      <c r="S90" s="605"/>
      <c r="T90" s="605"/>
      <c r="U90" s="605"/>
      <c r="V90" s="605"/>
      <c r="W90" s="605"/>
      <c r="X90" s="605"/>
      <c r="Y90" s="605"/>
      <c r="Z90" s="605"/>
      <c r="AA90" s="605"/>
      <c r="AB90" s="605"/>
      <c r="AC90" s="605"/>
      <c r="AD90" s="605"/>
      <c r="AE90" s="605">
        <f>$F90*10%</f>
        <v>0</v>
      </c>
      <c r="AF90" s="605">
        <f>IF(AF$65="입주/잔금",($F90-SUM($G90:AE90))*30%,IF(AE$65="입주/잔금",($F90-SUM($G90:AD90))*50%,IF(AD$65="입주/잔금",($F90-SUM($G90:AC90))*20%,IF(AF$65=0,0,IF(AF$65="2차중도금",$F90*30%-SUM($G90:AE90),IF(AF$65="3차중도금",$F90*40%-SUM($G90:AE90),IF(AF$65="4차중도금",$F90*50%-SUM($G90:AE90),$F90*10%)))))))+(IF(AF$65="5차중도금",$F90*60%-SUM($G90:AE90)-$F90*10%,IF(AF$65="6차중도금",$F90*70%-SUM($G90:AE90)-$F90*10%,0)))</f>
        <v>0</v>
      </c>
      <c r="AG90" s="605">
        <f>IF(AG$65="입주/잔금",($F90-SUM($G90:AF90))*30%,IF(AF$65="입주/잔금",($F90-SUM($G90:AE90))*50%,IF(AE$65="입주/잔금",($F90-SUM($G90:AD90))*20%,IF(AG$65=0,0,IF(AG$65="2차중도금",$F90*30%-SUM($G90:AF90),IF(AG$65="3차중도금",$F90*40%-SUM($G90:AF90),IF(AG$65="4차중도금",$F90*50%-SUM($G90:AF90),$F90*10%)))))))+(IF(AG$65="5차중도금",$F90*60%-SUM($G90:AF90)-$F90*10%,IF(AG$65="6차중도금",$F90*70%-SUM($G90:AF90)-$F90*10%,0)))</f>
        <v>0</v>
      </c>
      <c r="AH90" s="605">
        <f>IF(AH$65="입주/잔금",($F90-SUM($G90:AG90))*30%,IF(AG$65="입주/잔금",($F90-SUM($G90:AF90))*50%,IF(AF$65="입주/잔금",($F90-SUM($G90:AE90))*20%,IF(AH$65=0,0,IF(AH$65="2차중도금",$F90*30%-SUM($G90:AG90),IF(AH$65="3차중도금",$F90*40%-SUM($G90:AG90),IF(AH$65="4차중도금",$F90*50%-SUM($G90:AG90),$F90*10%)))))))+(IF(AH$65="5차중도금",$F90*60%-SUM($G90:AG90)-$F90*10%,IF(AH$65="6차중도금",$F90*70%-SUM($G90:AG90)-$F90*10%,0)))</f>
        <v>0</v>
      </c>
      <c r="AI90" s="605">
        <f>IF(AI$65="입주/잔금",($F90-SUM($G90:AH90))*30%,IF(AH$65="입주/잔금",($F90-SUM($G90:AG90))*50%,IF(AG$65="입주/잔금",($F90-SUM($G90:AF90))*20%,IF(AI$65=0,0,IF(AI$65="2차중도금",$F90*30%-SUM($G90:AH90),IF(AI$65="3차중도금",$F90*40%-SUM($G90:AH90),IF(AI$65="4차중도금",$F90*50%-SUM($G90:AH90),$F90*10%)))))))+(IF(AI$65="5차중도금",$F90*60%-SUM($G90:AH90)-$F90*10%,IF(AI$65="6차중도금",$F90*70%-SUM($G90:AH90)-$F90*10%,0)))</f>
        <v>0</v>
      </c>
      <c r="AJ90" s="605">
        <f>IF(AJ$65="입주/잔금",($F90-SUM($G90:AI90))*30%,IF(AI$65="입주/잔금",($F90-SUM($G90:AH90))*50%,IF(AH$65="입주/잔금",($F90-SUM($G90:AG90))*20%,IF(AJ$65=0,0,IF(AJ$65="2차중도금",$F90*30%-SUM($G90:AI90),IF(AJ$65="3차중도금",$F90*40%-SUM($G90:AI90),IF(AJ$65="4차중도금",$F90*50%-SUM($G90:AI90),$F90*10%)))))))+(IF(AJ$65="5차중도금",$F90*60%-SUM($G90:AI90)-$F90*10%,IF(AJ$65="6차중도금",$F90*70%-SUM($G90:AI90)-$F90*10%,0)))</f>
        <v>0</v>
      </c>
      <c r="AK90" s="605">
        <f>IF(AK$65="입주/잔금",($F90-SUM($G90:AJ90))*30%,IF(AJ$65="입주/잔금",($F90-SUM($G90:AI90))*50%,IF(AI$65="입주/잔금",($F90-SUM($G90:AH90))*20%,IF(AK$65=0,0,IF(AK$65="2차중도금",$F90*30%-SUM($G90:AJ90),IF(AK$65="3차중도금",$F90*40%-SUM($G90:AJ90),IF(AK$65="4차중도금",$F90*50%-SUM($G90:AJ90),$F90*10%)))))))+(IF(AK$65="5차중도금",$F90*60%-SUM($G90:AJ90)-$F90*10%,IF(AK$65="6차중도금",$F90*70%-SUM($G90:AJ90)-$F90*10%,0)))</f>
        <v>0</v>
      </c>
      <c r="AL90" s="605">
        <f>IF(AL$65="입주/잔금",($F90-SUM($G90:AK90))*30%,IF(AK$65="입주/잔금",($F90-SUM($G90:AJ90))*50%,IF(AJ$65="입주/잔금",($F90-SUM($G90:AI90))*20%,IF(AL$65=0,0,IF(AL$65="2차중도금",$F90*30%-SUM($G90:AK90),IF(AL$65="3차중도금",$F90*40%-SUM($G90:AK90),IF(AL$65="4차중도금",$F90*50%-SUM($G90:AK90),$F90*10%)))))))+(IF(AL$65="5차중도금",$F90*60%-SUM($G90:AK90)-$F90*10%,IF(AL$65="6차중도금",$F90*70%-SUM($G90:AK90)-$F90*10%,0)))</f>
        <v>0</v>
      </c>
      <c r="AM90" s="605">
        <f>IF(AM$65="입주/잔금",($F90-SUM($G90:AL90))*30%,IF(AL$65="입주/잔금",($F90-SUM($G90:AK90))*50%,IF(AK$65="입주/잔금",($F90-SUM($G90:AJ90))*20%,IF(AM$65=0,0,IF(AM$65="2차중도금",$F90*30%-SUM($G90:AL90),IF(AM$65="3차중도금",$F90*40%-SUM($G90:AL90),IF(AM$65="4차중도금",$F90*50%-SUM($G90:AL90),$F90*10%)))))))+(IF(AM$65="5차중도금",$F90*60%-SUM($G90:AL90)-$F90*10%,IF(AM$65="6차중도금",$F90*70%-SUM($G90:AL90)-$F90*10%,0)))</f>
        <v>0</v>
      </c>
      <c r="AN90" s="605">
        <f>IF(AN$65="입주/잔금",($F90-SUM($G90:AM90))*30%,IF(AM$65="입주/잔금",($F90-SUM($G90:AL90))*50%,IF(AL$65="입주/잔금",($F90-SUM($G90:AK90))*20%,IF(AN$65=0,0,IF(AN$65="2차중도금",$F90*30%-SUM($G90:AM90),IF(AN$65="3차중도금",$F90*40%-SUM($G90:AM90),IF(AN$65="4차중도금",$F90*50%-SUM($G90:AM90),$F90*10%)))))))+(IF(AN$65="5차중도금",$F90*60%-SUM($G90:AM90)-$F90*10%,IF(AN$65="6차중도금",$F90*70%-SUM($G90:AM90)-$F90*10%,0)))</f>
        <v>0</v>
      </c>
      <c r="AO90" s="605">
        <f>IF(AO$65="입주/잔금",($F90-SUM($G90:AN90))*30%,IF(AN$65="입주/잔금",($F90-SUM($G90:AM90))*50%,IF(AM$65="입주/잔금",($F90-SUM($G90:AL90))*20%,IF(AO$65=0,0,IF(AO$65="2차중도금",$F90*30%-SUM($G90:AN90),IF(AO$65="3차중도금",$F90*40%-SUM($G90:AN90),IF(AO$65="4차중도금",$F90*50%-SUM($G90:AN90),$F90*10%)))))))+(IF(AO$65="5차중도금",$F90*60%-SUM($G90:AN90)-$F90*10%,IF(AO$65="6차중도금",$F90*70%-SUM($G90:AN90)-$F90*10%,0)))</f>
        <v>0</v>
      </c>
      <c r="AP90" s="605">
        <f>IF(AP$65="입주/잔금",($F90-SUM($G90:AO90))*30%,IF(AO$65="입주/잔금",($F90-SUM($G90:AN90))*50%,IF(AN$65="입주/잔금",($F90-SUM($G90:AM90))*20%,IF(AP$65=0,0,IF(AP$65="2차중도금",$F90*30%-SUM($G90:AO90),IF(AP$65="3차중도금",$F90*40%-SUM($G90:AO90),IF(AP$65="4차중도금",$F90*50%-SUM($G90:AO90),$F90*10%)))))))+(IF(AP$65="5차중도금",$F90*60%-SUM($G90:AO90)-$F90*10%,IF(AP$65="6차중도금",$F90*70%-SUM($G90:AO90)-$F90*10%,0)))</f>
        <v>0</v>
      </c>
      <c r="AQ90" s="605">
        <f>IF(AQ$65="입주/잔금",($F90-SUM($G90:AP90))*30%,IF(AP$65="입주/잔금",($F90-SUM($G90:AO90))*50%,IF(AO$65="입주/잔금",($F90-SUM($G90:AN90))*20%,IF(AQ$65=0,0,IF(AQ$65="2차중도금",$F90*30%-SUM($G90:AP90),IF(AQ$65="3차중도금",$F90*40%-SUM($G90:AP90),IF(AQ$65="4차중도금",$F90*50%-SUM($G90:AP90),$F90*10%)))))))+(IF(AQ$65="5차중도금",$F90*60%-SUM($G90:AP90)-$F90*10%,IF(AQ$65="6차중도금",$F90*70%-SUM($G90:AP90)-$F90*10%,0)))</f>
        <v>0</v>
      </c>
      <c r="AR90" s="605">
        <f>IF(AR$65="입주/잔금",($F90-SUM($G90:AQ90))*30%,IF(AQ$65="입주/잔금",($F90-SUM($G90:AP90))*50%,IF(AP$65="입주/잔금",($F90-SUM($G90:AO90))*20%,IF(AR$65=0,0,IF(AR$65="2차중도금",$F90*30%-SUM($G90:AQ90),IF(AR$65="3차중도금",$F90*40%-SUM($G90:AQ90),IF(AR$65="4차중도금",$F90*50%-SUM($G90:AQ90),$F90*10%)))))))+(IF(AR$65="5차중도금",$F90*60%-SUM($G90:AQ90)-$F90*10%,IF(AR$65="6차중도금",$F90*70%-SUM($G90:AQ90)-$F90*10%,0)))</f>
        <v>0</v>
      </c>
      <c r="AS90" s="605">
        <f>IF(AS$65="입주/잔금",($F90-SUM($G90:AR90))*30%,IF(AR$65="입주/잔금",($F90-SUM($G90:AQ90))*50%,IF(AQ$65="입주/잔금",($F90-SUM($G90:AP90))*20%,IF(AS$65=0,0,IF(AS$65="2차중도금",$F90*30%-SUM($G90:AR90),IF(AS$65="3차중도금",$F90*40%-SUM($G90:AR90),IF(AS$65="4차중도금",$F90*50%-SUM($G90:AR90),$F90*10%)))))))+(IF(AS$65="5차중도금",$F90*60%-SUM($G90:AR90)-$F90*10%,IF(AS$65="6차중도금",$F90*70%-SUM($G90:AR90)-$F90*10%,0)))</f>
        <v>0</v>
      </c>
      <c r="AT90" s="605">
        <f>IF(AT$65="입주/잔금",($F90-SUM($G90:AS90))*30%,IF(AS$65="입주/잔금",($F90-SUM($G90:AR90))*50%,IF(AR$65="입주/잔금",($F90-SUM($G90:AQ90))*20%,IF(AT$65=0,0,IF(AT$65="2차중도금",$F90*30%-SUM($G90:AS90),IF(AT$65="3차중도금",$F90*40%-SUM($G90:AS90),IF(AT$65="4차중도금",$F90*50%-SUM($G90:AS90),$F90*10%)))))))+(IF(AT$65="5차중도금",$F90*60%-SUM($G90:AS90)-$F90*10%,IF(AT$65="6차중도금",$F90*70%-SUM($G90:AS90)-$F90*10%,0)))</f>
        <v>0</v>
      </c>
      <c r="AU90" s="605">
        <f>IF(AU$65="입주/잔금",($F90-SUM($G90:AT90))*30%,IF(AT$65="입주/잔금",($F90-SUM($G90:AS90))*50%,IF(AS$65="입주/잔금",($F90-SUM($G90:AR90))*20%,IF(AU$65=0,0,IF(AU$65="2차중도금",$F90*30%-SUM($G90:AT90),IF(AU$65="3차중도금",$F90*40%-SUM($G90:AT90),IF(AU$65="4차중도금",$F90*50%-SUM($G90:AT90),$F90*10%)))))))+(IF(AU$65="5차중도금",$F90*60%-SUM($G90:AT90)-$F90*10%,IF(AU$65="6차중도금",$F90*70%-SUM($G90:AT90)-$F90*10%,0)))</f>
        <v>0</v>
      </c>
      <c r="AV90" s="605">
        <f>IF(AV$65="입주/잔금",($F90-SUM($G90:AU90))*30%,IF(AU$65="입주/잔금",($F90-SUM($G90:AT90))*50%,IF(AT$65="입주/잔금",($F90-SUM($G90:AS90))*20%,IF(AV$65=0,0,IF(AV$65="2차중도금",$F90*30%-SUM($G90:AU90),IF(AV$65="3차중도금",$F90*40%-SUM($G90:AU90),IF(AV$65="4차중도금",$F90*50%-SUM($G90:AU90),$F90*10%)))))))+(IF(AV$65="5차중도금",$F90*60%-SUM($G90:AU90)-$F90*10%,IF(AV$65="6차중도금",$F90*70%-SUM($G90:AU90)-$F90*10%,0)))</f>
        <v>0</v>
      </c>
      <c r="AW90" s="605">
        <f>IF(AW$65="입주/잔금",($F90-SUM($G90:AV90))*30%,IF(AV$65="입주/잔금",($F90-SUM($G90:AU90))*50%,IF(AU$65="입주/잔금",($F90-SUM($G90:AT90))*20%,IF(AW$65=0,0,IF(AW$65="2차중도금",$F90*30%-SUM($G90:AV90),IF(AW$65="3차중도금",$F90*40%-SUM($G90:AV90),IF(AW$65="4차중도금",$F90*50%-SUM($G90:AV90),$F90*10%)))))))+(IF(AW$65="5차중도금",$F90*60%-SUM($G90:AV90)-$F90*10%,IF(AW$65="6차중도금",$F90*70%-SUM($G90:AV90)-$F90*10%,0)))</f>
        <v>0</v>
      </c>
      <c r="AX90" s="605">
        <f>IF(AX$65="입주/잔금",($F90-SUM($G90:AW90))*30%,IF(AW$65="입주/잔금",($F90-SUM($G90:AV90))*50%,IF(AV$65="입주/잔금",($F90-SUM($G90:AU90))*20%,IF(AX$65=0,0,IF(AX$65="2차중도금",$F90*30%-SUM($G90:AW90),IF(AX$65="3차중도금",$F90*40%-SUM($G90:AW90),IF(AX$65="4차중도금",$F90*50%-SUM($G90:AW90),$F90*10%)))))))+(IF(AX$65="5차중도금",$F90*60%-SUM($G90:AW90)-$F90*10%,IF(AX$65="6차중도금",$F90*70%-SUM($G90:AW90)-$F90*10%,0)))</f>
        <v>0</v>
      </c>
      <c r="AY90" s="605">
        <f>IF(AY$65="입주/잔금",($F90-SUM($G90:AX90))*30%,IF(AX$65="입주/잔금",($F90-SUM($G90:AW90))*50%,IF(AW$65="입주/잔금",($F90-SUM($G90:AV90))*20%,IF(AY$65=0,0,IF(AY$65="2차중도금",$F90*30%-SUM($G90:AX90),IF(AY$65="3차중도금",$F90*40%-SUM($G90:AX90),IF(AY$65="4차중도금",$F90*50%-SUM($G90:AX90),$F90*10%)))))))+(IF(AY$65="5차중도금",$F90*60%-SUM($G90:AX90)-$F90*10%,IF(AY$65="6차중도금",$F90*70%-SUM($G90:AX90)-$F90*10%,0)))</f>
        <v>0</v>
      </c>
      <c r="AZ90" s="605">
        <f>IF(AZ$65="입주/잔금",($F90-SUM($G90:AY90))*30%,IF(AY$65="입주/잔금",($F90-SUM($G90:AX90))*50%,IF(AX$65="입주/잔금",($F90-SUM($G90:AW90))*20%,IF(AZ$65=0,0,IF(AZ$65="2차중도금",$F90*30%-SUM($G90:AY90),IF(AZ$65="3차중도금",$F90*40%-SUM($G90:AY90),IF(AZ$65="4차중도금",$F90*50%-SUM($G90:AY90),$F90*10%)))))))+(IF(AZ$65="5차중도금",$F90*60%-SUM($G90:AY90)-$F90*10%,IF(AZ$65="6차중도금",$F90*70%-SUM($G90:AY90)-$F90*10%,0)))</f>
        <v>0</v>
      </c>
      <c r="BA90" s="605">
        <f>IF(BA$65="입주/잔금",($F90-SUM($G90:AZ90))*30%,IF(AZ$65="입주/잔금",($F90-SUM($G90:AY90))*50%,IF(AY$65="입주/잔금",($F90-SUM($G90:AX90))*20%,IF(BA$65=0,0,IF(BA$65="2차중도금",$F90*30%-SUM($G90:AZ90),IF(BA$65="3차중도금",$F90*40%-SUM($G90:AZ90),IF(BA$65="4차중도금",$F90*50%-SUM($G90:AZ90),$F90*10%)))))))+(IF(BA$65="5차중도금",$F90*60%-SUM($G90:AZ90)-$F90*10%,IF(BA$65="6차중도금",$F90*70%-SUM($G90:AZ90)-$F90*10%,0)))</f>
        <v>0</v>
      </c>
      <c r="BB90" s="605">
        <f>IF(BB$65="입주/잔금",($F90-SUM($G90:BA90))*30%,IF(BA$65="입주/잔금",($F90-SUM($G90:AZ90))*50%,IF(AZ$65="입주/잔금",($F90-SUM($G90:AY90))*20%,IF(BB$65=0,0,IF(BB$65="2차중도금",$F90*30%-SUM($G90:BA90),IF(BB$65="3차중도금",$F90*40%-SUM($G90:BA90),IF(BB$65="4차중도금",$F90*50%-SUM($G90:BA90),$F90*10%)))))))+(IF(BB$65="5차중도금",$F90*60%-SUM($G90:BA90)-$F90*10%,IF(BB$65="6차중도금",$F90*70%-SUM($G90:BA90)-$F90*10%,0)))</f>
        <v>0</v>
      </c>
      <c r="BC90" s="605">
        <f>IF(BC$65="입주/잔금",($F90-SUM($G90:BB90))*30%,IF(BB$65="입주/잔금",($F90-SUM($G90:BA90))*50%,IF(BA$65="입주/잔금",($F90-SUM($G90:AZ90))*20%,IF(BC$65=0,0,IF(BC$65="2차중도금",$F90*30%-SUM($G90:BB90),IF(BC$65="3차중도금",$F90*40%-SUM($G90:BB90),IF(BC$65="4차중도금",$F90*50%-SUM($G90:BB90),$F90*10%)))))))+(IF(BC$65="5차중도금",$F90*60%-SUM($G90:BB90)-$F90*10%,IF(BC$65="6차중도금",$F90*70%-SUM($G90:BB90)-$F90*10%,0)))</f>
        <v>0</v>
      </c>
      <c r="BD90" s="605">
        <f>IF(BD$65="입주/잔금",($F90-SUM($G90:BC90))*30%,IF(BC$65="입주/잔금",($F90-SUM($G90:BB90))*50%,IF(BB$65="입주/잔금",($F90-SUM($G90:BA90))*20%,IF(BD$65=0,0,IF(BD$65="2차중도금",$F90*30%-SUM($G90:BC90),IF(BD$65="3차중도금",$F90*40%-SUM($G90:BC90),IF(BD$65="4차중도금",$F90*50%-SUM($G90:BC90),$F90*10%)))))))+(IF(BD$65="5차중도금",$F90*60%-SUM($G90:BC90)-$F90*10%,IF(BD$65="6차중도금",$F90*70%-SUM($G90:BC90)-$F90*10%,0)))</f>
        <v>0</v>
      </c>
      <c r="BE90" s="605">
        <f>IF(BE$65="입주/잔금",($F90-SUM($G90:BD90))*30%,IF(BD$65="입주/잔금",($F90-SUM($G90:BC90))*50%,IF(BC$65="입주/잔금",($F90-SUM($G90:BB90))*20%,IF(BE$65=0,0,IF(BE$65="2차중도금",$F90*30%-SUM($G90:BD90),IF(BE$65="3차중도금",$F90*40%-SUM($G90:BD90),IF(BE$65="4차중도금",$F90*50%-SUM($G90:BD90),$F90*10%)))))))+(IF(BE$65="5차중도금",$F90*60%-SUM($G90:BD90)-$F90*10%,IF(BE$65="6차중도금",$F90*70%-SUM($G90:BD90)-$F90*10%,0)))</f>
        <v>0</v>
      </c>
      <c r="BF90" s="609">
        <f t="shared" si="30"/>
        <v>0</v>
      </c>
      <c r="BG90" s="556">
        <f t="shared" si="32"/>
        <v>0</v>
      </c>
      <c r="BH90" s="610"/>
    </row>
    <row r="91" spans="1:60">
      <c r="A91" s="1853"/>
      <c r="B91" s="611">
        <f t="shared" si="33"/>
        <v>45597</v>
      </c>
      <c r="C91" s="605">
        <f t="shared" si="36"/>
        <v>157992364.97659996</v>
      </c>
      <c r="D91" s="1501"/>
      <c r="E91" s="607">
        <f t="shared" si="35"/>
        <v>1.0000000000000002</v>
      </c>
      <c r="F91" s="608">
        <f t="shared" si="31"/>
        <v>0</v>
      </c>
      <c r="G91" s="605"/>
      <c r="H91" s="605"/>
      <c r="I91" s="605"/>
      <c r="J91" s="605"/>
      <c r="K91" s="605"/>
      <c r="L91" s="605"/>
      <c r="M91" s="605"/>
      <c r="N91" s="605"/>
      <c r="O91" s="605"/>
      <c r="P91" s="605"/>
      <c r="Q91" s="605"/>
      <c r="R91" s="605"/>
      <c r="S91" s="605"/>
      <c r="T91" s="605"/>
      <c r="U91" s="605"/>
      <c r="V91" s="605"/>
      <c r="W91" s="605"/>
      <c r="X91" s="605"/>
      <c r="Y91" s="605"/>
      <c r="Z91" s="605"/>
      <c r="AA91" s="605"/>
      <c r="AB91" s="605"/>
      <c r="AC91" s="605"/>
      <c r="AD91" s="605"/>
      <c r="AE91" s="605"/>
      <c r="AF91" s="605">
        <f>$F91*10%</f>
        <v>0</v>
      </c>
      <c r="AG91" s="605">
        <f>IF(AG$65="입주/잔금",($F91-SUM($G91:AF91))*30%,IF(AF$65="입주/잔금",($F91-SUM($G91:AE91))*50%,IF(AE$65="입주/잔금",($F91-SUM($G91:AD91))*20%,IF(AG$65=0,0,IF(AG$65="2차중도금",$F91*30%-SUM($G91:AF91),IF(AG$65="3차중도금",$F91*40%-SUM($G91:AF91),IF(AG$65="4차중도금",$F91*50%-SUM($G91:AF91),$F91*10%)))))))+(IF(AG$65="5차중도금",$F91*60%-SUM($G91:AF91)-$F91*10%,IF(AG$65="6차중도금",$F91*70%-SUM($G91:AF91)-$F91*10%,0)))</f>
        <v>0</v>
      </c>
      <c r="AH91" s="605">
        <f>IF(AH$65="입주/잔금",($F91-SUM($G91:AG91))*30%,IF(AG$65="입주/잔금",($F91-SUM($G91:AF91))*50%,IF(AF$65="입주/잔금",($F91-SUM($G91:AE91))*20%,IF(AH$65=0,0,IF(AH$65="2차중도금",$F91*30%-SUM($G91:AG91),IF(AH$65="3차중도금",$F91*40%-SUM($G91:AG91),IF(AH$65="4차중도금",$F91*50%-SUM($G91:AG91),$F91*10%)))))))+(IF(AH$65="5차중도금",$F91*60%-SUM($G91:AG91)-$F91*10%,IF(AH$65="6차중도금",$F91*70%-SUM($G91:AG91)-$F91*10%,0)))</f>
        <v>0</v>
      </c>
      <c r="AI91" s="605">
        <f>IF(AI$65="입주/잔금",($F91-SUM($G91:AH91))*30%,IF(AH$65="입주/잔금",($F91-SUM($G91:AG91))*50%,IF(AG$65="입주/잔금",($F91-SUM($G91:AF91))*20%,IF(AI$65=0,0,IF(AI$65="2차중도금",$F91*30%-SUM($G91:AH91),IF(AI$65="3차중도금",$F91*40%-SUM($G91:AH91),IF(AI$65="4차중도금",$F91*50%-SUM($G91:AH91),$F91*10%)))))))+(IF(AI$65="5차중도금",$F91*60%-SUM($G91:AH91)-$F91*10%,IF(AI$65="6차중도금",$F91*70%-SUM($G91:AH91)-$F91*10%,0)))</f>
        <v>0</v>
      </c>
      <c r="AJ91" s="605">
        <f>IF(AJ$65="입주/잔금",($F91-SUM($G91:AI91))*30%,IF(AI$65="입주/잔금",($F91-SUM($G91:AH91))*50%,IF(AH$65="입주/잔금",($F91-SUM($G91:AG91))*20%,IF(AJ$65=0,0,IF(AJ$65="2차중도금",$F91*30%-SUM($G91:AI91),IF(AJ$65="3차중도금",$F91*40%-SUM($G91:AI91),IF(AJ$65="4차중도금",$F91*50%-SUM($G91:AI91),$F91*10%)))))))+(IF(AJ$65="5차중도금",$F91*60%-SUM($G91:AI91)-$F91*10%,IF(AJ$65="6차중도금",$F91*70%-SUM($G91:AI91)-$F91*10%,0)))</f>
        <v>0</v>
      </c>
      <c r="AK91" s="605">
        <f>IF(AK$65="입주/잔금",($F91-SUM($G91:AJ91))*30%,IF(AJ$65="입주/잔금",($F91-SUM($G91:AI91))*50%,IF(AI$65="입주/잔금",($F91-SUM($G91:AH91))*20%,IF(AK$65=0,0,IF(AK$65="2차중도금",$F91*30%-SUM($G91:AJ91),IF(AK$65="3차중도금",$F91*40%-SUM($G91:AJ91),IF(AK$65="4차중도금",$F91*50%-SUM($G91:AJ91),$F91*10%)))))))+(IF(AK$65="5차중도금",$F91*60%-SUM($G91:AJ91)-$F91*10%,IF(AK$65="6차중도금",$F91*70%-SUM($G91:AJ91)-$F91*10%,0)))</f>
        <v>0</v>
      </c>
      <c r="AL91" s="605">
        <f>IF(AL$65="입주/잔금",($F91-SUM($G91:AK91))*30%,IF(AK$65="입주/잔금",($F91-SUM($G91:AJ91))*50%,IF(AJ$65="입주/잔금",($F91-SUM($G91:AI91))*20%,IF(AL$65=0,0,IF(AL$65="2차중도금",$F91*30%-SUM($G91:AK91),IF(AL$65="3차중도금",$F91*40%-SUM($G91:AK91),IF(AL$65="4차중도금",$F91*50%-SUM($G91:AK91),$F91*10%)))))))+(IF(AL$65="5차중도금",$F91*60%-SUM($G91:AK91)-$F91*10%,IF(AL$65="6차중도금",$F91*70%-SUM($G91:AK91)-$F91*10%,0)))</f>
        <v>0</v>
      </c>
      <c r="AM91" s="605">
        <f>IF(AM$65="입주/잔금",($F91-SUM($G91:AL91))*30%,IF(AL$65="입주/잔금",($F91-SUM($G91:AK91))*50%,IF(AK$65="입주/잔금",($F91-SUM($G91:AJ91))*20%,IF(AM$65=0,0,IF(AM$65="2차중도금",$F91*30%-SUM($G91:AL91),IF(AM$65="3차중도금",$F91*40%-SUM($G91:AL91),IF(AM$65="4차중도금",$F91*50%-SUM($G91:AL91),$F91*10%)))))))+(IF(AM$65="5차중도금",$F91*60%-SUM($G91:AL91)-$F91*10%,IF(AM$65="6차중도금",$F91*70%-SUM($G91:AL91)-$F91*10%,0)))</f>
        <v>0</v>
      </c>
      <c r="AN91" s="605">
        <f>IF(AN$65="입주/잔금",($F91-SUM($G91:AM91))*30%,IF(AM$65="입주/잔금",($F91-SUM($G91:AL91))*50%,IF(AL$65="입주/잔금",($F91-SUM($G91:AK91))*20%,IF(AN$65=0,0,IF(AN$65="2차중도금",$F91*30%-SUM($G91:AM91),IF(AN$65="3차중도금",$F91*40%-SUM($G91:AM91),IF(AN$65="4차중도금",$F91*50%-SUM($G91:AM91),$F91*10%)))))))+(IF(AN$65="5차중도금",$F91*60%-SUM($G91:AM91)-$F91*10%,IF(AN$65="6차중도금",$F91*70%-SUM($G91:AM91)-$F91*10%,0)))</f>
        <v>0</v>
      </c>
      <c r="AO91" s="605">
        <f>IF(AO$65="입주/잔금",($F91-SUM($G91:AN91))*30%,IF(AN$65="입주/잔금",($F91-SUM($G91:AM91))*50%,IF(AM$65="입주/잔금",($F91-SUM($G91:AL91))*20%,IF(AO$65=0,0,IF(AO$65="2차중도금",$F91*30%-SUM($G91:AN91),IF(AO$65="3차중도금",$F91*40%-SUM($G91:AN91),IF(AO$65="4차중도금",$F91*50%-SUM($G91:AN91),$F91*10%)))))))+(IF(AO$65="5차중도금",$F91*60%-SUM($G91:AN91)-$F91*10%,IF(AO$65="6차중도금",$F91*70%-SUM($G91:AN91)-$F91*10%,0)))</f>
        <v>0</v>
      </c>
      <c r="AP91" s="605">
        <f>IF(AP$65="입주/잔금",($F91-SUM($G91:AO91))*30%,IF(AO$65="입주/잔금",($F91-SUM($G91:AN91))*50%,IF(AN$65="입주/잔금",($F91-SUM($G91:AM91))*20%,IF(AP$65=0,0,IF(AP$65="2차중도금",$F91*30%-SUM($G91:AO91),IF(AP$65="3차중도금",$F91*40%-SUM($G91:AO91),IF(AP$65="4차중도금",$F91*50%-SUM($G91:AO91),$F91*10%)))))))+(IF(AP$65="5차중도금",$F91*60%-SUM($G91:AO91)-$F91*10%,IF(AP$65="6차중도금",$F91*70%-SUM($G91:AO91)-$F91*10%,0)))</f>
        <v>0</v>
      </c>
      <c r="AQ91" s="605">
        <f>IF(AQ$65="입주/잔금",($F91-SUM($G91:AP91))*30%,IF(AP$65="입주/잔금",($F91-SUM($G91:AO91))*50%,IF(AO$65="입주/잔금",($F91-SUM($G91:AN91))*20%,IF(AQ$65=0,0,IF(AQ$65="2차중도금",$F91*30%-SUM($G91:AP91),IF(AQ$65="3차중도금",$F91*40%-SUM($G91:AP91),IF(AQ$65="4차중도금",$F91*50%-SUM($G91:AP91),$F91*10%)))))))+(IF(AQ$65="5차중도금",$F91*60%-SUM($G91:AP91)-$F91*10%,IF(AQ$65="6차중도금",$F91*70%-SUM($G91:AP91)-$F91*10%,0)))</f>
        <v>0</v>
      </c>
      <c r="AR91" s="605">
        <f>IF(AR$65="입주/잔금",($F91-SUM($G91:AQ91))*30%,IF(AQ$65="입주/잔금",($F91-SUM($G91:AP91))*50%,IF(AP$65="입주/잔금",($F91-SUM($G91:AO91))*20%,IF(AR$65=0,0,IF(AR$65="2차중도금",$F91*30%-SUM($G91:AQ91),IF(AR$65="3차중도금",$F91*40%-SUM($G91:AQ91),IF(AR$65="4차중도금",$F91*50%-SUM($G91:AQ91),$F91*10%)))))))+(IF(AR$65="5차중도금",$F91*60%-SUM($G91:AQ91)-$F91*10%,IF(AR$65="6차중도금",$F91*70%-SUM($G91:AQ91)-$F91*10%,0)))</f>
        <v>0</v>
      </c>
      <c r="AS91" s="605">
        <f>IF(AS$65="입주/잔금",($F91-SUM($G91:AR91))*30%,IF(AR$65="입주/잔금",($F91-SUM($G91:AQ91))*50%,IF(AQ$65="입주/잔금",($F91-SUM($G91:AP91))*20%,IF(AS$65=0,0,IF(AS$65="2차중도금",$F91*30%-SUM($G91:AR91),IF(AS$65="3차중도금",$F91*40%-SUM($G91:AR91),IF(AS$65="4차중도금",$F91*50%-SUM($G91:AR91),$F91*10%)))))))+(IF(AS$65="5차중도금",$F91*60%-SUM($G91:AR91)-$F91*10%,IF(AS$65="6차중도금",$F91*70%-SUM($G91:AR91)-$F91*10%,0)))</f>
        <v>0</v>
      </c>
      <c r="AT91" s="605">
        <f>IF(AT$65="입주/잔금",($F91-SUM($G91:AS91))*30%,IF(AS$65="입주/잔금",($F91-SUM($G91:AR91))*50%,IF(AR$65="입주/잔금",($F91-SUM($G91:AQ91))*20%,IF(AT$65=0,0,IF(AT$65="2차중도금",$F91*30%-SUM($G91:AS91),IF(AT$65="3차중도금",$F91*40%-SUM($G91:AS91),IF(AT$65="4차중도금",$F91*50%-SUM($G91:AS91),$F91*10%)))))))+(IF(AT$65="5차중도금",$F91*60%-SUM($G91:AS91)-$F91*10%,IF(AT$65="6차중도금",$F91*70%-SUM($G91:AS91)-$F91*10%,0)))</f>
        <v>0</v>
      </c>
      <c r="AU91" s="605">
        <f>IF(AU$65="입주/잔금",($F91-SUM($G91:AT91))*30%,IF(AT$65="입주/잔금",($F91-SUM($G91:AS91))*50%,IF(AS$65="입주/잔금",($F91-SUM($G91:AR91))*20%,IF(AU$65=0,0,IF(AU$65="2차중도금",$F91*30%-SUM($G91:AT91),IF(AU$65="3차중도금",$F91*40%-SUM($G91:AT91),IF(AU$65="4차중도금",$F91*50%-SUM($G91:AT91),$F91*10%)))))))+(IF(AU$65="5차중도금",$F91*60%-SUM($G91:AT91)-$F91*10%,IF(AU$65="6차중도금",$F91*70%-SUM($G91:AT91)-$F91*10%,0)))</f>
        <v>0</v>
      </c>
      <c r="AV91" s="605">
        <f>IF(AV$65="입주/잔금",($F91-SUM($G91:AU91))*30%,IF(AU$65="입주/잔금",($F91-SUM($G91:AT91))*50%,IF(AT$65="입주/잔금",($F91-SUM($G91:AS91))*20%,IF(AV$65=0,0,IF(AV$65="2차중도금",$F91*30%-SUM($G91:AU91),IF(AV$65="3차중도금",$F91*40%-SUM($G91:AU91),IF(AV$65="4차중도금",$F91*50%-SUM($G91:AU91),$F91*10%)))))))+(IF(AV$65="5차중도금",$F91*60%-SUM($G91:AU91)-$F91*10%,IF(AV$65="6차중도금",$F91*70%-SUM($G91:AU91)-$F91*10%,0)))</f>
        <v>0</v>
      </c>
      <c r="AW91" s="605">
        <f>IF(AW$65="입주/잔금",($F91-SUM($G91:AV91))*30%,IF(AV$65="입주/잔금",($F91-SUM($G91:AU91))*50%,IF(AU$65="입주/잔금",($F91-SUM($G91:AT91))*20%,IF(AW$65=0,0,IF(AW$65="2차중도금",$F91*30%-SUM($G91:AV91),IF(AW$65="3차중도금",$F91*40%-SUM($G91:AV91),IF(AW$65="4차중도금",$F91*50%-SUM($G91:AV91),$F91*10%)))))))+(IF(AW$65="5차중도금",$F91*60%-SUM($G91:AV91)-$F91*10%,IF(AW$65="6차중도금",$F91*70%-SUM($G91:AV91)-$F91*10%,0)))</f>
        <v>0</v>
      </c>
      <c r="AX91" s="605">
        <f>IF(AX$65="입주/잔금",($F91-SUM($G91:AW91))*30%,IF(AW$65="입주/잔금",($F91-SUM($G91:AV91))*50%,IF(AV$65="입주/잔금",($F91-SUM($G91:AU91))*20%,IF(AX$65=0,0,IF(AX$65="2차중도금",$F91*30%-SUM($G91:AW91),IF(AX$65="3차중도금",$F91*40%-SUM($G91:AW91),IF(AX$65="4차중도금",$F91*50%-SUM($G91:AW91),$F91*10%)))))))+(IF(AX$65="5차중도금",$F91*60%-SUM($G91:AW91)-$F91*10%,IF(AX$65="6차중도금",$F91*70%-SUM($G91:AW91)-$F91*10%,0)))</f>
        <v>0</v>
      </c>
      <c r="AY91" s="605">
        <f>IF(AY$65="입주/잔금",($F91-SUM($G91:AX91))*30%,IF(AX$65="입주/잔금",($F91-SUM($G91:AW91))*50%,IF(AW$65="입주/잔금",($F91-SUM($G91:AV91))*20%,IF(AY$65=0,0,IF(AY$65="2차중도금",$F91*30%-SUM($G91:AX91),IF(AY$65="3차중도금",$F91*40%-SUM($G91:AX91),IF(AY$65="4차중도금",$F91*50%-SUM($G91:AX91),$F91*10%)))))))+(IF(AY$65="5차중도금",$F91*60%-SUM($G91:AX91)-$F91*10%,IF(AY$65="6차중도금",$F91*70%-SUM($G91:AX91)-$F91*10%,0)))</f>
        <v>0</v>
      </c>
      <c r="AZ91" s="605">
        <f>IF(AZ$65="입주/잔금",($F91-SUM($G91:AY91))*30%,IF(AY$65="입주/잔금",($F91-SUM($G91:AX91))*50%,IF(AX$65="입주/잔금",($F91-SUM($G91:AW91))*20%,IF(AZ$65=0,0,IF(AZ$65="2차중도금",$F91*30%-SUM($G91:AY91),IF(AZ$65="3차중도금",$F91*40%-SUM($G91:AY91),IF(AZ$65="4차중도금",$F91*50%-SUM($G91:AY91),$F91*10%)))))))+(IF(AZ$65="5차중도금",$F91*60%-SUM($G91:AY91)-$F91*10%,IF(AZ$65="6차중도금",$F91*70%-SUM($G91:AY91)-$F91*10%,0)))</f>
        <v>0</v>
      </c>
      <c r="BA91" s="605">
        <f>IF(BA$65="입주/잔금",($F91-SUM($G91:AZ91))*30%,IF(AZ$65="입주/잔금",($F91-SUM($G91:AY91))*50%,IF(AY$65="입주/잔금",($F91-SUM($G91:AX91))*20%,IF(BA$65=0,0,IF(BA$65="2차중도금",$F91*30%-SUM($G91:AZ91),IF(BA$65="3차중도금",$F91*40%-SUM($G91:AZ91),IF(BA$65="4차중도금",$F91*50%-SUM($G91:AZ91),$F91*10%)))))))+(IF(BA$65="5차중도금",$F91*60%-SUM($G91:AZ91)-$F91*10%,IF(BA$65="6차중도금",$F91*70%-SUM($G91:AZ91)-$F91*10%,0)))</f>
        <v>0</v>
      </c>
      <c r="BB91" s="605">
        <f>IF(BB$65="입주/잔금",($F91-SUM($G91:BA91))*30%,IF(BA$65="입주/잔금",($F91-SUM($G91:AZ91))*50%,IF(AZ$65="입주/잔금",($F91-SUM($G91:AY91))*20%,IF(BB$65=0,0,IF(BB$65="2차중도금",$F91*30%-SUM($G91:BA91),IF(BB$65="3차중도금",$F91*40%-SUM($G91:BA91),IF(BB$65="4차중도금",$F91*50%-SUM($G91:BA91),$F91*10%)))))))+(IF(BB$65="5차중도금",$F91*60%-SUM($G91:BA91)-$F91*10%,IF(BB$65="6차중도금",$F91*70%-SUM($G91:BA91)-$F91*10%,0)))</f>
        <v>0</v>
      </c>
      <c r="BC91" s="605">
        <f>IF(BC$65="입주/잔금",($F91-SUM($G91:BB91))*30%,IF(BB$65="입주/잔금",($F91-SUM($G91:BA91))*50%,IF(BA$65="입주/잔금",($F91-SUM($G91:AZ91))*20%,IF(BC$65=0,0,IF(BC$65="2차중도금",$F91*30%-SUM($G91:BB91),IF(BC$65="3차중도금",$F91*40%-SUM($G91:BB91),IF(BC$65="4차중도금",$F91*50%-SUM($G91:BB91),$F91*10%)))))))+(IF(BC$65="5차중도금",$F91*60%-SUM($G91:BB91)-$F91*10%,IF(BC$65="6차중도금",$F91*70%-SUM($G91:BB91)-$F91*10%,0)))</f>
        <v>0</v>
      </c>
      <c r="BD91" s="605">
        <f>IF(BD$65="입주/잔금",($F91-SUM($G91:BC91))*30%,IF(BC$65="입주/잔금",($F91-SUM($G91:BB91))*50%,IF(BB$65="입주/잔금",($F91-SUM($G91:BA91))*20%,IF(BD$65=0,0,IF(BD$65="2차중도금",$F91*30%-SUM($G91:BC91),IF(BD$65="3차중도금",$F91*40%-SUM($G91:BC91),IF(BD$65="4차중도금",$F91*50%-SUM($G91:BC91),$F91*10%)))))))+(IF(BD$65="5차중도금",$F91*60%-SUM($G91:BC91)-$F91*10%,IF(BD$65="6차중도금",$F91*70%-SUM($G91:BC91)-$F91*10%,0)))</f>
        <v>0</v>
      </c>
      <c r="BE91" s="605">
        <f>IF(BE$65="입주/잔금",($F91-SUM($G91:BD91))*30%,IF(BD$65="입주/잔금",($F91-SUM($G91:BC91))*50%,IF(BC$65="입주/잔금",($F91-SUM($G91:BB91))*20%,IF(BE$65=0,0,IF(BE$65="2차중도금",$F91*30%-SUM($G91:BD91),IF(BE$65="3차중도금",$F91*40%-SUM($G91:BD91),IF(BE$65="4차중도금",$F91*50%-SUM($G91:BD91),$F91*10%)))))))+(IF(BE$65="5차중도금",$F91*60%-SUM($G91:BD91)-$F91*10%,IF(BE$65="6차중도금",$F91*70%-SUM($G91:BD91)-$F91*10%,0)))</f>
        <v>0</v>
      </c>
      <c r="BF91" s="609">
        <f t="shared" si="30"/>
        <v>0</v>
      </c>
      <c r="BG91" s="556">
        <f t="shared" si="32"/>
        <v>0</v>
      </c>
      <c r="BH91" s="610"/>
    </row>
    <row r="92" spans="1:60">
      <c r="A92" s="1853"/>
      <c r="B92" s="611">
        <f t="shared" si="33"/>
        <v>45627</v>
      </c>
      <c r="C92" s="605">
        <f t="shared" si="36"/>
        <v>157992364.97659996</v>
      </c>
      <c r="D92" s="1501"/>
      <c r="E92" s="607">
        <f t="shared" si="35"/>
        <v>1.0000000000000002</v>
      </c>
      <c r="F92" s="608">
        <f t="shared" si="31"/>
        <v>0</v>
      </c>
      <c r="G92" s="605"/>
      <c r="H92" s="605"/>
      <c r="I92" s="605"/>
      <c r="J92" s="605"/>
      <c r="K92" s="605"/>
      <c r="L92" s="605"/>
      <c r="M92" s="605"/>
      <c r="N92" s="605"/>
      <c r="O92" s="605"/>
      <c r="P92" s="605"/>
      <c r="Q92" s="605"/>
      <c r="R92" s="605"/>
      <c r="S92" s="605"/>
      <c r="T92" s="605"/>
      <c r="U92" s="605"/>
      <c r="V92" s="605"/>
      <c r="W92" s="605"/>
      <c r="X92" s="605"/>
      <c r="Y92" s="605"/>
      <c r="Z92" s="605"/>
      <c r="AA92" s="605"/>
      <c r="AB92" s="605"/>
      <c r="AC92" s="605"/>
      <c r="AD92" s="605"/>
      <c r="AE92" s="605"/>
      <c r="AF92" s="605"/>
      <c r="AG92" s="605">
        <f>$F92*10%</f>
        <v>0</v>
      </c>
      <c r="AH92" s="605">
        <f>IF(AH$65="입주/잔금",($F92-SUM($G92:AG92))*30%,IF(AG$65="입주/잔금",($F92-SUM($G92:AF92))*50%,IF(AF$65="입주/잔금",($F92-SUM($G92:AE92))*20%,IF(AH$65=0,0,IF(AH$65="2차중도금",$F92*30%-SUM($G92:AG92),IF(AH$65="3차중도금",$F92*40%-SUM($G92:AG92),IF(AH$65="4차중도금",$F92*50%-SUM($G92:AG92),$F92*10%)))))))+(IF(AH$65="5차중도금",$F92*60%-SUM($G92:AG92)-$F92*10%,IF(AH$65="6차중도금",$F92*70%-SUM($G92:AG92)-$F92*10%,0)))</f>
        <v>0</v>
      </c>
      <c r="AI92" s="605">
        <f>IF(AI$65="입주/잔금",($F92-SUM($G92:AH92))*30%,IF(AH$65="입주/잔금",($F92-SUM($G92:AG92))*50%,IF(AG$65="입주/잔금",($F92-SUM($G92:AF92))*20%,IF(AI$65=0,0,IF(AI$65="2차중도금",$F92*30%-SUM($G92:AH92),IF(AI$65="3차중도금",$F92*40%-SUM($G92:AH92),IF(AI$65="4차중도금",$F92*50%-SUM($G92:AH92),$F92*10%)))))))+(IF(AI$65="5차중도금",$F92*60%-SUM($G92:AH92)-$F92*10%,IF(AI$65="6차중도금",$F92*70%-SUM($G92:AH92)-$F92*10%,0)))</f>
        <v>0</v>
      </c>
      <c r="AJ92" s="605">
        <f>IF(AJ$65="입주/잔금",($F92-SUM($G92:AI92))*30%,IF(AI$65="입주/잔금",($F92-SUM($G92:AH92))*50%,IF(AH$65="입주/잔금",($F92-SUM($G92:AG92))*20%,IF(AJ$65=0,0,IF(AJ$65="2차중도금",$F92*30%-SUM($G92:AI92),IF(AJ$65="3차중도금",$F92*40%-SUM($G92:AI92),IF(AJ$65="4차중도금",$F92*50%-SUM($G92:AI92),$F92*10%)))))))+(IF(AJ$65="5차중도금",$F92*60%-SUM($G92:AI92)-$F92*10%,IF(AJ$65="6차중도금",$F92*70%-SUM($G92:AI92)-$F92*10%,0)))</f>
        <v>0</v>
      </c>
      <c r="AK92" s="605">
        <f>IF(AK$65="입주/잔금",($F92-SUM($G92:AJ92))*30%,IF(AJ$65="입주/잔금",($F92-SUM($G92:AI92))*50%,IF(AI$65="입주/잔금",($F92-SUM($G92:AH92))*20%,IF(AK$65=0,0,IF(AK$65="2차중도금",$F92*30%-SUM($G92:AJ92),IF(AK$65="3차중도금",$F92*40%-SUM($G92:AJ92),IF(AK$65="4차중도금",$F92*50%-SUM($G92:AJ92),$F92*10%)))))))+(IF(AK$65="5차중도금",$F92*60%-SUM($G92:AJ92)-$F92*10%,IF(AK$65="6차중도금",$F92*70%-SUM($G92:AJ92)-$F92*10%,0)))</f>
        <v>0</v>
      </c>
      <c r="AL92" s="605">
        <f>IF(AL$65="입주/잔금",($F92-SUM($G92:AK92))*30%,IF(AK$65="입주/잔금",($F92-SUM($G92:AJ92))*50%,IF(AJ$65="입주/잔금",($F92-SUM($G92:AI92))*20%,IF(AL$65=0,0,IF(AL$65="2차중도금",$F92*30%-SUM($G92:AK92),IF(AL$65="3차중도금",$F92*40%-SUM($G92:AK92),IF(AL$65="4차중도금",$F92*50%-SUM($G92:AK92),$F92*10%)))))))+(IF(AL$65="5차중도금",$F92*60%-SUM($G92:AK92)-$F92*10%,IF(AL$65="6차중도금",$F92*70%-SUM($G92:AK92)-$F92*10%,0)))</f>
        <v>0</v>
      </c>
      <c r="AM92" s="605">
        <f>IF(AM$65="입주/잔금",($F92-SUM($G92:AL92))*30%,IF(AL$65="입주/잔금",($F92-SUM($G92:AK92))*50%,IF(AK$65="입주/잔금",($F92-SUM($G92:AJ92))*20%,IF(AM$65=0,0,IF(AM$65="2차중도금",$F92*30%-SUM($G92:AL92),IF(AM$65="3차중도금",$F92*40%-SUM($G92:AL92),IF(AM$65="4차중도금",$F92*50%-SUM($G92:AL92),$F92*10%)))))))+(IF(AM$65="5차중도금",$F92*60%-SUM($G92:AL92)-$F92*10%,IF(AM$65="6차중도금",$F92*70%-SUM($G92:AL92)-$F92*10%,0)))</f>
        <v>0</v>
      </c>
      <c r="AN92" s="605">
        <f>IF(AN$65="입주/잔금",($F92-SUM($G92:AM92))*30%,IF(AM$65="입주/잔금",($F92-SUM($G92:AL92))*50%,IF(AL$65="입주/잔금",($F92-SUM($G92:AK92))*20%,IF(AN$65=0,0,IF(AN$65="2차중도금",$F92*30%-SUM($G92:AM92),IF(AN$65="3차중도금",$F92*40%-SUM($G92:AM92),IF(AN$65="4차중도금",$F92*50%-SUM($G92:AM92),$F92*10%)))))))+(IF(AN$65="5차중도금",$F92*60%-SUM($G92:AM92)-$F92*10%,IF(AN$65="6차중도금",$F92*70%-SUM($G92:AM92)-$F92*10%,0)))</f>
        <v>0</v>
      </c>
      <c r="AO92" s="605">
        <f>IF(AO$65="입주/잔금",($F92-SUM($G92:AN92))*30%,IF(AN$65="입주/잔금",($F92-SUM($G92:AM92))*50%,IF(AM$65="입주/잔금",($F92-SUM($G92:AL92))*20%,IF(AO$65=0,0,IF(AO$65="2차중도금",$F92*30%-SUM($G92:AN92),IF(AO$65="3차중도금",$F92*40%-SUM($G92:AN92),IF(AO$65="4차중도금",$F92*50%-SUM($G92:AN92),$F92*10%)))))))+(IF(AO$65="5차중도금",$F92*60%-SUM($G92:AN92)-$F92*10%,IF(AO$65="6차중도금",$F92*70%-SUM($G92:AN92)-$F92*10%,0)))</f>
        <v>0</v>
      </c>
      <c r="AP92" s="605">
        <f>IF(AP$65="입주/잔금",($F92-SUM($G92:AO92))*30%,IF(AO$65="입주/잔금",($F92-SUM($G92:AN92))*50%,IF(AN$65="입주/잔금",($F92-SUM($G92:AM92))*20%,IF(AP$65=0,0,IF(AP$65="2차중도금",$F92*30%-SUM($G92:AO92),IF(AP$65="3차중도금",$F92*40%-SUM($G92:AO92),IF(AP$65="4차중도금",$F92*50%-SUM($G92:AO92),$F92*10%)))))))+(IF(AP$65="5차중도금",$F92*60%-SUM($G92:AO92)-$F92*10%,IF(AP$65="6차중도금",$F92*70%-SUM($G92:AO92)-$F92*10%,0)))</f>
        <v>0</v>
      </c>
      <c r="AQ92" s="605">
        <f>IF(AQ$65="입주/잔금",($F92-SUM($G92:AP92))*30%,IF(AP$65="입주/잔금",($F92-SUM($G92:AO92))*50%,IF(AO$65="입주/잔금",($F92-SUM($G92:AN92))*20%,IF(AQ$65=0,0,IF(AQ$65="2차중도금",$F92*30%-SUM($G92:AP92),IF(AQ$65="3차중도금",$F92*40%-SUM($G92:AP92),IF(AQ$65="4차중도금",$F92*50%-SUM($G92:AP92),$F92*10%)))))))+(IF(AQ$65="5차중도금",$F92*60%-SUM($G92:AP92)-$F92*10%,IF(AQ$65="6차중도금",$F92*70%-SUM($G92:AP92)-$F92*10%,0)))</f>
        <v>0</v>
      </c>
      <c r="AR92" s="605">
        <f>IF(AR$65="입주/잔금",($F92-SUM($G92:AQ92))*30%,IF(AQ$65="입주/잔금",($F92-SUM($G92:AP92))*50%,IF(AP$65="입주/잔금",($F92-SUM($G92:AO92))*20%,IF(AR$65=0,0,IF(AR$65="2차중도금",$F92*30%-SUM($G92:AQ92),IF(AR$65="3차중도금",$F92*40%-SUM($G92:AQ92),IF(AR$65="4차중도금",$F92*50%-SUM($G92:AQ92),$F92*10%)))))))+(IF(AR$65="5차중도금",$F92*60%-SUM($G92:AQ92)-$F92*10%,IF(AR$65="6차중도금",$F92*70%-SUM($G92:AQ92)-$F92*10%,0)))</f>
        <v>0</v>
      </c>
      <c r="AS92" s="605">
        <f>IF(AS$65="입주/잔금",($F92-SUM($G92:AR92))*30%,IF(AR$65="입주/잔금",($F92-SUM($G92:AQ92))*50%,IF(AQ$65="입주/잔금",($F92-SUM($G92:AP92))*20%,IF(AS$65=0,0,IF(AS$65="2차중도금",$F92*30%-SUM($G92:AR92),IF(AS$65="3차중도금",$F92*40%-SUM($G92:AR92),IF(AS$65="4차중도금",$F92*50%-SUM($G92:AR92),$F92*10%)))))))+(IF(AS$65="5차중도금",$F92*60%-SUM($G92:AR92)-$F92*10%,IF(AS$65="6차중도금",$F92*70%-SUM($G92:AR92)-$F92*10%,0)))</f>
        <v>0</v>
      </c>
      <c r="AT92" s="605">
        <f>IF(AT$65="입주/잔금",($F92-SUM($G92:AS92))*30%,IF(AS$65="입주/잔금",($F92-SUM($G92:AR92))*50%,IF(AR$65="입주/잔금",($F92-SUM($G92:AQ92))*20%,IF(AT$65=0,0,IF(AT$65="2차중도금",$F92*30%-SUM($G92:AS92),IF(AT$65="3차중도금",$F92*40%-SUM($G92:AS92),IF(AT$65="4차중도금",$F92*50%-SUM($G92:AS92),$F92*10%)))))))+(IF(AT$65="5차중도금",$F92*60%-SUM($G92:AS92)-$F92*10%,IF(AT$65="6차중도금",$F92*70%-SUM($G92:AS92)-$F92*10%,0)))</f>
        <v>0</v>
      </c>
      <c r="AU92" s="605">
        <f>IF(AU$65="입주/잔금",($F92-SUM($G92:AT92))*30%,IF(AT$65="입주/잔금",($F92-SUM($G92:AS92))*50%,IF(AS$65="입주/잔금",($F92-SUM($G92:AR92))*20%,IF(AU$65=0,0,IF(AU$65="2차중도금",$F92*30%-SUM($G92:AT92),IF(AU$65="3차중도금",$F92*40%-SUM($G92:AT92),IF(AU$65="4차중도금",$F92*50%-SUM($G92:AT92),$F92*10%)))))))+(IF(AU$65="5차중도금",$F92*60%-SUM($G92:AT92)-$F92*10%,IF(AU$65="6차중도금",$F92*70%-SUM($G92:AT92)-$F92*10%,0)))</f>
        <v>0</v>
      </c>
      <c r="AV92" s="605">
        <f>IF(AV$65="입주/잔금",($F92-SUM($G92:AU92))*30%,IF(AU$65="입주/잔금",($F92-SUM($G92:AT92))*50%,IF(AT$65="입주/잔금",($F92-SUM($G92:AS92))*20%,IF(AV$65=0,0,IF(AV$65="2차중도금",$F92*30%-SUM($G92:AU92),IF(AV$65="3차중도금",$F92*40%-SUM($G92:AU92),IF(AV$65="4차중도금",$F92*50%-SUM($G92:AU92),$F92*10%)))))))+(IF(AV$65="5차중도금",$F92*60%-SUM($G92:AU92)-$F92*10%,IF(AV$65="6차중도금",$F92*70%-SUM($G92:AU92)-$F92*10%,0)))</f>
        <v>0</v>
      </c>
      <c r="AW92" s="605">
        <f>IF(AW$65="입주/잔금",($F92-SUM($G92:AV92))*30%,IF(AV$65="입주/잔금",($F92-SUM($G92:AU92))*50%,IF(AU$65="입주/잔금",($F92-SUM($G92:AT92))*20%,IF(AW$65=0,0,IF(AW$65="2차중도금",$F92*30%-SUM($G92:AV92),IF(AW$65="3차중도금",$F92*40%-SUM($G92:AV92),IF(AW$65="4차중도금",$F92*50%-SUM($G92:AV92),$F92*10%)))))))+(IF(AW$65="5차중도금",$F92*60%-SUM($G92:AV92)-$F92*10%,IF(AW$65="6차중도금",$F92*70%-SUM($G92:AV92)-$F92*10%,0)))</f>
        <v>0</v>
      </c>
      <c r="AX92" s="605">
        <f>IF(AX$65="입주/잔금",($F92-SUM($G92:AW92))*30%,IF(AW$65="입주/잔금",($F92-SUM($G92:AV92))*50%,IF(AV$65="입주/잔금",($F92-SUM($G92:AU92))*20%,IF(AX$65=0,0,IF(AX$65="2차중도금",$F92*30%-SUM($G92:AW92),IF(AX$65="3차중도금",$F92*40%-SUM($G92:AW92),IF(AX$65="4차중도금",$F92*50%-SUM($G92:AW92),$F92*10%)))))))+(IF(AX$65="5차중도금",$F92*60%-SUM($G92:AW92)-$F92*10%,IF(AX$65="6차중도금",$F92*70%-SUM($G92:AW92)-$F92*10%,0)))</f>
        <v>0</v>
      </c>
      <c r="AY92" s="605">
        <f>IF(AY$65="입주/잔금",($F92-SUM($G92:AX92))*30%,IF(AX$65="입주/잔금",($F92-SUM($G92:AW92))*50%,IF(AW$65="입주/잔금",($F92-SUM($G92:AV92))*20%,IF(AY$65=0,0,IF(AY$65="2차중도금",$F92*30%-SUM($G92:AX92),IF(AY$65="3차중도금",$F92*40%-SUM($G92:AX92),IF(AY$65="4차중도금",$F92*50%-SUM($G92:AX92),$F92*10%)))))))+(IF(AY$65="5차중도금",$F92*60%-SUM($G92:AX92)-$F92*10%,IF(AY$65="6차중도금",$F92*70%-SUM($G92:AX92)-$F92*10%,0)))</f>
        <v>0</v>
      </c>
      <c r="AZ92" s="605">
        <f>IF(AZ$65="입주/잔금",($F92-SUM($G92:AY92))*30%,IF(AY$65="입주/잔금",($F92-SUM($G92:AX92))*50%,IF(AX$65="입주/잔금",($F92-SUM($G92:AW92))*20%,IF(AZ$65=0,0,IF(AZ$65="2차중도금",$F92*30%-SUM($G92:AY92),IF(AZ$65="3차중도금",$F92*40%-SUM($G92:AY92),IF(AZ$65="4차중도금",$F92*50%-SUM($G92:AY92),$F92*10%)))))))+(IF(AZ$65="5차중도금",$F92*60%-SUM($G92:AY92)-$F92*10%,IF(AZ$65="6차중도금",$F92*70%-SUM($G92:AY92)-$F92*10%,0)))</f>
        <v>0</v>
      </c>
      <c r="BA92" s="605">
        <f>IF(BA$65="입주/잔금",($F92-SUM($G92:AZ92))*30%,IF(AZ$65="입주/잔금",($F92-SUM($G92:AY92))*50%,IF(AY$65="입주/잔금",($F92-SUM($G92:AX92))*20%,IF(BA$65=0,0,IF(BA$65="2차중도금",$F92*30%-SUM($G92:AZ92),IF(BA$65="3차중도금",$F92*40%-SUM($G92:AZ92),IF(BA$65="4차중도금",$F92*50%-SUM($G92:AZ92),$F92*10%)))))))+(IF(BA$65="5차중도금",$F92*60%-SUM($G92:AZ92)-$F92*10%,IF(BA$65="6차중도금",$F92*70%-SUM($G92:AZ92)-$F92*10%,0)))</f>
        <v>0</v>
      </c>
      <c r="BB92" s="605">
        <f>IF(BB$65="입주/잔금",($F92-SUM($G92:BA92))*30%,IF(BA$65="입주/잔금",($F92-SUM($G92:AZ92))*50%,IF(AZ$65="입주/잔금",($F92-SUM($G92:AY92))*20%,IF(BB$65=0,0,IF(BB$65="2차중도금",$F92*30%-SUM($G92:BA92),IF(BB$65="3차중도금",$F92*40%-SUM($G92:BA92),IF(BB$65="4차중도금",$F92*50%-SUM($G92:BA92),$F92*10%)))))))+(IF(BB$65="5차중도금",$F92*60%-SUM($G92:BA92)-$F92*10%,IF(BB$65="6차중도금",$F92*70%-SUM($G92:BA92)-$F92*10%,0)))</f>
        <v>0</v>
      </c>
      <c r="BC92" s="605">
        <f>IF(BC$65="입주/잔금",($F92-SUM($G92:BB92))*30%,IF(BB$65="입주/잔금",($F92-SUM($G92:BA92))*50%,IF(BA$65="입주/잔금",($F92-SUM($G92:AZ92))*20%,IF(BC$65=0,0,IF(BC$65="2차중도금",$F92*30%-SUM($G92:BB92),IF(BC$65="3차중도금",$F92*40%-SUM($G92:BB92),IF(BC$65="4차중도금",$F92*50%-SUM($G92:BB92),$F92*10%)))))))+(IF(BC$65="5차중도금",$F92*60%-SUM($G92:BB92)-$F92*10%,IF(BC$65="6차중도금",$F92*70%-SUM($G92:BB92)-$F92*10%,0)))</f>
        <v>0</v>
      </c>
      <c r="BD92" s="605">
        <f>IF(BD$65="입주/잔금",($F92-SUM($G92:BC92))*30%,IF(BC$65="입주/잔금",($F92-SUM($G92:BB92))*50%,IF(BB$65="입주/잔금",($F92-SUM($G92:BA92))*20%,IF(BD$65=0,0,IF(BD$65="2차중도금",$F92*30%-SUM($G92:BC92),IF(BD$65="3차중도금",$F92*40%-SUM($G92:BC92),IF(BD$65="4차중도금",$F92*50%-SUM($G92:BC92),$F92*10%)))))))+(IF(BD$65="5차중도금",$F92*60%-SUM($G92:BC92)-$F92*10%,IF(BD$65="6차중도금",$F92*70%-SUM($G92:BC92)-$F92*10%,0)))</f>
        <v>0</v>
      </c>
      <c r="BE92" s="605">
        <f>IF(BE$65="입주/잔금",($F92-SUM($G92:BD92))*30%,IF(BD$65="입주/잔금",($F92-SUM($G92:BC92))*50%,IF(BC$65="입주/잔금",($F92-SUM($G92:BB92))*20%,IF(BE$65=0,0,IF(BE$65="2차중도금",$F92*30%-SUM($G92:BD92),IF(BE$65="3차중도금",$F92*40%-SUM($G92:BD92),IF(BE$65="4차중도금",$F92*50%-SUM($G92:BD92),$F92*10%)))))))+(IF(BE$65="5차중도금",$F92*60%-SUM($G92:BD92)-$F92*10%,IF(BE$65="6차중도금",$F92*70%-SUM($G92:BD92)-$F92*10%,0)))</f>
        <v>0</v>
      </c>
      <c r="BF92" s="609">
        <f t="shared" si="30"/>
        <v>0</v>
      </c>
      <c r="BG92" s="556">
        <f t="shared" si="32"/>
        <v>0</v>
      </c>
      <c r="BH92" s="610"/>
    </row>
    <row r="93" spans="1:60">
      <c r="A93" s="1853"/>
      <c r="B93" s="613">
        <f t="shared" si="33"/>
        <v>45658</v>
      </c>
      <c r="C93" s="605">
        <f t="shared" si="36"/>
        <v>157992364.97659996</v>
      </c>
      <c r="D93" s="1501"/>
      <c r="E93" s="607">
        <f t="shared" si="35"/>
        <v>1.0000000000000002</v>
      </c>
      <c r="F93" s="608">
        <f t="shared" si="31"/>
        <v>0</v>
      </c>
      <c r="G93" s="605"/>
      <c r="H93" s="605"/>
      <c r="I93" s="605"/>
      <c r="J93" s="605"/>
      <c r="K93" s="605"/>
      <c r="L93" s="605"/>
      <c r="M93" s="605"/>
      <c r="N93" s="605"/>
      <c r="O93" s="605"/>
      <c r="P93" s="605"/>
      <c r="Q93" s="605"/>
      <c r="R93" s="605"/>
      <c r="S93" s="605"/>
      <c r="T93" s="605"/>
      <c r="U93" s="605"/>
      <c r="V93" s="605"/>
      <c r="W93" s="605"/>
      <c r="X93" s="605"/>
      <c r="Y93" s="605"/>
      <c r="Z93" s="605"/>
      <c r="AA93" s="605"/>
      <c r="AB93" s="605"/>
      <c r="AC93" s="605"/>
      <c r="AD93" s="605"/>
      <c r="AE93" s="605"/>
      <c r="AF93" s="605"/>
      <c r="AG93" s="605"/>
      <c r="AH93" s="605">
        <f>$F93*10%</f>
        <v>0</v>
      </c>
      <c r="AI93" s="605">
        <f>IF(AI$65="입주/잔금",($F93-SUM($G93:AH93))*30%,IF(AH$65="입주/잔금",($F93-SUM($G93:AG93))*50%,IF(AG$65="입주/잔금",($F93-SUM($G93:AF93))*20%,IF(AI$65=0,0,IF(AI$65="2차중도금",$F93*30%-SUM($G93:AH93),IF(AI$65="3차중도금",$F93*40%-SUM($G93:AH93),IF(AI$65="4차중도금",$F93*50%-SUM($G93:AH93),$F93*10%)))))))+(IF(AI$65="5차중도금",$F93*60%-SUM($G93:AH93)-$F93*10%,IF(AI$65="6차중도금",$F93*70%-SUM($G93:AH93)-$F93*10%,0)))</f>
        <v>0</v>
      </c>
      <c r="AJ93" s="605">
        <f>IF(AJ$65="입주/잔금",($F93-SUM($G93:AI93))*30%,IF(AI$65="입주/잔금",($F93-SUM($G93:AH93))*50%,IF(AH$65="입주/잔금",($F93-SUM($G93:AG93))*20%,IF(AJ$65=0,0,IF(AJ$65="2차중도금",$F93*30%-SUM($G93:AI93),IF(AJ$65="3차중도금",$F93*40%-SUM($G93:AI93),IF(AJ$65="4차중도금",$F93*50%-SUM($G93:AI93),$F93*10%)))))))+(IF(AJ$65="5차중도금",$F93*60%-SUM($G93:AI93)-$F93*10%,IF(AJ$65="6차중도금",$F93*70%-SUM($G93:AI93)-$F93*10%,0)))</f>
        <v>0</v>
      </c>
      <c r="AK93" s="605">
        <f>IF(AK$65="입주/잔금",($F93-SUM($G93:AJ93))*30%,IF(AJ$65="입주/잔금",($F93-SUM($G93:AI93))*50%,IF(AI$65="입주/잔금",($F93-SUM($G93:AH93))*20%,IF(AK$65=0,0,IF(AK$65="2차중도금",$F93*30%-SUM($G93:AJ93),IF(AK$65="3차중도금",$F93*40%-SUM($G93:AJ93),IF(AK$65="4차중도금",$F93*50%-SUM($G93:AJ93),$F93*10%)))))))+(IF(AK$65="5차중도금",$F93*60%-SUM($G93:AJ93)-$F93*10%,IF(AK$65="6차중도금",$F93*70%-SUM($G93:AJ93)-$F93*10%,0)))</f>
        <v>0</v>
      </c>
      <c r="AL93" s="605">
        <f>IF(AL$65="입주/잔금",($F93-SUM($G93:AK93))*30%,IF(AK$65="입주/잔금",($F93-SUM($G93:AJ93))*50%,IF(AJ$65="입주/잔금",($F93-SUM($G93:AI93))*20%,IF(AL$65=0,0,IF(AL$65="2차중도금",$F93*30%-SUM($G93:AK93),IF(AL$65="3차중도금",$F93*40%-SUM($G93:AK93),IF(AL$65="4차중도금",$F93*50%-SUM($G93:AK93),$F93*10%)))))))+(IF(AL$65="5차중도금",$F93*60%-SUM($G93:AK93)-$F93*10%,IF(AL$65="6차중도금",$F93*70%-SUM($G93:AK93)-$F93*10%,0)))</f>
        <v>0</v>
      </c>
      <c r="AM93" s="605">
        <f>IF(AM$65="입주/잔금",($F93-SUM($G93:AL93))*30%,IF(AL$65="입주/잔금",($F93-SUM($G93:AK93))*50%,IF(AK$65="입주/잔금",($F93-SUM($G93:AJ93))*20%,IF(AM$65=0,0,IF(AM$65="2차중도금",$F93*30%-SUM($G93:AL93),IF(AM$65="3차중도금",$F93*40%-SUM($G93:AL93),IF(AM$65="4차중도금",$F93*50%-SUM($G93:AL93),$F93*10%)))))))+(IF(AM$65="5차중도금",$F93*60%-SUM($G93:AL93)-$F93*10%,IF(AM$65="6차중도금",$F93*70%-SUM($G93:AL93)-$F93*10%,0)))</f>
        <v>0</v>
      </c>
      <c r="AN93" s="605">
        <f>IF(AN$65="입주/잔금",($F93-SUM($G93:AM93))*30%,IF(AM$65="입주/잔금",($F93-SUM($G93:AL93))*50%,IF(AL$65="입주/잔금",($F93-SUM($G93:AK93))*20%,IF(AN$65=0,0,IF(AN$65="2차중도금",$F93*30%-SUM($G93:AM93),IF(AN$65="3차중도금",$F93*40%-SUM($G93:AM93),IF(AN$65="4차중도금",$F93*50%-SUM($G93:AM93),$F93*10%)))))))+(IF(AN$65="5차중도금",$F93*60%-SUM($G93:AM93)-$F93*10%,IF(AN$65="6차중도금",$F93*70%-SUM($G93:AM93)-$F93*10%,0)))</f>
        <v>0</v>
      </c>
      <c r="AO93" s="605">
        <f>IF(AO$65="입주/잔금",($F93-SUM($G93:AN93))*30%,IF(AN$65="입주/잔금",($F93-SUM($G93:AM93))*50%,IF(AM$65="입주/잔금",($F93-SUM($G93:AL93))*20%,IF(AO$65=0,0,IF(AO$65="2차중도금",$F93*30%-SUM($G93:AN93),IF(AO$65="3차중도금",$F93*40%-SUM($G93:AN93),IF(AO$65="4차중도금",$F93*50%-SUM($G93:AN93),$F93*10%)))))))+(IF(AO$65="5차중도금",$F93*60%-SUM($G93:AN93)-$F93*10%,IF(AO$65="6차중도금",$F93*70%-SUM($G93:AN93)-$F93*10%,0)))</f>
        <v>0</v>
      </c>
      <c r="AP93" s="605">
        <f>IF(AP$65="입주/잔금",($F93-SUM($G93:AO93))*30%,IF(AO$65="입주/잔금",($F93-SUM($G93:AN93))*50%,IF(AN$65="입주/잔금",($F93-SUM($G93:AM93))*20%,IF(AP$65=0,0,IF(AP$65="2차중도금",$F93*30%-SUM($G93:AO93),IF(AP$65="3차중도금",$F93*40%-SUM($G93:AO93),IF(AP$65="4차중도금",$F93*50%-SUM($G93:AO93),$F93*10%)))))))+(IF(AP$65="5차중도금",$F93*60%-SUM($G93:AO93)-$F93*10%,IF(AP$65="6차중도금",$F93*70%-SUM($G93:AO93)-$F93*10%,0)))</f>
        <v>0</v>
      </c>
      <c r="AQ93" s="605">
        <f>IF(AQ$65="입주/잔금",($F93-SUM($G93:AP93))*30%,IF(AP$65="입주/잔금",($F93-SUM($G93:AO93))*50%,IF(AO$65="입주/잔금",($F93-SUM($G93:AN93))*20%,IF(AQ$65=0,0,IF(AQ$65="2차중도금",$F93*30%-SUM($G93:AP93),IF(AQ$65="3차중도금",$F93*40%-SUM($G93:AP93),IF(AQ$65="4차중도금",$F93*50%-SUM($G93:AP93),$F93*10%)))))))+(IF(AQ$65="5차중도금",$F93*60%-SUM($G93:AP93)-$F93*10%,IF(AQ$65="6차중도금",$F93*70%-SUM($G93:AP93)-$F93*10%,0)))</f>
        <v>0</v>
      </c>
      <c r="AR93" s="605">
        <f>IF(AR$65="입주/잔금",($F93-SUM($G93:AQ93))*30%,IF(AQ$65="입주/잔금",($F93-SUM($G93:AP93))*50%,IF(AP$65="입주/잔금",($F93-SUM($G93:AO93))*20%,IF(AR$65=0,0,IF(AR$65="2차중도금",$F93*30%-SUM($G93:AQ93),IF(AR$65="3차중도금",$F93*40%-SUM($G93:AQ93),IF(AR$65="4차중도금",$F93*50%-SUM($G93:AQ93),$F93*10%)))))))+(IF(AR$65="5차중도금",$F93*60%-SUM($G93:AQ93)-$F93*10%,IF(AR$65="6차중도금",$F93*70%-SUM($G93:AQ93)-$F93*10%,0)))</f>
        <v>0</v>
      </c>
      <c r="AS93" s="605">
        <f>IF(AS$65="입주/잔금",($F93-SUM($G93:AR93))*30%,IF(AR$65="입주/잔금",($F93-SUM($G93:AQ93))*50%,IF(AQ$65="입주/잔금",($F93-SUM($G93:AP93))*20%,IF(AS$65=0,0,IF(AS$65="2차중도금",$F93*30%-SUM($G93:AR93),IF(AS$65="3차중도금",$F93*40%-SUM($G93:AR93),IF(AS$65="4차중도금",$F93*50%-SUM($G93:AR93),$F93*10%)))))))+(IF(AS$65="5차중도금",$F93*60%-SUM($G93:AR93)-$F93*10%,IF(AS$65="6차중도금",$F93*70%-SUM($G93:AR93)-$F93*10%,0)))</f>
        <v>0</v>
      </c>
      <c r="AT93" s="605">
        <f>IF(AT$65="입주/잔금",($F93-SUM($G93:AS93))*30%,IF(AS$65="입주/잔금",($F93-SUM($G93:AR93))*50%,IF(AR$65="입주/잔금",($F93-SUM($G93:AQ93))*20%,IF(AT$65=0,0,IF(AT$65="2차중도금",$F93*30%-SUM($G93:AS93),IF(AT$65="3차중도금",$F93*40%-SUM($G93:AS93),IF(AT$65="4차중도금",$F93*50%-SUM($G93:AS93),$F93*10%)))))))+(IF(AT$65="5차중도금",$F93*60%-SUM($G93:AS93)-$F93*10%,IF(AT$65="6차중도금",$F93*70%-SUM($G93:AS93)-$F93*10%,0)))</f>
        <v>0</v>
      </c>
      <c r="AU93" s="605">
        <f>IF(AU$65="입주/잔금",($F93-SUM($G93:AT93))*30%,IF(AT$65="입주/잔금",($F93-SUM($G93:AS93))*50%,IF(AS$65="입주/잔금",($F93-SUM($G93:AR93))*20%,IF(AU$65=0,0,IF(AU$65="2차중도금",$F93*30%-SUM($G93:AT93),IF(AU$65="3차중도금",$F93*40%-SUM($G93:AT93),IF(AU$65="4차중도금",$F93*50%-SUM($G93:AT93),$F93*10%)))))))+(IF(AU$65="5차중도금",$F93*60%-SUM($G93:AT93)-$F93*10%,IF(AU$65="6차중도금",$F93*70%-SUM($G93:AT93)-$F93*10%,0)))</f>
        <v>0</v>
      </c>
      <c r="AV93" s="605">
        <f>IF(AV$65="입주/잔금",($F93-SUM($G93:AU93))*30%,IF(AU$65="입주/잔금",($F93-SUM($G93:AT93))*50%,IF(AT$65="입주/잔금",($F93-SUM($G93:AS93))*20%,IF(AV$65=0,0,IF(AV$65="2차중도금",$F93*30%-SUM($G93:AU93),IF(AV$65="3차중도금",$F93*40%-SUM($G93:AU93),IF(AV$65="4차중도금",$F93*50%-SUM($G93:AU93),$F93*10%)))))))+(IF(AV$65="5차중도금",$F93*60%-SUM($G93:AU93)-$F93*10%,IF(AV$65="6차중도금",$F93*70%-SUM($G93:AU93)-$F93*10%,0)))</f>
        <v>0</v>
      </c>
      <c r="AW93" s="605">
        <f>IF(AW$65="입주/잔금",($F93-SUM($G93:AV93))*30%,IF(AV$65="입주/잔금",($F93-SUM($G93:AU93))*50%,IF(AU$65="입주/잔금",($F93-SUM($G93:AT93))*20%,IF(AW$65=0,0,IF(AW$65="2차중도금",$F93*30%-SUM($G93:AV93),IF(AW$65="3차중도금",$F93*40%-SUM($G93:AV93),IF(AW$65="4차중도금",$F93*50%-SUM($G93:AV93),$F93*10%)))))))+(IF(AW$65="5차중도금",$F93*60%-SUM($G93:AV93)-$F93*10%,IF(AW$65="6차중도금",$F93*70%-SUM($G93:AV93)-$F93*10%,0)))</f>
        <v>0</v>
      </c>
      <c r="AX93" s="605">
        <f>IF(AX$65="입주/잔금",($F93-SUM($G93:AW93))*30%,IF(AW$65="입주/잔금",($F93-SUM($G93:AV93))*50%,IF(AV$65="입주/잔금",($F93-SUM($G93:AU93))*20%,IF(AX$65=0,0,IF(AX$65="2차중도금",$F93*30%-SUM($G93:AW93),IF(AX$65="3차중도금",$F93*40%-SUM($G93:AW93),IF(AX$65="4차중도금",$F93*50%-SUM($G93:AW93),$F93*10%)))))))+(IF(AX$65="5차중도금",$F93*60%-SUM($G93:AW93)-$F93*10%,IF(AX$65="6차중도금",$F93*70%-SUM($G93:AW93)-$F93*10%,0)))</f>
        <v>0</v>
      </c>
      <c r="AY93" s="605">
        <f>IF(AY$65="입주/잔금",($F93-SUM($G93:AX93))*30%,IF(AX$65="입주/잔금",($F93-SUM($G93:AW93))*50%,IF(AW$65="입주/잔금",($F93-SUM($G93:AV93))*20%,IF(AY$65=0,0,IF(AY$65="2차중도금",$F93*30%-SUM($G93:AX93),IF(AY$65="3차중도금",$F93*40%-SUM($G93:AX93),IF(AY$65="4차중도금",$F93*50%-SUM($G93:AX93),$F93*10%)))))))+(IF(AY$65="5차중도금",$F93*60%-SUM($G93:AX93)-$F93*10%,IF(AY$65="6차중도금",$F93*70%-SUM($G93:AX93)-$F93*10%,0)))</f>
        <v>0</v>
      </c>
      <c r="AZ93" s="605">
        <f>IF(AZ$65="입주/잔금",($F93-SUM($G93:AY93))*30%,IF(AY$65="입주/잔금",($F93-SUM($G93:AX93))*50%,IF(AX$65="입주/잔금",($F93-SUM($G93:AW93))*20%,IF(AZ$65=0,0,IF(AZ$65="2차중도금",$F93*30%-SUM($G93:AY93),IF(AZ$65="3차중도금",$F93*40%-SUM($G93:AY93),IF(AZ$65="4차중도금",$F93*50%-SUM($G93:AY93),$F93*10%)))))))+(IF(AZ$65="5차중도금",$F93*60%-SUM($G93:AY93)-$F93*10%,IF(AZ$65="6차중도금",$F93*70%-SUM($G93:AY93)-$F93*10%,0)))</f>
        <v>0</v>
      </c>
      <c r="BA93" s="605">
        <f>IF(BA$65="입주/잔금",($F93-SUM($G93:AZ93))*30%,IF(AZ$65="입주/잔금",($F93-SUM($G93:AY93))*50%,IF(AY$65="입주/잔금",($F93-SUM($G93:AX93))*20%,IF(BA$65=0,0,IF(BA$65="2차중도금",$F93*30%-SUM($G93:AZ93),IF(BA$65="3차중도금",$F93*40%-SUM($G93:AZ93),IF(BA$65="4차중도금",$F93*50%-SUM($G93:AZ93),$F93*10%)))))))+(IF(BA$65="5차중도금",$F93*60%-SUM($G93:AZ93)-$F93*10%,IF(BA$65="6차중도금",$F93*70%-SUM($G93:AZ93)-$F93*10%,0)))</f>
        <v>0</v>
      </c>
      <c r="BB93" s="605">
        <f>IF(BB$65="입주/잔금",($F93-SUM($G93:BA93))*30%,IF(BA$65="입주/잔금",($F93-SUM($G93:AZ93))*50%,IF(AZ$65="입주/잔금",($F93-SUM($G93:AY93))*20%,IF(BB$65=0,0,IF(BB$65="2차중도금",$F93*30%-SUM($G93:BA93),IF(BB$65="3차중도금",$F93*40%-SUM($G93:BA93),IF(BB$65="4차중도금",$F93*50%-SUM($G93:BA93),$F93*10%)))))))+(IF(BB$65="5차중도금",$F93*60%-SUM($G93:BA93)-$F93*10%,IF(BB$65="6차중도금",$F93*70%-SUM($G93:BA93)-$F93*10%,0)))</f>
        <v>0</v>
      </c>
      <c r="BC93" s="605">
        <f>IF(BC$65="입주/잔금",($F93-SUM($G93:BB93))*30%,IF(BB$65="입주/잔금",($F93-SUM($G93:BA93))*50%,IF(BA$65="입주/잔금",($F93-SUM($G93:AZ93))*20%,IF(BC$65=0,0,IF(BC$65="2차중도금",$F93*30%-SUM($G93:BB93),IF(BC$65="3차중도금",$F93*40%-SUM($G93:BB93),IF(BC$65="4차중도금",$F93*50%-SUM($G93:BB93),$F93*10%)))))))+(IF(BC$65="5차중도금",$F93*60%-SUM($G93:BB93)-$F93*10%,IF(BC$65="6차중도금",$F93*70%-SUM($G93:BB93)-$F93*10%,0)))</f>
        <v>0</v>
      </c>
      <c r="BD93" s="605">
        <f>IF(BD$65="입주/잔금",($F93-SUM($G93:BC93))*30%,IF(BC$65="입주/잔금",($F93-SUM($G93:BB93))*50%,IF(BB$65="입주/잔금",($F93-SUM($G93:BA93))*20%,IF(BD$65=0,0,IF(BD$65="2차중도금",$F93*30%-SUM($G93:BC93),IF(BD$65="3차중도금",$F93*40%-SUM($G93:BC93),IF(BD$65="4차중도금",$F93*50%-SUM($G93:BC93),$F93*10%)))))))+(IF(BD$65="5차중도금",$F93*60%-SUM($G93:BC93)-$F93*10%,IF(BD$65="6차중도금",$F93*70%-SUM($G93:BC93)-$F93*10%,0)))</f>
        <v>0</v>
      </c>
      <c r="BE93" s="605">
        <f>IF(BE$65="입주/잔금",($F93-SUM($G93:BD93))*30%,IF(BD$65="입주/잔금",($F93-SUM($G93:BC93))*50%,IF(BC$65="입주/잔금",($F93-SUM($G93:BB93))*20%,IF(BE$65=0,0,IF(BE$65="2차중도금",$F93*30%-SUM($G93:BD93),IF(BE$65="3차중도금",$F93*40%-SUM($G93:BD93),IF(BE$65="4차중도금",$F93*50%-SUM($G93:BD93),$F93*10%)))))))+(IF(BE$65="5차중도금",$F93*60%-SUM($G93:BD93)-$F93*10%,IF(BE$65="6차중도금",$F93*70%-SUM($G93:BD93)-$F93*10%,0)))</f>
        <v>0</v>
      </c>
      <c r="BF93" s="609">
        <f t="shared" si="30"/>
        <v>0</v>
      </c>
      <c r="BG93" s="556">
        <f t="shared" si="32"/>
        <v>0</v>
      </c>
      <c r="BH93" s="610"/>
    </row>
    <row r="94" spans="1:60">
      <c r="A94" s="1853"/>
      <c r="B94" s="611">
        <f t="shared" si="33"/>
        <v>45689</v>
      </c>
      <c r="C94" s="605">
        <f t="shared" si="36"/>
        <v>157992364.97659996</v>
      </c>
      <c r="D94" s="1501"/>
      <c r="E94" s="607">
        <f t="shared" si="35"/>
        <v>1.0000000000000002</v>
      </c>
      <c r="F94" s="608">
        <f t="shared" si="31"/>
        <v>0</v>
      </c>
      <c r="G94" s="605"/>
      <c r="H94" s="605"/>
      <c r="I94" s="605"/>
      <c r="J94" s="605"/>
      <c r="K94" s="605"/>
      <c r="L94" s="605"/>
      <c r="M94" s="605"/>
      <c r="N94" s="605"/>
      <c r="O94" s="605"/>
      <c r="P94" s="605"/>
      <c r="Q94" s="605"/>
      <c r="R94" s="605"/>
      <c r="S94" s="605"/>
      <c r="T94" s="605"/>
      <c r="U94" s="605"/>
      <c r="V94" s="605"/>
      <c r="W94" s="605"/>
      <c r="X94" s="605"/>
      <c r="Y94" s="605"/>
      <c r="Z94" s="605"/>
      <c r="AA94" s="605"/>
      <c r="AB94" s="605"/>
      <c r="AC94" s="605"/>
      <c r="AD94" s="605"/>
      <c r="AE94" s="605"/>
      <c r="AF94" s="605"/>
      <c r="AG94" s="605"/>
      <c r="AH94" s="605"/>
      <c r="AI94" s="605">
        <f>$F94*10%</f>
        <v>0</v>
      </c>
      <c r="AJ94" s="605">
        <f>IF(AJ$65="입주/잔금",($F94-SUM($G94:AI94))*30%,IF(AI$65="입주/잔금",($F94-SUM($G94:AH94))*50%,IF(AH$65="입주/잔금",($F94-SUM($G94:AG94))*20%,IF(AJ$65=0,0,IF(AJ$65="2차중도금",$F94*30%-SUM($G94:AI94),IF(AJ$65="3차중도금",$F94*40%-SUM($G94:AI94),IF(AJ$65="4차중도금",$F94*50%-SUM($G94:AI94),$F94*10%)))))))+(IF(AJ$65="5차중도금",$F94*60%-SUM($G94:AI94)-$F94*10%,IF(AJ$65="6차중도금",$F94*70%-SUM($G94:AI94)-$F94*10%,0)))</f>
        <v>0</v>
      </c>
      <c r="AK94" s="605">
        <f>IF(AK$65="입주/잔금",($F94-SUM($G94:AJ94))*30%,IF(AJ$65="입주/잔금",($F94-SUM($G94:AI94))*50%,IF(AI$65="입주/잔금",($F94-SUM($G94:AH94))*20%,IF(AK$65=0,0,IF(AK$65="2차중도금",$F94*30%-SUM($G94:AJ94),IF(AK$65="3차중도금",$F94*40%-SUM($G94:AJ94),IF(AK$65="4차중도금",$F94*50%-SUM($G94:AJ94),$F94*10%)))))))+(IF(AK$65="5차중도금",$F94*60%-SUM($G94:AJ94)-$F94*10%,IF(AK$65="6차중도금",$F94*70%-SUM($G94:AJ94)-$F94*10%,0)))</f>
        <v>0</v>
      </c>
      <c r="AL94" s="605">
        <f>IF(AL$65="입주/잔금",($F94-SUM($G94:AK94))*30%,IF(AK$65="입주/잔금",($F94-SUM($G94:AJ94))*50%,IF(AJ$65="입주/잔금",($F94-SUM($G94:AI94))*20%,IF(AL$65=0,0,IF(AL$65="2차중도금",$F94*30%-SUM($G94:AK94),IF(AL$65="3차중도금",$F94*40%-SUM($G94:AK94),IF(AL$65="4차중도금",$F94*50%-SUM($G94:AK94),$F94*10%)))))))+(IF(AL$65="5차중도금",$F94*60%-SUM($G94:AK94)-$F94*10%,IF(AL$65="6차중도금",$F94*70%-SUM($G94:AK94)-$F94*10%,0)))</f>
        <v>0</v>
      </c>
      <c r="AM94" s="605">
        <f>IF(AM$65="입주/잔금",($F94-SUM($G94:AL94))*30%,IF(AL$65="입주/잔금",($F94-SUM($G94:AK94))*50%,IF(AK$65="입주/잔금",($F94-SUM($G94:AJ94))*20%,IF(AM$65=0,0,IF(AM$65="2차중도금",$F94*30%-SUM($G94:AL94),IF(AM$65="3차중도금",$F94*40%-SUM($G94:AL94),IF(AM$65="4차중도금",$F94*50%-SUM($G94:AL94),$F94*10%)))))))+(IF(AM$65="5차중도금",$F94*60%-SUM($G94:AL94)-$F94*10%,IF(AM$65="6차중도금",$F94*70%-SUM($G94:AL94)-$F94*10%,0)))</f>
        <v>0</v>
      </c>
      <c r="AN94" s="605">
        <f>IF(AN$65="입주/잔금",($F94-SUM($G94:AM94))*30%,IF(AM$65="입주/잔금",($F94-SUM($G94:AL94))*50%,IF(AL$65="입주/잔금",($F94-SUM($G94:AK94))*20%,IF(AN$65=0,0,IF(AN$65="2차중도금",$F94*30%-SUM($G94:AM94),IF(AN$65="3차중도금",$F94*40%-SUM($G94:AM94),IF(AN$65="4차중도금",$F94*50%-SUM($G94:AM94),$F94*10%)))))))+(IF(AN$65="5차중도금",$F94*60%-SUM($G94:AM94)-$F94*10%,IF(AN$65="6차중도금",$F94*70%-SUM($G94:AM94)-$F94*10%,0)))</f>
        <v>0</v>
      </c>
      <c r="AO94" s="605">
        <f>IF(AO$65="입주/잔금",($F94-SUM($G94:AN94))*30%,IF(AN$65="입주/잔금",($F94-SUM($G94:AM94))*50%,IF(AM$65="입주/잔금",($F94-SUM($G94:AL94))*20%,IF(AO$65=0,0,IF(AO$65="2차중도금",$F94*30%-SUM($G94:AN94),IF(AO$65="3차중도금",$F94*40%-SUM($G94:AN94),IF(AO$65="4차중도금",$F94*50%-SUM($G94:AN94),$F94*10%)))))))+(IF(AO$65="5차중도금",$F94*60%-SUM($G94:AN94)-$F94*10%,IF(AO$65="6차중도금",$F94*70%-SUM($G94:AN94)-$F94*10%,0)))</f>
        <v>0</v>
      </c>
      <c r="AP94" s="605">
        <f>IF(AP$65="입주/잔금",($F94-SUM($G94:AO94))*30%,IF(AO$65="입주/잔금",($F94-SUM($G94:AN94))*50%,IF(AN$65="입주/잔금",($F94-SUM($G94:AM94))*20%,IF(AP$65=0,0,IF(AP$65="2차중도금",$F94*30%-SUM($G94:AO94),IF(AP$65="3차중도금",$F94*40%-SUM($G94:AO94),IF(AP$65="4차중도금",$F94*50%-SUM($G94:AO94),$F94*10%)))))))+(IF(AP$65="5차중도금",$F94*60%-SUM($G94:AO94)-$F94*10%,IF(AP$65="6차중도금",$F94*70%-SUM($G94:AO94)-$F94*10%,0)))</f>
        <v>0</v>
      </c>
      <c r="AQ94" s="605">
        <f>IF(AQ$65="입주/잔금",($F94-SUM($G94:AP94))*30%,IF(AP$65="입주/잔금",($F94-SUM($G94:AO94))*50%,IF(AO$65="입주/잔금",($F94-SUM($G94:AN94))*20%,IF(AQ$65=0,0,IF(AQ$65="2차중도금",$F94*30%-SUM($G94:AP94),IF(AQ$65="3차중도금",$F94*40%-SUM($G94:AP94),IF(AQ$65="4차중도금",$F94*50%-SUM($G94:AP94),$F94*10%)))))))+(IF(AQ$65="5차중도금",$F94*60%-SUM($G94:AP94)-$F94*10%,IF(AQ$65="6차중도금",$F94*70%-SUM($G94:AP94)-$F94*10%,0)))</f>
        <v>0</v>
      </c>
      <c r="AR94" s="605">
        <f>IF(AR$65="입주/잔금",($F94-SUM($G94:AQ94))*30%,IF(AQ$65="입주/잔금",($F94-SUM($G94:AP94))*50%,IF(AP$65="입주/잔금",($F94-SUM($G94:AO94))*20%,IF(AR$65=0,0,IF(AR$65="2차중도금",$F94*30%-SUM($G94:AQ94),IF(AR$65="3차중도금",$F94*40%-SUM($G94:AQ94),IF(AR$65="4차중도금",$F94*50%-SUM($G94:AQ94),$F94*10%)))))))+(IF(AR$65="5차중도금",$F94*60%-SUM($G94:AQ94)-$F94*10%,IF(AR$65="6차중도금",$F94*70%-SUM($G94:AQ94)-$F94*10%,0)))</f>
        <v>0</v>
      </c>
      <c r="AS94" s="605">
        <f>IF(AS$65="입주/잔금",($F94-SUM($G94:AR94))*30%,IF(AR$65="입주/잔금",($F94-SUM($G94:AQ94))*50%,IF(AQ$65="입주/잔금",($F94-SUM($G94:AP94))*20%,IF(AS$65=0,0,IF(AS$65="2차중도금",$F94*30%-SUM($G94:AR94),IF(AS$65="3차중도금",$F94*40%-SUM($G94:AR94),IF(AS$65="4차중도금",$F94*50%-SUM($G94:AR94),$F94*10%)))))))+(IF(AS$65="5차중도금",$F94*60%-SUM($G94:AR94)-$F94*10%,IF(AS$65="6차중도금",$F94*70%-SUM($G94:AR94)-$F94*10%,0)))</f>
        <v>0</v>
      </c>
      <c r="AT94" s="605">
        <f>IF(AT$65="입주/잔금",($F94-SUM($G94:AS94))*30%,IF(AS$65="입주/잔금",($F94-SUM($G94:AR94))*50%,IF(AR$65="입주/잔금",($F94-SUM($G94:AQ94))*20%,IF(AT$65=0,0,IF(AT$65="2차중도금",$F94*30%-SUM($G94:AS94),IF(AT$65="3차중도금",$F94*40%-SUM($G94:AS94),IF(AT$65="4차중도금",$F94*50%-SUM($G94:AS94),$F94*10%)))))))+(IF(AT$65="5차중도금",$F94*60%-SUM($G94:AS94)-$F94*10%,IF(AT$65="6차중도금",$F94*70%-SUM($G94:AS94)-$F94*10%,0)))</f>
        <v>0</v>
      </c>
      <c r="AU94" s="605">
        <f>IF(AU$65="입주/잔금",($F94-SUM($G94:AT94))*30%,IF(AT$65="입주/잔금",($F94-SUM($G94:AS94))*50%,IF(AS$65="입주/잔금",($F94-SUM($G94:AR94))*20%,IF(AU$65=0,0,IF(AU$65="2차중도금",$F94*30%-SUM($G94:AT94),IF(AU$65="3차중도금",$F94*40%-SUM($G94:AT94),IF(AU$65="4차중도금",$F94*50%-SUM($G94:AT94),$F94*10%)))))))+(IF(AU$65="5차중도금",$F94*60%-SUM($G94:AT94)-$F94*10%,IF(AU$65="6차중도금",$F94*70%-SUM($G94:AT94)-$F94*10%,0)))</f>
        <v>0</v>
      </c>
      <c r="AV94" s="605">
        <f>IF(AV$65="입주/잔금",($F94-SUM($G94:AU94))*30%,IF(AU$65="입주/잔금",($F94-SUM($G94:AT94))*50%,IF(AT$65="입주/잔금",($F94-SUM($G94:AS94))*20%,IF(AV$65=0,0,IF(AV$65="2차중도금",$F94*30%-SUM($G94:AU94),IF(AV$65="3차중도금",$F94*40%-SUM($G94:AU94),IF(AV$65="4차중도금",$F94*50%-SUM($G94:AU94),$F94*10%)))))))+(IF(AV$65="5차중도금",$F94*60%-SUM($G94:AU94)-$F94*10%,IF(AV$65="6차중도금",$F94*70%-SUM($G94:AU94)-$F94*10%,0)))</f>
        <v>0</v>
      </c>
      <c r="AW94" s="605">
        <f>IF(AW$65="입주/잔금",($F94-SUM($G94:AV94))*30%,IF(AV$65="입주/잔금",($F94-SUM($G94:AU94))*50%,IF(AU$65="입주/잔금",($F94-SUM($G94:AT94))*20%,IF(AW$65=0,0,IF(AW$65="2차중도금",$F94*30%-SUM($G94:AV94),IF(AW$65="3차중도금",$F94*40%-SUM($G94:AV94),IF(AW$65="4차중도금",$F94*50%-SUM($G94:AV94),$F94*10%)))))))+(IF(AW$65="5차중도금",$F94*60%-SUM($G94:AV94)-$F94*10%,IF(AW$65="6차중도금",$F94*70%-SUM($G94:AV94)-$F94*10%,0)))</f>
        <v>0</v>
      </c>
      <c r="AX94" s="605">
        <f>IF(AX$65="입주/잔금",($F94-SUM($G94:AW94))*30%,IF(AW$65="입주/잔금",($F94-SUM($G94:AV94))*50%,IF(AV$65="입주/잔금",($F94-SUM($G94:AU94))*20%,IF(AX$65=0,0,IF(AX$65="2차중도금",$F94*30%-SUM($G94:AW94),IF(AX$65="3차중도금",$F94*40%-SUM($G94:AW94),IF(AX$65="4차중도금",$F94*50%-SUM($G94:AW94),$F94*10%)))))))+(IF(AX$65="5차중도금",$F94*60%-SUM($G94:AW94)-$F94*10%,IF(AX$65="6차중도금",$F94*70%-SUM($G94:AW94)-$F94*10%,0)))</f>
        <v>0</v>
      </c>
      <c r="AY94" s="605">
        <f>IF(AY$65="입주/잔금",($F94-SUM($G94:AX94))*30%,IF(AX$65="입주/잔금",($F94-SUM($G94:AW94))*50%,IF(AW$65="입주/잔금",($F94-SUM($G94:AV94))*20%,IF(AY$65=0,0,IF(AY$65="2차중도금",$F94*30%-SUM($G94:AX94),IF(AY$65="3차중도금",$F94*40%-SUM($G94:AX94),IF(AY$65="4차중도금",$F94*50%-SUM($G94:AX94),$F94*10%)))))))+(IF(AY$65="5차중도금",$F94*60%-SUM($G94:AX94)-$F94*10%,IF(AY$65="6차중도금",$F94*70%-SUM($G94:AX94)-$F94*10%,0)))</f>
        <v>0</v>
      </c>
      <c r="AZ94" s="605">
        <f>IF(AZ$65="입주/잔금",($F94-SUM($G94:AY94))*30%,IF(AY$65="입주/잔금",($F94-SUM($G94:AX94))*50%,IF(AX$65="입주/잔금",($F94-SUM($G94:AW94))*20%,IF(AZ$65=0,0,IF(AZ$65="2차중도금",$F94*30%-SUM($G94:AY94),IF(AZ$65="3차중도금",$F94*40%-SUM($G94:AY94),IF(AZ$65="4차중도금",$F94*50%-SUM($G94:AY94),$F94*10%)))))))+(IF(AZ$65="5차중도금",$F94*60%-SUM($G94:AY94)-$F94*10%,IF(AZ$65="6차중도금",$F94*70%-SUM($G94:AY94)-$F94*10%,0)))</f>
        <v>0</v>
      </c>
      <c r="BA94" s="605">
        <f>IF(BA$65="입주/잔금",($F94-SUM($G94:AZ94))*30%,IF(AZ$65="입주/잔금",($F94-SUM($G94:AY94))*50%,IF(AY$65="입주/잔금",($F94-SUM($G94:AX94))*20%,IF(BA$65=0,0,IF(BA$65="2차중도금",$F94*30%-SUM($G94:AZ94),IF(BA$65="3차중도금",$F94*40%-SUM($G94:AZ94),IF(BA$65="4차중도금",$F94*50%-SUM($G94:AZ94),$F94*10%)))))))+(IF(BA$65="5차중도금",$F94*60%-SUM($G94:AZ94)-$F94*10%,IF(BA$65="6차중도금",$F94*70%-SUM($G94:AZ94)-$F94*10%,0)))</f>
        <v>0</v>
      </c>
      <c r="BB94" s="605">
        <f>IF(BB$65="입주/잔금",($F94-SUM($G94:BA94))*30%,IF(BA$65="입주/잔금",($F94-SUM($G94:AZ94))*50%,IF(AZ$65="입주/잔금",($F94-SUM($G94:AY94))*20%,IF(BB$65=0,0,IF(BB$65="2차중도금",$F94*30%-SUM($G94:BA94),IF(BB$65="3차중도금",$F94*40%-SUM($G94:BA94),IF(BB$65="4차중도금",$F94*50%-SUM($G94:BA94),$F94*10%)))))))+(IF(BB$65="5차중도금",$F94*60%-SUM($G94:BA94)-$F94*10%,IF(BB$65="6차중도금",$F94*70%-SUM($G94:BA94)-$F94*10%,0)))</f>
        <v>0</v>
      </c>
      <c r="BC94" s="605">
        <f>IF(BC$65="입주/잔금",($F94-SUM($G94:BB94))*30%,IF(BB$65="입주/잔금",($F94-SUM($G94:BA94))*50%,IF(BA$65="입주/잔금",($F94-SUM($G94:AZ94))*20%,IF(BC$65=0,0,IF(BC$65="2차중도금",$F94*30%-SUM($G94:BB94),IF(BC$65="3차중도금",$F94*40%-SUM($G94:BB94),IF(BC$65="4차중도금",$F94*50%-SUM($G94:BB94),$F94*10%)))))))+(IF(BC$65="5차중도금",$F94*60%-SUM($G94:BB94)-$F94*10%,IF(BC$65="6차중도금",$F94*70%-SUM($G94:BB94)-$F94*10%,0)))</f>
        <v>0</v>
      </c>
      <c r="BD94" s="605">
        <f>IF(BD$65="입주/잔금",($F94-SUM($G94:BC94))*30%,IF(BC$65="입주/잔금",($F94-SUM($G94:BB94))*50%,IF(BB$65="입주/잔금",($F94-SUM($G94:BA94))*20%,IF(BD$65=0,0,IF(BD$65="2차중도금",$F94*30%-SUM($G94:BC94),IF(BD$65="3차중도금",$F94*40%-SUM($G94:BC94),IF(BD$65="4차중도금",$F94*50%-SUM($G94:BC94),$F94*10%)))))))+(IF(BD$65="5차중도금",$F94*60%-SUM($G94:BC94)-$F94*10%,IF(BD$65="6차중도금",$F94*70%-SUM($G94:BC94)-$F94*10%,0)))</f>
        <v>0</v>
      </c>
      <c r="BE94" s="605">
        <f>IF(BE$65="입주/잔금",($F94-SUM($G94:BD94))*30%,IF(BD$65="입주/잔금",($F94-SUM($G94:BC94))*50%,IF(BC$65="입주/잔금",($F94-SUM($G94:BB94))*20%,IF(BE$65=0,0,IF(BE$65="2차중도금",$F94*30%-SUM($G94:BD94),IF(BE$65="3차중도금",$F94*40%-SUM($G94:BD94),IF(BE$65="4차중도금",$F94*50%-SUM($G94:BD94),$F94*10%)))))))+(IF(BE$65="5차중도금",$F94*60%-SUM($G94:BD94)-$F94*10%,IF(BE$65="6차중도금",$F94*70%-SUM($G94:BD94)-$F94*10%,0)))</f>
        <v>0</v>
      </c>
      <c r="BF94" s="609">
        <f t="shared" si="30"/>
        <v>0</v>
      </c>
      <c r="BG94" s="556">
        <f t="shared" si="32"/>
        <v>0</v>
      </c>
      <c r="BH94" s="610"/>
    </row>
    <row r="95" spans="1:60">
      <c r="A95" s="1853"/>
      <c r="B95" s="611">
        <f t="shared" si="33"/>
        <v>45717</v>
      </c>
      <c r="C95" s="605">
        <f t="shared" si="36"/>
        <v>157992364.97659996</v>
      </c>
      <c r="D95" s="1501"/>
      <c r="E95" s="607">
        <f t="shared" si="35"/>
        <v>1.0000000000000002</v>
      </c>
      <c r="F95" s="608">
        <f t="shared" si="31"/>
        <v>0</v>
      </c>
      <c r="G95" s="605"/>
      <c r="H95" s="605"/>
      <c r="I95" s="605"/>
      <c r="J95" s="605"/>
      <c r="K95" s="605"/>
      <c r="L95" s="605"/>
      <c r="M95" s="605"/>
      <c r="N95" s="605"/>
      <c r="O95" s="605"/>
      <c r="P95" s="605"/>
      <c r="Q95" s="605"/>
      <c r="R95" s="605"/>
      <c r="S95" s="605"/>
      <c r="T95" s="605"/>
      <c r="U95" s="605"/>
      <c r="V95" s="605"/>
      <c r="W95" s="605"/>
      <c r="X95" s="605"/>
      <c r="Y95" s="605"/>
      <c r="Z95" s="605"/>
      <c r="AA95" s="605"/>
      <c r="AB95" s="605"/>
      <c r="AC95" s="605"/>
      <c r="AD95" s="605"/>
      <c r="AE95" s="605"/>
      <c r="AF95" s="605"/>
      <c r="AG95" s="605"/>
      <c r="AH95" s="605"/>
      <c r="AI95" s="605"/>
      <c r="AJ95" s="605">
        <f>$F95*10%</f>
        <v>0</v>
      </c>
      <c r="AK95" s="605">
        <f>IF(AK$65="입주/잔금",($F95-SUM($G95:AJ95))*30%,IF(AJ$65="입주/잔금",($F95-SUM($G95:AI95))*50%,IF(AI$65="입주/잔금",($F95-SUM($G95:AH95))*20%,IF(AK$65=0,0,IF(AK$65="2차중도금",$F95*30%-SUM($G95:AJ95),IF(AK$65="3차중도금",$F95*40%-SUM($G95:AJ95),IF(AK$65="4차중도금",$F95*50%-SUM($G95:AJ95),$F95*10%)))))))+(IF(AK$65="5차중도금",$F95*60%-SUM($G95:AJ95)-$F95*10%,IF(AK$65="6차중도금",$F95*70%-SUM($G95:AJ95)-$F95*10%,0)))</f>
        <v>0</v>
      </c>
      <c r="AL95" s="605">
        <f>IF(AL$65="입주/잔금",($F95-SUM($G95:AK95))*30%,IF(AK$65="입주/잔금",($F95-SUM($G95:AJ95))*50%,IF(AJ$65="입주/잔금",($F95-SUM($G95:AI95))*20%,IF(AL$65=0,0,IF(AL$65="2차중도금",$F95*30%-SUM($G95:AK95),IF(AL$65="3차중도금",$F95*40%-SUM($G95:AK95),IF(AL$65="4차중도금",$F95*50%-SUM($G95:AK95),$F95*10%)))))))+(IF(AL$65="5차중도금",$F95*60%-SUM($G95:AK95)-$F95*10%,IF(AL$65="6차중도금",$F95*70%-SUM($G95:AK95)-$F95*10%,0)))</f>
        <v>0</v>
      </c>
      <c r="AM95" s="605">
        <f>IF(AM$65="입주/잔금",($F95-SUM($G95:AL95))*30%,IF(AL$65="입주/잔금",($F95-SUM($G95:AK95))*50%,IF(AK$65="입주/잔금",($F95-SUM($G95:AJ95))*20%,IF(AM$65=0,0,IF(AM$65="2차중도금",$F95*30%-SUM($G95:AL95),IF(AM$65="3차중도금",$F95*40%-SUM($G95:AL95),IF(AM$65="4차중도금",$F95*50%-SUM($G95:AL95),$F95*10%)))))))+(IF(AM$65="5차중도금",$F95*60%-SUM($G95:AL95)-$F95*10%,IF(AM$65="6차중도금",$F95*70%-SUM($G95:AL95)-$F95*10%,0)))</f>
        <v>0</v>
      </c>
      <c r="AN95" s="605">
        <f>IF(AN$65="입주/잔금",($F95-SUM($G95:AM95))*30%,IF(AM$65="입주/잔금",($F95-SUM($G95:AL95))*50%,IF(AL$65="입주/잔금",($F95-SUM($G95:AK95))*20%,IF(AN$65=0,0,IF(AN$65="2차중도금",$F95*30%-SUM($G95:AM95),IF(AN$65="3차중도금",$F95*40%-SUM($G95:AM95),IF(AN$65="4차중도금",$F95*50%-SUM($G95:AM95),$F95*10%)))))))+(IF(AN$65="5차중도금",$F95*60%-SUM($G95:AM95)-$F95*10%,IF(AN$65="6차중도금",$F95*70%-SUM($G95:AM95)-$F95*10%,0)))</f>
        <v>0</v>
      </c>
      <c r="AO95" s="605">
        <f>IF(AO$65="입주/잔금",($F95-SUM($G95:AN95))*30%,IF(AN$65="입주/잔금",($F95-SUM($G95:AM95))*50%,IF(AM$65="입주/잔금",($F95-SUM($G95:AL95))*20%,IF(AO$65=0,0,IF(AO$65="2차중도금",$F95*30%-SUM($G95:AN95),IF(AO$65="3차중도금",$F95*40%-SUM($G95:AN95),IF(AO$65="4차중도금",$F95*50%-SUM($G95:AN95),$F95*10%)))))))+(IF(AO$65="5차중도금",$F95*60%-SUM($G95:AN95)-$F95*10%,IF(AO$65="6차중도금",$F95*70%-SUM($G95:AN95)-$F95*10%,0)))</f>
        <v>0</v>
      </c>
      <c r="AP95" s="605">
        <f>IF(AP$65="입주/잔금",($F95-SUM($G95:AO95))*30%,IF(AO$65="입주/잔금",($F95-SUM($G95:AN95))*50%,IF(AN$65="입주/잔금",($F95-SUM($G95:AM95))*20%,IF(AP$65=0,0,IF(AP$65="2차중도금",$F95*30%-SUM($G95:AO95),IF(AP$65="3차중도금",$F95*40%-SUM($G95:AO95),IF(AP$65="4차중도금",$F95*50%-SUM($G95:AO95),$F95*10%)))))))+(IF(AP$65="5차중도금",$F95*60%-SUM($G95:AO95)-$F95*10%,IF(AP$65="6차중도금",$F95*70%-SUM($G95:AO95)-$F95*10%,0)))</f>
        <v>0</v>
      </c>
      <c r="AQ95" s="605">
        <f>IF(AQ$65="입주/잔금",($F95-SUM($G95:AP95))*30%,IF(AP$65="입주/잔금",($F95-SUM($G95:AO95))*50%,IF(AO$65="입주/잔금",($F95-SUM($G95:AN95))*20%,IF(AQ$65=0,0,IF(AQ$65="2차중도금",$F95*30%-SUM($G95:AP95),IF(AQ$65="3차중도금",$F95*40%-SUM($G95:AP95),IF(AQ$65="4차중도금",$F95*50%-SUM($G95:AP95),$F95*10%)))))))+(IF(AQ$65="5차중도금",$F95*60%-SUM($G95:AP95)-$F95*10%,IF(AQ$65="6차중도금",$F95*70%-SUM($G95:AP95)-$F95*10%,0)))</f>
        <v>0</v>
      </c>
      <c r="AR95" s="605">
        <f>IF(AR$65="입주/잔금",($F95-SUM($G95:AQ95))*30%,IF(AQ$65="입주/잔금",($F95-SUM($G95:AP95))*50%,IF(AP$65="입주/잔금",($F95-SUM($G95:AO95))*20%,IF(AR$65=0,0,IF(AR$65="2차중도금",$F95*30%-SUM($G95:AQ95),IF(AR$65="3차중도금",$F95*40%-SUM($G95:AQ95),IF(AR$65="4차중도금",$F95*50%-SUM($G95:AQ95),$F95*10%)))))))+(IF(AR$65="5차중도금",$F95*60%-SUM($G95:AQ95)-$F95*10%,IF(AR$65="6차중도금",$F95*70%-SUM($G95:AQ95)-$F95*10%,0)))</f>
        <v>0</v>
      </c>
      <c r="AS95" s="605">
        <f>IF(AS$65="입주/잔금",($F95-SUM($G95:AR95))*30%,IF(AR$65="입주/잔금",($F95-SUM($G95:AQ95))*50%,IF(AQ$65="입주/잔금",($F95-SUM($G95:AP95))*20%,IF(AS$65=0,0,IF(AS$65="2차중도금",$F95*30%-SUM($G95:AR95),IF(AS$65="3차중도금",$F95*40%-SUM($G95:AR95),IF(AS$65="4차중도금",$F95*50%-SUM($G95:AR95),$F95*10%)))))))+(IF(AS$65="5차중도금",$F95*60%-SUM($G95:AR95)-$F95*10%,IF(AS$65="6차중도금",$F95*70%-SUM($G95:AR95)-$F95*10%,0)))</f>
        <v>0</v>
      </c>
      <c r="AT95" s="605">
        <f>IF(AT$65="입주/잔금",($F95-SUM($G95:AS95))*30%,IF(AS$65="입주/잔금",($F95-SUM($G95:AR95))*50%,IF(AR$65="입주/잔금",($F95-SUM($G95:AQ95))*20%,IF(AT$65=0,0,IF(AT$65="2차중도금",$F95*30%-SUM($G95:AS95),IF(AT$65="3차중도금",$F95*40%-SUM($G95:AS95),IF(AT$65="4차중도금",$F95*50%-SUM($G95:AS95),$F95*10%)))))))+(IF(AT$65="5차중도금",$F95*60%-SUM($G95:AS95)-$F95*10%,IF(AT$65="6차중도금",$F95*70%-SUM($G95:AS95)-$F95*10%,0)))</f>
        <v>0</v>
      </c>
      <c r="AU95" s="605">
        <f>IF(AU$65="입주/잔금",($F95-SUM($G95:AT95))*30%,IF(AT$65="입주/잔금",($F95-SUM($G95:AS95))*50%,IF(AS$65="입주/잔금",($F95-SUM($G95:AR95))*20%,IF(AU$65=0,0,IF(AU$65="2차중도금",$F95*30%-SUM($G95:AT95),IF(AU$65="3차중도금",$F95*40%-SUM($G95:AT95),IF(AU$65="4차중도금",$F95*50%-SUM($G95:AT95),$F95*10%)))))))+(IF(AU$65="5차중도금",$F95*60%-SUM($G95:AT95)-$F95*10%,IF(AU$65="6차중도금",$F95*70%-SUM($G95:AT95)-$F95*10%,0)))</f>
        <v>0</v>
      </c>
      <c r="AV95" s="605">
        <f>IF(AV$65="입주/잔금",($F95-SUM($G95:AU95))*30%,IF(AU$65="입주/잔금",($F95-SUM($G95:AT95))*50%,IF(AT$65="입주/잔금",($F95-SUM($G95:AS95))*20%,IF(AV$65=0,0,IF(AV$65="2차중도금",$F95*30%-SUM($G95:AU95),IF(AV$65="3차중도금",$F95*40%-SUM($G95:AU95),IF(AV$65="4차중도금",$F95*50%-SUM($G95:AU95),$F95*10%)))))))+(IF(AV$65="5차중도금",$F95*60%-SUM($G95:AU95)-$F95*10%,IF(AV$65="6차중도금",$F95*70%-SUM($G95:AU95)-$F95*10%,0)))</f>
        <v>0</v>
      </c>
      <c r="AW95" s="605">
        <f>IF(AW$65="입주/잔금",($F95-SUM($G95:AV95))*30%,IF(AV$65="입주/잔금",($F95-SUM($G95:AU95))*50%,IF(AU$65="입주/잔금",($F95-SUM($G95:AT95))*20%,IF(AW$65=0,0,IF(AW$65="2차중도금",$F95*30%-SUM($G95:AV95),IF(AW$65="3차중도금",$F95*40%-SUM($G95:AV95),IF(AW$65="4차중도금",$F95*50%-SUM($G95:AV95),$F95*10%)))))))+(IF(AW$65="5차중도금",$F95*60%-SUM($G95:AV95)-$F95*10%,IF(AW$65="6차중도금",$F95*70%-SUM($G95:AV95)-$F95*10%,0)))</f>
        <v>0</v>
      </c>
      <c r="AX95" s="605">
        <f>IF(AX$65="입주/잔금",($F95-SUM($G95:AW95))*30%,IF(AW$65="입주/잔금",($F95-SUM($G95:AV95))*50%,IF(AV$65="입주/잔금",($F95-SUM($G95:AU95))*20%,IF(AX$65=0,0,IF(AX$65="2차중도금",$F95*30%-SUM($G95:AW95),IF(AX$65="3차중도금",$F95*40%-SUM($G95:AW95),IF(AX$65="4차중도금",$F95*50%-SUM($G95:AW95),$F95*10%)))))))+(IF(AX$65="5차중도금",$F95*60%-SUM($G95:AW95)-$F95*10%,IF(AX$65="6차중도금",$F95*70%-SUM($G95:AW95)-$F95*10%,0)))</f>
        <v>0</v>
      </c>
      <c r="AY95" s="605">
        <f>IF(AY$65="입주/잔금",($F95-SUM($G95:AX95))*30%,IF(AX$65="입주/잔금",($F95-SUM($G95:AW95))*50%,IF(AW$65="입주/잔금",($F95-SUM($G95:AV95))*20%,IF(AY$65=0,0,IF(AY$65="2차중도금",$F95*30%-SUM($G95:AX95),IF(AY$65="3차중도금",$F95*40%-SUM($G95:AX95),IF(AY$65="4차중도금",$F95*50%-SUM($G95:AX95),$F95*10%)))))))+(IF(AY$65="5차중도금",$F95*60%-SUM($G95:AX95)-$F95*10%,IF(AY$65="6차중도금",$F95*70%-SUM($G95:AX95)-$F95*10%,0)))</f>
        <v>0</v>
      </c>
      <c r="AZ95" s="605">
        <f>IF(AZ$65="입주/잔금",($F95-SUM($G95:AY95))*30%,IF(AY$65="입주/잔금",($F95-SUM($G95:AX95))*50%,IF(AX$65="입주/잔금",($F95-SUM($G95:AW95))*20%,IF(AZ$65=0,0,IF(AZ$65="2차중도금",$F95*30%-SUM($G95:AY95),IF(AZ$65="3차중도금",$F95*40%-SUM($G95:AY95),IF(AZ$65="4차중도금",$F95*50%-SUM($G95:AY95),$F95*10%)))))))+(IF(AZ$65="5차중도금",$F95*60%-SUM($G95:AY95)-$F95*10%,IF(AZ$65="6차중도금",$F95*70%-SUM($G95:AY95)-$F95*10%,0)))</f>
        <v>0</v>
      </c>
      <c r="BA95" s="605">
        <f>IF(BA$65="입주/잔금",($F95-SUM($G95:AZ95))*30%,IF(AZ$65="입주/잔금",($F95-SUM($G95:AY95))*50%,IF(AY$65="입주/잔금",($F95-SUM($G95:AX95))*20%,IF(BA$65=0,0,IF(BA$65="2차중도금",$F95*30%-SUM($G95:AZ95),IF(BA$65="3차중도금",$F95*40%-SUM($G95:AZ95),IF(BA$65="4차중도금",$F95*50%-SUM($G95:AZ95),$F95*10%)))))))+(IF(BA$65="5차중도금",$F95*60%-SUM($G95:AZ95)-$F95*10%,IF(BA$65="6차중도금",$F95*70%-SUM($G95:AZ95)-$F95*10%,0)))</f>
        <v>0</v>
      </c>
      <c r="BB95" s="605">
        <f>IF(BB$65="입주/잔금",($F95-SUM($G95:BA95))*30%,IF(BA$65="입주/잔금",($F95-SUM($G95:AZ95))*50%,IF(AZ$65="입주/잔금",($F95-SUM($G95:AY95))*20%,IF(BB$65=0,0,IF(BB$65="2차중도금",$F95*30%-SUM($G95:BA95),IF(BB$65="3차중도금",$F95*40%-SUM($G95:BA95),IF(BB$65="4차중도금",$F95*50%-SUM($G95:BA95),$F95*10%)))))))+(IF(BB$65="5차중도금",$F95*60%-SUM($G95:BA95)-$F95*10%,IF(BB$65="6차중도금",$F95*70%-SUM($G95:BA95)-$F95*10%,0)))</f>
        <v>0</v>
      </c>
      <c r="BC95" s="605">
        <f>IF(BC$65="입주/잔금",($F95-SUM($G95:BB95))*30%,IF(BB$65="입주/잔금",($F95-SUM($G95:BA95))*50%,IF(BA$65="입주/잔금",($F95-SUM($G95:AZ95))*20%,IF(BC$65=0,0,IF(BC$65="2차중도금",$F95*30%-SUM($G95:BB95),IF(BC$65="3차중도금",$F95*40%-SUM($G95:BB95),IF(BC$65="4차중도금",$F95*50%-SUM($G95:BB95),$F95*10%)))))))+(IF(BC$65="5차중도금",$F95*60%-SUM($G95:BB95)-$F95*10%,IF(BC$65="6차중도금",$F95*70%-SUM($G95:BB95)-$F95*10%,0)))</f>
        <v>0</v>
      </c>
      <c r="BD95" s="605">
        <f>IF(BD$65="입주/잔금",($F95-SUM($G95:BC95))*30%,IF(BC$65="입주/잔금",($F95-SUM($G95:BB95))*50%,IF(BB$65="입주/잔금",($F95-SUM($G95:BA95))*20%,IF(BD$65=0,0,IF(BD$65="2차중도금",$F95*30%-SUM($G95:BC95),IF(BD$65="3차중도금",$F95*40%-SUM($G95:BC95),IF(BD$65="4차중도금",$F95*50%-SUM($G95:BC95),$F95*10%)))))))+(IF(BD$65="5차중도금",$F95*60%-SUM($G95:BC95)-$F95*10%,IF(BD$65="6차중도금",$F95*70%-SUM($G95:BC95)-$F95*10%,0)))</f>
        <v>0</v>
      </c>
      <c r="BE95" s="605">
        <f>IF(BE$65="입주/잔금",($F95-SUM($G95:BD95))*30%,IF(BD$65="입주/잔금",($F95-SUM($G95:BC95))*50%,IF(BC$65="입주/잔금",($F95-SUM($G95:BB95))*20%,IF(BE$65=0,0,IF(BE$65="2차중도금",$F95*30%-SUM($G95:BD95),IF(BE$65="3차중도금",$F95*40%-SUM($G95:BD95),IF(BE$65="4차중도금",$F95*50%-SUM($G95:BD95),$F95*10%)))))))+(IF(BE$65="5차중도금",$F95*60%-SUM($G95:BD95)-$F95*10%,IF(BE$65="6차중도금",$F95*70%-SUM($G95:BD95)-$F95*10%,0)))</f>
        <v>0</v>
      </c>
      <c r="BF95" s="609">
        <f t="shared" si="30"/>
        <v>0</v>
      </c>
      <c r="BG95" s="556">
        <f t="shared" si="32"/>
        <v>0</v>
      </c>
      <c r="BH95" s="610"/>
    </row>
    <row r="96" spans="1:60">
      <c r="A96" s="1853"/>
      <c r="B96" s="611">
        <f t="shared" si="33"/>
        <v>45748</v>
      </c>
      <c r="C96" s="605">
        <f t="shared" si="36"/>
        <v>157992364.97659996</v>
      </c>
      <c r="D96" s="1501"/>
      <c r="E96" s="607">
        <f t="shared" si="35"/>
        <v>1.0000000000000002</v>
      </c>
      <c r="F96" s="608">
        <f t="shared" si="31"/>
        <v>0</v>
      </c>
      <c r="G96" s="605"/>
      <c r="H96" s="605"/>
      <c r="I96" s="605"/>
      <c r="J96" s="605"/>
      <c r="K96" s="605"/>
      <c r="L96" s="605"/>
      <c r="M96" s="605"/>
      <c r="N96" s="605"/>
      <c r="O96" s="605"/>
      <c r="P96" s="605"/>
      <c r="Q96" s="605"/>
      <c r="R96" s="605"/>
      <c r="S96" s="605"/>
      <c r="T96" s="605"/>
      <c r="U96" s="605"/>
      <c r="V96" s="605"/>
      <c r="W96" s="605"/>
      <c r="X96" s="605"/>
      <c r="Y96" s="605"/>
      <c r="Z96" s="605"/>
      <c r="AA96" s="605"/>
      <c r="AB96" s="605"/>
      <c r="AC96" s="605"/>
      <c r="AD96" s="605"/>
      <c r="AE96" s="605"/>
      <c r="AF96" s="605"/>
      <c r="AG96" s="605"/>
      <c r="AH96" s="605"/>
      <c r="AI96" s="605"/>
      <c r="AJ96" s="605"/>
      <c r="AK96" s="605">
        <f>$F96*10%</f>
        <v>0</v>
      </c>
      <c r="AL96" s="605">
        <f>IF(AL$65="입주/잔금",($F96-SUM($G96:AK96))*30%,IF(AK$65="입주/잔금",($F96-SUM($G96:AJ96))*50%,IF(AJ$65="입주/잔금",($F96-SUM($G96:AI96))*20%,IF(AL$65=0,0,IF(AL$65="2차중도금",$F96*30%-SUM($G96:AK96),IF(AL$65="3차중도금",$F96*40%-SUM($G96:AK96),IF(AL$65="4차중도금",$F96*50%-SUM($G96:AK96),$F96*10%)))))))+(IF(AL$65="5차중도금",$F96*60%-SUM($G96:AK96)-$F96*10%,IF(AL$65="6차중도금",$F96*70%-SUM($G96:AK96)-$F96*10%,0)))</f>
        <v>0</v>
      </c>
      <c r="AM96" s="605">
        <f>IF(AM$65="입주/잔금",($F96-SUM($G96:AL96))*30%,IF(AL$65="입주/잔금",($F96-SUM($G96:AK96))*50%,IF(AK$65="입주/잔금",($F96-SUM($G96:AJ96))*20%,IF(AM$65=0,0,IF(AM$65="2차중도금",$F96*30%-SUM($G96:AL96),IF(AM$65="3차중도금",$F96*40%-SUM($G96:AL96),IF(AM$65="4차중도금",$F96*50%-SUM($G96:AL96),$F96*10%)))))))+(IF(AM$65="5차중도금",$F96*60%-SUM($G96:AL96)-$F96*10%,IF(AM$65="6차중도금",$F96*70%-SUM($G96:AL96)-$F96*10%,0)))</f>
        <v>0</v>
      </c>
      <c r="AN96" s="605">
        <f>IF(AN$65="입주/잔금",($F96-SUM($G96:AM96))*30%,IF(AM$65="입주/잔금",($F96-SUM($G96:AL96))*50%,IF(AL$65="입주/잔금",($F96-SUM($G96:AK96))*20%,IF(AN$65=0,0,IF(AN$65="2차중도금",$F96*30%-SUM($G96:AM96),IF(AN$65="3차중도금",$F96*40%-SUM($G96:AM96),IF(AN$65="4차중도금",$F96*50%-SUM($G96:AM96),$F96*10%)))))))+(IF(AN$65="5차중도금",$F96*60%-SUM($G96:AM96)-$F96*10%,IF(AN$65="6차중도금",$F96*70%-SUM($G96:AM96)-$F96*10%,0)))</f>
        <v>0</v>
      </c>
      <c r="AO96" s="605">
        <f>IF(AO$65="입주/잔금",($F96-SUM($G96:AN96))*30%,IF(AN$65="입주/잔금",($F96-SUM($G96:AM96))*50%,IF(AM$65="입주/잔금",($F96-SUM($G96:AL96))*20%,IF(AO$65=0,0,IF(AO$65="2차중도금",$F96*30%-SUM($G96:AN96),IF(AO$65="3차중도금",$F96*40%-SUM($G96:AN96),IF(AO$65="4차중도금",$F96*50%-SUM($G96:AN96),$F96*10%)))))))+(IF(AO$65="5차중도금",$F96*60%-SUM($G96:AN96)-$F96*10%,IF(AO$65="6차중도금",$F96*70%-SUM($G96:AN96)-$F96*10%,0)))</f>
        <v>0</v>
      </c>
      <c r="AP96" s="605">
        <f>IF(AP$65="입주/잔금",($F96-SUM($G96:AO96))*30%,IF(AO$65="입주/잔금",($F96-SUM($G96:AN96))*50%,IF(AN$65="입주/잔금",($F96-SUM($G96:AM96))*20%,IF(AP$65=0,0,IF(AP$65="2차중도금",$F96*30%-SUM($G96:AO96),IF(AP$65="3차중도금",$F96*40%-SUM($G96:AO96),IF(AP$65="4차중도금",$F96*50%-SUM($G96:AO96),$F96*10%)))))))+(IF(AP$65="5차중도금",$F96*60%-SUM($G96:AO96)-$F96*10%,IF(AP$65="6차중도금",$F96*70%-SUM($G96:AO96)-$F96*10%,0)))</f>
        <v>0</v>
      </c>
      <c r="AQ96" s="605">
        <f>IF(AQ$65="입주/잔금",($F96-SUM($G96:AP96))*30%,IF(AP$65="입주/잔금",($F96-SUM($G96:AO96))*50%,IF(AO$65="입주/잔금",($F96-SUM($G96:AN96))*20%,IF(AQ$65=0,0,IF(AQ$65="2차중도금",$F96*30%-SUM($G96:AP96),IF(AQ$65="3차중도금",$F96*40%-SUM($G96:AP96),IF(AQ$65="4차중도금",$F96*50%-SUM($G96:AP96),$F96*10%)))))))+(IF(AQ$65="5차중도금",$F96*60%-SUM($G96:AP96)-$F96*10%,IF(AQ$65="6차중도금",$F96*70%-SUM($G96:AP96)-$F96*10%,0)))</f>
        <v>0</v>
      </c>
      <c r="AR96" s="605">
        <f>IF(AR$65="입주/잔금",($F96-SUM($G96:AQ96))*30%,IF(AQ$65="입주/잔금",($F96-SUM($G96:AP96))*50%,IF(AP$65="입주/잔금",($F96-SUM($G96:AO96))*20%,IF(AR$65=0,0,IF(AR$65="2차중도금",$F96*30%-SUM($G96:AQ96),IF(AR$65="3차중도금",$F96*40%-SUM($G96:AQ96),IF(AR$65="4차중도금",$F96*50%-SUM($G96:AQ96),$F96*10%)))))))+(IF(AR$65="5차중도금",$F96*60%-SUM($G96:AQ96)-$F96*10%,IF(AR$65="6차중도금",$F96*70%-SUM($G96:AQ96)-$F96*10%,0)))</f>
        <v>0</v>
      </c>
      <c r="AS96" s="605">
        <f>IF(AS$65="입주/잔금",($F96-SUM($G96:AR96))*30%,IF(AR$65="입주/잔금",($F96-SUM($G96:AQ96))*50%,IF(AQ$65="입주/잔금",($F96-SUM($G96:AP96))*20%,IF(AS$65=0,0,IF(AS$65="2차중도금",$F96*30%-SUM($G96:AR96),IF(AS$65="3차중도금",$F96*40%-SUM($G96:AR96),IF(AS$65="4차중도금",$F96*50%-SUM($G96:AR96),$F96*10%)))))))+(IF(AS$65="5차중도금",$F96*60%-SUM($G96:AR96)-$F96*10%,IF(AS$65="6차중도금",$F96*70%-SUM($G96:AR96)-$F96*10%,0)))</f>
        <v>0</v>
      </c>
      <c r="AT96" s="605">
        <f>IF(AT$65="입주/잔금",($F96-SUM($G96:AS96))*30%,IF(AS$65="입주/잔금",($F96-SUM($G96:AR96))*50%,IF(AR$65="입주/잔금",($F96-SUM($G96:AQ96))*20%,IF(AT$65=0,0,IF(AT$65="2차중도금",$F96*30%-SUM($G96:AS96),IF(AT$65="3차중도금",$F96*40%-SUM($G96:AS96),IF(AT$65="4차중도금",$F96*50%-SUM($G96:AS96),$F96*10%)))))))+(IF(AT$65="5차중도금",$F96*60%-SUM($G96:AS96)-$F96*10%,IF(AT$65="6차중도금",$F96*70%-SUM($G96:AS96)-$F96*10%,0)))</f>
        <v>0</v>
      </c>
      <c r="AU96" s="605">
        <f>IF(AU$65="입주/잔금",($F96-SUM($G96:AT96))*30%,IF(AT$65="입주/잔금",($F96-SUM($G96:AS96))*50%,IF(AS$65="입주/잔금",($F96-SUM($G96:AR96))*20%,IF(AU$65=0,0,IF(AU$65="2차중도금",$F96*30%-SUM($G96:AT96),IF(AU$65="3차중도금",$F96*40%-SUM($G96:AT96),IF(AU$65="4차중도금",$F96*50%-SUM($G96:AT96),$F96*10%)))))))+(IF(AU$65="5차중도금",$F96*60%-SUM($G96:AT96)-$F96*10%,IF(AU$65="6차중도금",$F96*70%-SUM($G96:AT96)-$F96*10%,0)))</f>
        <v>0</v>
      </c>
      <c r="AV96" s="605">
        <f>IF(AV$65="입주/잔금",($F96-SUM($G96:AU96))*30%,IF(AU$65="입주/잔금",($F96-SUM($G96:AT96))*50%,IF(AT$65="입주/잔금",($F96-SUM($G96:AS96))*20%,IF(AV$65=0,0,IF(AV$65="2차중도금",$F96*30%-SUM($G96:AU96),IF(AV$65="3차중도금",$F96*40%-SUM($G96:AU96),IF(AV$65="4차중도금",$F96*50%-SUM($G96:AU96),$F96*10%)))))))+(IF(AV$65="5차중도금",$F96*60%-SUM($G96:AU96)-$F96*10%,IF(AV$65="6차중도금",$F96*70%-SUM($G96:AU96)-$F96*10%,0)))</f>
        <v>0</v>
      </c>
      <c r="AW96" s="605">
        <f>IF(AW$65="입주/잔금",($F96-SUM($G96:AV96))*30%,IF(AV$65="입주/잔금",($F96-SUM($G96:AU96))*50%,IF(AU$65="입주/잔금",($F96-SUM($G96:AT96))*20%,IF(AW$65=0,0,IF(AW$65="2차중도금",$F96*30%-SUM($G96:AV96),IF(AW$65="3차중도금",$F96*40%-SUM($G96:AV96),IF(AW$65="4차중도금",$F96*50%-SUM($G96:AV96),$F96*10%)))))))+(IF(AW$65="5차중도금",$F96*60%-SUM($G96:AV96)-$F96*10%,IF(AW$65="6차중도금",$F96*70%-SUM($G96:AV96)-$F96*10%,0)))</f>
        <v>0</v>
      </c>
      <c r="AX96" s="605">
        <f>IF(AX$65="입주/잔금",($F96-SUM($G96:AW96))*30%,IF(AW$65="입주/잔금",($F96-SUM($G96:AV96))*50%,IF(AV$65="입주/잔금",($F96-SUM($G96:AU96))*20%,IF(AX$65=0,0,IF(AX$65="2차중도금",$F96*30%-SUM($G96:AW96),IF(AX$65="3차중도금",$F96*40%-SUM($G96:AW96),IF(AX$65="4차중도금",$F96*50%-SUM($G96:AW96),$F96*10%)))))))+(IF(AX$65="5차중도금",$F96*60%-SUM($G96:AW96)-$F96*10%,IF(AX$65="6차중도금",$F96*70%-SUM($G96:AW96)-$F96*10%,0)))</f>
        <v>0</v>
      </c>
      <c r="AY96" s="605">
        <f>IF(AY$65="입주/잔금",($F96-SUM($G96:AX96))*30%,IF(AX$65="입주/잔금",($F96-SUM($G96:AW96))*50%,IF(AW$65="입주/잔금",($F96-SUM($G96:AV96))*20%,IF(AY$65=0,0,IF(AY$65="2차중도금",$F96*30%-SUM($G96:AX96),IF(AY$65="3차중도금",$F96*40%-SUM($G96:AX96),IF(AY$65="4차중도금",$F96*50%-SUM($G96:AX96),$F96*10%)))))))+(IF(AY$65="5차중도금",$F96*60%-SUM($G96:AX96)-$F96*10%,IF(AY$65="6차중도금",$F96*70%-SUM($G96:AX96)-$F96*10%,0)))</f>
        <v>0</v>
      </c>
      <c r="AZ96" s="605">
        <f>IF(AZ$65="입주/잔금",($F96-SUM($G96:AY96))*30%,IF(AY$65="입주/잔금",($F96-SUM($G96:AX96))*50%,IF(AX$65="입주/잔금",($F96-SUM($G96:AW96))*20%,IF(AZ$65=0,0,IF(AZ$65="2차중도금",$F96*30%-SUM($G96:AY96),IF(AZ$65="3차중도금",$F96*40%-SUM($G96:AY96),IF(AZ$65="4차중도금",$F96*50%-SUM($G96:AY96),$F96*10%)))))))+(IF(AZ$65="5차중도금",$F96*60%-SUM($G96:AY96)-$F96*10%,IF(AZ$65="6차중도금",$F96*70%-SUM($G96:AY96)-$F96*10%,0)))</f>
        <v>0</v>
      </c>
      <c r="BA96" s="605">
        <f>IF(BA$65="입주/잔금",($F96-SUM($G96:AZ96))*30%,IF(AZ$65="입주/잔금",($F96-SUM($G96:AY96))*50%,IF(AY$65="입주/잔금",($F96-SUM($G96:AX96))*20%,IF(BA$65=0,0,IF(BA$65="2차중도금",$F96*30%-SUM($G96:AZ96),IF(BA$65="3차중도금",$F96*40%-SUM($G96:AZ96),IF(BA$65="4차중도금",$F96*50%-SUM($G96:AZ96),$F96*10%)))))))+(IF(BA$65="5차중도금",$F96*60%-SUM($G96:AZ96)-$F96*10%,IF(BA$65="6차중도금",$F96*70%-SUM($G96:AZ96)-$F96*10%,0)))</f>
        <v>0</v>
      </c>
      <c r="BB96" s="605">
        <f>IF(BB$65="입주/잔금",($F96-SUM($G96:BA96))*30%,IF(BA$65="입주/잔금",($F96-SUM($G96:AZ96))*50%,IF(AZ$65="입주/잔금",($F96-SUM($G96:AY96))*20%,IF(BB$65=0,0,IF(BB$65="2차중도금",$F96*30%-SUM($G96:BA96),IF(BB$65="3차중도금",$F96*40%-SUM($G96:BA96),IF(BB$65="4차중도금",$F96*50%-SUM($G96:BA96),$F96*10%)))))))+(IF(BB$65="5차중도금",$F96*60%-SUM($G96:BA96)-$F96*10%,IF(BB$65="6차중도금",$F96*70%-SUM($G96:BA96)-$F96*10%,0)))</f>
        <v>0</v>
      </c>
      <c r="BC96" s="605">
        <f>IF(BC$65="입주/잔금",($F96-SUM($G96:BB96))*30%,IF(BB$65="입주/잔금",($F96-SUM($G96:BA96))*50%,IF(BA$65="입주/잔금",($F96-SUM($G96:AZ96))*20%,IF(BC$65=0,0,IF(BC$65="2차중도금",$F96*30%-SUM($G96:BB96),IF(BC$65="3차중도금",$F96*40%-SUM($G96:BB96),IF(BC$65="4차중도금",$F96*50%-SUM($G96:BB96),$F96*10%)))))))+(IF(BC$65="5차중도금",$F96*60%-SUM($G96:BB96)-$F96*10%,IF(BC$65="6차중도금",$F96*70%-SUM($G96:BB96)-$F96*10%,0)))</f>
        <v>0</v>
      </c>
      <c r="BD96" s="605">
        <f>IF(BD$65="입주/잔금",($F96-SUM($G96:BC96))*30%,IF(BC$65="입주/잔금",($F96-SUM($G96:BB96))*50%,IF(BB$65="입주/잔금",($F96-SUM($G96:BA96))*20%,IF(BD$65=0,0,IF(BD$65="2차중도금",$F96*30%-SUM($G96:BC96),IF(BD$65="3차중도금",$F96*40%-SUM($G96:BC96),IF(BD$65="4차중도금",$F96*50%-SUM($G96:BC96),$F96*10%)))))))+(IF(BD$65="5차중도금",$F96*60%-SUM($G96:BC96)-$F96*10%,IF(BD$65="6차중도금",$F96*70%-SUM($G96:BC96)-$F96*10%,0)))</f>
        <v>0</v>
      </c>
      <c r="BE96" s="605">
        <f>IF(BE$65="입주/잔금",($F96-SUM($G96:BD96))*30%,IF(BD$65="입주/잔금",($F96-SUM($G96:BC96))*50%,IF(BC$65="입주/잔금",($F96-SUM($G96:BB96))*20%,IF(BE$65=0,0,IF(BE$65="2차중도금",$F96*30%-SUM($G96:BD96),IF(BE$65="3차중도금",$F96*40%-SUM($G96:BD96),IF(BE$65="4차중도금",$F96*50%-SUM($G96:BD96),$F96*10%)))))))+(IF(BE$65="5차중도금",$F96*60%-SUM($G96:BD96)-$F96*10%,IF(BE$65="6차중도금",$F96*70%-SUM($G96:BD96)-$F96*10%,0)))</f>
        <v>0</v>
      </c>
      <c r="BF96" s="609">
        <f t="shared" si="30"/>
        <v>0</v>
      </c>
      <c r="BG96" s="556">
        <f t="shared" si="32"/>
        <v>0</v>
      </c>
      <c r="BH96" s="610"/>
    </row>
    <row r="97" spans="1:60">
      <c r="A97" s="1853"/>
      <c r="B97" s="611">
        <f t="shared" si="33"/>
        <v>45778</v>
      </c>
      <c r="C97" s="615">
        <f t="shared" si="36"/>
        <v>157992364.97659996</v>
      </c>
      <c r="D97" s="1501"/>
      <c r="E97" s="607">
        <f t="shared" si="35"/>
        <v>1.0000000000000002</v>
      </c>
      <c r="F97" s="608">
        <f t="shared" si="31"/>
        <v>0</v>
      </c>
      <c r="G97" s="605"/>
      <c r="H97" s="605"/>
      <c r="I97" s="605"/>
      <c r="J97" s="605"/>
      <c r="K97" s="605"/>
      <c r="L97" s="605"/>
      <c r="M97" s="605"/>
      <c r="N97" s="605"/>
      <c r="O97" s="605"/>
      <c r="P97" s="605"/>
      <c r="Q97" s="605"/>
      <c r="R97" s="605"/>
      <c r="S97" s="605"/>
      <c r="T97" s="605"/>
      <c r="U97" s="605"/>
      <c r="V97" s="605"/>
      <c r="W97" s="605"/>
      <c r="X97" s="605"/>
      <c r="Y97" s="605"/>
      <c r="Z97" s="605"/>
      <c r="AA97" s="605"/>
      <c r="AB97" s="605"/>
      <c r="AC97" s="605"/>
      <c r="AD97" s="605"/>
      <c r="AE97" s="605"/>
      <c r="AF97" s="605"/>
      <c r="AG97" s="605"/>
      <c r="AH97" s="605"/>
      <c r="AI97" s="605"/>
      <c r="AJ97" s="605"/>
      <c r="AK97" s="605"/>
      <c r="AL97" s="605">
        <f>$F97*10%</f>
        <v>0</v>
      </c>
      <c r="AM97" s="605">
        <f>IF(AM$65="입주/잔금",($F97-SUM($G97:AL97))*30%,IF(AL$65="입주/잔금",($F97-SUM($G97:AK97))*50%,IF(AK$65="입주/잔금",($F97-SUM($G97:AJ97))*20%,IF(AM$65=0,0,IF(AM$65="2차중도금",$F97*30%-SUM($G97:AL97),IF(AM$65="3차중도금",$F97*40%-SUM($G97:AL97),IF(AM$65="4차중도금",$F97*50%-SUM($G97:AL97),$F97*10%)))))))+(IF(AM$65="5차중도금",$F97*60%-SUM($G97:AL97)-$F97*10%,IF(AM$65="6차중도금",$F97*70%-SUM($G97:AL97)-$F97*10%,0)))</f>
        <v>0</v>
      </c>
      <c r="AN97" s="605">
        <f>IF(AN$65="입주/잔금",($F97-SUM($G97:AM97))*30%,IF(AM$65="입주/잔금",($F97-SUM($G97:AL97))*50%,IF(AL$65="입주/잔금",($F97-SUM($G97:AK97))*20%,IF(AN$65=0,0,IF(AN$65="2차중도금",$F97*30%-SUM($G97:AM97),IF(AN$65="3차중도금",$F97*40%-SUM($G97:AM97),IF(AN$65="4차중도금",$F97*50%-SUM($G97:AM97),$F97*10%)))))))+(IF(AN$65="5차중도금",$F97*60%-SUM($G97:AM97)-$F97*10%,IF(AN$65="6차중도금",$F97*70%-SUM($G97:AM97)-$F97*10%,0)))</f>
        <v>0</v>
      </c>
      <c r="AO97" s="605">
        <f>IF(AO$65="입주/잔금",($F97-SUM($G97:AN97))*30%,IF(AN$65="입주/잔금",($F97-SUM($G97:AM97))*50%,IF(AM$65="입주/잔금",($F97-SUM($G97:AL97))*20%,IF(AO$65=0,0,IF(AO$65="2차중도금",$F97*30%-SUM($G97:AN97),IF(AO$65="3차중도금",$F97*40%-SUM($G97:AN97),IF(AO$65="4차중도금",$F97*50%-SUM($G97:AN97),$F97*10%)))))))+(IF(AO$65="5차중도금",$F97*60%-SUM($G97:AN97)-$F97*10%,IF(AO$65="6차중도금",$F97*70%-SUM($G97:AN97)-$F97*10%,0)))</f>
        <v>0</v>
      </c>
      <c r="AP97" s="605">
        <f>IF(AP$65="입주/잔금",($F97-SUM($G97:AO97))*30%,IF(AO$65="입주/잔금",($F97-SUM($G97:AN97))*50%,IF(AN$65="입주/잔금",($F97-SUM($G97:AM97))*20%,IF(AP$65=0,0,IF(AP$65="2차중도금",$F97*30%-SUM($G97:AO97),IF(AP$65="3차중도금",$F97*40%-SUM($G97:AO97),IF(AP$65="4차중도금",$F97*50%-SUM($G97:AO97),$F97*10%)))))))+(IF(AP$65="5차중도금",$F97*60%-SUM($G97:AO97)-$F97*10%,IF(AP$65="6차중도금",$F97*70%-SUM($G97:AO97)-$F97*10%,0)))</f>
        <v>0</v>
      </c>
      <c r="AQ97" s="605">
        <f>IF(AQ$65="입주/잔금",($F97-SUM($G97:AP97))*30%,IF(AP$65="입주/잔금",($F97-SUM($G97:AO97))*50%,IF(AO$65="입주/잔금",($F97-SUM($G97:AN97))*20%,IF(AQ$65=0,0,IF(AQ$65="2차중도금",$F97*30%-SUM($G97:AP97),IF(AQ$65="3차중도금",$F97*40%-SUM($G97:AP97),IF(AQ$65="4차중도금",$F97*50%-SUM($G97:AP97),$F97*10%)))))))+(IF(AQ$65="5차중도금",$F97*60%-SUM($G97:AP97)-$F97*10%,IF(AQ$65="6차중도금",$F97*70%-SUM($G97:AP97)-$F97*10%,0)))</f>
        <v>0</v>
      </c>
      <c r="AR97" s="605">
        <f>IF(AR$65="입주/잔금",($F97-SUM($G97:AQ97))*30%,IF(AQ$65="입주/잔금",($F97-SUM($G97:AP97))*50%,IF(AP$65="입주/잔금",($F97-SUM($G97:AO97))*20%,IF(AR$65=0,0,IF(AR$65="2차중도금",$F97*30%-SUM($G97:AQ97),IF(AR$65="3차중도금",$F97*40%-SUM($G97:AQ97),IF(AR$65="4차중도금",$F97*50%-SUM($G97:AQ97),$F97*10%)))))))+(IF(AR$65="5차중도금",$F97*60%-SUM($G97:AQ97)-$F97*10%,IF(AR$65="6차중도금",$F97*70%-SUM($G97:AQ97)-$F97*10%,0)))</f>
        <v>0</v>
      </c>
      <c r="AS97" s="605">
        <f>IF(AS$65="입주/잔금",($F97-SUM($G97:AR97))*30%,IF(AR$65="입주/잔금",($F97-SUM($G97:AQ97))*50%,IF(AQ$65="입주/잔금",($F97-SUM($G97:AP97))*20%,IF(AS$65=0,0,IF(AS$65="2차중도금",$F97*30%-SUM($G97:AR97),IF(AS$65="3차중도금",$F97*40%-SUM($G97:AR97),IF(AS$65="4차중도금",$F97*50%-SUM($G97:AR97),$F97*10%)))))))+(IF(AS$65="5차중도금",$F97*60%-SUM($G97:AR97)-$F97*10%,IF(AS$65="6차중도금",$F97*70%-SUM($G97:AR97)-$F97*10%,0)))</f>
        <v>0</v>
      </c>
      <c r="AT97" s="605">
        <f>IF(AT$65="입주/잔금",($F97-SUM($G97:AS97))*30%,IF(AS$65="입주/잔금",($F97-SUM($G97:AR97))*50%,IF(AR$65="입주/잔금",($F97-SUM($G97:AQ97))*20%,IF(AT$65=0,0,IF(AT$65="2차중도금",$F97*30%-SUM($G97:AS97),IF(AT$65="3차중도금",$F97*40%-SUM($G97:AS97),IF(AT$65="4차중도금",$F97*50%-SUM($G97:AS97),$F97*10%)))))))+(IF(AT$65="5차중도금",$F97*60%-SUM($G97:AS97)-$F97*10%,IF(AT$65="6차중도금",$F97*70%-SUM($G97:AS97)-$F97*10%,0)))</f>
        <v>0</v>
      </c>
      <c r="AU97" s="605">
        <f>IF(AU$65="입주/잔금",($F97-SUM($G97:AT97))*30%,IF(AT$65="입주/잔금",($F97-SUM($G97:AS97))*50%,IF(AS$65="입주/잔금",($F97-SUM($G97:AR97))*20%,IF(AU$65=0,0,IF(AU$65="2차중도금",$F97*30%-SUM($G97:AT97),IF(AU$65="3차중도금",$F97*40%-SUM($G97:AT97),IF(AU$65="4차중도금",$F97*50%-SUM($G97:AT97),$F97*10%)))))))+(IF(AU$65="5차중도금",$F97*60%-SUM($G97:AT97)-$F97*10%,IF(AU$65="6차중도금",$F97*70%-SUM($G97:AT97)-$F97*10%,0)))</f>
        <v>0</v>
      </c>
      <c r="AV97" s="605">
        <f>IF(AV$65="입주/잔금",($F97-SUM($G97:AU97))*30%,IF(AU$65="입주/잔금",($F97-SUM($G97:AT97))*50%,IF(AT$65="입주/잔금",($F97-SUM($G97:AS97))*20%,IF(AV$65=0,0,IF(AV$65="2차중도금",$F97*30%-SUM($G97:AU97),IF(AV$65="3차중도금",$F97*40%-SUM($G97:AU97),IF(AV$65="4차중도금",$F97*50%-SUM($G97:AU97),$F97*10%)))))))+(IF(AV$65="5차중도금",$F97*60%-SUM($G97:AU97)-$F97*10%,IF(AV$65="6차중도금",$F97*70%-SUM($G97:AU97)-$F97*10%,0)))</f>
        <v>0</v>
      </c>
      <c r="AW97" s="605">
        <f>IF(AW$65="입주/잔금",($F97-SUM($G97:AV97))*30%,IF(AV$65="입주/잔금",($F97-SUM($G97:AU97))*50%,IF(AU$65="입주/잔금",($F97-SUM($G97:AT97))*20%,IF(AW$65=0,0,IF(AW$65="2차중도금",$F97*30%-SUM($G97:AV97),IF(AW$65="3차중도금",$F97*40%-SUM($G97:AV97),IF(AW$65="4차중도금",$F97*50%-SUM($G97:AV97),$F97*10%)))))))+(IF(AW$65="5차중도금",$F97*60%-SUM($G97:AV97)-$F97*10%,IF(AW$65="6차중도금",$F97*70%-SUM($G97:AV97)-$F97*10%,0)))</f>
        <v>0</v>
      </c>
      <c r="AX97" s="605">
        <f>IF(AX$65="입주/잔금",($F97-SUM($G97:AW97))*30%,IF(AW$65="입주/잔금",($F97-SUM($G97:AV97))*50%,IF(AV$65="입주/잔금",($F97-SUM($G97:AU97))*20%,IF(AX$65=0,0,IF(AX$65="2차중도금",$F97*30%-SUM($G97:AW97),IF(AX$65="3차중도금",$F97*40%-SUM($G97:AW97),IF(AX$65="4차중도금",$F97*50%-SUM($G97:AW97),$F97*10%)))))))+(IF(AX$65="5차중도금",$F97*60%-SUM($G97:AW97)-$F97*10%,IF(AX$65="6차중도금",$F97*70%-SUM($G97:AW97)-$F97*10%,0)))</f>
        <v>0</v>
      </c>
      <c r="AY97" s="605">
        <f>IF(AY$65="입주/잔금",($F97-SUM($G97:AX97))*30%,IF(AX$65="입주/잔금",($F97-SUM($G97:AW97))*50%,IF(AW$65="입주/잔금",($F97-SUM($G97:AV97))*20%,IF(AY$65=0,0,IF(AY$65="2차중도금",$F97*30%-SUM($G97:AX97),IF(AY$65="3차중도금",$F97*40%-SUM($G97:AX97),IF(AY$65="4차중도금",$F97*50%-SUM($G97:AX97),$F97*10%)))))))+(IF(AY$65="5차중도금",$F97*60%-SUM($G97:AX97)-$F97*10%,IF(AY$65="6차중도금",$F97*70%-SUM($G97:AX97)-$F97*10%,0)))</f>
        <v>0</v>
      </c>
      <c r="AZ97" s="605">
        <f>IF(AZ$65="입주/잔금",($F97-SUM($G97:AY97))*30%,IF(AY$65="입주/잔금",($F97-SUM($G97:AX97))*50%,IF(AX$65="입주/잔금",($F97-SUM($G97:AW97))*20%,IF(AZ$65=0,0,IF(AZ$65="2차중도금",$F97*30%-SUM($G97:AY97),IF(AZ$65="3차중도금",$F97*40%-SUM($G97:AY97),IF(AZ$65="4차중도금",$F97*50%-SUM($G97:AY97),$F97*10%)))))))+(IF(AZ$65="5차중도금",$F97*60%-SUM($G97:AY97)-$F97*10%,IF(AZ$65="6차중도금",$F97*70%-SUM($G97:AY97)-$F97*10%,0)))</f>
        <v>0</v>
      </c>
      <c r="BA97" s="605">
        <f>IF(BA$65="입주/잔금",($F97-SUM($G97:AZ97))*30%,IF(AZ$65="입주/잔금",($F97-SUM($G97:AY97))*50%,IF(AY$65="입주/잔금",($F97-SUM($G97:AX97))*20%,IF(BA$65=0,0,IF(BA$65="2차중도금",$F97*30%-SUM($G97:AZ97),IF(BA$65="3차중도금",$F97*40%-SUM($G97:AZ97),IF(BA$65="4차중도금",$F97*50%-SUM($G97:AZ97),$F97*10%)))))))+(IF(BA$65="5차중도금",$F97*60%-SUM($G97:AZ97)-$F97*10%,IF(BA$65="6차중도금",$F97*70%-SUM($G97:AZ97)-$F97*10%,0)))</f>
        <v>0</v>
      </c>
      <c r="BB97" s="605">
        <f>IF(BB$65="입주/잔금",($F97-SUM($G97:BA97))*30%,IF(BA$65="입주/잔금",($F97-SUM($G97:AZ97))*50%,IF(AZ$65="입주/잔금",($F97-SUM($G97:AY97))*20%,IF(BB$65=0,0,IF(BB$65="2차중도금",$F97*30%-SUM($G97:BA97),IF(BB$65="3차중도금",$F97*40%-SUM($G97:BA97),IF(BB$65="4차중도금",$F97*50%-SUM($G97:BA97),$F97*10%)))))))+(IF(BB$65="5차중도금",$F97*60%-SUM($G97:BA97)-$F97*10%,IF(BB$65="6차중도금",$F97*70%-SUM($G97:BA97)-$F97*10%,0)))</f>
        <v>0</v>
      </c>
      <c r="BC97" s="605">
        <f>IF(BC$65="입주/잔금",($F97-SUM($G97:BB97))*30%,IF(BB$65="입주/잔금",($F97-SUM($G97:BA97))*50%,IF(BA$65="입주/잔금",($F97-SUM($G97:AZ97))*20%,IF(BC$65=0,0,IF(BC$65="2차중도금",$F97*30%-SUM($G97:BB97),IF(BC$65="3차중도금",$F97*40%-SUM($G97:BB97),IF(BC$65="4차중도금",$F97*50%-SUM($G97:BB97),$F97*10%)))))))+(IF(BC$65="5차중도금",$F97*60%-SUM($G97:BB97)-$F97*10%,IF(BC$65="6차중도금",$F97*70%-SUM($G97:BB97)-$F97*10%,0)))</f>
        <v>0</v>
      </c>
      <c r="BD97" s="605">
        <f>IF(BD$65="입주/잔금",($F97-SUM($G97:BC97))*30%,IF(BC$65="입주/잔금",($F97-SUM($G97:BB97))*50%,IF(BB$65="입주/잔금",($F97-SUM($G97:BA97))*20%,IF(BD$65=0,0,IF(BD$65="2차중도금",$F97*30%-SUM($G97:BC97),IF(BD$65="3차중도금",$F97*40%-SUM($G97:BC97),IF(BD$65="4차중도금",$F97*50%-SUM($G97:BC97),$F97*10%)))))))+(IF(BD$65="5차중도금",$F97*60%-SUM($G97:BC97)-$F97*10%,IF(BD$65="6차중도금",$F97*70%-SUM($G97:BC97)-$F97*10%,0)))</f>
        <v>0</v>
      </c>
      <c r="BE97" s="605">
        <f>IF(BE$65="입주/잔금",($F97-SUM($G97:BD97))*30%,IF(BD$65="입주/잔금",($F97-SUM($G97:BC97))*50%,IF(BC$65="입주/잔금",($F97-SUM($G97:BB97))*20%,IF(BE$65=0,0,IF(BE$65="2차중도금",$F97*30%-SUM($G97:BD97),IF(BE$65="3차중도금",$F97*40%-SUM($G97:BD97),IF(BE$65="4차중도금",$F97*50%-SUM($G97:BD97),$F97*10%)))))))+(IF(BE$65="5차중도금",$F97*60%-SUM($G97:BD97)-$F97*10%,IF(BE$65="6차중도금",$F97*70%-SUM($G97:BD97)-$F97*10%,0)))</f>
        <v>0</v>
      </c>
      <c r="BF97" s="609">
        <f t="shared" si="30"/>
        <v>0</v>
      </c>
      <c r="BG97" s="556">
        <f t="shared" si="32"/>
        <v>0</v>
      </c>
      <c r="BH97" s="610"/>
    </row>
    <row r="98" spans="1:60">
      <c r="A98" s="1853"/>
      <c r="B98" s="613">
        <f t="shared" si="33"/>
        <v>45809</v>
      </c>
      <c r="C98" s="615">
        <f t="shared" si="36"/>
        <v>157992364.97659996</v>
      </c>
      <c r="D98" s="1501"/>
      <c r="E98" s="607">
        <f t="shared" si="35"/>
        <v>1.0000000000000002</v>
      </c>
      <c r="F98" s="608">
        <f t="shared" si="31"/>
        <v>0</v>
      </c>
      <c r="G98" s="605"/>
      <c r="H98" s="605"/>
      <c r="I98" s="605"/>
      <c r="J98" s="605"/>
      <c r="K98" s="605"/>
      <c r="L98" s="605"/>
      <c r="M98" s="605"/>
      <c r="N98" s="605"/>
      <c r="O98" s="605"/>
      <c r="P98" s="605"/>
      <c r="Q98" s="605"/>
      <c r="R98" s="605"/>
      <c r="S98" s="605"/>
      <c r="T98" s="605"/>
      <c r="U98" s="605"/>
      <c r="V98" s="605"/>
      <c r="W98" s="605"/>
      <c r="X98" s="605"/>
      <c r="Y98" s="605"/>
      <c r="Z98" s="605"/>
      <c r="AA98" s="605"/>
      <c r="AB98" s="605"/>
      <c r="AC98" s="605"/>
      <c r="AD98" s="605"/>
      <c r="AE98" s="605"/>
      <c r="AF98" s="605"/>
      <c r="AG98" s="605"/>
      <c r="AH98" s="605"/>
      <c r="AI98" s="605"/>
      <c r="AJ98" s="605"/>
      <c r="AK98" s="605"/>
      <c r="AL98" s="605"/>
      <c r="AM98" s="605">
        <f>$F98*10%</f>
        <v>0</v>
      </c>
      <c r="AN98" s="605">
        <f>IF(AN$65="입주/잔금",($F98-SUM($G98:AM98))*30%,IF(AM$65="입주/잔금",($F98-SUM($G98:AL98))*50%,IF(AL$65="입주/잔금",($F98-SUM($G98:AK98))*20%,IF(AN$65=0,0,IF(AN$65="2차중도금",$F98*30%-SUM($G98:AM98),IF(AN$65="3차중도금",$F98*40%-SUM($G98:AM98),IF(AN$65="4차중도금",$F98*50%-SUM($G98:AM98),$F98*10%)))))))+(IF(AN$65="5차중도금",$F98*60%-SUM($G98:AM98)-$F98*10%,IF(AN$65="6차중도금",$F98*70%-SUM($G98:AM98)-$F98*10%,0)))</f>
        <v>0</v>
      </c>
      <c r="AO98" s="605">
        <f>IF(AO$65="입주/잔금",($F98-SUM($G98:AN98))*30%,IF(AN$65="입주/잔금",($F98-SUM($G98:AM98))*50%,IF(AM$65="입주/잔금",($F98-SUM($G98:AL98))*20%,IF(AO$65=0,0,IF(AO$65="2차중도금",$F98*30%-SUM($G98:AN98),IF(AO$65="3차중도금",$F98*40%-SUM($G98:AN98),IF(AO$65="4차중도금",$F98*50%-SUM($G98:AN98),$F98*10%)))))))+(IF(AO$65="5차중도금",$F98*60%-SUM($G98:AN98)-$F98*10%,IF(AO$65="6차중도금",$F98*70%-SUM($G98:AN98)-$F98*10%,0)))</f>
        <v>0</v>
      </c>
      <c r="AP98" s="605">
        <f>IF(AP$65="입주/잔금",($F98-SUM($G98:AO98))*30%,IF(AO$65="입주/잔금",($F98-SUM($G98:AN98))*50%,IF(AN$65="입주/잔금",($F98-SUM($G98:AM98))*20%,IF(AP$65=0,0,IF(AP$65="2차중도금",$F98*30%-SUM($G98:AO98),IF(AP$65="3차중도금",$F98*40%-SUM($G98:AO98),IF(AP$65="4차중도금",$F98*50%-SUM($G98:AO98),$F98*10%)))))))+(IF(AP$65="5차중도금",$F98*60%-SUM($G98:AO98)-$F98*10%,IF(AP$65="6차중도금",$F98*70%-SUM($G98:AO98)-$F98*10%,0)))</f>
        <v>0</v>
      </c>
      <c r="AQ98" s="605">
        <f>IF(AQ$65="입주/잔금",($F98-SUM($G98:AP98))*30%,IF(AP$65="입주/잔금",($F98-SUM($G98:AO98))*50%,IF(AO$65="입주/잔금",($F98-SUM($G98:AN98))*20%,IF(AQ$65=0,0,IF(AQ$65="2차중도금",$F98*30%-SUM($G98:AP98),IF(AQ$65="3차중도금",$F98*40%-SUM($G98:AP98),IF(AQ$65="4차중도금",$F98*50%-SUM($G98:AP98),$F98*10%)))))))+(IF(AQ$65="5차중도금",$F98*60%-SUM($G98:AP98)-$F98*10%,IF(AQ$65="6차중도금",$F98*70%-SUM($G98:AP98)-$F98*10%,0)))</f>
        <v>0</v>
      </c>
      <c r="AR98" s="605">
        <f>IF(AR$65="입주/잔금",($F98-SUM($G98:AQ98))*30%,IF(AQ$65="입주/잔금",($F98-SUM($G98:AP98))*50%,IF(AP$65="입주/잔금",($F98-SUM($G98:AO98))*20%,IF(AR$65=0,0,IF(AR$65="2차중도금",$F98*30%-SUM($G98:AQ98),IF(AR$65="3차중도금",$F98*40%-SUM($G98:AQ98),IF(AR$65="4차중도금",$F98*50%-SUM($G98:AQ98),$F98*10%)))))))+(IF(AR$65="5차중도금",$F98*60%-SUM($G98:AQ98)-$F98*10%,IF(AR$65="6차중도금",$F98*70%-SUM($G98:AQ98)-$F98*10%,0)))</f>
        <v>0</v>
      </c>
      <c r="AS98" s="605">
        <f>IF(AS$65="입주/잔금",($F98-SUM($G98:AR98))*30%,IF(AR$65="입주/잔금",($F98-SUM($G98:AQ98))*50%,IF(AQ$65="입주/잔금",($F98-SUM($G98:AP98))*20%,IF(AS$65=0,0,IF(AS$65="2차중도금",$F98*30%-SUM($G98:AR98),IF(AS$65="3차중도금",$F98*40%-SUM($G98:AR98),IF(AS$65="4차중도금",$F98*50%-SUM($G98:AR98),$F98*10%)))))))+(IF(AS$65="5차중도금",$F98*60%-SUM($G98:AR98)-$F98*10%,IF(AS$65="6차중도금",$F98*70%-SUM($G98:AR98)-$F98*10%,0)))</f>
        <v>0</v>
      </c>
      <c r="AT98" s="605">
        <f>IF(AT$65="입주/잔금",($F98-SUM($G98:AS98))*30%,IF(AS$65="입주/잔금",($F98-SUM($G98:AR98))*50%,IF(AR$65="입주/잔금",($F98-SUM($G98:AQ98))*20%,IF(AT$65=0,0,IF(AT$65="2차중도금",$F98*30%-SUM($G98:AS98),IF(AT$65="3차중도금",$F98*40%-SUM($G98:AS98),IF(AT$65="4차중도금",$F98*50%-SUM($G98:AS98),$F98*10%)))))))+(IF(AT$65="5차중도금",$F98*60%-SUM($G98:AS98)-$F98*10%,IF(AT$65="6차중도금",$F98*70%-SUM($G98:AS98)-$F98*10%,0)))</f>
        <v>0</v>
      </c>
      <c r="AU98" s="605">
        <f>IF(AU$65="입주/잔금",($F98-SUM($G98:AT98))*30%,IF(AT$65="입주/잔금",($F98-SUM($G98:AS98))*50%,IF(AS$65="입주/잔금",($F98-SUM($G98:AR98))*20%,IF(AU$65=0,0,IF(AU$65="2차중도금",$F98*30%-SUM($G98:AT98),IF(AU$65="3차중도금",$F98*40%-SUM($G98:AT98),IF(AU$65="4차중도금",$F98*50%-SUM($G98:AT98),$F98*10%)))))))+(IF(AU$65="5차중도금",$F98*60%-SUM($G98:AT98)-$F98*10%,IF(AU$65="6차중도금",$F98*70%-SUM($G98:AT98)-$F98*10%,0)))</f>
        <v>0</v>
      </c>
      <c r="AV98" s="605">
        <f>IF(AV$65="입주/잔금",($F98-SUM($G98:AU98))*30%,IF(AU$65="입주/잔금",($F98-SUM($G98:AT98))*50%,IF(AT$65="입주/잔금",($F98-SUM($G98:AS98))*20%,IF(AV$65=0,0,IF(AV$65="2차중도금",$F98*30%-SUM($G98:AU98),IF(AV$65="3차중도금",$F98*40%-SUM($G98:AU98),IF(AV$65="4차중도금",$F98*50%-SUM($G98:AU98),$F98*10%)))))))+(IF(AV$65="5차중도금",$F98*60%-SUM($G98:AU98)-$F98*10%,IF(AV$65="6차중도금",$F98*70%-SUM($G98:AU98)-$F98*10%,0)))</f>
        <v>0</v>
      </c>
      <c r="AW98" s="605">
        <f>IF(AW$65="입주/잔금",($F98-SUM($G98:AV98))*30%,IF(AV$65="입주/잔금",($F98-SUM($G98:AU98))*50%,IF(AU$65="입주/잔금",($F98-SUM($G98:AT98))*20%,IF(AW$65=0,0,IF(AW$65="2차중도금",$F98*30%-SUM($G98:AV98),IF(AW$65="3차중도금",$F98*40%-SUM($G98:AV98),IF(AW$65="4차중도금",$F98*50%-SUM($G98:AV98),$F98*10%)))))))+(IF(AW$65="5차중도금",$F98*60%-SUM($G98:AV98)-$F98*10%,IF(AW$65="6차중도금",$F98*70%-SUM($G98:AV98)-$F98*10%,0)))</f>
        <v>0</v>
      </c>
      <c r="AX98" s="605">
        <f>IF(AX$65="입주/잔금",($F98-SUM($G98:AW98))*30%,IF(AW$65="입주/잔금",($F98-SUM($G98:AV98))*50%,IF(AV$65="입주/잔금",($F98-SUM($G98:AU98))*20%,IF(AX$65=0,0,IF(AX$65="2차중도금",$F98*30%-SUM($G98:AW98),IF(AX$65="3차중도금",$F98*40%-SUM($G98:AW98),IF(AX$65="4차중도금",$F98*50%-SUM($G98:AW98),$F98*10%)))))))+(IF(AX$65="5차중도금",$F98*60%-SUM($G98:AW98)-$F98*10%,IF(AX$65="6차중도금",$F98*70%-SUM($G98:AW98)-$F98*10%,0)))</f>
        <v>0</v>
      </c>
      <c r="AY98" s="605">
        <f>IF(AY$65="입주/잔금",($F98-SUM($G98:AX98))*30%,IF(AX$65="입주/잔금",($F98-SUM($G98:AW98))*50%,IF(AW$65="입주/잔금",($F98-SUM($G98:AV98))*20%,IF(AY$65=0,0,IF(AY$65="2차중도금",$F98*30%-SUM($G98:AX98),IF(AY$65="3차중도금",$F98*40%-SUM($G98:AX98),IF(AY$65="4차중도금",$F98*50%-SUM($G98:AX98),$F98*10%)))))))+(IF(AY$65="5차중도금",$F98*60%-SUM($G98:AX98)-$F98*10%,IF(AY$65="6차중도금",$F98*70%-SUM($G98:AX98)-$F98*10%,0)))</f>
        <v>0</v>
      </c>
      <c r="AZ98" s="605">
        <f>IF(AZ$65="입주/잔금",($F98-SUM($G98:AY98))*30%,IF(AY$65="입주/잔금",($F98-SUM($G98:AX98))*50%,IF(AX$65="입주/잔금",($F98-SUM($G98:AW98))*20%,IF(AZ$65=0,0,IF(AZ$65="2차중도금",$F98*30%-SUM($G98:AY98),IF(AZ$65="3차중도금",$F98*40%-SUM($G98:AY98),IF(AZ$65="4차중도금",$F98*50%-SUM($G98:AY98),$F98*10%)))))))+(IF(AZ$65="5차중도금",$F98*60%-SUM($G98:AY98)-$F98*10%,IF(AZ$65="6차중도금",$F98*70%-SUM($G98:AY98)-$F98*10%,0)))</f>
        <v>0</v>
      </c>
      <c r="BA98" s="605">
        <f>IF(BA$65="입주/잔금",($F98-SUM($G98:AZ98))*30%,IF(AZ$65="입주/잔금",($F98-SUM($G98:AY98))*50%,IF(AY$65="입주/잔금",($F98-SUM($G98:AX98))*20%,IF(BA$65=0,0,IF(BA$65="2차중도금",$F98*30%-SUM($G98:AZ98),IF(BA$65="3차중도금",$F98*40%-SUM($G98:AZ98),IF(BA$65="4차중도금",$F98*50%-SUM($G98:AZ98),$F98*10%)))))))+(IF(BA$65="5차중도금",$F98*60%-SUM($G98:AZ98)-$F98*10%,IF(BA$65="6차중도금",$F98*70%-SUM($G98:AZ98)-$F98*10%,0)))</f>
        <v>0</v>
      </c>
      <c r="BB98" s="605">
        <f>IF(BB$65="입주/잔금",($F98-SUM($G98:BA98))*30%,IF(BA$65="입주/잔금",($F98-SUM($G98:AZ98))*50%,IF(AZ$65="입주/잔금",($F98-SUM($G98:AY98))*20%,IF(BB$65=0,0,IF(BB$65="2차중도금",$F98*30%-SUM($G98:BA98),IF(BB$65="3차중도금",$F98*40%-SUM($G98:BA98),IF(BB$65="4차중도금",$F98*50%-SUM($G98:BA98),$F98*10%)))))))+(IF(BB$65="5차중도금",$F98*60%-SUM($G98:BA98)-$F98*10%,IF(BB$65="6차중도금",$F98*70%-SUM($G98:BA98)-$F98*10%,0)))</f>
        <v>0</v>
      </c>
      <c r="BC98" s="605">
        <f>IF(BC$65="입주/잔금",($F98-SUM($G98:BB98))*30%,IF(BB$65="입주/잔금",($F98-SUM($G98:BA98))*50%,IF(BA$65="입주/잔금",($F98-SUM($G98:AZ98))*20%,IF(BC$65=0,0,IF(BC$65="2차중도금",$F98*30%-SUM($G98:BB98),IF(BC$65="3차중도금",$F98*40%-SUM($G98:BB98),IF(BC$65="4차중도금",$F98*50%-SUM($G98:BB98),$F98*10%)))))))+(IF(BC$65="5차중도금",$F98*60%-SUM($G98:BB98)-$F98*10%,IF(BC$65="6차중도금",$F98*70%-SUM($G98:BB98)-$F98*10%,0)))</f>
        <v>0</v>
      </c>
      <c r="BD98" s="605">
        <f>IF(BD$65="입주/잔금",($F98-SUM($G98:BC98))*30%,IF(BC$65="입주/잔금",($F98-SUM($G98:BB98))*50%,IF(BB$65="입주/잔금",($F98-SUM($G98:BA98))*20%,IF(BD$65=0,0,IF(BD$65="2차중도금",$F98*30%-SUM($G98:BC98),IF(BD$65="3차중도금",$F98*40%-SUM($G98:BC98),IF(BD$65="4차중도금",$F98*50%-SUM($G98:BC98),$F98*10%)))))))+(IF(BD$65="5차중도금",$F98*60%-SUM($G98:BC98)-$F98*10%,IF(BD$65="6차중도금",$F98*70%-SUM($G98:BC98)-$F98*10%,0)))</f>
        <v>0</v>
      </c>
      <c r="BE98" s="605">
        <f>IF(BE$65="입주/잔금",($F98-SUM($G98:BD98))*30%,IF(BD$65="입주/잔금",($F98-SUM($G98:BC98))*50%,IF(BC$65="입주/잔금",($F98-SUM($G98:BB98))*20%,IF(BE$65=0,0,IF(BE$65="2차중도금",$F98*30%-SUM($G98:BD98),IF(BE$65="3차중도금",$F98*40%-SUM($G98:BD98),IF(BE$65="4차중도금",$F98*50%-SUM($G98:BD98),$F98*10%)))))))+(IF(BE$65="5차중도금",$F98*60%-SUM($G98:BD98)-$F98*10%,IF(BE$65="6차중도금",$F98*70%-SUM($G98:BD98)-$F98*10%,0)))</f>
        <v>0</v>
      </c>
      <c r="BF98" s="609">
        <f t="shared" si="30"/>
        <v>0</v>
      </c>
      <c r="BG98" s="556">
        <f t="shared" si="32"/>
        <v>0</v>
      </c>
      <c r="BH98" s="610"/>
    </row>
    <row r="99" spans="1:60">
      <c r="A99" s="1853"/>
      <c r="B99" s="611">
        <f t="shared" si="33"/>
        <v>45839</v>
      </c>
      <c r="C99" s="615">
        <f t="shared" si="36"/>
        <v>157992364.97659996</v>
      </c>
      <c r="D99" s="1501"/>
      <c r="E99" s="607">
        <f>E98+D99</f>
        <v>1.0000000000000002</v>
      </c>
      <c r="F99" s="608">
        <f>C99*D99</f>
        <v>0</v>
      </c>
      <c r="G99" s="605"/>
      <c r="H99" s="605"/>
      <c r="I99" s="605"/>
      <c r="J99" s="605"/>
      <c r="K99" s="605"/>
      <c r="L99" s="605"/>
      <c r="M99" s="605"/>
      <c r="N99" s="605"/>
      <c r="O99" s="605"/>
      <c r="P99" s="605"/>
      <c r="Q99" s="605"/>
      <c r="R99" s="605"/>
      <c r="S99" s="605"/>
      <c r="T99" s="605"/>
      <c r="U99" s="605"/>
      <c r="V99" s="605"/>
      <c r="W99" s="605"/>
      <c r="X99" s="605"/>
      <c r="Y99" s="605"/>
      <c r="Z99" s="605"/>
      <c r="AA99" s="605"/>
      <c r="AB99" s="605"/>
      <c r="AC99" s="605"/>
      <c r="AD99" s="605"/>
      <c r="AE99" s="605"/>
      <c r="AF99" s="605"/>
      <c r="AG99" s="605"/>
      <c r="AH99" s="605"/>
      <c r="AI99" s="605"/>
      <c r="AJ99" s="605"/>
      <c r="AK99" s="605"/>
      <c r="AL99" s="605"/>
      <c r="AM99" s="605"/>
      <c r="AN99" s="605">
        <f>$F99*10%</f>
        <v>0</v>
      </c>
      <c r="AO99" s="605">
        <f>IF(AO$65="입주/잔금",($F99-SUM($G99:AN99))*30%,IF(AN$65="입주/잔금",($F99-SUM($G99:AM99))*50%,IF(AM$65="입주/잔금",($F99-SUM($G99:AL99))*20%,IF(AO$65=0,0,IF(AO$65="2차중도금",$F99*30%-SUM($G99:AN99),IF(AO$65="3차중도금",$F99*40%-SUM($G99:AN99),IF(AO$65="4차중도금",$F99*50%-SUM($G99:AN99),$F99*10%)))))))+(IF(AO$65="5차중도금",$F99*60%-SUM($G99:AN99)-$F99*10%,IF(AO$65="6차중도금",$F99*70%-SUM($G99:AN99)-$F99*10%,0)))</f>
        <v>0</v>
      </c>
      <c r="AP99" s="605">
        <f>IF(AP$65="입주/잔금",($F99-SUM($G99:AO99))*30%,IF(AO$65="입주/잔금",($F99-SUM($G99:AN99))*50%,IF(AN$65="입주/잔금",($F99-SUM($G99:AM99))*20%,IF(AP$65=0,0,IF(AP$65="2차중도금",$F99*30%-SUM($G99:AO99),IF(AP$65="3차중도금",$F99*40%-SUM($G99:AO99),IF(AP$65="4차중도금",$F99*50%-SUM($G99:AO99),$F99*10%)))))))+(IF(AP$65="5차중도금",$F99*60%-SUM($G99:AO99)-$F99*10%,IF(AP$65="6차중도금",$F99*70%-SUM($G99:AO99)-$F99*10%,0)))</f>
        <v>0</v>
      </c>
      <c r="AQ99" s="605">
        <f>IF(AQ$65="입주/잔금",($F99-SUM($G99:AP99))*30%,IF(AP$65="입주/잔금",($F99-SUM($G99:AO99))*50%,IF(AO$65="입주/잔금",($F99-SUM($G99:AN99))*20%,IF(AQ$65=0,0,IF(AQ$65="2차중도금",$F99*30%-SUM($G99:AP99),IF(AQ$65="3차중도금",$F99*40%-SUM($G99:AP99),IF(AQ$65="4차중도금",$F99*50%-SUM($G99:AP99),$F99*10%)))))))+(IF(AQ$65="5차중도금",$F99*60%-SUM($G99:AP99)-$F99*10%,IF(AQ$65="6차중도금",$F99*70%-SUM($G99:AP99)-$F99*10%,0)))</f>
        <v>0</v>
      </c>
      <c r="AR99" s="605">
        <f>IF(AR$65="입주/잔금",($F99-SUM($G99:AQ99))*30%,IF(AQ$65="입주/잔금",($F99-SUM($G99:AP99))*50%,IF(AP$65="입주/잔금",($F99-SUM($G99:AO99))*20%,IF(AR$65=0,0,IF(AR$65="2차중도금",$F99*30%-SUM($G99:AQ99),IF(AR$65="3차중도금",$F99*40%-SUM($G99:AQ99),IF(AR$65="4차중도금",$F99*50%-SUM($G99:AQ99),$F99*10%)))))))+(IF(AR$65="5차중도금",$F99*60%-SUM($G99:AQ99)-$F99*10%,IF(AR$65="6차중도금",$F99*70%-SUM($G99:AQ99)-$F99*10%,0)))</f>
        <v>0</v>
      </c>
      <c r="AS99" s="605">
        <f>IF(AS$65="입주/잔금",($F99-SUM($G99:AR99))*30%,IF(AR$65="입주/잔금",($F99-SUM($G99:AQ99))*50%,IF(AQ$65="입주/잔금",($F99-SUM($G99:AP99))*20%,IF(AS$65=0,0,IF(AS$65="2차중도금",$F99*30%-SUM($G99:AR99),IF(AS$65="3차중도금",$F99*40%-SUM($G99:AR99),IF(AS$65="4차중도금",$F99*50%-SUM($G99:AR99),$F99*10%)))))))+(IF(AS$65="5차중도금",$F99*60%-SUM($G99:AR99)-$F99*10%,IF(AS$65="6차중도금",$F99*70%-SUM($G99:AR99)-$F99*10%,0)))</f>
        <v>0</v>
      </c>
      <c r="AT99" s="605">
        <f>IF(AT$65="입주/잔금",($F99-SUM($G99:AS99))*30%,IF(AS$65="입주/잔금",($F99-SUM($G99:AR99))*50%,IF(AR$65="입주/잔금",($F99-SUM($G99:AQ99))*20%,IF(AT$65=0,0,IF(AT$65="2차중도금",$F99*30%-SUM($G99:AS99),IF(AT$65="3차중도금",$F99*40%-SUM($G99:AS99),IF(AT$65="4차중도금",$F99*50%-SUM($G99:AS99),$F99*10%)))))))+(IF(AT$65="5차중도금",$F99*60%-SUM($G99:AS99)-$F99*10%,IF(AT$65="6차중도금",$F99*70%-SUM($G99:AS99)-$F99*10%,0)))</f>
        <v>0</v>
      </c>
      <c r="AU99" s="605">
        <f>IF(AU$65="입주/잔금",($F99-SUM($G99:AT99))*30%,IF(AT$65="입주/잔금",($F99-SUM($G99:AS99))*50%,IF(AS$65="입주/잔금",($F99-SUM($G99:AR99))*20%,IF(AU$65=0,0,IF(AU$65="2차중도금",$F99*30%-SUM($G99:AT99),IF(AU$65="3차중도금",$F99*40%-SUM($G99:AT99),IF(AU$65="4차중도금",$F99*50%-SUM($G99:AT99),$F99*10%)))))))+(IF(AU$65="5차중도금",$F99*60%-SUM($G99:AT99)-$F99*10%,IF(AU$65="6차중도금",$F99*70%-SUM($G99:AT99)-$F99*10%,0)))</f>
        <v>0</v>
      </c>
      <c r="AV99" s="605">
        <f>IF(AV$65="입주/잔금",($F99-SUM($G99:AU99))*30%,IF(AU$65="입주/잔금",($F99-SUM($G99:AT99))*50%,IF(AT$65="입주/잔금",($F99-SUM($G99:AS99))*20%,IF(AV$65=0,0,IF(AV$65="2차중도금",$F99*30%-SUM($G99:AU99),IF(AV$65="3차중도금",$F99*40%-SUM($G99:AU99),IF(AV$65="4차중도금",$F99*50%-SUM($G99:AU99),$F99*10%)))))))+(IF(AV$65="5차중도금",$F99*60%-SUM($G99:AU99)-$F99*10%,IF(AV$65="6차중도금",$F99*70%-SUM($G99:AU99)-$F99*10%,0)))</f>
        <v>0</v>
      </c>
      <c r="AW99" s="605">
        <f>IF(AW$65="입주/잔금",($F99-SUM($G99:AV99))*30%,IF(AV$65="입주/잔금",($F99-SUM($G99:AU99))*50%,IF(AU$65="입주/잔금",($F99-SUM($G99:AT99))*20%,IF(AW$65=0,0,IF(AW$65="2차중도금",$F99*30%-SUM($G99:AV99),IF(AW$65="3차중도금",$F99*40%-SUM($G99:AV99),IF(AW$65="4차중도금",$F99*50%-SUM($G99:AV99),$F99*10%)))))))+(IF(AW$65="5차중도금",$F99*60%-SUM($G99:AV99)-$F99*10%,IF(AW$65="6차중도금",$F99*70%-SUM($G99:AV99)-$F99*10%,0)))</f>
        <v>0</v>
      </c>
      <c r="AX99" s="605">
        <f>IF(AX$65="입주/잔금",($F99-SUM($G99:AW99))*30%,IF(AW$65="입주/잔금",($F99-SUM($G99:AV99))*50%,IF(AV$65="입주/잔금",($F99-SUM($G99:AU99))*20%,IF(AX$65=0,0,IF(AX$65="2차중도금",$F99*30%-SUM($G99:AW99),IF(AX$65="3차중도금",$F99*40%-SUM($G99:AW99),IF(AX$65="4차중도금",$F99*50%-SUM($G99:AW99),$F99*10%)))))))+(IF(AX$65="5차중도금",$F99*60%-SUM($G99:AW99)-$F99*10%,IF(AX$65="6차중도금",$F99*70%-SUM($G99:AW99)-$F99*10%,0)))</f>
        <v>0</v>
      </c>
      <c r="AY99" s="605">
        <f>IF(AY$65="입주/잔금",($F99-SUM($G99:AX99))*30%,IF(AX$65="입주/잔금",($F99-SUM($G99:AW99))*50%,IF(AW$65="입주/잔금",($F99-SUM($G99:AV99))*20%,IF(AY$65=0,0,IF(AY$65="2차중도금",$F99*30%-SUM($G99:AX99),IF(AY$65="3차중도금",$F99*40%-SUM($G99:AX99),IF(AY$65="4차중도금",$F99*50%-SUM($G99:AX99),$F99*10%)))))))+(IF(AY$65="5차중도금",$F99*60%-SUM($G99:AX99)-$F99*10%,IF(AY$65="6차중도금",$F99*70%-SUM($G99:AX99)-$F99*10%,0)))</f>
        <v>0</v>
      </c>
      <c r="AZ99" s="605">
        <f>IF(AZ$65="입주/잔금",($F99-SUM($G99:AY99))*30%,IF(AY$65="입주/잔금",($F99-SUM($G99:AX99))*50%,IF(AX$65="입주/잔금",($F99-SUM($G99:AW99))*20%,IF(AZ$65=0,0,IF(AZ$65="2차중도금",$F99*30%-SUM($G99:AY99),IF(AZ$65="3차중도금",$F99*40%-SUM($G99:AY99),IF(AZ$65="4차중도금",$F99*50%-SUM($G99:AY99),$F99*10%)))))))+(IF(AZ$65="5차중도금",$F99*60%-SUM($G99:AY99)-$F99*10%,IF(AZ$65="6차중도금",$F99*70%-SUM($G99:AY99)-$F99*10%,0)))</f>
        <v>0</v>
      </c>
      <c r="BA99" s="605">
        <f>IF(BA$65="입주/잔금",($F99-SUM($G99:AZ99))*30%,IF(AZ$65="입주/잔금",($F99-SUM($G99:AY99))*50%,IF(AY$65="입주/잔금",($F99-SUM($G99:AX99))*20%,IF(BA$65=0,0,IF(BA$65="2차중도금",$F99*30%-SUM($G99:AZ99),IF(BA$65="3차중도금",$F99*40%-SUM($G99:AZ99),IF(BA$65="4차중도금",$F99*50%-SUM($G99:AZ99),$F99*10%)))))))+(IF(BA$65="5차중도금",$F99*60%-SUM($G99:AZ99)-$F99*10%,IF(BA$65="6차중도금",$F99*70%-SUM($G99:AZ99)-$F99*10%,0)))</f>
        <v>0</v>
      </c>
      <c r="BB99" s="605">
        <f>IF(BB$65="입주/잔금",($F99-SUM($G99:BA99))*30%,IF(BA$65="입주/잔금",($F99-SUM($G99:AZ99))*50%,IF(AZ$65="입주/잔금",($F99-SUM($G99:AY99))*20%,IF(BB$65=0,0,IF(BB$65="2차중도금",$F99*30%-SUM($G99:BA99),IF(BB$65="3차중도금",$F99*40%-SUM($G99:BA99),IF(BB$65="4차중도금",$F99*50%-SUM($G99:BA99),$F99*10%)))))))+(IF(BB$65="5차중도금",$F99*60%-SUM($G99:BA99)-$F99*10%,IF(BB$65="6차중도금",$F99*70%-SUM($G99:BA99)-$F99*10%,0)))</f>
        <v>0</v>
      </c>
      <c r="BC99" s="605">
        <f>IF(BC$65="입주/잔금",($F99-SUM($G99:BB99))*30%,IF(BB$65="입주/잔금",($F99-SUM($G99:BA99))*50%,IF(BA$65="입주/잔금",($F99-SUM($G99:AZ99))*20%,IF(BC$65=0,0,IF(BC$65="2차중도금",$F99*30%-SUM($G99:BB99),IF(BC$65="3차중도금",$F99*40%-SUM($G99:BB99),IF(BC$65="4차중도금",$F99*50%-SUM($G99:BB99),$F99*10%)))))))+(IF(BC$65="5차중도금",$F99*60%-SUM($G99:BB99)-$F99*10%,IF(BC$65="6차중도금",$F99*70%-SUM($G99:BB99)-$F99*10%,0)))</f>
        <v>0</v>
      </c>
      <c r="BD99" s="605">
        <f>IF(BD$65="입주/잔금",($F99-SUM($G99:BC99))*30%,IF(BC$65="입주/잔금",($F99-SUM($G99:BB99))*50%,IF(BB$65="입주/잔금",($F99-SUM($G99:BA99))*20%,IF(BD$65=0,0,IF(BD$65="2차중도금",$F99*30%-SUM($G99:BC99),IF(BD$65="3차중도금",$F99*40%-SUM($G99:BC99),IF(BD$65="4차중도금",$F99*50%-SUM($G99:BC99),$F99*10%)))))))+(IF(BD$65="5차중도금",$F99*60%-SUM($G99:BC99)-$F99*10%,IF(BD$65="6차중도금",$F99*70%-SUM($G99:BC99)-$F99*10%,0)))</f>
        <v>0</v>
      </c>
      <c r="BE99" s="605">
        <f>IF(BE$65="입주/잔금",($F99-SUM($G99:BD99))*30%,IF(BD$65="입주/잔금",($F99-SUM($G99:BC99))*50%,IF(BC$65="입주/잔금",($F99-SUM($G99:BB99))*20%,IF(BE$65=0,0,IF(BE$65="2차중도금",$F99*30%-SUM($G99:BD99),IF(BE$65="3차중도금",$F99*40%-SUM($G99:BD99),IF(BE$65="4차중도금",$F99*50%-SUM($G99:BD99),$F99*10%)))))))+(IF(BE$65="5차중도금",$F99*60%-SUM($G99:BD99)-$F99*10%,IF(BE$65="6차중도금",$F99*70%-SUM($G99:BD99)-$F99*10%,0)))</f>
        <v>0</v>
      </c>
      <c r="BF99" s="609">
        <f t="shared" ref="BF99:BF112" si="37">SUM(G99:BE99)</f>
        <v>0</v>
      </c>
      <c r="BG99" s="556">
        <f t="shared" si="32"/>
        <v>0</v>
      </c>
      <c r="BH99" s="610"/>
    </row>
    <row r="100" spans="1:60">
      <c r="A100" s="1853"/>
      <c r="B100" s="611">
        <f t="shared" si="33"/>
        <v>45870</v>
      </c>
      <c r="C100" s="615">
        <f t="shared" si="36"/>
        <v>157992364.97659996</v>
      </c>
      <c r="D100" s="1501"/>
      <c r="E100" s="607">
        <f>E99+D100</f>
        <v>1.0000000000000002</v>
      </c>
      <c r="F100" s="608">
        <f>C100*D100</f>
        <v>0</v>
      </c>
      <c r="G100" s="605"/>
      <c r="H100" s="605"/>
      <c r="I100" s="605"/>
      <c r="J100" s="605"/>
      <c r="K100" s="605"/>
      <c r="L100" s="605"/>
      <c r="M100" s="605"/>
      <c r="N100" s="605"/>
      <c r="O100" s="605"/>
      <c r="P100" s="605"/>
      <c r="Q100" s="605"/>
      <c r="R100" s="605"/>
      <c r="S100" s="605"/>
      <c r="T100" s="605"/>
      <c r="U100" s="605"/>
      <c r="V100" s="605"/>
      <c r="W100" s="605"/>
      <c r="X100" s="605"/>
      <c r="Y100" s="605"/>
      <c r="Z100" s="605"/>
      <c r="AA100" s="605"/>
      <c r="AB100" s="605"/>
      <c r="AC100" s="605"/>
      <c r="AD100" s="605"/>
      <c r="AE100" s="605"/>
      <c r="AF100" s="605"/>
      <c r="AG100" s="605"/>
      <c r="AH100" s="605"/>
      <c r="AI100" s="605"/>
      <c r="AJ100" s="605"/>
      <c r="AK100" s="605"/>
      <c r="AL100" s="605"/>
      <c r="AM100" s="605"/>
      <c r="AN100" s="605"/>
      <c r="AO100" s="605">
        <f>$F100*10%</f>
        <v>0</v>
      </c>
      <c r="AP100" s="605">
        <f>IF(AP$65="입주/잔금",($F100-SUM($G100:AO100))*30%,IF(AO$65="입주/잔금",($F100-SUM($G100:AN100))*50%,IF(AN$65="입주/잔금",($F100-SUM($G100:AM100))*20%,IF(AP$65=0,0,IF(AP$65="2차중도금",$F100*30%-SUM($G100:AO100),IF(AP$65="3차중도금",$F100*40%-SUM($G100:AO100),IF(AP$65="4차중도금",$F100*50%-SUM($G100:AO100),$F100*10%)))))))+(IF(AP$65="5차중도금",$F100*60%-SUM($G100:AO100)-$F100*10%,IF(AP$65="6차중도금",$F100*70%-SUM($G100:AO100)-$F100*10%,0)))</f>
        <v>0</v>
      </c>
      <c r="AQ100" s="605">
        <f>IF(AQ$65="입주/잔금",($F100-SUM($G100:AP100))*30%,IF(AP$65="입주/잔금",($F100-SUM($G100:AO100))*50%,IF(AO$65="입주/잔금",($F100-SUM($G100:AN100))*20%,IF(AQ$65=0,0,IF(AQ$65="2차중도금",$F100*30%-SUM($G100:AP100),IF(AQ$65="3차중도금",$F100*40%-SUM($G100:AP100),IF(AQ$65="4차중도금",$F100*50%-SUM($G100:AP100),$F100*10%)))))))+(IF(AQ$65="5차중도금",$F100*60%-SUM($G100:AP100)-$F100*10%,IF(AQ$65="6차중도금",$F100*70%-SUM($G100:AP100)-$F100*10%,0)))</f>
        <v>0</v>
      </c>
      <c r="AR100" s="605">
        <f>IF(AR$65="입주/잔금",($F100-SUM($G100:AQ100))*30%,IF(AQ$65="입주/잔금",($F100-SUM($G100:AP100))*50%,IF(AP$65="입주/잔금",($F100-SUM($G100:AO100))*20%,IF(AR$65=0,0,IF(AR$65="2차중도금",$F100*30%-SUM($G100:AQ100),IF(AR$65="3차중도금",$F100*40%-SUM($G100:AQ100),IF(AR$65="4차중도금",$F100*50%-SUM($G100:AQ100),$F100*10%)))))))+(IF(AR$65="5차중도금",$F100*60%-SUM($G100:AQ100)-$F100*10%,IF(AR$65="6차중도금",$F100*70%-SUM($G100:AQ100)-$F100*10%,0)))</f>
        <v>0</v>
      </c>
      <c r="AS100" s="605">
        <f>IF(AS$65="입주/잔금",($F100-SUM($G100:AR100))*30%,IF(AR$65="입주/잔금",($F100-SUM($G100:AQ100))*50%,IF(AQ$65="입주/잔금",($F100-SUM($G100:AP100))*20%,IF(AS$65=0,0,IF(AS$65="2차중도금",$F100*30%-SUM($G100:AR100),IF(AS$65="3차중도금",$F100*40%-SUM($G100:AR100),IF(AS$65="4차중도금",$F100*50%-SUM($G100:AR100),$F100*10%)))))))+(IF(AS$65="5차중도금",$F100*60%-SUM($G100:AR100)-$F100*10%,IF(AS$65="6차중도금",$F100*70%-SUM($G100:AR100)-$F100*10%,0)))</f>
        <v>0</v>
      </c>
      <c r="AT100" s="605">
        <f>IF(AT$65="입주/잔금",($F100-SUM($G100:AS100))*30%,IF(AS$65="입주/잔금",($F100-SUM($G100:AR100))*50%,IF(AR$65="입주/잔금",($F100-SUM($G100:AQ100))*20%,IF(AT$65=0,0,IF(AT$65="2차중도금",$F100*30%-SUM($G100:AS100),IF(AT$65="3차중도금",$F100*40%-SUM($G100:AS100),IF(AT$65="4차중도금",$F100*50%-SUM($G100:AS100),$F100*10%)))))))+(IF(AT$65="5차중도금",$F100*60%-SUM($G100:AS100)-$F100*10%,IF(AT$65="6차중도금",$F100*70%-SUM($G100:AS100)-$F100*10%,0)))</f>
        <v>0</v>
      </c>
      <c r="AU100" s="605">
        <f>IF(AU$65="입주/잔금",($F100-SUM($G100:AT100))*30%,IF(AT$65="입주/잔금",($F100-SUM($G100:AS100))*50%,IF(AS$65="입주/잔금",($F100-SUM($G100:AR100))*20%,IF(AU$65=0,0,IF(AU$65="2차중도금",$F100*30%-SUM($G100:AT100),IF(AU$65="3차중도금",$F100*40%-SUM($G100:AT100),IF(AU$65="4차중도금",$F100*50%-SUM($G100:AT100),$F100*10%)))))))+(IF(AU$65="5차중도금",$F100*60%-SUM($G100:AT100)-$F100*10%,IF(AU$65="6차중도금",$F100*70%-SUM($G100:AT100)-$F100*10%,0)))</f>
        <v>0</v>
      </c>
      <c r="AV100" s="605">
        <f>IF(AV$65="입주/잔금",($F100-SUM($G100:AU100))*30%,IF(AU$65="입주/잔금",($F100-SUM($G100:AT100))*50%,IF(AT$65="입주/잔금",($F100-SUM($G100:AS100))*20%,IF(AV$65=0,0,IF(AV$65="2차중도금",$F100*30%-SUM($G100:AU100),IF(AV$65="3차중도금",$F100*40%-SUM($G100:AU100),IF(AV$65="4차중도금",$F100*50%-SUM($G100:AU100),$F100*10%)))))))+(IF(AV$65="5차중도금",$F100*60%-SUM($G100:AU100)-$F100*10%,IF(AV$65="6차중도금",$F100*70%-SUM($G100:AU100)-$F100*10%,0)))</f>
        <v>0</v>
      </c>
      <c r="AW100" s="605">
        <f>IF(AW$65="입주/잔금",($F100-SUM($G100:AV100))*30%,IF(AV$65="입주/잔금",($F100-SUM($G100:AU100))*50%,IF(AU$65="입주/잔금",($F100-SUM($G100:AT100))*20%,IF(AW$65=0,0,IF(AW$65="2차중도금",$F100*30%-SUM($G100:AV100),IF(AW$65="3차중도금",$F100*40%-SUM($G100:AV100),IF(AW$65="4차중도금",$F100*50%-SUM($G100:AV100),$F100*10%)))))))+(IF(AW$65="5차중도금",$F100*60%-SUM($G100:AV100)-$F100*10%,IF(AW$65="6차중도금",$F100*70%-SUM($G100:AV100)-$F100*10%,0)))</f>
        <v>0</v>
      </c>
      <c r="AX100" s="605">
        <f>IF(AX$65="입주/잔금",($F100-SUM($G100:AW100))*30%,IF(AW$65="입주/잔금",($F100-SUM($G100:AV100))*50%,IF(AV$65="입주/잔금",($F100-SUM($G100:AU100))*20%,IF(AX$65=0,0,IF(AX$65="2차중도금",$F100*30%-SUM($G100:AW100),IF(AX$65="3차중도금",$F100*40%-SUM($G100:AW100),IF(AX$65="4차중도금",$F100*50%-SUM($G100:AW100),$F100*10%)))))))+(IF(AX$65="5차중도금",$F100*60%-SUM($G100:AW100)-$F100*10%,IF(AX$65="6차중도금",$F100*70%-SUM($G100:AW100)-$F100*10%,0)))</f>
        <v>0</v>
      </c>
      <c r="AY100" s="605">
        <f>IF(AY$65="입주/잔금",($F100-SUM($G100:AX100))*30%,IF(AX$65="입주/잔금",($F100-SUM($G100:AW100))*50%,IF(AW$65="입주/잔금",($F100-SUM($G100:AV100))*20%,IF(AY$65=0,0,IF(AY$65="2차중도금",$F100*30%-SUM($G100:AX100),IF(AY$65="3차중도금",$F100*40%-SUM($G100:AX100),IF(AY$65="4차중도금",$F100*50%-SUM($G100:AX100),$F100*10%)))))))+(IF(AY$65="5차중도금",$F100*60%-SUM($G100:AX100)-$F100*10%,IF(AY$65="6차중도금",$F100*70%-SUM($G100:AX100)-$F100*10%,0)))</f>
        <v>0</v>
      </c>
      <c r="AZ100" s="605">
        <f>IF(AZ$65="입주/잔금",($F100-SUM($G100:AY100))*30%,IF(AY$65="입주/잔금",($F100-SUM($G100:AX100))*50%,IF(AX$65="입주/잔금",($F100-SUM($G100:AW100))*20%,IF(AZ$65=0,0,IF(AZ$65="2차중도금",$F100*30%-SUM($G100:AY100),IF(AZ$65="3차중도금",$F100*40%-SUM($G100:AY100),IF(AZ$65="4차중도금",$F100*50%-SUM($G100:AY100),$F100*10%)))))))+(IF(AZ$65="5차중도금",$F100*60%-SUM($G100:AY100)-$F100*10%,IF(AZ$65="6차중도금",$F100*70%-SUM($G100:AY100)-$F100*10%,0)))</f>
        <v>0</v>
      </c>
      <c r="BA100" s="605">
        <f>IF(BA$65="입주/잔금",($F100-SUM($G100:AZ100))*30%,IF(AZ$65="입주/잔금",($F100-SUM($G100:AY100))*50%,IF(AY$65="입주/잔금",($F100-SUM($G100:AX100))*20%,IF(BA$65=0,0,IF(BA$65="2차중도금",$F100*30%-SUM($G100:AZ100),IF(BA$65="3차중도금",$F100*40%-SUM($G100:AZ100),IF(BA$65="4차중도금",$F100*50%-SUM($G100:AZ100),$F100*10%)))))))+(IF(BA$65="5차중도금",$F100*60%-SUM($G100:AZ100)-$F100*10%,IF(BA$65="6차중도금",$F100*70%-SUM($G100:AZ100)-$F100*10%,0)))</f>
        <v>0</v>
      </c>
      <c r="BB100" s="605">
        <f>IF(BB$65="입주/잔금",($F100-SUM($G100:BA100))*30%,IF(BA$65="입주/잔금",($F100-SUM($G100:AZ100))*50%,IF(AZ$65="입주/잔금",($F100-SUM($G100:AY100))*20%,IF(BB$65=0,0,IF(BB$65="2차중도금",$F100*30%-SUM($G100:BA100),IF(BB$65="3차중도금",$F100*40%-SUM($G100:BA100),IF(BB$65="4차중도금",$F100*50%-SUM($G100:BA100),$F100*10%)))))))+(IF(BB$65="5차중도금",$F100*60%-SUM($G100:BA100)-$F100*10%,IF(BB$65="6차중도금",$F100*70%-SUM($G100:BA100)-$F100*10%,0)))</f>
        <v>0</v>
      </c>
      <c r="BC100" s="605">
        <f>IF(BC$65="입주/잔금",($F100-SUM($G100:BB100))*30%,IF(BB$65="입주/잔금",($F100-SUM($G100:BA100))*50%,IF(BA$65="입주/잔금",($F100-SUM($G100:AZ100))*20%,IF(BC$65=0,0,IF(BC$65="2차중도금",$F100*30%-SUM($G100:BB100),IF(BC$65="3차중도금",$F100*40%-SUM($G100:BB100),IF(BC$65="4차중도금",$F100*50%-SUM($G100:BB100),$F100*10%)))))))+(IF(BC$65="5차중도금",$F100*60%-SUM($G100:BB100)-$F100*10%,IF(BC$65="6차중도금",$F100*70%-SUM($G100:BB100)-$F100*10%,0)))</f>
        <v>0</v>
      </c>
      <c r="BD100" s="605">
        <f>IF(BD$65="입주/잔금",($F100-SUM($G100:BC100))*30%,IF(BC$65="입주/잔금",($F100-SUM($G100:BB100))*50%,IF(BB$65="입주/잔금",($F100-SUM($G100:BA100))*20%,IF(BD$65=0,0,IF(BD$65="2차중도금",$F100*30%-SUM($G100:BC100),IF(BD$65="3차중도금",$F100*40%-SUM($G100:BC100),IF(BD$65="4차중도금",$F100*50%-SUM($G100:BC100),$F100*10%)))))))+(IF(BD$65="5차중도금",$F100*60%-SUM($G100:BC100)-$F100*10%,IF(BD$65="6차중도금",$F100*70%-SUM($G100:BC100)-$F100*10%,0)))</f>
        <v>0</v>
      </c>
      <c r="BE100" s="605">
        <f>IF(BE$65="입주/잔금",($F100-SUM($G100:BD100))*30%,IF(BD$65="입주/잔금",($F100-SUM($G100:BC100))*50%,IF(BC$65="입주/잔금",($F100-SUM($G100:BB100))*20%,IF(BE$65=0,0,IF(BE$65="2차중도금",$F100*30%-SUM($G100:BD100),IF(BE$65="3차중도금",$F100*40%-SUM($G100:BD100),IF(BE$65="4차중도금",$F100*50%-SUM($G100:BD100),$F100*10%)))))))+(IF(BE$65="5차중도금",$F100*60%-SUM($G100:BD100)-$F100*10%,IF(BE$65="6차중도금",$F100*70%-SUM($G100:BD100)-$F100*10%,0)))</f>
        <v>0</v>
      </c>
      <c r="BF100" s="609">
        <f t="shared" si="37"/>
        <v>0</v>
      </c>
      <c r="BG100" s="556">
        <f t="shared" si="32"/>
        <v>0</v>
      </c>
      <c r="BH100" s="610"/>
    </row>
    <row r="101" spans="1:60">
      <c r="A101" s="1853"/>
      <c r="B101" s="611">
        <f t="shared" si="33"/>
        <v>45901</v>
      </c>
      <c r="C101" s="615">
        <f t="shared" si="36"/>
        <v>157992364.97659996</v>
      </c>
      <c r="D101" s="1501"/>
      <c r="E101" s="612">
        <f>E100+D101</f>
        <v>1.0000000000000002</v>
      </c>
      <c r="F101" s="608">
        <f>C101*D101</f>
        <v>0</v>
      </c>
      <c r="G101" s="605"/>
      <c r="H101" s="605"/>
      <c r="I101" s="605"/>
      <c r="J101" s="605"/>
      <c r="K101" s="605"/>
      <c r="L101" s="605"/>
      <c r="M101" s="605"/>
      <c r="N101" s="605"/>
      <c r="O101" s="605"/>
      <c r="P101" s="605"/>
      <c r="Q101" s="605"/>
      <c r="R101" s="605"/>
      <c r="S101" s="605"/>
      <c r="T101" s="605"/>
      <c r="U101" s="605"/>
      <c r="V101" s="605"/>
      <c r="W101" s="605"/>
      <c r="X101" s="605"/>
      <c r="Y101" s="605"/>
      <c r="Z101" s="605"/>
      <c r="AA101" s="605"/>
      <c r="AB101" s="605"/>
      <c r="AC101" s="605"/>
      <c r="AD101" s="605"/>
      <c r="AE101" s="605"/>
      <c r="AF101" s="605"/>
      <c r="AG101" s="605"/>
      <c r="AH101" s="605"/>
      <c r="AI101" s="605"/>
      <c r="AJ101" s="605"/>
      <c r="AK101" s="605"/>
      <c r="AL101" s="605"/>
      <c r="AM101" s="605"/>
      <c r="AN101" s="605"/>
      <c r="AO101" s="605"/>
      <c r="AP101" s="605">
        <f>$F101*10%</f>
        <v>0</v>
      </c>
      <c r="AQ101" s="605">
        <f>IF(AQ$65="입주/잔금",($F101-SUM($G101:AP101))*30%,IF(AP$65="입주/잔금",($F101-SUM($G101:AO101))*50%,IF(AO$65="입주/잔금",($F101-SUM($G101:AN101))*20%,IF(AQ$65=0,0,IF(AQ$65="2차중도금",$F101*30%-SUM($G101:AP101),IF(AQ$65="3차중도금",$F101*40%-SUM($G101:AP101),IF(AQ$65="4차중도금",$F101*50%-SUM($G101:AP101),$F101*10%)))))))+(IF(AQ$65="5차중도금",$F101*60%-SUM($G101:AP101)-$F101*10%,IF(AQ$65="6차중도금",$F101*70%-SUM($G101:AP101)-$F101*10%,0)))</f>
        <v>0</v>
      </c>
      <c r="AR101" s="605">
        <f>IF(AR$65="입주/잔금",($F101-SUM($G101:AQ101))*30%,IF(AQ$65="입주/잔금",($F101-SUM($G101:AP101))*50%,IF(AP$65="입주/잔금",($F101-SUM($G101:AO101))*20%,IF(AR$65=0,0,IF(AR$65="2차중도금",$F101*30%-SUM($G101:AQ101),IF(AR$65="3차중도금",$F101*40%-SUM($G101:AQ101),IF(AR$65="4차중도금",$F101*50%-SUM($G101:AQ101),$F101*10%)))))))+(IF(AR$65="5차중도금",$F101*60%-SUM($G101:AQ101)-$F101*10%,IF(AR$65="6차중도금",$F101*70%-SUM($G101:AQ101)-$F101*10%,0)))</f>
        <v>0</v>
      </c>
      <c r="AS101" s="605">
        <f>IF(AS$65="입주/잔금",($F101-SUM($G101:AR101))*30%,IF(AR$65="입주/잔금",($F101-SUM($G101:AQ101))*50%,IF(AQ$65="입주/잔금",($F101-SUM($G101:AP101))*20%,IF(AS$65=0,0,IF(AS$65="2차중도금",$F101*30%-SUM($G101:AR101),IF(AS$65="3차중도금",$F101*40%-SUM($G101:AR101),IF(AS$65="4차중도금",$F101*50%-SUM($G101:AR101),$F101*10%)))))))+(IF(AS$65="5차중도금",$F101*60%-SUM($G101:AR101)-$F101*10%,IF(AS$65="6차중도금",$F101*70%-SUM($G101:AR101)-$F101*10%,0)))</f>
        <v>0</v>
      </c>
      <c r="AT101" s="605">
        <f>IF(AT$65="입주/잔금",($F101-SUM($G101:AS101))*30%,IF(AS$65="입주/잔금",($F101-SUM($G101:AR101))*50%,IF(AR$65="입주/잔금",($F101-SUM($G101:AQ101))*20%,IF(AT$65=0,0,IF(AT$65="2차중도금",$F101*30%-SUM($G101:AS101),IF(AT$65="3차중도금",$F101*40%-SUM($G101:AS101),IF(AT$65="4차중도금",$F101*50%-SUM($G101:AS101),$F101*10%)))))))+(IF(AT$65="5차중도금",$F101*60%-SUM($G101:AS101)-$F101*10%,IF(AT$65="6차중도금",$F101*70%-SUM($G101:AS101)-$F101*10%,0)))</f>
        <v>0</v>
      </c>
      <c r="AU101" s="605">
        <f>IF(AU$65="입주/잔금",($F101-SUM($G101:AT101))*30%,IF(AT$65="입주/잔금",($F101-SUM($G101:AS101))*50%,IF(AS$65="입주/잔금",($F101-SUM($G101:AR101))*20%,IF(AU$65=0,0,IF(AU$65="2차중도금",$F101*30%-SUM($G101:AT101),IF(AU$65="3차중도금",$F101*40%-SUM($G101:AT101),IF(AU$65="4차중도금",$F101*50%-SUM($G101:AT101),$F101*10%)))))))+(IF(AU$65="5차중도금",$F101*60%-SUM($G101:AT101)-$F101*10%,IF(AU$65="6차중도금",$F101*70%-SUM($G101:AT101)-$F101*10%,0)))</f>
        <v>0</v>
      </c>
      <c r="AV101" s="605">
        <f>IF(AV$65="입주/잔금",($F101-SUM($G101:AU101))*30%,IF(AU$65="입주/잔금",($F101-SUM($G101:AT101))*50%,IF(AT$65="입주/잔금",($F101-SUM($G101:AS101))*20%,IF(AV$65=0,0,IF(AV$65="2차중도금",$F101*30%-SUM($G101:AU101),IF(AV$65="3차중도금",$F101*40%-SUM($G101:AU101),IF(AV$65="4차중도금",$F101*50%-SUM($G101:AU101),$F101*10%)))))))+(IF(AV$65="5차중도금",$F101*60%-SUM($G101:AU101)-$F101*10%,IF(AV$65="6차중도금",$F101*70%-SUM($G101:AU101)-$F101*10%,0)))</f>
        <v>0</v>
      </c>
      <c r="AW101" s="605">
        <f>IF(AW$65="입주/잔금",($F101-SUM($G101:AV101))*30%,IF(AV$65="입주/잔금",($F101-SUM($G101:AU101))*50%,IF(AU$65="입주/잔금",($F101-SUM($G101:AT101))*20%,IF(AW$65=0,0,IF(AW$65="2차중도금",$F101*30%-SUM($G101:AV101),IF(AW$65="3차중도금",$F101*40%-SUM($G101:AV101),IF(AW$65="4차중도금",$F101*50%-SUM($G101:AV101),$F101*10%)))))))+(IF(AW$65="5차중도금",$F101*60%-SUM($G101:AV101)-$F101*10%,IF(AW$65="6차중도금",$F101*70%-SUM($G101:AV101)-$F101*10%,0)))</f>
        <v>0</v>
      </c>
      <c r="AX101" s="605">
        <f>IF(AX$65="입주/잔금",($F101-SUM($G101:AW101))*30%,IF(AW$65="입주/잔금",($F101-SUM($G101:AV101))*50%,IF(AV$65="입주/잔금",($F101-SUM($G101:AU101))*20%,IF(AX$65=0,0,IF(AX$65="2차중도금",$F101*30%-SUM($G101:AW101),IF(AX$65="3차중도금",$F101*40%-SUM($G101:AW101),IF(AX$65="4차중도금",$F101*50%-SUM($G101:AW101),$F101*10%)))))))+(IF(AX$65="5차중도금",$F101*60%-SUM($G101:AW101)-$F101*10%,IF(AX$65="6차중도금",$F101*70%-SUM($G101:AW101)-$F101*10%,0)))</f>
        <v>0</v>
      </c>
      <c r="AY101" s="605">
        <f>IF(AY$65="입주/잔금",($F101-SUM($G101:AX101))*30%,IF(AX$65="입주/잔금",($F101-SUM($G101:AW101))*50%,IF(AW$65="입주/잔금",($F101-SUM($G101:AV101))*20%,IF(AY$65=0,0,IF(AY$65="2차중도금",$F101*30%-SUM($G101:AX101),IF(AY$65="3차중도금",$F101*40%-SUM($G101:AX101),IF(AY$65="4차중도금",$F101*50%-SUM($G101:AX101),$F101*10%)))))))+(IF(AY$65="5차중도금",$F101*60%-SUM($G101:AX101)-$F101*10%,IF(AY$65="6차중도금",$F101*70%-SUM($G101:AX101)-$F101*10%,0)))</f>
        <v>0</v>
      </c>
      <c r="AZ101" s="605">
        <f>IF(AZ$65="입주/잔금",($F101-SUM($G101:AY101))*30%,IF(AY$65="입주/잔금",($F101-SUM($G101:AX101))*50%,IF(AX$65="입주/잔금",($F101-SUM($G101:AW101))*20%,IF(AZ$65=0,0,IF(AZ$65="2차중도금",$F101*30%-SUM($G101:AY101),IF(AZ$65="3차중도금",$F101*40%-SUM($G101:AY101),IF(AZ$65="4차중도금",$F101*50%-SUM($G101:AY101),$F101*10%)))))))+(IF(AZ$65="5차중도금",$F101*60%-SUM($G101:AY101)-$F101*10%,IF(AZ$65="6차중도금",$F101*70%-SUM($G101:AY101)-$F101*10%,0)))</f>
        <v>0</v>
      </c>
      <c r="BA101" s="605">
        <f>IF(BA$65="입주/잔금",($F101-SUM($G101:AZ101))*30%,IF(AZ$65="입주/잔금",($F101-SUM($G101:AY101))*50%,IF(AY$65="입주/잔금",($F101-SUM($G101:AX101))*20%,IF(BA$65=0,0,IF(BA$65="2차중도금",$F101*30%-SUM($G101:AZ101),IF(BA$65="3차중도금",$F101*40%-SUM($G101:AZ101),IF(BA$65="4차중도금",$F101*50%-SUM($G101:AZ101),$F101*10%)))))))+(IF(BA$65="5차중도금",$F101*60%-SUM($G101:AZ101)-$F101*10%,IF(BA$65="6차중도금",$F101*70%-SUM($G101:AZ101)-$F101*10%,0)))</f>
        <v>0</v>
      </c>
      <c r="BB101" s="605">
        <f>IF(BB$65="입주/잔금",($F101-SUM($G101:BA101))*30%,IF(BA$65="입주/잔금",($F101-SUM($G101:AZ101))*50%,IF(AZ$65="입주/잔금",($F101-SUM($G101:AY101))*20%,IF(BB$65=0,0,IF(BB$65="2차중도금",$F101*30%-SUM($G101:BA101),IF(BB$65="3차중도금",$F101*40%-SUM($G101:BA101),IF(BB$65="4차중도금",$F101*50%-SUM($G101:BA101),$F101*10%)))))))+(IF(BB$65="5차중도금",$F101*60%-SUM($G101:BA101)-$F101*10%,IF(BB$65="6차중도금",$F101*70%-SUM($G101:BA101)-$F101*10%,0)))</f>
        <v>0</v>
      </c>
      <c r="BC101" s="605">
        <f>IF(BC$65="입주/잔금",($F101-SUM($G101:BB101))*30%,IF(BB$65="입주/잔금",($F101-SUM($G101:BA101))*50%,IF(BA$65="입주/잔금",($F101-SUM($G101:AZ101))*20%,IF(BC$65=0,0,IF(BC$65="2차중도금",$F101*30%-SUM($G101:BB101),IF(BC$65="3차중도금",$F101*40%-SUM($G101:BB101),IF(BC$65="4차중도금",$F101*50%-SUM($G101:BB101),$F101*10%)))))))+(IF(BC$65="5차중도금",$F101*60%-SUM($G101:BB101)-$F101*10%,IF(BC$65="6차중도금",$F101*70%-SUM($G101:BB101)-$F101*10%,0)))</f>
        <v>0</v>
      </c>
      <c r="BD101" s="605">
        <f>IF(BD$65="입주/잔금",($F101-SUM($G101:BC101))*30%,IF(BC$65="입주/잔금",($F101-SUM($G101:BB101))*50%,IF(BB$65="입주/잔금",($F101-SUM($G101:BA101))*20%,IF(BD$65=0,0,IF(BD$65="2차중도금",$F101*30%-SUM($G101:BC101),IF(BD$65="3차중도금",$F101*40%-SUM($G101:BC101),IF(BD$65="4차중도금",$F101*50%-SUM($G101:BC101),$F101*10%)))))))+(IF(BD$65="5차중도금",$F101*60%-SUM($G101:BC101)-$F101*10%,IF(BD$65="6차중도금",$F101*70%-SUM($G101:BC101)-$F101*10%,0)))</f>
        <v>0</v>
      </c>
      <c r="BE101" s="605">
        <f>IF(BE$65="입주/잔금",($F101-SUM($G101:BD101))*30%,IF(BD$65="입주/잔금",($F101-SUM($G101:BC101))*50%,IF(BC$65="입주/잔금",($F101-SUM($G101:BB101))*20%,IF(BE$65=0,0,IF(BE$65="2차중도금",$F101*30%-SUM($G101:BD101),IF(BE$65="3차중도금",$F101*40%-SUM($G101:BD101),IF(BE$65="4차중도금",$F101*50%-SUM($G101:BD101),$F101*10%)))))))+(IF(BE$65="5차중도금",$F101*60%-SUM($G101:BD101)-$F101*10%,IF(BE$65="6차중도금",$F101*70%-SUM($G101:BD101)-$F101*10%,0)))</f>
        <v>0</v>
      </c>
      <c r="BF101" s="609">
        <f t="shared" si="37"/>
        <v>0</v>
      </c>
      <c r="BG101" s="556">
        <f t="shared" si="32"/>
        <v>0</v>
      </c>
      <c r="BH101" s="610"/>
    </row>
    <row r="102" spans="1:60">
      <c r="A102" s="1853"/>
      <c r="B102" s="611">
        <f t="shared" si="33"/>
        <v>45931</v>
      </c>
      <c r="C102" s="615">
        <f t="shared" si="36"/>
        <v>157992364.97659996</v>
      </c>
      <c r="D102" s="1501"/>
      <c r="E102" s="607">
        <f>E101+D102</f>
        <v>1.0000000000000002</v>
      </c>
      <c r="F102" s="608">
        <f>C102*D102</f>
        <v>0</v>
      </c>
      <c r="G102" s="605"/>
      <c r="H102" s="605"/>
      <c r="I102" s="605"/>
      <c r="J102" s="605"/>
      <c r="K102" s="605"/>
      <c r="L102" s="605"/>
      <c r="M102" s="605"/>
      <c r="N102" s="605"/>
      <c r="O102" s="605"/>
      <c r="P102" s="605"/>
      <c r="Q102" s="605"/>
      <c r="R102" s="605"/>
      <c r="S102" s="605"/>
      <c r="T102" s="605"/>
      <c r="U102" s="605"/>
      <c r="V102" s="605"/>
      <c r="W102" s="605"/>
      <c r="X102" s="605"/>
      <c r="Y102" s="605"/>
      <c r="Z102" s="605"/>
      <c r="AA102" s="605"/>
      <c r="AB102" s="605"/>
      <c r="AC102" s="605"/>
      <c r="AD102" s="605"/>
      <c r="AE102" s="605"/>
      <c r="AF102" s="605"/>
      <c r="AG102" s="605"/>
      <c r="AH102" s="605"/>
      <c r="AI102" s="605"/>
      <c r="AJ102" s="605"/>
      <c r="AK102" s="605"/>
      <c r="AL102" s="605"/>
      <c r="AM102" s="605"/>
      <c r="AN102" s="605"/>
      <c r="AO102" s="605"/>
      <c r="AP102" s="605"/>
      <c r="AQ102" s="605">
        <f>$F102*10%</f>
        <v>0</v>
      </c>
      <c r="AR102" s="605">
        <f>IF(AR$65="입주/잔금",($F102-SUM($G102:AQ102))*30%,IF(AQ$65="입주/잔금",($F102-SUM($G102:AP102))*50%,IF(AP$65="입주/잔금",($F102-SUM($G102:AO102))*20%,IF(AR$65=0,0,IF(AR$65="2차중도금",$F102*30%-SUM($G102:AQ102),IF(AR$65="3차중도금",$F102*40%-SUM($G102:AQ102),IF(AR$65="4차중도금",$F102*50%-SUM($G102:AQ102),$F102*10%)))))))+(IF(AR$65="5차중도금",$F102*60%-SUM($G102:AQ102)-$F102*10%,IF(AR$65="6차중도금",$F102*70%-SUM($G102:AQ102)-$F102*10%,0)))</f>
        <v>0</v>
      </c>
      <c r="AS102" s="605">
        <f>IF(AS$65="입주/잔금",($F102-SUM($G102:AR102))*30%,IF(AR$65="입주/잔금",($F102-SUM($G102:AQ102))*50%,IF(AQ$65="입주/잔금",($F102-SUM($G102:AP102))*20%,IF(AS$65=0,0,IF(AS$65="2차중도금",$F102*30%-SUM($G102:AR102),IF(AS$65="3차중도금",$F102*40%-SUM($G102:AR102),IF(AS$65="4차중도금",$F102*50%-SUM($G102:AR102),$F102*10%)))))))+(IF(AS$65="5차중도금",$F102*60%-SUM($G102:AR102)-$F102*10%,IF(AS$65="6차중도금",$F102*70%-SUM($G102:AR102)-$F102*10%,0)))</f>
        <v>0</v>
      </c>
      <c r="AT102" s="605">
        <f>IF(AT$65="입주/잔금",($F102-SUM($G102:AS102))*30%,IF(AS$65="입주/잔금",($F102-SUM($G102:AR102))*50%,IF(AR$65="입주/잔금",($F102-SUM($G102:AQ102))*20%,IF(AT$65=0,0,IF(AT$65="2차중도금",$F102*30%-SUM($G102:AS102),IF(AT$65="3차중도금",$F102*40%-SUM($G102:AS102),IF(AT$65="4차중도금",$F102*50%-SUM($G102:AS102),$F102*10%)))))))+(IF(AT$65="5차중도금",$F102*60%-SUM($G102:AS102)-$F102*10%,IF(AT$65="6차중도금",$F102*70%-SUM($G102:AS102)-$F102*10%,0)))</f>
        <v>0</v>
      </c>
      <c r="AU102" s="605">
        <f>IF(AU$65="입주/잔금",($F102-SUM($G102:AT102))*30%,IF(AT$65="입주/잔금",($F102-SUM($G102:AS102))*50%,IF(AS$65="입주/잔금",($F102-SUM($G102:AR102))*20%,IF(AU$65=0,0,IF(AU$65="2차중도금",$F102*30%-SUM($G102:AT102),IF(AU$65="3차중도금",$F102*40%-SUM($G102:AT102),IF(AU$65="4차중도금",$F102*50%-SUM($G102:AT102),$F102*10%)))))))+(IF(AU$65="5차중도금",$F102*60%-SUM($G102:AT102)-$F102*10%,IF(AU$65="6차중도금",$F102*70%-SUM($G102:AT102)-$F102*10%,0)))</f>
        <v>0</v>
      </c>
      <c r="AV102" s="605">
        <f>IF(AV$65="입주/잔금",($F102-SUM($G102:AU102))*30%,IF(AU$65="입주/잔금",($F102-SUM($G102:AT102))*50%,IF(AT$65="입주/잔금",($F102-SUM($G102:AS102))*20%,IF(AV$65=0,0,IF(AV$65="2차중도금",$F102*30%-SUM($G102:AU102),IF(AV$65="3차중도금",$F102*40%-SUM($G102:AU102),IF(AV$65="4차중도금",$F102*50%-SUM($G102:AU102),$F102*10%)))))))+(IF(AV$65="5차중도금",$F102*60%-SUM($G102:AU102)-$F102*10%,IF(AV$65="6차중도금",$F102*70%-SUM($G102:AU102)-$F102*10%,0)))</f>
        <v>0</v>
      </c>
      <c r="AW102" s="605">
        <f>IF(AW$65="입주/잔금",($F102-SUM($G102:AV102))*30%,IF(AV$65="입주/잔금",($F102-SUM($G102:AU102))*50%,IF(AU$65="입주/잔금",($F102-SUM($G102:AT102))*20%,IF(AW$65=0,0,IF(AW$65="2차중도금",$F102*30%-SUM($G102:AV102),IF(AW$65="3차중도금",$F102*40%-SUM($G102:AV102),IF(AW$65="4차중도금",$F102*50%-SUM($G102:AV102),$F102*10%)))))))+(IF(AW$65="5차중도금",$F102*60%-SUM($G102:AV102)-$F102*10%,IF(AW$65="6차중도금",$F102*70%-SUM($G102:AV102)-$F102*10%,0)))</f>
        <v>0</v>
      </c>
      <c r="AX102" s="605">
        <f>IF(AX$65="입주/잔금",($F102-SUM($G102:AW102))*30%,IF(AW$65="입주/잔금",($F102-SUM($G102:AV102))*50%,IF(AV$65="입주/잔금",($F102-SUM($G102:AU102))*20%,IF(AX$65=0,0,IF(AX$65="2차중도금",$F102*30%-SUM($G102:AW102),IF(AX$65="3차중도금",$F102*40%-SUM($G102:AW102),IF(AX$65="4차중도금",$F102*50%-SUM($G102:AW102),$F102*10%)))))))+(IF(AX$65="5차중도금",$F102*60%-SUM($G102:AW102)-$F102*10%,IF(AX$65="6차중도금",$F102*70%-SUM($G102:AW102)-$F102*10%,0)))</f>
        <v>0</v>
      </c>
      <c r="AY102" s="605">
        <f>IF(AY$65="입주/잔금",($F102-SUM($G102:AX102))*30%,IF(AX$65="입주/잔금",($F102-SUM($G102:AW102))*50%,IF(AW$65="입주/잔금",($F102-SUM($G102:AV102))*20%,IF(AY$65=0,0,IF(AY$65="2차중도금",$F102*30%-SUM($G102:AX102),IF(AY$65="3차중도금",$F102*40%-SUM($G102:AX102),IF(AY$65="4차중도금",$F102*50%-SUM($G102:AX102),$F102*10%)))))))+(IF(AY$65="5차중도금",$F102*60%-SUM($G102:AX102)-$F102*10%,IF(AY$65="6차중도금",$F102*70%-SUM($G102:AX102)-$F102*10%,0)))</f>
        <v>0</v>
      </c>
      <c r="AZ102" s="605">
        <f>IF(AZ$65="입주/잔금",($F102-SUM($G102:AY102))*30%,IF(AY$65="입주/잔금",($F102-SUM($G102:AX102))*50%,IF(AX$65="입주/잔금",($F102-SUM($G102:AW102))*20%,IF(AZ$65=0,0,IF(AZ$65="2차중도금",$F102*30%-SUM($G102:AY102),IF(AZ$65="3차중도금",$F102*40%-SUM($G102:AY102),IF(AZ$65="4차중도금",$F102*50%-SUM($G102:AY102),$F102*10%)))))))+(IF(AZ$65="5차중도금",$F102*60%-SUM($G102:AY102)-$F102*10%,IF(AZ$65="6차중도금",$F102*70%-SUM($G102:AY102)-$F102*10%,0)))</f>
        <v>0</v>
      </c>
      <c r="BA102" s="605">
        <f>IF(BA$65="입주/잔금",($F102-SUM($G102:AZ102))*30%,IF(AZ$65="입주/잔금",($F102-SUM($G102:AY102))*50%,IF(AY$65="입주/잔금",($F102-SUM($G102:AX102))*20%,IF(BA$65=0,0,IF(BA$65="2차중도금",$F102*30%-SUM($G102:AZ102),IF(BA$65="3차중도금",$F102*40%-SUM($G102:AZ102),IF(BA$65="4차중도금",$F102*50%-SUM($G102:AZ102),$F102*10%)))))))+(IF(BA$65="5차중도금",$F102*60%-SUM($G102:AZ102)-$F102*10%,IF(BA$65="6차중도금",$F102*70%-SUM($G102:AZ102)-$F102*10%,0)))</f>
        <v>0</v>
      </c>
      <c r="BB102" s="605">
        <f>IF(BB$65="입주/잔금",($F102-SUM($G102:BA102))*30%,IF(BA$65="입주/잔금",($F102-SUM($G102:AZ102))*50%,IF(AZ$65="입주/잔금",($F102-SUM($G102:AY102))*20%,IF(BB$65=0,0,IF(BB$65="2차중도금",$F102*30%-SUM($G102:BA102),IF(BB$65="3차중도금",$F102*40%-SUM($G102:BA102),IF(BB$65="4차중도금",$F102*50%-SUM($G102:BA102),$F102*10%)))))))+(IF(BB$65="5차중도금",$F102*60%-SUM($G102:BA102)-$F102*10%,IF(BB$65="6차중도금",$F102*70%-SUM($G102:BA102)-$F102*10%,0)))</f>
        <v>0</v>
      </c>
      <c r="BC102" s="605">
        <f>IF(BC$65="입주/잔금",($F102-SUM($G102:BB102))*30%,IF(BB$65="입주/잔금",($F102-SUM($G102:BA102))*50%,IF(BA$65="입주/잔금",($F102-SUM($G102:AZ102))*20%,IF(BC$65=0,0,IF(BC$65="2차중도금",$F102*30%-SUM($G102:BB102),IF(BC$65="3차중도금",$F102*40%-SUM($G102:BB102),IF(BC$65="4차중도금",$F102*50%-SUM($G102:BB102),$F102*10%)))))))+(IF(BC$65="5차중도금",$F102*60%-SUM($G102:BB102)-$F102*10%,IF(BC$65="6차중도금",$F102*70%-SUM($G102:BB102)-$F102*10%,0)))</f>
        <v>0</v>
      </c>
      <c r="BD102" s="605">
        <f>IF(BD$65="입주/잔금",($F102-SUM($G102:BC102))*30%,IF(BC$65="입주/잔금",($F102-SUM($G102:BB102))*50%,IF(BB$65="입주/잔금",($F102-SUM($G102:BA102))*20%,IF(BD$65=0,0,IF(BD$65="2차중도금",$F102*30%-SUM($G102:BC102),IF(BD$65="3차중도금",$F102*40%-SUM($G102:BC102),IF(BD$65="4차중도금",$F102*50%-SUM($G102:BC102),$F102*10%)))))))+(IF(BD$65="5차중도금",$F102*60%-SUM($G102:BC102)-$F102*10%,IF(BD$65="6차중도금",$F102*70%-SUM($G102:BC102)-$F102*10%,0)))</f>
        <v>0</v>
      </c>
      <c r="BE102" s="605">
        <f>IF(BE$65="입주/잔금",($F102-SUM($G102:BD102))*30%,IF(BD$65="입주/잔금",($F102-SUM($G102:BC102))*50%,IF(BC$65="입주/잔금",($F102-SUM($G102:BB102))*20%,IF(BE$65=0,0,IF(BE$65="2차중도금",$F102*30%-SUM($G102:BD102),IF(BE$65="3차중도금",$F102*40%-SUM($G102:BD102),IF(BE$65="4차중도금",$F102*50%-SUM($G102:BD102),$F102*10%)))))))+(IF(BE$65="5차중도금",$F102*60%-SUM($G102:BD102)-$F102*10%,IF(BE$65="6차중도금",$F102*70%-SUM($G102:BD102)-$F102*10%,0)))</f>
        <v>0</v>
      </c>
      <c r="BF102" s="609">
        <f>SUM(G102:BE102)</f>
        <v>0</v>
      </c>
      <c r="BG102" s="556">
        <f t="shared" si="32"/>
        <v>0</v>
      </c>
      <c r="BH102" s="610"/>
    </row>
    <row r="103" spans="1:60">
      <c r="A103" s="1853"/>
      <c r="B103" s="604">
        <f t="shared" si="33"/>
        <v>45962</v>
      </c>
      <c r="C103" s="615">
        <f t="shared" si="36"/>
        <v>157992364.97659996</v>
      </c>
      <c r="D103" s="1501"/>
      <c r="E103" s="607">
        <f>E102+D103</f>
        <v>1.0000000000000002</v>
      </c>
      <c r="F103" s="608">
        <f>C103*D103</f>
        <v>0</v>
      </c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05"/>
      <c r="AB103" s="605"/>
      <c r="AC103" s="605"/>
      <c r="AD103" s="605"/>
      <c r="AE103" s="605"/>
      <c r="AF103" s="605"/>
      <c r="AG103" s="605"/>
      <c r="AH103" s="605"/>
      <c r="AI103" s="605"/>
      <c r="AJ103" s="605"/>
      <c r="AK103" s="605"/>
      <c r="AL103" s="605"/>
      <c r="AM103" s="605"/>
      <c r="AN103" s="605"/>
      <c r="AO103" s="605"/>
      <c r="AP103" s="605"/>
      <c r="AQ103" s="605"/>
      <c r="AR103" s="605">
        <f>$F103*10%</f>
        <v>0</v>
      </c>
      <c r="AS103" s="605">
        <f>IF(AS$65="입주/잔금",($F103-SUM($G103:AR103))*30%,IF(AR$65="입주/잔금",($F103-SUM($G103:AQ103))*50%,IF(AQ$65="입주/잔금",($F103-SUM($G103:AP103))*20%,IF(AS$65=0,0,IF(AS$65="2차중도금",$F103*30%-SUM($G103:AR103),IF(AS$65="3차중도금",$F103*40%-SUM($G103:AR103),IF(AS$65="4차중도금",$F103*50%-SUM($G103:AR103),$F103*10%)))))))+(IF(AS$65="5차중도금",$F103*60%-SUM($G103:AR103)-$F103*10%,IF(AS$65="6차중도금",$F103*70%-SUM($G103:AR103)-$F103*10%,0)))</f>
        <v>0</v>
      </c>
      <c r="AT103" s="605">
        <f>IF(AT$65="입주/잔금",($F103-SUM($G103:AS103))*30%,IF(AS$65="입주/잔금",($F103-SUM($G103:AR103))*50%,IF(AR$65="입주/잔금",($F103-SUM($G103:AQ103))*20%,IF(AT$65=0,0,IF(AT$65="2차중도금",$F103*30%-SUM($G103:AS103),IF(AT$65="3차중도금",$F103*40%-SUM($G103:AS103),IF(AT$65="4차중도금",$F103*50%-SUM($G103:AS103),$F103*10%)))))))+(IF(AT$65="5차중도금",$F103*60%-SUM($G103:AS103)-$F103*10%,IF(AT$65="6차중도금",$F103*70%-SUM($G103:AS103)-$F103*10%,0)))</f>
        <v>0</v>
      </c>
      <c r="AU103" s="605">
        <f>IF(AU$65="입주/잔금",($F103-SUM($G103:AT103))*30%,IF(AT$65="입주/잔금",($F103-SUM($G103:AS103))*50%,IF(AS$65="입주/잔금",($F103-SUM($G103:AR103))*20%,IF(AU$65=0,0,IF(AU$65="2차중도금",$F103*30%-SUM($G103:AT103),IF(AU$65="3차중도금",$F103*40%-SUM($G103:AT103),IF(AU$65="4차중도금",$F103*50%-SUM($G103:AT103),$F103*10%)))))))+(IF(AU$65="5차중도금",$F103*60%-SUM($G103:AT103)-$F103*10%,IF(AU$65="6차중도금",$F103*70%-SUM($G103:AT103)-$F103*10%,0)))</f>
        <v>0</v>
      </c>
      <c r="AV103" s="605">
        <f>IF(AV$65="입주/잔금",($F103-SUM($G103:AU103))*30%,IF(AU$65="입주/잔금",($F103-SUM($G103:AT103))*50%,IF(AT$65="입주/잔금",($F103-SUM($G103:AS103))*20%,IF(AV$65=0,0,IF(AV$65="2차중도금",$F103*30%-SUM($G103:AU103),IF(AV$65="3차중도금",$F103*40%-SUM($G103:AU103),IF(AV$65="4차중도금",$F103*50%-SUM($G103:AU103),$F103*10%)))))))+(IF(AV$65="5차중도금",$F103*60%-SUM($G103:AU103)-$F103*10%,IF(AV$65="6차중도금",$F103*70%-SUM($G103:AU103)-$F103*10%,0)))</f>
        <v>0</v>
      </c>
      <c r="AW103" s="605">
        <f>IF(AW$65="입주/잔금",($F103-SUM($G103:AV103))*30%,IF(AV$65="입주/잔금",($F103-SUM($G103:AU103))*50%,IF(AU$65="입주/잔금",($F103-SUM($G103:AT103))*20%,IF(AW$65=0,0,IF(AW$65="2차중도금",$F103*30%-SUM($G103:AV103),IF(AW$65="3차중도금",$F103*40%-SUM($G103:AV103),IF(AW$65="4차중도금",$F103*50%-SUM($G103:AV103),$F103*10%)))))))+(IF(AW$65="5차중도금",$F103*60%-SUM($G103:AV103)-$F103*10%,IF(AW$65="6차중도금",$F103*70%-SUM($G103:AV103)-$F103*10%,0)))</f>
        <v>0</v>
      </c>
      <c r="AX103" s="605">
        <f>IF(AX$65="입주/잔금",($F103-SUM($G103:AW103))*30%,IF(AW$65="입주/잔금",($F103-SUM($G103:AV103))*50%,IF(AV$65="입주/잔금",($F103-SUM($G103:AU103))*20%,IF(AX$65=0,0,IF(AX$65="2차중도금",$F103*30%-SUM($G103:AW103),IF(AX$65="3차중도금",$F103*40%-SUM($G103:AW103),IF(AX$65="4차중도금",$F103*50%-SUM($G103:AW103),$F103*10%)))))))+(IF(AX$65="5차중도금",$F103*60%-SUM($G103:AW103)-$F103*10%,IF(AX$65="6차중도금",$F103*70%-SUM($G103:AW103)-$F103*10%,0)))</f>
        <v>0</v>
      </c>
      <c r="AY103" s="605">
        <f>IF(AY$65="입주/잔금",($F103-SUM($G103:AX103))*30%,IF(AX$65="입주/잔금",($F103-SUM($G103:AW103))*50%,IF(AW$65="입주/잔금",($F103-SUM($G103:AV103))*20%,IF(AY$65=0,0,IF(AY$65="2차중도금",$F103*30%-SUM($G103:AX103),IF(AY$65="3차중도금",$F103*40%-SUM($G103:AX103),IF(AY$65="4차중도금",$F103*50%-SUM($G103:AX103),$F103*10%)))))))+(IF(AY$65="5차중도금",$F103*60%-SUM($G103:AX103)-$F103*10%,IF(AY$65="6차중도금",$F103*70%-SUM($G103:AX103)-$F103*10%,0)))</f>
        <v>0</v>
      </c>
      <c r="AZ103" s="605">
        <f>IF(AZ$65="입주/잔금",($F103-SUM($G103:AY103))*30%,IF(AY$65="입주/잔금",($F103-SUM($G103:AX103))*50%,IF(AX$65="입주/잔금",($F103-SUM($G103:AW103))*20%,IF(AZ$65=0,0,IF(AZ$65="2차중도금",$F103*30%-SUM($G103:AY103),IF(AZ$65="3차중도금",$F103*40%-SUM($G103:AY103),IF(AZ$65="4차중도금",$F103*50%-SUM($G103:AY103),$F103*10%)))))))+(IF(AZ$65="5차중도금",$F103*60%-SUM($G103:AY103)-$F103*10%,IF(AZ$65="6차중도금",$F103*70%-SUM($G103:AY103)-$F103*10%,0)))</f>
        <v>0</v>
      </c>
      <c r="BA103" s="605">
        <f>IF(BA$65="입주/잔금",($F103-SUM($G103:AZ103))*30%,IF(AZ$65="입주/잔금",($F103-SUM($G103:AY103))*50%,IF(AY$65="입주/잔금",($F103-SUM($G103:AX103))*20%,IF(BA$65=0,0,IF(BA$65="2차중도금",$F103*30%-SUM($G103:AZ103),IF(BA$65="3차중도금",$F103*40%-SUM($G103:AZ103),IF(BA$65="4차중도금",$F103*50%-SUM($G103:AZ103),$F103*10%)))))))+(IF(BA$65="5차중도금",$F103*60%-SUM($G103:AZ103)-$F103*10%,IF(BA$65="6차중도금",$F103*70%-SUM($G103:AZ103)-$F103*10%,0)))</f>
        <v>0</v>
      </c>
      <c r="BB103" s="605">
        <f>IF(BB$65="입주/잔금",($F103-SUM($G103:BA103))*30%,IF(BA$65="입주/잔금",($F103-SUM($G103:AZ103))*50%,IF(AZ$65="입주/잔금",($F103-SUM($G103:AY103))*20%,IF(BB$65=0,0,IF(BB$65="2차중도금",$F103*30%-SUM($G103:BA103),IF(BB$65="3차중도금",$F103*40%-SUM($G103:BA103),IF(BB$65="4차중도금",$F103*50%-SUM($G103:BA103),$F103*10%)))))))+(IF(BB$65="5차중도금",$F103*60%-SUM($G103:BA103)-$F103*10%,IF(BB$65="6차중도금",$F103*70%-SUM($G103:BA103)-$F103*10%,0)))</f>
        <v>0</v>
      </c>
      <c r="BC103" s="605">
        <f>IF(BC$65="입주/잔금",($F103-SUM($G103:BB103))*30%,IF(BB$65="입주/잔금",($F103-SUM($G103:BA103))*50%,IF(BA$65="입주/잔금",($F103-SUM($G103:AZ103))*20%,IF(BC$65=0,0,IF(BC$65="2차중도금",$F103*30%-SUM($G103:BB103),IF(BC$65="3차중도금",$F103*40%-SUM($G103:BB103),IF(BC$65="4차중도금",$F103*50%-SUM($G103:BB103),$F103*10%)))))))+(IF(BC$65="5차중도금",$F103*60%-SUM($G103:BB103)-$F103*10%,IF(BC$65="6차중도금",$F103*70%-SUM($G103:BB103)-$F103*10%,0)))</f>
        <v>0</v>
      </c>
      <c r="BD103" s="605">
        <f>IF(BD$65="입주/잔금",($F103-SUM($G103:BC103))*30%,IF(BC$65="입주/잔금",($F103-SUM($G103:BB103))*50%,IF(BB$65="입주/잔금",($F103-SUM($G103:BA103))*20%,IF(BD$65=0,0,IF(BD$65="2차중도금",$F103*30%-SUM($G103:BC103),IF(BD$65="3차중도금",$F103*40%-SUM($G103:BC103),IF(BD$65="4차중도금",$F103*50%-SUM($G103:BC103),$F103*10%)))))))+(IF(BD$65="5차중도금",$F103*60%-SUM($G103:BC103)-$F103*10%,IF(BD$65="6차중도금",$F103*70%-SUM($G103:BC103)-$F103*10%,0)))</f>
        <v>0</v>
      </c>
      <c r="BE103" s="605">
        <f>IF(BE$65="입주/잔금",($F103-SUM($G103:BD103))*30%,IF(BD$65="입주/잔금",($F103-SUM($G103:BC103))*50%,IF(BC$65="입주/잔금",($F103-SUM($G103:BB103))*20%,IF(BE$65=0,0,IF(BE$65="2차중도금",$F103*30%-SUM($G103:BD103),IF(BE$65="3차중도금",$F103*40%-SUM($G103:BD103),IF(BE$65="4차중도금",$F103*50%-SUM($G103:BD103),$F103*10%)))))))+(IF(BE$65="5차중도금",$F103*60%-SUM($G103:BD103)-$F103*10%,IF(BE$65="6차중도금",$F103*70%-SUM($G103:BD103)-$F103*10%,0)))</f>
        <v>0</v>
      </c>
      <c r="BF103" s="609">
        <f>SUM(G103:BE103)</f>
        <v>0</v>
      </c>
      <c r="BG103" s="556">
        <f t="shared" si="32"/>
        <v>0</v>
      </c>
      <c r="BH103" s="610"/>
    </row>
    <row r="104" spans="1:60">
      <c r="A104" s="1853"/>
      <c r="B104" s="611">
        <f t="shared" si="33"/>
        <v>45992</v>
      </c>
      <c r="C104" s="615">
        <f t="shared" si="36"/>
        <v>157992364.97659996</v>
      </c>
      <c r="D104" s="1501"/>
      <c r="E104" s="607">
        <f t="shared" ref="E104:E112" si="38">E103+D104</f>
        <v>1.0000000000000002</v>
      </c>
      <c r="F104" s="608">
        <f t="shared" ref="F104:F112" si="39">C104*D104</f>
        <v>0</v>
      </c>
      <c r="G104" s="605"/>
      <c r="H104" s="605"/>
      <c r="I104" s="605"/>
      <c r="J104" s="605"/>
      <c r="K104" s="605"/>
      <c r="L104" s="605"/>
      <c r="M104" s="605"/>
      <c r="N104" s="605"/>
      <c r="O104" s="605"/>
      <c r="P104" s="605"/>
      <c r="Q104" s="605"/>
      <c r="R104" s="605"/>
      <c r="S104" s="605"/>
      <c r="T104" s="605"/>
      <c r="U104" s="605"/>
      <c r="V104" s="605"/>
      <c r="W104" s="605"/>
      <c r="X104" s="605"/>
      <c r="Y104" s="605"/>
      <c r="Z104" s="605"/>
      <c r="AA104" s="605"/>
      <c r="AB104" s="605"/>
      <c r="AC104" s="605"/>
      <c r="AD104" s="605"/>
      <c r="AE104" s="605"/>
      <c r="AF104" s="605"/>
      <c r="AG104" s="605"/>
      <c r="AH104" s="605"/>
      <c r="AI104" s="605"/>
      <c r="AJ104" s="605"/>
      <c r="AK104" s="605"/>
      <c r="AL104" s="605"/>
      <c r="AM104" s="605"/>
      <c r="AN104" s="605"/>
      <c r="AO104" s="605"/>
      <c r="AP104" s="605"/>
      <c r="AQ104" s="605"/>
      <c r="AR104" s="605"/>
      <c r="AS104" s="605">
        <f>$F104*10%</f>
        <v>0</v>
      </c>
      <c r="AT104" s="605">
        <f>IF(AT$65="입주/잔금",($F104-SUM($G104:AS104))*30%,IF(AS$65="입주/잔금",($F104-SUM($G104:AR104))*50%,IF(AR$65="입주/잔금",($F104-SUM($G104:AQ104))*20%,IF(AT$65=0,0,IF(AT$65="2차중도금",$F104*30%-SUM($G104:AS104),IF(AT$65="3차중도금",$F104*40%-SUM($G104:AS104),IF(AT$65="4차중도금",$F104*50%-SUM($G104:AS104),$F104*10%)))))))+(IF(AT$65="5차중도금",$F104*60%-SUM($G104:AS104)-$F104*10%,IF(AT$65="6차중도금",$F104*70%-SUM($G104:AS104)-$F104*10%,0)))</f>
        <v>0</v>
      </c>
      <c r="AU104" s="605">
        <f>IF(AU$65="입주/잔금",($F104-SUM($G104:AT104))*30%,IF(AT$65="입주/잔금",($F104-SUM($G104:AS104))*50%,IF(AS$65="입주/잔금",($F104-SUM($G104:AR104))*20%,IF(AU$65=0,0,IF(AU$65="2차중도금",$F104*30%-SUM($G104:AT104),IF(AU$65="3차중도금",$F104*40%-SUM($G104:AT104),IF(AU$65="4차중도금",$F104*50%-SUM($G104:AT104),$F104*10%)))))))+(IF(AU$65="5차중도금",$F104*60%-SUM($G104:AT104)-$F104*10%,IF(AU$65="6차중도금",$F104*70%-SUM($G104:AT104)-$F104*10%,0)))</f>
        <v>0</v>
      </c>
      <c r="AV104" s="605">
        <f>IF(AV$65="입주/잔금",($F104-SUM($G104:AU104))*30%,IF(AU$65="입주/잔금",($F104-SUM($G104:AT104))*50%,IF(AT$65="입주/잔금",($F104-SUM($G104:AS104))*20%,IF(AV$65=0,0,IF(AV$65="2차중도금",$F104*30%-SUM($G104:AU104),IF(AV$65="3차중도금",$F104*40%-SUM($G104:AU104),IF(AV$65="4차중도금",$F104*50%-SUM($G104:AU104),$F104*10%)))))))+(IF(AV$65="5차중도금",$F104*60%-SUM($G104:AU104)-$F104*10%,IF(AV$65="6차중도금",$F104*70%-SUM($G104:AU104)-$F104*10%,0)))</f>
        <v>0</v>
      </c>
      <c r="AW104" s="605">
        <f>IF(AW$65="입주/잔금",($F104-SUM($G104:AV104))*30%,IF(AV$65="입주/잔금",($F104-SUM($G104:AU104))*50%,IF(AU$65="입주/잔금",($F104-SUM($G104:AT104))*20%,IF(AW$65=0,0,IF(AW$65="2차중도금",$F104*30%-SUM($G104:AV104),IF(AW$65="3차중도금",$F104*40%-SUM($G104:AV104),IF(AW$65="4차중도금",$F104*50%-SUM($G104:AV104),$F104*10%)))))))+(IF(AW$65="5차중도금",$F104*60%-SUM($G104:AV104)-$F104*10%,IF(AW$65="6차중도금",$F104*70%-SUM($G104:AV104)-$F104*10%,0)))</f>
        <v>0</v>
      </c>
      <c r="AX104" s="605">
        <f>IF(AX$65="입주/잔금",($F104-SUM($G104:AW104))*30%,IF(AW$65="입주/잔금",($F104-SUM($G104:AV104))*50%,IF(AV$65="입주/잔금",($F104-SUM($G104:AU104))*20%,IF(AX$65=0,0,IF(AX$65="2차중도금",$F104*30%-SUM($G104:AW104),IF(AX$65="3차중도금",$F104*40%-SUM($G104:AW104),IF(AX$65="4차중도금",$F104*50%-SUM($G104:AW104),$F104*10%)))))))+(IF(AX$65="5차중도금",$F104*60%-SUM($G104:AW104)-$F104*10%,IF(AX$65="6차중도금",$F104*70%-SUM($G104:AW104)-$F104*10%,0)))</f>
        <v>0</v>
      </c>
      <c r="AY104" s="605">
        <f>IF(AY$65="입주/잔금",($F104-SUM($G104:AX104))*30%,IF(AX$65="입주/잔금",($F104-SUM($G104:AW104))*50%,IF(AW$65="입주/잔금",($F104-SUM($G104:AV104))*20%,IF(AY$65=0,0,IF(AY$65="2차중도금",$F104*30%-SUM($G104:AX104),IF(AY$65="3차중도금",$F104*40%-SUM($G104:AX104),IF(AY$65="4차중도금",$F104*50%-SUM($G104:AX104),$F104*10%)))))))+(IF(AY$65="5차중도금",$F104*60%-SUM($G104:AX104)-$F104*10%,IF(AY$65="6차중도금",$F104*70%-SUM($G104:AX104)-$F104*10%,0)))</f>
        <v>0</v>
      </c>
      <c r="AZ104" s="605">
        <f>IF(AZ$65="입주/잔금",($F104-SUM($G104:AY104))*30%,IF(AY$65="입주/잔금",($F104-SUM($G104:AX104))*50%,IF(AX$65="입주/잔금",($F104-SUM($G104:AW104))*20%,IF(AZ$65=0,0,IF(AZ$65="2차중도금",$F104*30%-SUM($G104:AY104),IF(AZ$65="3차중도금",$F104*40%-SUM($G104:AY104),IF(AZ$65="4차중도금",$F104*50%-SUM($G104:AY104),$F104*10%)))))))+(IF(AZ$65="5차중도금",$F104*60%-SUM($G104:AY104)-$F104*10%,IF(AZ$65="6차중도금",$F104*70%-SUM($G104:AY104)-$F104*10%,0)))</f>
        <v>0</v>
      </c>
      <c r="BA104" s="605">
        <f>IF(BA$65="입주/잔금",($F104-SUM($G104:AZ104))*30%,IF(AZ$65="입주/잔금",($F104-SUM($G104:AY104))*50%,IF(AY$65="입주/잔금",($F104-SUM($G104:AX104))*20%,IF(BA$65=0,0,IF(BA$65="2차중도금",$F104*30%-SUM($G104:AZ104),IF(BA$65="3차중도금",$F104*40%-SUM($G104:AZ104),IF(BA$65="4차중도금",$F104*50%-SUM($G104:AZ104),$F104*10%)))))))+(IF(BA$65="5차중도금",$F104*60%-SUM($G104:AZ104)-$F104*10%,IF(BA$65="6차중도금",$F104*70%-SUM($G104:AZ104)-$F104*10%,0)))</f>
        <v>0</v>
      </c>
      <c r="BB104" s="605">
        <f>IF(BB$65="입주/잔금",($F104-SUM($G104:BA104))*30%,IF(BA$65="입주/잔금",($F104-SUM($G104:AZ104))*50%,IF(AZ$65="입주/잔금",($F104-SUM($G104:AY104))*20%,IF(BB$65=0,0,IF(BB$65="2차중도금",$F104*30%-SUM($G104:BA104),IF(BB$65="3차중도금",$F104*40%-SUM($G104:BA104),IF(BB$65="4차중도금",$F104*50%-SUM($G104:BA104),$F104*10%)))))))+(IF(BB$65="5차중도금",$F104*60%-SUM($G104:BA104)-$F104*10%,IF(BB$65="6차중도금",$F104*70%-SUM($G104:BA104)-$F104*10%,0)))</f>
        <v>0</v>
      </c>
      <c r="BC104" s="605">
        <f>IF(BC$65="입주/잔금",($F104-SUM($G104:BB104))*30%,IF(BB$65="입주/잔금",($F104-SUM($G104:BA104))*50%,IF(BA$65="입주/잔금",($F104-SUM($G104:AZ104))*20%,IF(BC$65=0,0,IF(BC$65="2차중도금",$F104*30%-SUM($G104:BB104),IF(BC$65="3차중도금",$F104*40%-SUM($G104:BB104),IF(BC$65="4차중도금",$F104*50%-SUM($G104:BB104),$F104*10%)))))))+(IF(BC$65="5차중도금",$F104*60%-SUM($G104:BB104)-$F104*10%,IF(BC$65="6차중도금",$F104*70%-SUM($G104:BB104)-$F104*10%,0)))</f>
        <v>0</v>
      </c>
      <c r="BD104" s="605">
        <f>IF(BD$65="입주/잔금",($F104-SUM($G104:BC104))*30%,IF(BC$65="입주/잔금",($F104-SUM($G104:BB104))*50%,IF(BB$65="입주/잔금",($F104-SUM($G104:BA104))*20%,IF(BD$65=0,0,IF(BD$65="2차중도금",$F104*30%-SUM($G104:BC104),IF(BD$65="3차중도금",$F104*40%-SUM($G104:BC104),IF(BD$65="4차중도금",$F104*50%-SUM($G104:BC104),$F104*10%)))))))+(IF(BD$65="5차중도금",$F104*60%-SUM($G104:BC104)-$F104*10%,IF(BD$65="6차중도금",$F104*70%-SUM($G104:BC104)-$F104*10%,0)))</f>
        <v>0</v>
      </c>
      <c r="BE104" s="605">
        <f>IF(BE$65="입주/잔금",($F104-SUM($G104:BD104))*30%,IF(BD$65="입주/잔금",($F104-SUM($G104:BC104))*50%,IF(BC$65="입주/잔금",($F104-SUM($G104:BB104))*20%,IF(BE$65=0,0,IF(BE$65="2차중도금",$F104*30%-SUM($G104:BD104),IF(BE$65="3차중도금",$F104*40%-SUM($G104:BD104),IF(BE$65="4차중도금",$F104*50%-SUM($G104:BD104),$F104*10%)))))))+(IF(BE$65="5차중도금",$F104*60%-SUM($G104:BD104)-$F104*10%,IF(BE$65="6차중도금",$F104*70%-SUM($G104:BD104)-$F104*10%,0)))</f>
        <v>0</v>
      </c>
      <c r="BF104" s="609">
        <f>SUM(G104:BE104)</f>
        <v>0</v>
      </c>
      <c r="BG104" s="556">
        <f t="shared" si="32"/>
        <v>0</v>
      </c>
      <c r="BH104" s="610"/>
    </row>
    <row r="105" spans="1:60">
      <c r="A105" s="1853"/>
      <c r="B105" s="611">
        <f t="shared" si="33"/>
        <v>46023</v>
      </c>
      <c r="C105" s="615">
        <f t="shared" si="36"/>
        <v>157992364.97659996</v>
      </c>
      <c r="D105" s="1501"/>
      <c r="E105" s="607">
        <f t="shared" si="38"/>
        <v>1.0000000000000002</v>
      </c>
      <c r="F105" s="608">
        <f t="shared" si="39"/>
        <v>0</v>
      </c>
      <c r="G105" s="605"/>
      <c r="H105" s="605"/>
      <c r="I105" s="605"/>
      <c r="J105" s="605"/>
      <c r="K105" s="605"/>
      <c r="L105" s="605"/>
      <c r="M105" s="605"/>
      <c r="N105" s="605"/>
      <c r="O105" s="605"/>
      <c r="P105" s="605"/>
      <c r="Q105" s="605"/>
      <c r="R105" s="605"/>
      <c r="S105" s="605"/>
      <c r="T105" s="605"/>
      <c r="U105" s="605"/>
      <c r="V105" s="605"/>
      <c r="W105" s="605"/>
      <c r="X105" s="605"/>
      <c r="Y105" s="605"/>
      <c r="Z105" s="605"/>
      <c r="AA105" s="605"/>
      <c r="AB105" s="605"/>
      <c r="AC105" s="605"/>
      <c r="AD105" s="605"/>
      <c r="AE105" s="605"/>
      <c r="AF105" s="605"/>
      <c r="AG105" s="605"/>
      <c r="AH105" s="605"/>
      <c r="AI105" s="605"/>
      <c r="AJ105" s="605"/>
      <c r="AK105" s="605"/>
      <c r="AL105" s="605"/>
      <c r="AM105" s="605"/>
      <c r="AN105" s="605"/>
      <c r="AO105" s="605"/>
      <c r="AP105" s="605"/>
      <c r="AQ105" s="605"/>
      <c r="AR105" s="605"/>
      <c r="AS105" s="605"/>
      <c r="AT105" s="605">
        <f>$F105*10%</f>
        <v>0</v>
      </c>
      <c r="AU105" s="605">
        <f>IF(AU$65="입주/잔금",($F105-SUM($G105:AT105))*30%,IF(AT$65="입주/잔금",($F105-SUM($G105:AS105))*50%,IF(AS$65="입주/잔금",($F105-SUM($G105:AR105))*20%,IF(AU$65=0,0,IF(AU$65="2차중도금",$F105*30%-SUM($G105:AT105),IF(AU$65="3차중도금",$F105*40%-SUM($G105:AT105),IF(AU$65="4차중도금",$F105*50%-SUM($G105:AT105),$F105*10%)))))))+(IF(AU$65="5차중도금",$F105*60%-SUM($G105:AT105)-$F105*10%,IF(AU$65="6차중도금",$F105*70%-SUM($G105:AT105)-$F105*10%,0)))</f>
        <v>0</v>
      </c>
      <c r="AV105" s="605">
        <f>IF(AV$65="입주/잔금",($F105-SUM($G105:AU105))*30%,IF(AU$65="입주/잔금",($F105-SUM($G105:AT105))*50%,IF(AT$65="입주/잔금",($F105-SUM($G105:AS105))*20%,IF(AV$65=0,0,IF(AV$65="2차중도금",$F105*30%-SUM($G105:AU105),IF(AV$65="3차중도금",$F105*40%-SUM($G105:AU105),IF(AV$65="4차중도금",$F105*50%-SUM($G105:AU105),$F105*10%)))))))+(IF(AV$65="5차중도금",$F105*60%-SUM($G105:AU105)-$F105*10%,IF(AV$65="6차중도금",$F105*70%-SUM($G105:AU105)-$F105*10%,0)))</f>
        <v>0</v>
      </c>
      <c r="AW105" s="605">
        <f>IF(AW$65="입주/잔금",($F105-SUM($G105:AV105))*30%,IF(AV$65="입주/잔금",($F105-SUM($G105:AU105))*50%,IF(AU$65="입주/잔금",($F105-SUM($G105:AT105))*20%,IF(AW$65=0,0,IF(AW$65="2차중도금",$F105*30%-SUM($G105:AV105),IF(AW$65="3차중도금",$F105*40%-SUM($G105:AV105),IF(AW$65="4차중도금",$F105*50%-SUM($G105:AV105),$F105*10%)))))))+(IF(AW$65="5차중도금",$F105*60%-SUM($G105:AV105)-$F105*10%,IF(AW$65="6차중도금",$F105*70%-SUM($G105:AV105)-$F105*10%,0)))</f>
        <v>0</v>
      </c>
      <c r="AX105" s="605">
        <f>IF(AX$65="입주/잔금",($F105-SUM($G105:AW105))*30%,IF(AW$65="입주/잔금",($F105-SUM($G105:AV105))*50%,IF(AV$65="입주/잔금",($F105-SUM($G105:AU105))*20%,IF(AX$65=0,0,IF(AX$65="2차중도금",$F105*30%-SUM($G105:AW105),IF(AX$65="3차중도금",$F105*40%-SUM($G105:AW105),IF(AX$65="4차중도금",$F105*50%-SUM($G105:AW105),$F105*10%)))))))+(IF(AX$65="5차중도금",$F105*60%-SUM($G105:AW105)-$F105*10%,IF(AX$65="6차중도금",$F105*70%-SUM($G105:AW105)-$F105*10%,0)))</f>
        <v>0</v>
      </c>
      <c r="AY105" s="605">
        <f>IF(AY$65="입주/잔금",($F105-SUM($G105:AX105))*30%,IF(AX$65="입주/잔금",($F105-SUM($G105:AW105))*50%,IF(AW$65="입주/잔금",($F105-SUM($G105:AV105))*20%,IF(AY$65=0,0,IF(AY$65="2차중도금",$F105*30%-SUM($G105:AX105),IF(AY$65="3차중도금",$F105*40%-SUM($G105:AX105),IF(AY$65="4차중도금",$F105*50%-SUM($G105:AX105),$F105*10%)))))))+(IF(AY$65="5차중도금",$F105*60%-SUM($G105:AX105)-$F105*10%,IF(AY$65="6차중도금",$F105*70%-SUM($G105:AX105)-$F105*10%,0)))</f>
        <v>0</v>
      </c>
      <c r="AZ105" s="605">
        <f>IF(AZ$65="입주/잔금",($F105-SUM($G105:AY105))*30%,IF(AY$65="입주/잔금",($F105-SUM($G105:AX105))*50%,IF(AX$65="입주/잔금",($F105-SUM($G105:AW105))*20%,IF(AZ$65=0,0,IF(AZ$65="2차중도금",$F105*30%-SUM($G105:AY105),IF(AZ$65="3차중도금",$F105*40%-SUM($G105:AY105),IF(AZ$65="4차중도금",$F105*50%-SUM($G105:AY105),$F105*10%)))))))+(IF(AZ$65="5차중도금",$F105*60%-SUM($G105:AY105)-$F105*10%,IF(AZ$65="6차중도금",$F105*70%-SUM($G105:AY105)-$F105*10%,0)))</f>
        <v>0</v>
      </c>
      <c r="BA105" s="605">
        <f>IF(BA$65="입주/잔금",($F105-SUM($G105:AZ105))*30%,IF(AZ$65="입주/잔금",($F105-SUM($G105:AY105))*50%,IF(AY$65="입주/잔금",($F105-SUM($G105:AX105))*20%,IF(BA$65=0,0,IF(BA$65="2차중도금",$F105*30%-SUM($G105:AZ105),IF(BA$65="3차중도금",$F105*40%-SUM($G105:AZ105),IF(BA$65="4차중도금",$F105*50%-SUM($G105:AZ105),$F105*10%)))))))+(IF(BA$65="5차중도금",$F105*60%-SUM($G105:AZ105)-$F105*10%,IF(BA$65="6차중도금",$F105*70%-SUM($G105:AZ105)-$F105*10%,0)))</f>
        <v>0</v>
      </c>
      <c r="BB105" s="605">
        <f>IF(BB$65="입주/잔금",($F105-SUM($G105:BA105))*30%,IF(BA$65="입주/잔금",($F105-SUM($G105:AZ105))*50%,IF(AZ$65="입주/잔금",($F105-SUM($G105:AY105))*20%,IF(BB$65=0,0,IF(BB$65="2차중도금",$F105*30%-SUM($G105:BA105),IF(BB$65="3차중도금",$F105*40%-SUM($G105:BA105),IF(BB$65="4차중도금",$F105*50%-SUM($G105:BA105),$F105*10%)))))))+(IF(BB$65="5차중도금",$F105*60%-SUM($G105:BA105)-$F105*10%,IF(BB$65="6차중도금",$F105*70%-SUM($G105:BA105)-$F105*10%,0)))</f>
        <v>0</v>
      </c>
      <c r="BC105" s="605">
        <f>IF(BC$65="입주/잔금",($F105-SUM($G105:BB105))*30%,IF(BB$65="입주/잔금",($F105-SUM($G105:BA105))*50%,IF(BA$65="입주/잔금",($F105-SUM($G105:AZ105))*20%,IF(BC$65=0,0,IF(BC$65="2차중도금",$F105*30%-SUM($G105:BB105),IF(BC$65="3차중도금",$F105*40%-SUM($G105:BB105),IF(BC$65="4차중도금",$F105*50%-SUM($G105:BB105),$F105*10%)))))))+(IF(BC$65="5차중도금",$F105*60%-SUM($G105:BB105)-$F105*10%,IF(BC$65="6차중도금",$F105*70%-SUM($G105:BB105)-$F105*10%,0)))</f>
        <v>0</v>
      </c>
      <c r="BD105" s="605">
        <f>IF(BD$65="입주/잔금",($F105-SUM($G105:BC105))*30%,IF(BC$65="입주/잔금",($F105-SUM($G105:BB105))*50%,IF(BB$65="입주/잔금",($F105-SUM($G105:BA105))*20%,IF(BD$65=0,0,IF(BD$65="2차중도금",$F105*30%-SUM($G105:BC105),IF(BD$65="3차중도금",$F105*40%-SUM($G105:BC105),IF(BD$65="4차중도금",$F105*50%-SUM($G105:BC105),$F105*10%)))))))+(IF(BD$65="5차중도금",$F105*60%-SUM($G105:BC105)-$F105*10%,IF(BD$65="6차중도금",$F105*70%-SUM($G105:BC105)-$F105*10%,0)))</f>
        <v>0</v>
      </c>
      <c r="BE105" s="605">
        <f>IF(BE$65="입주/잔금",($F105-SUM($G105:BD105))*30%,IF(BD$65="입주/잔금",($F105-SUM($G105:BC105))*50%,IF(BC$65="입주/잔금",($F105-SUM($G105:BB105))*20%,IF(BE$65=0,0,IF(BE$65="2차중도금",$F105*30%-SUM($G105:BD105),IF(BE$65="3차중도금",$F105*40%-SUM($G105:BD105),IF(BE$65="4차중도금",$F105*50%-SUM($G105:BD105),$F105*10%)))))))+(IF(BE$65="5차중도금",$F105*60%-SUM($G105:BD105)-$F105*10%,IF(BE$65="6차중도금",$F105*70%-SUM($G105:BD105)-$F105*10%,0)))</f>
        <v>0</v>
      </c>
      <c r="BF105" s="609">
        <f>SUM(G105:BE105)</f>
        <v>0</v>
      </c>
      <c r="BG105" s="556">
        <f t="shared" si="32"/>
        <v>0</v>
      </c>
      <c r="BH105" s="610"/>
    </row>
    <row r="106" spans="1:60">
      <c r="A106" s="1853"/>
      <c r="B106" s="611">
        <f t="shared" si="33"/>
        <v>46054</v>
      </c>
      <c r="C106" s="615">
        <f t="shared" si="36"/>
        <v>157992364.97659996</v>
      </c>
      <c r="D106" s="1501">
        <f>1-SUM($D$66:D105)</f>
        <v>0</v>
      </c>
      <c r="E106" s="607">
        <f t="shared" si="38"/>
        <v>1.0000000000000002</v>
      </c>
      <c r="F106" s="608">
        <f t="shared" si="39"/>
        <v>0</v>
      </c>
      <c r="G106" s="605"/>
      <c r="H106" s="605"/>
      <c r="I106" s="605"/>
      <c r="J106" s="605"/>
      <c r="K106" s="605"/>
      <c r="L106" s="605"/>
      <c r="M106" s="605"/>
      <c r="N106" s="605"/>
      <c r="O106" s="605"/>
      <c r="P106" s="605"/>
      <c r="Q106" s="605"/>
      <c r="R106" s="605"/>
      <c r="S106" s="605"/>
      <c r="T106" s="605"/>
      <c r="U106" s="605"/>
      <c r="V106" s="605"/>
      <c r="W106" s="605"/>
      <c r="X106" s="605"/>
      <c r="Y106" s="605"/>
      <c r="Z106" s="605"/>
      <c r="AA106" s="605"/>
      <c r="AB106" s="605"/>
      <c r="AC106" s="605"/>
      <c r="AD106" s="605"/>
      <c r="AE106" s="605"/>
      <c r="AF106" s="605"/>
      <c r="AG106" s="605"/>
      <c r="AH106" s="605"/>
      <c r="AI106" s="605"/>
      <c r="AJ106" s="605"/>
      <c r="AK106" s="605"/>
      <c r="AL106" s="605"/>
      <c r="AM106" s="605"/>
      <c r="AN106" s="605"/>
      <c r="AO106" s="605"/>
      <c r="AP106" s="605"/>
      <c r="AQ106" s="605"/>
      <c r="AR106" s="605"/>
      <c r="AS106" s="605"/>
      <c r="AT106" s="605"/>
      <c r="AU106" s="605">
        <f>$F106*10%</f>
        <v>0</v>
      </c>
      <c r="AV106" s="605">
        <f>IF(AV$65="입주/잔금",($F106-SUM($G106:AU106))*30%,IF(AU$65="입주/잔금",($F106-SUM($G106:AT106))*50%,IF(AT$65="입주/잔금",($F106-SUM($G106:AS106))*20%,IF(AV$65=0,0,IF(AV$65="2차중도금",$F106*30%-SUM($G106:AU106),IF(AV$65="3차중도금",$F106*40%-SUM($G106:AU106),IF(AV$65="4차중도금",$F106*50%-SUM($G106:AU106),$F106*10%)))))))+(IF(AV$65="5차중도금",$F106*60%-SUM($G106:AU106)-$F106*10%,IF(AV$65="6차중도금",$F106*70%-SUM($G106:AU106)-$F106*10%,0)))</f>
        <v>0</v>
      </c>
      <c r="AW106" s="605">
        <f>IF(AW$65="입주/잔금",($F106-SUM($G106:AV106))*30%,IF(AV$65="입주/잔금",($F106-SUM($G106:AU106))*50%,IF(AU$65="입주/잔금",($F106-SUM($G106:AT106))*20%,IF(AW$65=0,0,IF(AW$65="2차중도금",$F106*30%-SUM($G106:AV106),IF(AW$65="3차중도금",$F106*40%-SUM($G106:AV106),IF(AW$65="4차중도금",$F106*50%-SUM($G106:AV106),$F106*10%)))))))+(IF(AW$65="5차중도금",$F106*60%-SUM($G106:AV106)-$F106*10%,IF(AW$65="6차중도금",$F106*70%-SUM($G106:AV106)-$F106*10%,0)))</f>
        <v>0</v>
      </c>
      <c r="AX106" s="605">
        <f>IF(AX$65="입주/잔금",($F106-SUM($G106:AW106))*30%,IF(AW$65="입주/잔금",($F106-SUM($G106:AV106))*50%,IF(AV$65="입주/잔금",($F106-SUM($G106:AU106))*20%,IF(AX$65=0,0,IF(AX$65="2차중도금",$F106*30%-SUM($G106:AW106),IF(AX$65="3차중도금",$F106*40%-SUM($G106:AW106),IF(AX$65="4차중도금",$F106*50%-SUM($G106:AW106),$F106*10%)))))))+(IF(AX$65="5차중도금",$F106*60%-SUM($G106:AW106)-$F106*10%,IF(AX$65="6차중도금",$F106*70%-SUM($G106:AW106)-$F106*10%,0)))</f>
        <v>0</v>
      </c>
      <c r="AY106" s="605">
        <f>IF(AY$65="입주/잔금",($F106-SUM($G106:AX106))*30%,IF(AX$65="입주/잔금",($F106-SUM($G106:AW106))*50%,IF(AW$65="입주/잔금",($F106-SUM($G106:AV106))*20%,IF(AY$65=0,0,IF(AY$65="2차중도금",$F106*30%-SUM($G106:AX106),IF(AY$65="3차중도금",$F106*40%-SUM($G106:AX106),IF(AY$65="4차중도금",$F106*50%-SUM($G106:AX106),$F106*10%)))))))+(IF(AY$65="5차중도금",$F106*60%-SUM($G106:AX106)-$F106*10%,IF(AY$65="6차중도금",$F106*70%-SUM($G106:AX106)-$F106*10%,0)))</f>
        <v>0</v>
      </c>
      <c r="AZ106" s="605">
        <f>IF(AZ$65="입주/잔금",($F106-SUM($G106:AY106))*30%,IF(AY$65="입주/잔금",($F106-SUM($G106:AX106))*50%,IF(AX$65="입주/잔금",($F106-SUM($G106:AW106))*20%,IF(AZ$65=0,0,IF(AZ$65="2차중도금",$F106*30%-SUM($G106:AY106),IF(AZ$65="3차중도금",$F106*40%-SUM($G106:AY106),IF(AZ$65="4차중도금",$F106*50%-SUM($G106:AY106),$F106*10%)))))))+(IF(AZ$65="5차중도금",$F106*60%-SUM($G106:AY106)-$F106*10%,IF(AZ$65="6차중도금",$F106*70%-SUM($G106:AY106)-$F106*10%,0)))</f>
        <v>0</v>
      </c>
      <c r="BA106" s="605">
        <f>IF(BA$65="입주/잔금",($F106-SUM($G106:AZ106))*30%,IF(AZ$65="입주/잔금",($F106-SUM($G106:AY106))*50%,IF(AY$65="입주/잔금",($F106-SUM($G106:AX106))*20%,IF(BA$65=0,0,IF(BA$65="2차중도금",$F106*30%-SUM($G106:AZ106),IF(BA$65="3차중도금",$F106*40%-SUM($G106:AZ106),IF(BA$65="4차중도금",$F106*50%-SUM($G106:AZ106),$F106*10%)))))))+(IF(BA$65="5차중도금",$F106*60%-SUM($G106:AZ106)-$F106*10%,IF(BA$65="6차중도금",$F106*70%-SUM($G106:AZ106)-$F106*10%,0)))</f>
        <v>0</v>
      </c>
      <c r="BB106" s="605">
        <f>IF(BB$65="입주/잔금",($F106-SUM($G106:BA106))*30%,IF(BA$65="입주/잔금",($F106-SUM($G106:AZ106))*50%,IF(AZ$65="입주/잔금",($F106-SUM($G106:AY106))*20%,IF(BB$65=0,0,IF(BB$65="2차중도금",$F106*30%-SUM($G106:BA106),IF(BB$65="3차중도금",$F106*40%-SUM($G106:BA106),IF(BB$65="4차중도금",$F106*50%-SUM($G106:BA106),$F106*10%)))))))+(IF(BB$65="5차중도금",$F106*60%-SUM($G106:BA106)-$F106*10%,IF(BB$65="6차중도금",$F106*70%-SUM($G106:BA106)-$F106*10%,0)))</f>
        <v>0</v>
      </c>
      <c r="BC106" s="605">
        <f>IF(BC$65="입주/잔금",($F106-SUM($G106:BB106))*30%,IF(BB$65="입주/잔금",($F106-SUM($G106:BA106))*50%,IF(BA$65="입주/잔금",($F106-SUM($G106:AZ106))*20%,IF(BC$65=0,0,IF(BC$65="2차중도금",$F106*30%-SUM($G106:BB106),IF(BC$65="3차중도금",$F106*40%-SUM($G106:BB106),IF(BC$65="4차중도금",$F106*50%-SUM($G106:BB106),$F106*10%)))))))+(IF(BC$65="5차중도금",$F106*60%-SUM($G106:BB106)-$F106*10%,IF(BC$65="6차중도금",$F106*70%-SUM($G106:BB106)-$F106*10%,0)))</f>
        <v>0</v>
      </c>
      <c r="BD106" s="605">
        <f>IF(BD$65="입주/잔금",($F106-SUM($G106:BC106))*30%,IF(BC$65="입주/잔금",($F106-SUM($G106:BB106))*50%,IF(BB$65="입주/잔금",($F106-SUM($G106:BA106))*20%,IF(BD$65=0,0,IF(BD$65="2차중도금",$F106*30%-SUM($G106:BC106),IF(BD$65="3차중도금",$F106*40%-SUM($G106:BC106),IF(BD$65="4차중도금",$F106*50%-SUM($G106:BC106),$F106*10%)))))))+(IF(BD$65="5차중도금",$F106*60%-SUM($G106:BC106)-$F106*10%,IF(BD$65="6차중도금",$F106*70%-SUM($G106:BC106)-$F106*10%,0)))</f>
        <v>0</v>
      </c>
      <c r="BE106" s="605">
        <f>IF(BE$65="입주/잔금",($F106-SUM($G106:BD106))*30%,IF(BD$65="입주/잔금",($F106-SUM($G106:BC106))*50%,IF(BC$65="입주/잔금",($F106-SUM($G106:BB106))*20%,IF(BE$65=0,0,IF(BE$65="2차중도금",$F106*30%-SUM($G106:BD106),IF(BE$65="3차중도금",$F106*40%-SUM($G106:BD106),IF(BE$65="4차중도금",$F106*50%-SUM($G106:BD106),$F106*10%)))))))+(IF(BE$65="5차중도금",$F106*60%-SUM($G106:BD106)-$F106*10%,IF(BE$65="6차중도금",$F106*70%-SUM($G106:BD106)-$F106*10%,0)))</f>
        <v>0</v>
      </c>
      <c r="BF106" s="609">
        <f>SUM(G106:BE106)</f>
        <v>0</v>
      </c>
      <c r="BG106" s="556">
        <f t="shared" si="32"/>
        <v>0</v>
      </c>
      <c r="BH106" s="610"/>
    </row>
    <row r="107" spans="1:60">
      <c r="A107" s="1853"/>
      <c r="B107" s="611">
        <f t="shared" si="33"/>
        <v>46082</v>
      </c>
      <c r="C107" s="615">
        <f t="shared" si="36"/>
        <v>157992364.97659996</v>
      </c>
      <c r="D107" s="1501"/>
      <c r="E107" s="607">
        <f t="shared" si="38"/>
        <v>1.0000000000000002</v>
      </c>
      <c r="F107" s="608">
        <f t="shared" si="39"/>
        <v>0</v>
      </c>
      <c r="G107" s="605"/>
      <c r="H107" s="605"/>
      <c r="I107" s="605"/>
      <c r="J107" s="605"/>
      <c r="K107" s="605"/>
      <c r="L107" s="605"/>
      <c r="M107" s="605"/>
      <c r="N107" s="605"/>
      <c r="O107" s="605"/>
      <c r="P107" s="605"/>
      <c r="Q107" s="605"/>
      <c r="R107" s="605"/>
      <c r="S107" s="605"/>
      <c r="T107" s="605"/>
      <c r="U107" s="605"/>
      <c r="V107" s="605"/>
      <c r="W107" s="605"/>
      <c r="X107" s="605"/>
      <c r="Y107" s="605"/>
      <c r="Z107" s="605"/>
      <c r="AA107" s="605"/>
      <c r="AB107" s="605"/>
      <c r="AC107" s="605"/>
      <c r="AD107" s="605"/>
      <c r="AE107" s="605"/>
      <c r="AF107" s="605"/>
      <c r="AG107" s="605"/>
      <c r="AH107" s="605"/>
      <c r="AI107" s="605"/>
      <c r="AJ107" s="605"/>
      <c r="AK107" s="605"/>
      <c r="AL107" s="605"/>
      <c r="AM107" s="605"/>
      <c r="AN107" s="605"/>
      <c r="AO107" s="605"/>
      <c r="AP107" s="605"/>
      <c r="AQ107" s="605"/>
      <c r="AR107" s="605"/>
      <c r="AS107" s="605"/>
      <c r="AT107" s="605"/>
      <c r="AU107" s="605"/>
      <c r="AV107" s="605">
        <f>$F107*10%</f>
        <v>0</v>
      </c>
      <c r="AW107" s="605">
        <f>IF(AW$65="입주/잔금",($F107-SUM($G107:AV107))*30%,IF(AV$65="입주/잔금",($F107-SUM($G107:AU107))*50%,IF(AU$65="입주/잔금",($F107-SUM($G107:AT107))*20%,IF(AW$65=0,0,IF(AW$65="2차중도금",$F107*30%-SUM($G107:AV107),IF(AW$65="3차중도금",$F107*40%-SUM($G107:AV107),IF(AW$65="4차중도금",$F107*50%-SUM($G107:AV107),$F107*10%)))))))+(IF(AW$65="5차중도금",$F107*60%-SUM($G107:AV107)-$F107*10%,IF(AW$65="6차중도금",$F107*70%-SUM($G107:AV107)-$F107*10%,0)))</f>
        <v>0</v>
      </c>
      <c r="AX107" s="605">
        <f>IF(AX$65="입주/잔금",($F107-SUM($G107:AW107))*30%,IF(AW$65="입주/잔금",($F107-SUM($G107:AV107))*50%,IF(AV$65="입주/잔금",($F107-SUM($G107:AU107))*20%,IF(AX$65=0,0,IF(AX$65="2차중도금",$F107*30%-SUM($G107:AW107),IF(AX$65="3차중도금",$F107*40%-SUM($G107:AW107),IF(AX$65="4차중도금",$F107*50%-SUM($G107:AW107),$F107*10%)))))))+(IF(AX$65="5차중도금",$F107*60%-SUM($G107:AW107)-$F107*10%,IF(AX$65="6차중도금",$F107*70%-SUM($G107:AW107)-$F107*10%,0)))</f>
        <v>0</v>
      </c>
      <c r="AY107" s="605">
        <f>IF(AY$65="입주/잔금",($F107-SUM($G107:AX107))*30%,IF(AX$65="입주/잔금",($F107-SUM($G107:AW107))*50%,IF(AW$65="입주/잔금",($F107-SUM($G107:AV107))*20%,IF(AY$65=0,0,IF(AY$65="2차중도금",$F107*30%-SUM($G107:AX107),IF(AY$65="3차중도금",$F107*40%-SUM($G107:AX107),IF(AY$65="4차중도금",$F107*50%-SUM($G107:AX107),$F107*10%)))))))+(IF(AY$65="5차중도금",$F107*60%-SUM($G107:AX107)-$F107*10%,IF(AY$65="6차중도금",$F107*70%-SUM($G107:AX107)-$F107*10%,0)))</f>
        <v>0</v>
      </c>
      <c r="AZ107" s="605">
        <f>IF(AZ$65="입주/잔금",($F107-SUM($G107:AY107))*30%,IF(AY$65="입주/잔금",($F107-SUM($G107:AX107))*50%,IF(AX$65="입주/잔금",($F107-SUM($G107:AW107))*20%,IF(AZ$65=0,0,IF(AZ$65="2차중도금",$F107*30%-SUM($G107:AY107),IF(AZ$65="3차중도금",$F107*40%-SUM($G107:AY107),IF(AZ$65="4차중도금",$F107*50%-SUM($G107:AY107),$F107*10%)))))))+(IF(AZ$65="5차중도금",$F107*60%-SUM($G107:AY107)-$F107*10%,IF(AZ$65="6차중도금",$F107*70%-SUM($G107:AY107)-$F107*10%,0)))</f>
        <v>0</v>
      </c>
      <c r="BA107" s="605">
        <f>IF(BA$65="입주/잔금",($F107-SUM($G107:AZ107))*30%,IF(AZ$65="입주/잔금",($F107-SUM($G107:AY107))*50%,IF(AY$65="입주/잔금",($F107-SUM($G107:AX107))*20%,IF(BA$65=0,0,IF(BA$65="2차중도금",$F107*30%-SUM($G107:AZ107),IF(BA$65="3차중도금",$F107*40%-SUM($G107:AZ107),IF(BA$65="4차중도금",$F107*50%-SUM($G107:AZ107),$F107*10%)))))))+(IF(BA$65="5차중도금",$F107*60%-SUM($G107:AZ107)-$F107*10%,IF(BA$65="6차중도금",$F107*70%-SUM($G107:AZ107)-$F107*10%,0)))</f>
        <v>0</v>
      </c>
      <c r="BB107" s="605">
        <f>IF(BB$65="입주/잔금",($F107-SUM($G107:BA107))*30%,IF(BA$65="입주/잔금",($F107-SUM($G107:AZ107))*50%,IF(AZ$65="입주/잔금",($F107-SUM($G107:AY107))*20%,IF(BB$65=0,0,IF(BB$65="2차중도금",$F107*30%-SUM($G107:BA107),IF(BB$65="3차중도금",$F107*40%-SUM($G107:BA107),IF(BB$65="4차중도금",$F107*50%-SUM($G107:BA107),$F107*10%)))))))+(IF(BB$65="5차중도금",$F107*60%-SUM($G107:BA107)-$F107*10%,IF(BB$65="6차중도금",$F107*70%-SUM($G107:BA107)-$F107*10%,0)))</f>
        <v>0</v>
      </c>
      <c r="BC107" s="605">
        <f>IF(BC$65="입주/잔금",($F107-SUM($G107:BB107))*30%,IF(BB$65="입주/잔금",($F107-SUM($G107:BA107))*50%,IF(BA$65="입주/잔금",($F107-SUM($G107:AZ107))*20%,IF(BC$65=0,0,IF(BC$65="2차중도금",$F107*30%-SUM($G107:BB107),IF(BC$65="3차중도금",$F107*40%-SUM($G107:BB107),IF(BC$65="4차중도금",$F107*50%-SUM($G107:BB107),$F107*10%)))))))+(IF(BC$65="5차중도금",$F107*60%-SUM($G107:BB107)-$F107*10%,IF(BC$65="6차중도금",$F107*70%-SUM($G107:BB107)-$F107*10%,0)))</f>
        <v>0</v>
      </c>
      <c r="BD107" s="605">
        <f>IF(BD$65="입주/잔금",($F107-SUM($G107:BC107))*30%,IF(BC$65="입주/잔금",($F107-SUM($G107:BB107))*50%,IF(BB$65="입주/잔금",($F107-SUM($G107:BA107))*20%,IF(BD$65=0,0,IF(BD$65="2차중도금",$F107*30%-SUM($G107:BC107),IF(BD$65="3차중도금",$F107*40%-SUM($G107:BC107),IF(BD$65="4차중도금",$F107*50%-SUM($G107:BC107),$F107*10%)))))))+(IF(BD$65="5차중도금",$F107*60%-SUM($G107:BC107)-$F107*10%,IF(BD$65="6차중도금",$F107*70%-SUM($G107:BC107)-$F107*10%,0)))</f>
        <v>0</v>
      </c>
      <c r="BE107" s="605">
        <f>IF(BE$65="입주/잔금",($F107-SUM($G107:BD107))*30%,IF(BD$65="입주/잔금",($F107-SUM($G107:BC107))*50%,IF(BC$65="입주/잔금",($F107-SUM($G107:BB107))*20%,IF(BE$65=0,0,IF(BE$65="2차중도금",$F107*30%-SUM($G107:BD107),IF(BE$65="3차중도금",$F107*40%-SUM($G107:BD107),IF(BE$65="4차중도금",$F107*50%-SUM($G107:BD107),$F107*10%)))))))+(IF(BE$65="5차중도금",$F107*60%-SUM($G107:BD107)-$F107*10%,IF(BE$65="6차중도금",$F107*70%-SUM($G107:BD107)-$F107*10%,0)))</f>
        <v>0</v>
      </c>
      <c r="BF107" s="609">
        <f t="shared" si="37"/>
        <v>0</v>
      </c>
      <c r="BG107" s="556">
        <f t="shared" si="32"/>
        <v>0</v>
      </c>
      <c r="BH107" s="610"/>
    </row>
    <row r="108" spans="1:60">
      <c r="A108" s="1853"/>
      <c r="B108" s="611">
        <f t="shared" si="33"/>
        <v>46113</v>
      </c>
      <c r="C108" s="615">
        <f t="shared" si="36"/>
        <v>157992364.97659996</v>
      </c>
      <c r="D108" s="1501"/>
      <c r="E108" s="607">
        <f t="shared" si="38"/>
        <v>1.0000000000000002</v>
      </c>
      <c r="F108" s="608">
        <f t="shared" si="39"/>
        <v>0</v>
      </c>
      <c r="G108" s="605"/>
      <c r="H108" s="605"/>
      <c r="I108" s="605"/>
      <c r="J108" s="605"/>
      <c r="K108" s="605"/>
      <c r="L108" s="605"/>
      <c r="M108" s="605"/>
      <c r="N108" s="605"/>
      <c r="O108" s="605"/>
      <c r="P108" s="605"/>
      <c r="Q108" s="605"/>
      <c r="R108" s="605"/>
      <c r="S108" s="605"/>
      <c r="T108" s="605"/>
      <c r="U108" s="605"/>
      <c r="V108" s="605"/>
      <c r="W108" s="605"/>
      <c r="X108" s="605"/>
      <c r="Y108" s="605"/>
      <c r="Z108" s="605"/>
      <c r="AA108" s="605"/>
      <c r="AB108" s="605"/>
      <c r="AC108" s="605"/>
      <c r="AD108" s="605"/>
      <c r="AE108" s="605"/>
      <c r="AF108" s="605"/>
      <c r="AG108" s="605"/>
      <c r="AH108" s="605"/>
      <c r="AI108" s="605"/>
      <c r="AJ108" s="605"/>
      <c r="AK108" s="605"/>
      <c r="AL108" s="605"/>
      <c r="AM108" s="605"/>
      <c r="AN108" s="605"/>
      <c r="AO108" s="605"/>
      <c r="AP108" s="605"/>
      <c r="AQ108" s="605"/>
      <c r="AR108" s="605"/>
      <c r="AS108" s="605"/>
      <c r="AT108" s="605"/>
      <c r="AU108" s="605"/>
      <c r="AV108" s="605"/>
      <c r="AW108" s="605">
        <f>$F108*10%</f>
        <v>0</v>
      </c>
      <c r="AX108" s="605">
        <f>IF(AX$65="입주/잔금",($F108-SUM($G108:AW108))*30%,IF(AW$65="입주/잔금",($F108-SUM($G108:AV108))*50%,IF(AV$65="입주/잔금",($F108-SUM($G108:AU108))*20%,IF(AX$65=0,0,IF(AX$65="2차중도금",$F108*30%-SUM($G108:AW108),IF(AX$65="3차중도금",$F108*40%-SUM($G108:AW108),IF(AX$65="4차중도금",$F108*50%-SUM($G108:AW108),$F108*10%)))))))+(IF(AX$65="5차중도금",$F108*60%-SUM($G108:AW108)-$F108*10%,IF(AX$65="6차중도금",$F108*70%-SUM($G108:AW108)-$F108*10%,0)))</f>
        <v>0</v>
      </c>
      <c r="AY108" s="605">
        <f>IF(AY$65="입주/잔금",($F108-SUM($G108:AX108))*30%,IF(AX$65="입주/잔금",($F108-SUM($G108:AW108))*50%,IF(AW$65="입주/잔금",($F108-SUM($G108:AV108))*20%,IF(AY$65=0,0,IF(AY$65="2차중도금",$F108*30%-SUM($G108:AX108),IF(AY$65="3차중도금",$F108*40%-SUM($G108:AX108),IF(AY$65="4차중도금",$F108*50%-SUM($G108:AX108),$F108*10%)))))))+(IF(AY$65="5차중도금",$F108*60%-SUM($G108:AX108)-$F108*10%,IF(AY$65="6차중도금",$F108*70%-SUM($G108:AX108)-$F108*10%,0)))</f>
        <v>0</v>
      </c>
      <c r="AZ108" s="605">
        <f>IF(AZ$65="입주/잔금",($F108-SUM($G108:AY108))*30%,IF(AY$65="입주/잔금",($F108-SUM($G108:AX108))*50%,IF(AX$65="입주/잔금",($F108-SUM($G108:AW108))*20%,IF(AZ$65=0,0,IF(AZ$65="2차중도금",$F108*30%-SUM($G108:AY108),IF(AZ$65="3차중도금",$F108*40%-SUM($G108:AY108),IF(AZ$65="4차중도금",$F108*50%-SUM($G108:AY108),$F108*10%)))))))+(IF(AZ$65="5차중도금",$F108*60%-SUM($G108:AY108)-$F108*10%,IF(AZ$65="6차중도금",$F108*70%-SUM($G108:AY108)-$F108*10%,0)))</f>
        <v>0</v>
      </c>
      <c r="BA108" s="605">
        <f>IF(BA$65="입주/잔금",($F108-SUM($G108:AZ108))*30%,IF(AZ$65="입주/잔금",($F108-SUM($G108:AY108))*50%,IF(AY$65="입주/잔금",($F108-SUM($G108:AX108))*20%,IF(BA$65=0,0,IF(BA$65="2차중도금",$F108*30%-SUM($G108:AZ108),IF(BA$65="3차중도금",$F108*40%-SUM($G108:AZ108),IF(BA$65="4차중도금",$F108*50%-SUM($G108:AZ108),$F108*10%)))))))+(IF(BA$65="5차중도금",$F108*60%-SUM($G108:AZ108)-$F108*10%,IF(BA$65="6차중도금",$F108*70%-SUM($G108:AZ108)-$F108*10%,0)))</f>
        <v>0</v>
      </c>
      <c r="BB108" s="605">
        <f>IF(BB$65="입주/잔금",($F108-SUM($G108:BA108))*30%,IF(BA$65="입주/잔금",($F108-SUM($G108:AZ108))*50%,IF(AZ$65="입주/잔금",($F108-SUM($G108:AY108))*20%,IF(BB$65=0,0,IF(BB$65="2차중도금",$F108*30%-SUM($G108:BA108),IF(BB$65="3차중도금",$F108*40%-SUM($G108:BA108),IF(BB$65="4차중도금",$F108*50%-SUM($G108:BA108),$F108*10%)))))))+(IF(BB$65="5차중도금",$F108*60%-SUM($G108:BA108)-$F108*10%,IF(BB$65="6차중도금",$F108*70%-SUM($G108:BA108)-$F108*10%,0)))</f>
        <v>0</v>
      </c>
      <c r="BC108" s="605">
        <f>IF(BC$65="입주/잔금",($F108-SUM($G108:BB108))*30%,IF(BB$65="입주/잔금",($F108-SUM($G108:BA108))*50%,IF(BA$65="입주/잔금",($F108-SUM($G108:AZ108))*20%,IF(BC$65=0,0,IF(BC$65="2차중도금",$F108*30%-SUM($G108:BB108),IF(BC$65="3차중도금",$F108*40%-SUM($G108:BB108),IF(BC$65="4차중도금",$F108*50%-SUM($G108:BB108),$F108*10%)))))))+(IF(BC$65="5차중도금",$F108*60%-SUM($G108:BB108)-$F108*10%,IF(BC$65="6차중도금",$F108*70%-SUM($G108:BB108)-$F108*10%,0)))</f>
        <v>0</v>
      </c>
      <c r="BD108" s="605">
        <f>IF(BD$65="입주/잔금",($F108-SUM($G108:BC108))*30%,IF(BC$65="입주/잔금",($F108-SUM($G108:BB108))*50%,IF(BB$65="입주/잔금",($F108-SUM($G108:BA108))*20%,IF(BD$65=0,0,IF(BD$65="2차중도금",$F108*30%-SUM($G108:BC108),IF(BD$65="3차중도금",$F108*40%-SUM($G108:BC108),IF(BD$65="4차중도금",$F108*50%-SUM($G108:BC108),$F108*10%)))))))+(IF(BD$65="5차중도금",$F108*60%-SUM($G108:BC108)-$F108*10%,IF(BD$65="6차중도금",$F108*70%-SUM($G108:BC108)-$F108*10%,0)))</f>
        <v>0</v>
      </c>
      <c r="BE108" s="605">
        <f>IF(BE$65="입주/잔금",($F108-SUM($G108:BD108))*30%,IF(BD$65="입주/잔금",($F108-SUM($G108:BC108))*50%,IF(BC$65="입주/잔금",($F108-SUM($G108:BB108))*20%,IF(BE$65=0,0,IF(BE$65="2차중도금",$F108*30%-SUM($G108:BD108),IF(BE$65="3차중도금",$F108*40%-SUM($G108:BD108),IF(BE$65="4차중도금",$F108*50%-SUM($G108:BD108),$F108*10%)))))))+(IF(BE$65="5차중도금",$F108*60%-SUM($G108:BD108)-$F108*10%,IF(BE$65="6차중도금",$F108*70%-SUM($G108:BD108)-$F108*10%,0)))</f>
        <v>0</v>
      </c>
      <c r="BF108" s="609">
        <f>SUM(G108:BE108)</f>
        <v>0</v>
      </c>
      <c r="BG108" s="556">
        <f t="shared" si="32"/>
        <v>0</v>
      </c>
      <c r="BH108" s="610"/>
    </row>
    <row r="109" spans="1:60">
      <c r="A109" s="1853"/>
      <c r="B109" s="611">
        <f t="shared" si="33"/>
        <v>46143</v>
      </c>
      <c r="C109" s="615">
        <f t="shared" si="36"/>
        <v>157992364.97659996</v>
      </c>
      <c r="D109" s="1501"/>
      <c r="E109" s="607">
        <f t="shared" si="38"/>
        <v>1.0000000000000002</v>
      </c>
      <c r="F109" s="608">
        <f t="shared" si="39"/>
        <v>0</v>
      </c>
      <c r="G109" s="605"/>
      <c r="H109" s="605"/>
      <c r="I109" s="605"/>
      <c r="J109" s="605"/>
      <c r="K109" s="605"/>
      <c r="L109" s="605"/>
      <c r="M109" s="605"/>
      <c r="N109" s="605"/>
      <c r="O109" s="605"/>
      <c r="P109" s="605"/>
      <c r="Q109" s="605"/>
      <c r="R109" s="605"/>
      <c r="S109" s="605"/>
      <c r="T109" s="605"/>
      <c r="U109" s="605"/>
      <c r="V109" s="605"/>
      <c r="W109" s="605"/>
      <c r="X109" s="605"/>
      <c r="Y109" s="605"/>
      <c r="Z109" s="605"/>
      <c r="AA109" s="605"/>
      <c r="AB109" s="605"/>
      <c r="AC109" s="605"/>
      <c r="AD109" s="605"/>
      <c r="AE109" s="605"/>
      <c r="AF109" s="605"/>
      <c r="AG109" s="605"/>
      <c r="AH109" s="605"/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605"/>
      <c r="AS109" s="605"/>
      <c r="AT109" s="605"/>
      <c r="AU109" s="605"/>
      <c r="AV109" s="605"/>
      <c r="AW109" s="605"/>
      <c r="AX109" s="605">
        <f>$F109*10%</f>
        <v>0</v>
      </c>
      <c r="AY109" s="605">
        <f>IF(AY$65="입주/잔금",($F109-SUM($G109:AX109))*30%,IF(AX$65="입주/잔금",($F109-SUM($G109:AW109))*50%,IF(AW$65="입주/잔금",($F109-SUM($G109:AV109))*20%,IF(AY$65=0,0,IF(AY$65="2차중도금",$F109*30%-SUM($G109:AX109),IF(AY$65="3차중도금",$F109*40%-SUM($G109:AX109),IF(AY$65="4차중도금",$F109*50%-SUM($G109:AX109),$F109*10%)))))))+(IF(AY$65="5차중도금",$F109*60%-SUM($G109:AX109)-$F109*10%,IF(AY$65="6차중도금",$F109*70%-SUM($G109:AX109)-$F109*10%,0)))</f>
        <v>0</v>
      </c>
      <c r="AZ109" s="605">
        <f>IF(AZ$65="입주/잔금",($F109-SUM($G109:AY109))*30%,IF(AY$65="입주/잔금",($F109-SUM($G109:AX109))*50%,IF(AX$65="입주/잔금",($F109-SUM($G109:AW109))*20%,IF(AZ$65=0,0,IF(AZ$65="2차중도금",$F109*30%-SUM($G109:AY109),IF(AZ$65="3차중도금",$F109*40%-SUM($G109:AY109),IF(AZ$65="4차중도금",$F109*50%-SUM($G109:AY109),$F109*10%)))))))+(IF(AZ$65="5차중도금",$F109*60%-SUM($G109:AY109)-$F109*10%,IF(AZ$65="6차중도금",$F109*70%-SUM($G109:AY109)-$F109*10%,0)))</f>
        <v>0</v>
      </c>
      <c r="BA109" s="605">
        <f>IF(BA$65="입주/잔금",($F109-SUM($G109:AZ109))*30%,IF(AZ$65="입주/잔금",($F109-SUM($G109:AY109))*50%,IF(AY$65="입주/잔금",($F109-SUM($G109:AX109))*20%,IF(BA$65=0,0,IF(BA$65="2차중도금",$F109*30%-SUM($G109:AZ109),IF(BA$65="3차중도금",$F109*40%-SUM($G109:AZ109),IF(BA$65="4차중도금",$F109*50%-SUM($G109:AZ109),$F109*10%)))))))+(IF(BA$65="5차중도금",$F109*60%-SUM($G109:AZ109)-$F109*10%,IF(BA$65="6차중도금",$F109*70%-SUM($G109:AZ109)-$F109*10%,0)))</f>
        <v>0</v>
      </c>
      <c r="BB109" s="605">
        <f>IF(BB$65="입주/잔금",($F109-SUM($G109:BA109))*30%,IF(BA$65="입주/잔금",($F109-SUM($G109:AZ109))*50%,IF(AZ$65="입주/잔금",($F109-SUM($G109:AY109))*20%,IF(BB$65=0,0,IF(BB$65="2차중도금",$F109*30%-SUM($G109:BA109),IF(BB$65="3차중도금",$F109*40%-SUM($G109:BA109),IF(BB$65="4차중도금",$F109*50%-SUM($G109:BA109),$F109*10%)))))))+(IF(BB$65="5차중도금",$F109*60%-SUM($G109:BA109)-$F109*10%,IF(BB$65="6차중도금",$F109*70%-SUM($G109:BA109)-$F109*10%,0)))</f>
        <v>0</v>
      </c>
      <c r="BC109" s="605">
        <f>IF(BC$65="입주/잔금",($F109-SUM($G109:BB109))*30%,IF(BB$65="입주/잔금",($F109-SUM($G109:BA109))*50%,IF(BA$65="입주/잔금",($F109-SUM($G109:AZ109))*20%,IF(BC$65=0,0,IF(BC$65="2차중도금",$F109*30%-SUM($G109:BB109),IF(BC$65="3차중도금",$F109*40%-SUM($G109:BB109),IF(BC$65="4차중도금",$F109*50%-SUM($G109:BB109),$F109*10%)))))))+(IF(BC$65="5차중도금",$F109*60%-SUM($G109:BB109)-$F109*10%,IF(BC$65="6차중도금",$F109*70%-SUM($G109:BB109)-$F109*10%,0)))</f>
        <v>0</v>
      </c>
      <c r="BD109" s="605">
        <f>IF(BD$65="입주/잔금",($F109-SUM($G109:BC109))*30%,IF(BC$65="입주/잔금",($F109-SUM($G109:BB109))*50%,IF(BB$65="입주/잔금",($F109-SUM($G109:BA109))*20%,IF(BD$65=0,0,IF(BD$65="2차중도금",$F109*30%-SUM($G109:BC109),IF(BD$65="3차중도금",$F109*40%-SUM($G109:BC109),IF(BD$65="4차중도금",$F109*50%-SUM($G109:BC109),$F109*10%)))))))+(IF(BD$65="5차중도금",$F109*60%-SUM($G109:BC109)-$F109*10%,IF(BD$65="6차중도금",$F109*70%-SUM($G109:BC109)-$F109*10%,0)))</f>
        <v>0</v>
      </c>
      <c r="BE109" s="605">
        <f>IF(BE$65="입주/잔금",($F109-SUM($G109:BD109))*30%,IF(BD$65="입주/잔금",($F109-SUM($G109:BC109))*50%,IF(BC$65="입주/잔금",($F109-SUM($G109:BB109))*20%,IF(BE$65=0,0,IF(BE$65="2차중도금",$F109*30%-SUM($G109:BD109),IF(BE$65="3차중도금",$F109*40%-SUM($G109:BD109),IF(BE$65="4차중도금",$F109*50%-SUM($G109:BD109),$F109*10%)))))))+(IF(BE$65="5차중도금",$F109*60%-SUM($G109:BD109)-$F109*10%,IF(BE$65="6차중도금",$F109*70%-SUM($G109:BD109)-$F109*10%,0)))</f>
        <v>0</v>
      </c>
      <c r="BF109" s="609">
        <f t="shared" si="37"/>
        <v>0</v>
      </c>
      <c r="BG109" s="556">
        <f t="shared" si="32"/>
        <v>0</v>
      </c>
      <c r="BH109" s="610"/>
    </row>
    <row r="110" spans="1:60">
      <c r="A110" s="1853"/>
      <c r="B110" s="611">
        <f t="shared" si="33"/>
        <v>46174</v>
      </c>
      <c r="C110" s="615">
        <f t="shared" si="36"/>
        <v>157992364.97659996</v>
      </c>
      <c r="D110" s="1501"/>
      <c r="E110" s="607">
        <f t="shared" si="38"/>
        <v>1.0000000000000002</v>
      </c>
      <c r="F110" s="608">
        <f t="shared" si="39"/>
        <v>0</v>
      </c>
      <c r="G110" s="605"/>
      <c r="H110" s="605"/>
      <c r="I110" s="605"/>
      <c r="J110" s="605"/>
      <c r="K110" s="605"/>
      <c r="L110" s="605"/>
      <c r="M110" s="605"/>
      <c r="N110" s="605"/>
      <c r="O110" s="605"/>
      <c r="P110" s="605"/>
      <c r="Q110" s="605"/>
      <c r="R110" s="605"/>
      <c r="S110" s="605"/>
      <c r="T110" s="605"/>
      <c r="U110" s="605"/>
      <c r="V110" s="605"/>
      <c r="W110" s="605"/>
      <c r="X110" s="605"/>
      <c r="Y110" s="605"/>
      <c r="Z110" s="605"/>
      <c r="AA110" s="605"/>
      <c r="AB110" s="605"/>
      <c r="AC110" s="605"/>
      <c r="AD110" s="605"/>
      <c r="AE110" s="605"/>
      <c r="AF110" s="605"/>
      <c r="AG110" s="605"/>
      <c r="AH110" s="605"/>
      <c r="AI110" s="605"/>
      <c r="AJ110" s="605"/>
      <c r="AK110" s="605"/>
      <c r="AL110" s="605"/>
      <c r="AM110" s="605"/>
      <c r="AN110" s="605"/>
      <c r="AO110" s="605"/>
      <c r="AP110" s="605"/>
      <c r="AQ110" s="605"/>
      <c r="AR110" s="605"/>
      <c r="AS110" s="605"/>
      <c r="AT110" s="605"/>
      <c r="AU110" s="605"/>
      <c r="AV110" s="605"/>
      <c r="AW110" s="605"/>
      <c r="AX110" s="605"/>
      <c r="AY110" s="605">
        <f>$F110*10%</f>
        <v>0</v>
      </c>
      <c r="AZ110" s="605">
        <f>IF(AZ$65="입주/잔금",($F110-SUM($G110:AY110))*30%,IF(AY$65="입주/잔금",($F110-SUM($G110:AX110))*50%,IF(AX$65="입주/잔금",($F110-SUM($G110:AW110))*20%,IF(AZ$65=0,0,IF(AZ$65="2차중도금",$F110*30%-SUM($G110:AY110),IF(AZ$65="3차중도금",$F110*40%-SUM($G110:AY110),IF(AZ$65="4차중도금",$F110*50%-SUM($G110:AY110),$F110*10%)))))))+(IF(AZ$65="5차중도금",$F110*60%-SUM($G110:AY110)-$F110*10%,IF(AZ$65="6차중도금",$F110*70%-SUM($G110:AY110)-$F110*10%,0)))</f>
        <v>0</v>
      </c>
      <c r="BA110" s="605">
        <f>IF(BA$65="입주/잔금",($F110-SUM($G110:AZ110))*30%,IF(AZ$65="입주/잔금",($F110-SUM($G110:AY110))*50%,IF(AY$65="입주/잔금",($F110-SUM($G110:AX110))*20%,IF(BA$65=0,0,IF(BA$65="2차중도금",$F110*30%-SUM($G110:AZ110),IF(BA$65="3차중도금",$F110*40%-SUM($G110:AZ110),IF(BA$65="4차중도금",$F110*50%-SUM($G110:AZ110),$F110*10%)))))))+(IF(BA$65="5차중도금",$F110*60%-SUM($G110:AZ110)-$F110*10%,IF(BA$65="6차중도금",$F110*70%-SUM($G110:AZ110)-$F110*10%,0)))</f>
        <v>0</v>
      </c>
      <c r="BB110" s="605">
        <f>IF(BB$65="입주/잔금",($F110-SUM($G110:BA110))*30%,IF(BA$65="입주/잔금",($F110-SUM($G110:AZ110))*50%,IF(AZ$65="입주/잔금",($F110-SUM($G110:AY110))*20%,IF(BB$65=0,0,IF(BB$65="2차중도금",$F110*30%-SUM($G110:BA110),IF(BB$65="3차중도금",$F110*40%-SUM($G110:BA110),IF(BB$65="4차중도금",$F110*50%-SUM($G110:BA110),$F110*10%)))))))+(IF(BB$65="5차중도금",$F110*60%-SUM($G110:BA110)-$F110*10%,IF(BB$65="6차중도금",$F110*70%-SUM($G110:BA110)-$F110*10%,0)))</f>
        <v>0</v>
      </c>
      <c r="BC110" s="605">
        <f>IF(BC$65="입주/잔금",($F110-SUM($G110:BB110))*30%,IF(BB$65="입주/잔금",($F110-SUM($G110:BA110))*50%,IF(BA$65="입주/잔금",($F110-SUM($G110:AZ110))*20%,IF(BC$65=0,0,IF(BC$65="2차중도금",$F110*30%-SUM($G110:BB110),IF(BC$65="3차중도금",$F110*40%-SUM($G110:BB110),IF(BC$65="4차중도금",$F110*50%-SUM($G110:BB110),$F110*10%)))))))+(IF(BC$65="5차중도금",$F110*60%-SUM($G110:BB110)-$F110*10%,IF(BC$65="6차중도금",$F110*70%-SUM($G110:BB110)-$F110*10%,0)))</f>
        <v>0</v>
      </c>
      <c r="BD110" s="605">
        <f>IF(BD$65="입주/잔금",($F110-SUM($G110:BC110))*30%,IF(BC$65="입주/잔금",($F110-SUM($G110:BB110))*50%,IF(BB$65="입주/잔금",($F110-SUM($G110:BA110))*20%,IF(BD$65=0,0,IF(BD$65="2차중도금",$F110*30%-SUM($G110:BC110),IF(BD$65="3차중도금",$F110*40%-SUM($G110:BC110),IF(BD$65="4차중도금",$F110*50%-SUM($G110:BC110),$F110*10%)))))))+(IF(BD$65="5차중도금",$F110*60%-SUM($G110:BC110)-$F110*10%,IF(BD$65="6차중도금",$F110*70%-SUM($G110:BC110)-$F110*10%,0)))</f>
        <v>0</v>
      </c>
      <c r="BE110" s="605">
        <f>IF(BE$65="입주/잔금",($F110-SUM($G110:BD110))*30%,IF(BD$65="입주/잔금",($F110-SUM($G110:BC110))*50%,IF(BC$65="입주/잔금",($F110-SUM($G110:BB110))*20%,IF(BE$65=0,0,IF(BE$65="2차중도금",$F110*30%-SUM($G110:BD110),IF(BE$65="3차중도금",$F110*40%-SUM($G110:BD110),IF(BE$65="4차중도금",$F110*50%-SUM($G110:BD110),$F110*10%)))))))+(IF(BE$65="5차중도금",$F110*60%-SUM($G110:BD110)-$F110*10%,IF(BE$65="6차중도금",$F110*70%-SUM($G110:BD110)-$F110*10%,0)))</f>
        <v>0</v>
      </c>
      <c r="BF110" s="609">
        <f t="shared" si="37"/>
        <v>0</v>
      </c>
      <c r="BG110" s="556">
        <f t="shared" si="32"/>
        <v>0</v>
      </c>
      <c r="BH110" s="610"/>
    </row>
    <row r="111" spans="1:60">
      <c r="A111" s="1853"/>
      <c r="B111" s="611">
        <f t="shared" si="33"/>
        <v>46204</v>
      </c>
      <c r="C111" s="615">
        <f t="shared" si="36"/>
        <v>157992364.97659996</v>
      </c>
      <c r="D111" s="1501"/>
      <c r="E111" s="607">
        <f t="shared" si="38"/>
        <v>1.0000000000000002</v>
      </c>
      <c r="F111" s="608">
        <f t="shared" si="39"/>
        <v>0</v>
      </c>
      <c r="G111" s="605"/>
      <c r="H111" s="605"/>
      <c r="I111" s="605"/>
      <c r="J111" s="605"/>
      <c r="K111" s="605"/>
      <c r="L111" s="605"/>
      <c r="M111" s="605"/>
      <c r="N111" s="605"/>
      <c r="O111" s="605"/>
      <c r="P111" s="605"/>
      <c r="Q111" s="605"/>
      <c r="R111" s="605"/>
      <c r="S111" s="605"/>
      <c r="T111" s="605"/>
      <c r="U111" s="605"/>
      <c r="V111" s="605"/>
      <c r="W111" s="605"/>
      <c r="X111" s="605"/>
      <c r="Y111" s="605"/>
      <c r="Z111" s="605"/>
      <c r="AA111" s="605"/>
      <c r="AB111" s="605"/>
      <c r="AC111" s="605"/>
      <c r="AD111" s="605"/>
      <c r="AE111" s="605"/>
      <c r="AF111" s="605"/>
      <c r="AG111" s="605"/>
      <c r="AH111" s="605"/>
      <c r="AI111" s="605"/>
      <c r="AJ111" s="605"/>
      <c r="AK111" s="605"/>
      <c r="AL111" s="605"/>
      <c r="AM111" s="605"/>
      <c r="AN111" s="605"/>
      <c r="AO111" s="605"/>
      <c r="AP111" s="605"/>
      <c r="AQ111" s="605"/>
      <c r="AR111" s="605"/>
      <c r="AS111" s="605"/>
      <c r="AT111" s="605"/>
      <c r="AU111" s="605"/>
      <c r="AV111" s="605"/>
      <c r="AW111" s="605"/>
      <c r="AX111" s="605"/>
      <c r="AY111" s="605"/>
      <c r="AZ111" s="605">
        <f>$F111*10%</f>
        <v>0</v>
      </c>
      <c r="BA111" s="605">
        <f>IF(BA$65="입주/잔금",($F111-SUM($G111:AZ111))*30%,IF(AZ$65="입주/잔금",($F111-SUM($G111:AY111))*50%,IF(AY$65="입주/잔금",($F111-SUM($G111:AX111))*20%,IF(BA$65=0,0,IF(BA$65="2차중도금",$F111*30%-SUM($G111:AZ111),IF(BA$65="3차중도금",$F111*40%-SUM($G111:AZ111),IF(BA$65="4차중도금",$F111*50%-SUM($G111:AZ111),$F111*10%)))))))+(IF(BA$65="5차중도금",$F111*60%-SUM($G111:AZ111)-$F111*10%,IF(BA$65="6차중도금",$F111*70%-SUM($G111:AZ111)-$F111*10%,0)))</f>
        <v>0</v>
      </c>
      <c r="BB111" s="605">
        <f>IF(BB$65="입주/잔금",($F111-SUM($G111:BA111))*30%,IF(BA$65="입주/잔금",($F111-SUM($G111:AZ111))*50%,IF(AZ$65="입주/잔금",($F111-SUM($G111:AY111))*20%,IF(BB$65=0,0,IF(BB$65="2차중도금",$F111*30%-SUM($G111:BA111),IF(BB$65="3차중도금",$F111*40%-SUM($G111:BA111),IF(BB$65="4차중도금",$F111*50%-SUM($G111:BA111),$F111*10%)))))))+(IF(BB$65="5차중도금",$F111*60%-SUM($G111:BA111)-$F111*10%,IF(BB$65="6차중도금",$F111*70%-SUM($G111:BA111)-$F111*10%,0)))</f>
        <v>0</v>
      </c>
      <c r="BC111" s="605">
        <f>IF(BC$65="입주/잔금",($F111-SUM($G111:BB111))*30%,IF(BB$65="입주/잔금",($F111-SUM($G111:BA111))*50%,IF(BA$65="입주/잔금",($F111-SUM($G111:AZ111))*20%,IF(BC$65=0,0,IF(BC$65="2차중도금",$F111*30%-SUM($G111:BB111),IF(BC$65="3차중도금",$F111*40%-SUM($G111:BB111),IF(BC$65="4차중도금",$F111*50%-SUM($G111:BB111),$F111*10%)))))))+(IF(BC$65="5차중도금",$F111*60%-SUM($G111:BB111)-$F111*10%,IF(BC$65="6차중도금",$F111*70%-SUM($G111:BB111)-$F111*10%,0)))</f>
        <v>0</v>
      </c>
      <c r="BD111" s="605">
        <f>IF(BD$65="입주/잔금",($F111-SUM($G111:BC111))*30%,IF(BC$65="입주/잔금",($F111-SUM($G111:BB111))*50%,IF(BB$65="입주/잔금",($F111-SUM($G111:BA111))*20%,IF(BD$65=0,0,IF(BD$65="2차중도금",$F111*30%-SUM($G111:BC111),IF(BD$65="3차중도금",$F111*40%-SUM($G111:BC111),IF(BD$65="4차중도금",$F111*50%-SUM($G111:BC111),$F111*10%)))))))+(IF(BD$65="5차중도금",$F111*60%-SUM($G111:BC111)-$F111*10%,IF(BD$65="6차중도금",$F111*70%-SUM($G111:BC111)-$F111*10%,0)))</f>
        <v>0</v>
      </c>
      <c r="BE111" s="605">
        <f>IF(BE$65="입주/잔금",($F111-SUM($G111:BD111))*30%,IF(BD$65="입주/잔금",($F111-SUM($G111:BC111))*50%,IF(BC$65="입주/잔금",($F111-SUM($G111:BB111))*20%,IF(BE$65=0,0,IF(BE$65="2차중도금",$F111*30%-SUM($G111:BD111),IF(BE$65="3차중도금",$F111*40%-SUM($G111:BD111),IF(BE$65="4차중도금",$F111*50%-SUM($G111:BD111),$F111*10%)))))))+(IF(BE$65="5차중도금",$F111*60%-SUM($G111:BD111)-$F111*10%,IF(BE$65="6차중도금",$F111*70%-SUM($G111:BD111)-$F111*10%,0)))</f>
        <v>0</v>
      </c>
      <c r="BF111" s="609">
        <f t="shared" si="37"/>
        <v>0</v>
      </c>
      <c r="BG111" s="556">
        <f t="shared" si="32"/>
        <v>0</v>
      </c>
      <c r="BH111" s="610"/>
    </row>
    <row r="112" spans="1:60">
      <c r="A112" s="1853"/>
      <c r="B112" s="611">
        <f t="shared" si="33"/>
        <v>46235</v>
      </c>
      <c r="C112" s="615">
        <f t="shared" si="36"/>
        <v>157992364.97659996</v>
      </c>
      <c r="D112" s="1501"/>
      <c r="E112" s="607">
        <f t="shared" si="38"/>
        <v>1.0000000000000002</v>
      </c>
      <c r="F112" s="608">
        <f t="shared" si="39"/>
        <v>0</v>
      </c>
      <c r="G112" s="605"/>
      <c r="H112" s="605"/>
      <c r="I112" s="605"/>
      <c r="J112" s="605"/>
      <c r="K112" s="605"/>
      <c r="L112" s="605"/>
      <c r="M112" s="605"/>
      <c r="N112" s="605"/>
      <c r="O112" s="605"/>
      <c r="P112" s="605"/>
      <c r="Q112" s="605"/>
      <c r="R112" s="605"/>
      <c r="S112" s="605"/>
      <c r="T112" s="605"/>
      <c r="U112" s="605"/>
      <c r="V112" s="605"/>
      <c r="W112" s="605"/>
      <c r="X112" s="605"/>
      <c r="Y112" s="605"/>
      <c r="Z112" s="605"/>
      <c r="AA112" s="605"/>
      <c r="AB112" s="605"/>
      <c r="AC112" s="605"/>
      <c r="AD112" s="605"/>
      <c r="AE112" s="605"/>
      <c r="AF112" s="605"/>
      <c r="AG112" s="605"/>
      <c r="AH112" s="605"/>
      <c r="AI112" s="605"/>
      <c r="AJ112" s="605"/>
      <c r="AK112" s="605"/>
      <c r="AL112" s="605"/>
      <c r="AM112" s="605"/>
      <c r="AN112" s="605"/>
      <c r="AO112" s="605"/>
      <c r="AP112" s="605"/>
      <c r="AQ112" s="605"/>
      <c r="AR112" s="605"/>
      <c r="AS112" s="605"/>
      <c r="AT112" s="605"/>
      <c r="AU112" s="605"/>
      <c r="AV112" s="605"/>
      <c r="AW112" s="605"/>
      <c r="AX112" s="605"/>
      <c r="AY112" s="605"/>
      <c r="AZ112" s="605"/>
      <c r="BA112" s="605"/>
      <c r="BB112" s="605"/>
      <c r="BC112" s="605"/>
      <c r="BD112" s="605"/>
      <c r="BE112" s="605"/>
      <c r="BF112" s="609">
        <f t="shared" si="37"/>
        <v>0</v>
      </c>
      <c r="BG112" s="556">
        <f t="shared" si="32"/>
        <v>0</v>
      </c>
      <c r="BH112" s="610"/>
    </row>
    <row r="113" spans="1:60">
      <c r="A113" s="1853"/>
      <c r="B113" s="611">
        <f t="shared" si="33"/>
        <v>46266</v>
      </c>
      <c r="C113" s="615">
        <f t="shared" si="36"/>
        <v>157992364.97659996</v>
      </c>
      <c r="D113" s="1501"/>
      <c r="E113" s="607">
        <f>E112+D113</f>
        <v>1.0000000000000002</v>
      </c>
      <c r="F113" s="608">
        <f>C113*D113</f>
        <v>0</v>
      </c>
      <c r="G113" s="605"/>
      <c r="H113" s="605"/>
      <c r="I113" s="605"/>
      <c r="J113" s="605"/>
      <c r="K113" s="605"/>
      <c r="L113" s="605"/>
      <c r="M113" s="605"/>
      <c r="N113" s="605"/>
      <c r="O113" s="605"/>
      <c r="P113" s="605"/>
      <c r="Q113" s="605"/>
      <c r="R113" s="605"/>
      <c r="S113" s="605"/>
      <c r="T113" s="605"/>
      <c r="U113" s="605"/>
      <c r="V113" s="605"/>
      <c r="W113" s="605"/>
      <c r="X113" s="605"/>
      <c r="Y113" s="605"/>
      <c r="Z113" s="605"/>
      <c r="AA113" s="605"/>
      <c r="AB113" s="605"/>
      <c r="AC113" s="605"/>
      <c r="AD113" s="605"/>
      <c r="AE113" s="605"/>
      <c r="AF113" s="605"/>
      <c r="AG113" s="605"/>
      <c r="AH113" s="605"/>
      <c r="AI113" s="605"/>
      <c r="AJ113" s="605"/>
      <c r="AK113" s="605"/>
      <c r="AL113" s="605"/>
      <c r="AM113" s="605"/>
      <c r="AN113" s="605"/>
      <c r="AO113" s="605"/>
      <c r="AP113" s="605"/>
      <c r="AQ113" s="605"/>
      <c r="AR113" s="605"/>
      <c r="AS113" s="605"/>
      <c r="AT113" s="605"/>
      <c r="AU113" s="605"/>
      <c r="AV113" s="605"/>
      <c r="AW113" s="605"/>
      <c r="AX113" s="605"/>
      <c r="AY113" s="605"/>
      <c r="AZ113" s="605"/>
      <c r="BA113" s="605"/>
      <c r="BB113" s="605"/>
      <c r="BC113" s="605"/>
      <c r="BD113" s="605"/>
      <c r="BE113" s="605"/>
      <c r="BF113" s="609">
        <f>SUM(G113:BE113)</f>
        <v>0</v>
      </c>
      <c r="BG113" s="556">
        <f>+F113-BF113</f>
        <v>0</v>
      </c>
      <c r="BH113" s="610"/>
    </row>
    <row r="114" spans="1:60">
      <c r="A114" s="1853"/>
      <c r="B114" s="611">
        <f t="shared" si="33"/>
        <v>46296</v>
      </c>
      <c r="C114" s="615">
        <f t="shared" si="36"/>
        <v>157992364.97659996</v>
      </c>
      <c r="D114" s="1501"/>
      <c r="E114" s="607">
        <f>E113+D114</f>
        <v>1.0000000000000002</v>
      </c>
      <c r="F114" s="608">
        <f>C114*D114</f>
        <v>0</v>
      </c>
      <c r="G114" s="605"/>
      <c r="H114" s="605"/>
      <c r="I114" s="605"/>
      <c r="J114" s="605"/>
      <c r="K114" s="605"/>
      <c r="L114" s="605"/>
      <c r="M114" s="605"/>
      <c r="N114" s="605"/>
      <c r="O114" s="605"/>
      <c r="P114" s="605"/>
      <c r="Q114" s="605"/>
      <c r="R114" s="605"/>
      <c r="S114" s="605"/>
      <c r="T114" s="605"/>
      <c r="U114" s="605"/>
      <c r="V114" s="605"/>
      <c r="W114" s="605"/>
      <c r="X114" s="605"/>
      <c r="Y114" s="605"/>
      <c r="Z114" s="605"/>
      <c r="AA114" s="605"/>
      <c r="AB114" s="605"/>
      <c r="AC114" s="605"/>
      <c r="AD114" s="605"/>
      <c r="AE114" s="605"/>
      <c r="AF114" s="605"/>
      <c r="AG114" s="605"/>
      <c r="AH114" s="605"/>
      <c r="AI114" s="605"/>
      <c r="AJ114" s="605"/>
      <c r="AK114" s="605"/>
      <c r="AL114" s="605"/>
      <c r="AM114" s="605"/>
      <c r="AN114" s="605"/>
      <c r="AO114" s="605"/>
      <c r="AP114" s="605"/>
      <c r="AQ114" s="605"/>
      <c r="AR114" s="605"/>
      <c r="AS114" s="605"/>
      <c r="AT114" s="605"/>
      <c r="AU114" s="605"/>
      <c r="AV114" s="605"/>
      <c r="AW114" s="605"/>
      <c r="AX114" s="605"/>
      <c r="AY114" s="605"/>
      <c r="AZ114" s="605"/>
      <c r="BA114" s="605"/>
      <c r="BB114" s="605"/>
      <c r="BC114" s="605"/>
      <c r="BD114" s="605"/>
      <c r="BE114" s="605"/>
      <c r="BF114" s="609">
        <f>SUM(G114:BE114)</f>
        <v>0</v>
      </c>
      <c r="BG114" s="556">
        <f>+F114-BF114</f>
        <v>0</v>
      </c>
      <c r="BH114" s="610"/>
    </row>
    <row r="115" spans="1:60">
      <c r="A115" s="1853"/>
      <c r="B115" s="611">
        <f t="shared" si="33"/>
        <v>46327</v>
      </c>
      <c r="C115" s="615">
        <f t="shared" si="36"/>
        <v>157992364.97659996</v>
      </c>
      <c r="D115" s="1501"/>
      <c r="E115" s="607">
        <f>E114+D115</f>
        <v>1.0000000000000002</v>
      </c>
      <c r="F115" s="608">
        <f>C115*D115</f>
        <v>0</v>
      </c>
      <c r="G115" s="605"/>
      <c r="H115" s="605"/>
      <c r="I115" s="605"/>
      <c r="J115" s="605"/>
      <c r="K115" s="605"/>
      <c r="L115" s="605"/>
      <c r="M115" s="605"/>
      <c r="N115" s="605"/>
      <c r="O115" s="605"/>
      <c r="P115" s="605"/>
      <c r="Q115" s="605"/>
      <c r="R115" s="605"/>
      <c r="S115" s="605"/>
      <c r="T115" s="605"/>
      <c r="U115" s="605"/>
      <c r="V115" s="605"/>
      <c r="W115" s="605"/>
      <c r="X115" s="605"/>
      <c r="Y115" s="605"/>
      <c r="Z115" s="605"/>
      <c r="AA115" s="605"/>
      <c r="AB115" s="605"/>
      <c r="AC115" s="605"/>
      <c r="AD115" s="605"/>
      <c r="AE115" s="605"/>
      <c r="AF115" s="605"/>
      <c r="AG115" s="605"/>
      <c r="AH115" s="605"/>
      <c r="AI115" s="605"/>
      <c r="AJ115" s="605"/>
      <c r="AK115" s="605"/>
      <c r="AL115" s="605"/>
      <c r="AM115" s="605"/>
      <c r="AN115" s="605"/>
      <c r="AO115" s="605"/>
      <c r="AP115" s="605"/>
      <c r="AQ115" s="605"/>
      <c r="AR115" s="605"/>
      <c r="AS115" s="605"/>
      <c r="AT115" s="605"/>
      <c r="AU115" s="605"/>
      <c r="AV115" s="605"/>
      <c r="AW115" s="605"/>
      <c r="AX115" s="605"/>
      <c r="AY115" s="605"/>
      <c r="AZ115" s="605"/>
      <c r="BA115" s="605"/>
      <c r="BB115" s="605"/>
      <c r="BC115" s="605"/>
      <c r="BD115" s="605"/>
      <c r="BE115" s="605"/>
      <c r="BF115" s="609">
        <f>SUM(G115:BE115)</f>
        <v>0</v>
      </c>
      <c r="BG115" s="556">
        <f>+F115-BF115</f>
        <v>0</v>
      </c>
      <c r="BH115" s="610"/>
    </row>
    <row r="116" spans="1:60">
      <c r="A116" s="1854"/>
      <c r="B116" s="611">
        <f t="shared" si="33"/>
        <v>46357</v>
      </c>
      <c r="C116" s="615">
        <f t="shared" si="36"/>
        <v>157992364.97659996</v>
      </c>
      <c r="D116" s="1501"/>
      <c r="E116" s="607">
        <f>E115+D116</f>
        <v>1.0000000000000002</v>
      </c>
      <c r="F116" s="608">
        <f>C116*D116</f>
        <v>0</v>
      </c>
      <c r="G116" s="605"/>
      <c r="H116" s="605"/>
      <c r="I116" s="605"/>
      <c r="J116" s="605"/>
      <c r="K116" s="605"/>
      <c r="L116" s="605"/>
      <c r="M116" s="605"/>
      <c r="N116" s="605"/>
      <c r="O116" s="605"/>
      <c r="P116" s="605"/>
      <c r="Q116" s="605"/>
      <c r="R116" s="605"/>
      <c r="S116" s="605"/>
      <c r="T116" s="605"/>
      <c r="U116" s="605"/>
      <c r="V116" s="605"/>
      <c r="W116" s="605"/>
      <c r="X116" s="605"/>
      <c r="Y116" s="605"/>
      <c r="Z116" s="605"/>
      <c r="AA116" s="605"/>
      <c r="AB116" s="605"/>
      <c r="AC116" s="605"/>
      <c r="AD116" s="605"/>
      <c r="AE116" s="605"/>
      <c r="AF116" s="605"/>
      <c r="AG116" s="605"/>
      <c r="AH116" s="605"/>
      <c r="AI116" s="605"/>
      <c r="AJ116" s="605"/>
      <c r="AK116" s="605"/>
      <c r="AL116" s="605"/>
      <c r="AM116" s="605"/>
      <c r="AN116" s="605"/>
      <c r="AO116" s="605"/>
      <c r="AP116" s="605"/>
      <c r="AQ116" s="605"/>
      <c r="AR116" s="605"/>
      <c r="AS116" s="605"/>
      <c r="AT116" s="605"/>
      <c r="AU116" s="605"/>
      <c r="AV116" s="605"/>
      <c r="AW116" s="605"/>
      <c r="AX116" s="605"/>
      <c r="AY116" s="605"/>
      <c r="AZ116" s="605"/>
      <c r="BA116" s="605"/>
      <c r="BB116" s="605"/>
      <c r="BC116" s="605"/>
      <c r="BD116" s="605"/>
      <c r="BE116" s="605"/>
      <c r="BF116" s="609">
        <f>SUM(G116:BE116)</f>
        <v>0</v>
      </c>
      <c r="BG116" s="556">
        <f>+F116-BF116</f>
        <v>0</v>
      </c>
      <c r="BH116" s="610"/>
    </row>
    <row r="117" spans="1:60">
      <c r="A117" s="1852" t="s">
        <v>366</v>
      </c>
      <c r="B117" s="616" t="s">
        <v>355</v>
      </c>
      <c r="C117" s="617">
        <f>C116</f>
        <v>157992364.97659996</v>
      </c>
      <c r="D117" s="618"/>
      <c r="E117" s="618"/>
      <c r="F117" s="617">
        <f t="shared" ref="F117:BE117" si="40">SUM(F66:F116)</f>
        <v>157992364.9765999</v>
      </c>
      <c r="G117" s="619">
        <f t="shared" si="40"/>
        <v>0</v>
      </c>
      <c r="H117" s="619">
        <f t="shared" si="40"/>
        <v>0</v>
      </c>
      <c r="I117" s="619">
        <f t="shared" si="40"/>
        <v>0</v>
      </c>
      <c r="J117" s="619">
        <f t="shared" si="40"/>
        <v>0</v>
      </c>
      <c r="K117" s="619">
        <f t="shared" si="40"/>
        <v>0</v>
      </c>
      <c r="L117" s="619">
        <f t="shared" si="40"/>
        <v>0</v>
      </c>
      <c r="M117" s="619">
        <f t="shared" si="40"/>
        <v>7899618.2488299981</v>
      </c>
      <c r="N117" s="619">
        <f t="shared" si="40"/>
        <v>2369885.4746489995</v>
      </c>
      <c r="O117" s="619">
        <f t="shared" si="40"/>
        <v>789961.82488299988</v>
      </c>
      <c r="P117" s="619">
        <f t="shared" si="40"/>
        <v>789961.82488299988</v>
      </c>
      <c r="Q117" s="619">
        <f t="shared" si="40"/>
        <v>12639389.198127994</v>
      </c>
      <c r="R117" s="619">
        <f t="shared" si="40"/>
        <v>789961.82488299988</v>
      </c>
      <c r="S117" s="619">
        <f t="shared" si="40"/>
        <v>473977.0949297999</v>
      </c>
      <c r="T117" s="619">
        <f t="shared" si="40"/>
        <v>473977.0949297999</v>
      </c>
      <c r="U117" s="619">
        <f t="shared" si="40"/>
        <v>17379160.147425994</v>
      </c>
      <c r="V117" s="619">
        <f t="shared" si="40"/>
        <v>315984.72995319997</v>
      </c>
      <c r="W117" s="619">
        <f t="shared" si="40"/>
        <v>315984.72995319997</v>
      </c>
      <c r="X117" s="619">
        <f t="shared" si="40"/>
        <v>315984.72995319997</v>
      </c>
      <c r="Y117" s="619">
        <f t="shared" si="40"/>
        <v>18643099.067238793</v>
      </c>
      <c r="Z117" s="619">
        <f t="shared" si="40"/>
        <v>0</v>
      </c>
      <c r="AA117" s="619">
        <f t="shared" si="40"/>
        <v>0</v>
      </c>
      <c r="AB117" s="619">
        <f t="shared" si="40"/>
        <v>0</v>
      </c>
      <c r="AC117" s="619">
        <f t="shared" si="40"/>
        <v>15799236.497659991</v>
      </c>
      <c r="AD117" s="619">
        <f t="shared" si="40"/>
        <v>0</v>
      </c>
      <c r="AE117" s="619">
        <f t="shared" si="40"/>
        <v>0</v>
      </c>
      <c r="AF117" s="619">
        <f t="shared" si="40"/>
        <v>0</v>
      </c>
      <c r="AG117" s="619">
        <f t="shared" si="40"/>
        <v>0</v>
      </c>
      <c r="AH117" s="619">
        <f t="shared" si="40"/>
        <v>15799236.497659992</v>
      </c>
      <c r="AI117" s="619">
        <f t="shared" si="40"/>
        <v>0</v>
      </c>
      <c r="AJ117" s="619">
        <f t="shared" si="40"/>
        <v>0</v>
      </c>
      <c r="AK117" s="619">
        <f t="shared" si="40"/>
        <v>0</v>
      </c>
      <c r="AL117" s="619">
        <f t="shared" si="40"/>
        <v>0</v>
      </c>
      <c r="AM117" s="619">
        <f t="shared" si="40"/>
        <v>15799236.497659991</v>
      </c>
      <c r="AN117" s="619">
        <f t="shared" si="40"/>
        <v>0</v>
      </c>
      <c r="AO117" s="619">
        <f t="shared" si="40"/>
        <v>0</v>
      </c>
      <c r="AP117" s="619">
        <f t="shared" si="40"/>
        <v>0</v>
      </c>
      <c r="AQ117" s="619">
        <f t="shared" si="40"/>
        <v>0</v>
      </c>
      <c r="AR117" s="619">
        <f t="shared" si="40"/>
        <v>14219312.847893992</v>
      </c>
      <c r="AS117" s="619">
        <f t="shared" si="40"/>
        <v>23698854.746489991</v>
      </c>
      <c r="AT117" s="619">
        <f t="shared" si="40"/>
        <v>9479541.8985959999</v>
      </c>
      <c r="AU117" s="619">
        <f t="shared" si="40"/>
        <v>0</v>
      </c>
      <c r="AV117" s="619">
        <f t="shared" si="40"/>
        <v>0</v>
      </c>
      <c r="AW117" s="619">
        <f t="shared" si="40"/>
        <v>0</v>
      </c>
      <c r="AX117" s="619">
        <f t="shared" si="40"/>
        <v>0</v>
      </c>
      <c r="AY117" s="619">
        <f t="shared" si="40"/>
        <v>0</v>
      </c>
      <c r="AZ117" s="619">
        <f t="shared" si="40"/>
        <v>0</v>
      </c>
      <c r="BA117" s="619">
        <f t="shared" si="40"/>
        <v>0</v>
      </c>
      <c r="BB117" s="620">
        <f t="shared" si="40"/>
        <v>0</v>
      </c>
      <c r="BC117" s="620">
        <f t="shared" si="40"/>
        <v>0</v>
      </c>
      <c r="BD117" s="620">
        <f t="shared" si="40"/>
        <v>0</v>
      </c>
      <c r="BE117" s="620">
        <f t="shared" si="40"/>
        <v>0</v>
      </c>
      <c r="BF117" s="619">
        <f t="shared" si="30"/>
        <v>157992364.97659993</v>
      </c>
      <c r="BG117" s="556">
        <f t="shared" si="32"/>
        <v>0</v>
      </c>
      <c r="BH117" s="610"/>
    </row>
    <row r="118" spans="1:60">
      <c r="A118" s="1853"/>
      <c r="B118" s="621" t="s">
        <v>356</v>
      </c>
      <c r="C118" s="622">
        <f>C117</f>
        <v>157992364.97659996</v>
      </c>
      <c r="D118" s="623">
        <f>SUM(D66:D116)</f>
        <v>1.0000000000000002</v>
      </c>
      <c r="E118" s="623"/>
      <c r="F118" s="622">
        <f>F117</f>
        <v>157992364.9765999</v>
      </c>
      <c r="G118" s="624">
        <f t="shared" ref="G118:BF118" si="41">G117/$F117</f>
        <v>0</v>
      </c>
      <c r="H118" s="624">
        <f t="shared" si="41"/>
        <v>0</v>
      </c>
      <c r="I118" s="624">
        <f t="shared" si="41"/>
        <v>0</v>
      </c>
      <c r="J118" s="624">
        <f t="shared" si="41"/>
        <v>0</v>
      </c>
      <c r="K118" s="624">
        <f t="shared" si="41"/>
        <v>0</v>
      </c>
      <c r="L118" s="624">
        <f t="shared" si="41"/>
        <v>0</v>
      </c>
      <c r="M118" s="624">
        <f t="shared" si="41"/>
        <v>5.0000000000000017E-2</v>
      </c>
      <c r="N118" s="624">
        <f t="shared" si="41"/>
        <v>1.5000000000000006E-2</v>
      </c>
      <c r="O118" s="624">
        <f t="shared" si="41"/>
        <v>5.0000000000000027E-3</v>
      </c>
      <c r="P118" s="624">
        <f t="shared" si="41"/>
        <v>5.0000000000000027E-3</v>
      </c>
      <c r="Q118" s="624">
        <f t="shared" si="41"/>
        <v>8.0000000000000016E-2</v>
      </c>
      <c r="R118" s="624">
        <f t="shared" si="41"/>
        <v>5.0000000000000027E-3</v>
      </c>
      <c r="S118" s="624">
        <f t="shared" si="41"/>
        <v>3.0000000000000014E-3</v>
      </c>
      <c r="T118" s="624">
        <f t="shared" si="41"/>
        <v>3.0000000000000014E-3</v>
      </c>
      <c r="U118" s="624">
        <f t="shared" si="41"/>
        <v>0.11000000000000003</v>
      </c>
      <c r="V118" s="624">
        <f t="shared" si="41"/>
        <v>2.0000000000000009E-3</v>
      </c>
      <c r="W118" s="624">
        <f t="shared" si="41"/>
        <v>2.0000000000000009E-3</v>
      </c>
      <c r="X118" s="624">
        <f t="shared" si="41"/>
        <v>2.0000000000000009E-3</v>
      </c>
      <c r="Y118" s="624">
        <f t="shared" si="41"/>
        <v>0.11800000000000002</v>
      </c>
      <c r="Z118" s="624">
        <f t="shared" si="41"/>
        <v>0</v>
      </c>
      <c r="AA118" s="624">
        <f t="shared" si="41"/>
        <v>0</v>
      </c>
      <c r="AB118" s="624">
        <f t="shared" si="41"/>
        <v>0</v>
      </c>
      <c r="AC118" s="624">
        <f t="shared" si="41"/>
        <v>0.1</v>
      </c>
      <c r="AD118" s="624">
        <f t="shared" si="41"/>
        <v>0</v>
      </c>
      <c r="AE118" s="624">
        <f t="shared" si="41"/>
        <v>0</v>
      </c>
      <c r="AF118" s="624">
        <f t="shared" si="41"/>
        <v>0</v>
      </c>
      <c r="AG118" s="624">
        <f t="shared" si="41"/>
        <v>0</v>
      </c>
      <c r="AH118" s="624">
        <f t="shared" si="41"/>
        <v>0.10000000000000002</v>
      </c>
      <c r="AI118" s="624">
        <f t="shared" si="41"/>
        <v>0</v>
      </c>
      <c r="AJ118" s="624">
        <f t="shared" si="41"/>
        <v>0</v>
      </c>
      <c r="AK118" s="624">
        <f t="shared" si="41"/>
        <v>0</v>
      </c>
      <c r="AL118" s="624">
        <f t="shared" si="41"/>
        <v>0</v>
      </c>
      <c r="AM118" s="624">
        <f t="shared" si="41"/>
        <v>0.1</v>
      </c>
      <c r="AN118" s="624">
        <f t="shared" si="41"/>
        <v>0</v>
      </c>
      <c r="AO118" s="624">
        <f t="shared" si="41"/>
        <v>0</v>
      </c>
      <c r="AP118" s="624">
        <f t="shared" si="41"/>
        <v>0</v>
      </c>
      <c r="AQ118" s="624">
        <f t="shared" si="41"/>
        <v>0</v>
      </c>
      <c r="AR118" s="624">
        <f t="shared" si="41"/>
        <v>9.0000000000000011E-2</v>
      </c>
      <c r="AS118" s="624">
        <f t="shared" si="41"/>
        <v>0.15000000000000002</v>
      </c>
      <c r="AT118" s="624">
        <f t="shared" si="41"/>
        <v>6.0000000000000039E-2</v>
      </c>
      <c r="AU118" s="624">
        <f t="shared" si="41"/>
        <v>0</v>
      </c>
      <c r="AV118" s="624">
        <f t="shared" si="41"/>
        <v>0</v>
      </c>
      <c r="AW118" s="624">
        <f t="shared" si="41"/>
        <v>0</v>
      </c>
      <c r="AX118" s="624">
        <f>AX117/$F117</f>
        <v>0</v>
      </c>
      <c r="AY118" s="624">
        <f>AY117/$F117</f>
        <v>0</v>
      </c>
      <c r="AZ118" s="624">
        <f t="shared" si="41"/>
        <v>0</v>
      </c>
      <c r="BA118" s="624">
        <f t="shared" si="41"/>
        <v>0</v>
      </c>
      <c r="BB118" s="624">
        <f>BB117/$F117</f>
        <v>0</v>
      </c>
      <c r="BC118" s="624">
        <f>BC117/$F117</f>
        <v>0</v>
      </c>
      <c r="BD118" s="624">
        <f>BD117/$F117</f>
        <v>0</v>
      </c>
      <c r="BE118" s="624">
        <f>BE117/$F117</f>
        <v>0</v>
      </c>
      <c r="BF118" s="625">
        <f t="shared" si="41"/>
        <v>1.0000000000000002</v>
      </c>
      <c r="BG118" s="556"/>
      <c r="BH118" s="556"/>
    </row>
    <row r="119" spans="1:60">
      <c r="A119" s="1853"/>
      <c r="B119" s="1855" t="s">
        <v>367</v>
      </c>
      <c r="C119" s="1856"/>
      <c r="D119" s="1859" t="s">
        <v>368</v>
      </c>
      <c r="E119" s="1861">
        <f>'CASH FLOW'!C83</f>
        <v>4.4999999999999998E-2</v>
      </c>
      <c r="F119" s="626" t="s">
        <v>369</v>
      </c>
      <c r="G119" s="627"/>
      <c r="H119" s="627">
        <f ca="1">IF(H$7&lt;=손익!$M$5,SUM(OFFSET($G$66:$BE$116,0,0,2+COLUMN(H66)-9,COLUMN(H66)-6))-($C$66*SUMIF($B$66:$B$116,G$8,$E$66:$E$116)*10%),0)</f>
        <v>0</v>
      </c>
      <c r="I119" s="627">
        <f ca="1">IF(I$7&lt;=손익!$M$5,SUM(OFFSET($G$66:$BE$116,0,0,2+COLUMN(I66)-9,COLUMN(I66)-6))-($C$66*SUMIF($B$66:$B$116,H$8,$E$66:$E$116)*10%),0)</f>
        <v>0</v>
      </c>
      <c r="J119" s="627">
        <f ca="1">IF(J$7&lt;=손익!$M$5,SUM(OFFSET($G$66:$BE$116,0,0,2+COLUMN(J66)-9,COLUMN(J66)-6))-($C$66*SUMIF($B$66:$B$116,I$8,$E$66:$E$116)*10%),0)</f>
        <v>0</v>
      </c>
      <c r="K119" s="627">
        <f ca="1">IF(K$7&lt;=손익!$M$5,SUM(OFFSET($G$66:$BE$116,0,0,2+COLUMN(K66)-9,COLUMN(K66)-6))-($C$66*SUMIF($B$66:$B$116,J$8,$E$66:$E$116)*10%),0)</f>
        <v>0</v>
      </c>
      <c r="L119" s="627">
        <f ca="1">IF(L$7&lt;=손익!$M$5,SUM(OFFSET($G$66:$BE$116,0,0,2+COLUMN(L66)-9,COLUMN(L66)-6))-($C$66*SUMIF($B$66:$B$116,K$8,$E$66:$E$116)*10%),0)</f>
        <v>0</v>
      </c>
      <c r="M119" s="627">
        <f ca="1">IF(M$7&lt;=손익!$M$5,SUM(OFFSET($G$66:$BE$116,0,0,2+COLUMN(M66)-9,COLUMN(M66)-6))-($C$66*SUMIF($B$66:$B$116,L$8,$E$66:$E$116)*10%),0)</f>
        <v>0</v>
      </c>
      <c r="N119" s="627">
        <f ca="1">IF(N$7&lt;=손익!$M$5,SUM(OFFSET($G$66:$BE$116,0,0,2+COLUMN(N66)-9,COLUMN(N66)-6))-($C$66*SUMIF($B$66:$B$116,M$8,$E$66:$E$116)*10%),0)</f>
        <v>0</v>
      </c>
      <c r="O119" s="627">
        <f ca="1">IF(O$7&lt;=손익!$M$5,SUM(OFFSET($G$66:$BE$116,0,0,2+COLUMN(O66)-9,COLUMN(O66)-6))-($C$66*SUMIF($B$66:$B$116,N$8,$E$66:$E$116)*10%),0)</f>
        <v>-1.862645149230957E-9</v>
      </c>
      <c r="P119" s="627">
        <f ca="1">IF(P$7&lt;=손익!$M$5,SUM(OFFSET($G$66:$BE$116,0,0,2+COLUMN(P66)-9,COLUMN(P66)-6))-($C$66*SUMIF($B$66:$B$116,O$8,$E$66:$E$116)*10%),0)</f>
        <v>-3.7252902984619141E-9</v>
      </c>
      <c r="Q119" s="627">
        <f ca="1">IF(Q$7&lt;=손익!$M$5,SUM(OFFSET($G$66:$BE$116,0,0,2+COLUMN(Q66)-9,COLUMN(Q66)-6))-($C$66*SUMIF($B$66:$B$116,P$8,$E$66:$E$116)*10%),0)</f>
        <v>11849427.373244993</v>
      </c>
      <c r="R119" s="627">
        <f ca="1">IF(R$7&lt;=손익!$M$5,SUM(OFFSET($G$66:$BE$116,0,0,2+COLUMN(R66)-9,COLUMN(R66)-6))-($C$66*SUMIF($B$66:$B$116,Q$8,$E$66:$E$116)*10%),0)</f>
        <v>11849427.373244993</v>
      </c>
      <c r="S119" s="627">
        <f ca="1">IF(S$7&lt;=손익!$M$5,SUM(OFFSET($G$66:$BE$116,0,0,2+COLUMN(S66)-9,COLUMN(S66)-6))-($C$66*SUMIF($B$66:$B$116,R$8,$E$66:$E$116)*10%),0)</f>
        <v>11849427.373244993</v>
      </c>
      <c r="T119" s="627">
        <f ca="1">IF(T$7&lt;=손익!$M$5,SUM(OFFSET($G$66:$BE$116,0,0,2+COLUMN(T66)-9,COLUMN(T66)-6))-($C$66*SUMIF($B$66:$B$116,S$8,$E$66:$E$116)*10%),0)</f>
        <v>11849427.37324499</v>
      </c>
      <c r="U119" s="627">
        <f ca="1">IF(U$7&lt;=손익!$M$5,SUM(OFFSET($G$66:$BE$116,0,0,2+COLUMN(U66)-9,COLUMN(U66)-6))-($C$66*SUMIF($B$66:$B$116,T$8,$E$66:$E$116)*10%),0)</f>
        <v>28754610.425741177</v>
      </c>
      <c r="V119" s="627">
        <f ca="1">IF(V$7&lt;=손익!$M$5,SUM(OFFSET($G$66:$BE$116,0,0,2+COLUMN(V66)-9,COLUMN(V66)-6))-($C$66*SUMIF($B$66:$B$116,U$8,$E$66:$E$116)*10%),0)</f>
        <v>28754610.425741177</v>
      </c>
      <c r="W119" s="627">
        <f ca="1">IF(W$7&lt;=손익!$M$5,SUM(OFFSET($G$66:$BE$116,0,0,2+COLUMN(W66)-9,COLUMN(W66)-6))-($C$66*SUMIF($B$66:$B$116,V$8,$E$66:$E$116)*10%),0)</f>
        <v>28754610.425741177</v>
      </c>
      <c r="X119" s="627">
        <f ca="1">IF(X$7&lt;=손익!$M$5,SUM(OFFSET($G$66:$BE$116,0,0,2+COLUMN(X66)-9,COLUMN(X66)-6))-($C$66*SUMIF($B$66:$B$116,W$8,$E$66:$E$116)*10%),0)</f>
        <v>28754610.425741173</v>
      </c>
      <c r="Y119" s="627">
        <f ca="1">IF(Y$7&lt;=손익!$M$5,SUM(OFFSET($G$66:$BE$116,0,0,2+COLUMN(Y66)-9,COLUMN(Y66)-6))-($C$66*SUMIF($B$66:$B$116,X$8,$E$66:$E$116)*10%),0)</f>
        <v>47397709.492979959</v>
      </c>
      <c r="Z119" s="627">
        <f ca="1">IF(Z$7&lt;=손익!$M$5,SUM(OFFSET($G$66:$BE$116,0,0,2+COLUMN(Z66)-9,COLUMN(Z66)-6))-($C$66*SUMIF($B$66:$B$116,Y$8,$E$66:$E$116)*10%),0)</f>
        <v>47397709.492979959</v>
      </c>
      <c r="AA119" s="627">
        <f ca="1">IF(AA$7&lt;=손익!$M$5,SUM(OFFSET($G$66:$BE$116,0,0,2+COLUMN(AA66)-9,COLUMN(AA66)-6))-($C$66*SUMIF($B$66:$B$116,Z$8,$E$66:$E$116)*10%),0)</f>
        <v>47397709.492979959</v>
      </c>
      <c r="AB119" s="627">
        <f ca="1">IF(AB$7&lt;=손익!$M$5,SUM(OFFSET($G$66:$BE$116,0,0,2+COLUMN(AB66)-9,COLUMN(AB66)-6))-($C$66*SUMIF($B$66:$B$116,AA$8,$E$66:$E$116)*10%),0)</f>
        <v>47397709.492979959</v>
      </c>
      <c r="AC119" s="627">
        <f ca="1">IF(AC$7&lt;=손익!$M$5,SUM(OFFSET($G$66:$BE$116,0,0,2+COLUMN(AC66)-9,COLUMN(AC66)-6))-($C$66*SUMIF($B$66:$B$116,AB$8,$E$66:$E$116)*10%),0)</f>
        <v>63196945.990639955</v>
      </c>
      <c r="AD119" s="627">
        <f ca="1">IF(AD$7&lt;=손익!$M$5,SUM(OFFSET($G$66:$BE$116,0,0,2+COLUMN(AD66)-9,COLUMN(AD66)-6))-($C$66*SUMIF($B$66:$B$116,AC$8,$E$66:$E$116)*10%),0)</f>
        <v>63196945.990639955</v>
      </c>
      <c r="AE119" s="627">
        <f ca="1">IF(AE$7&lt;=손익!$M$5,SUM(OFFSET($G$66:$BE$116,0,0,2+COLUMN(AE66)-9,COLUMN(AE66)-6))-($C$66*SUMIF($B$66:$B$116,AD$8,$E$66:$E$116)*10%),0)</f>
        <v>63196945.990639955</v>
      </c>
      <c r="AF119" s="627">
        <f ca="1">IF(AF$7&lt;=손익!$M$5,SUM(OFFSET($G$66:$BE$116,0,0,2+COLUMN(AF66)-9,COLUMN(AF66)-6))-($C$66*SUMIF($B$66:$B$116,AE$8,$E$66:$E$116)*10%),0)</f>
        <v>63196945.990639955</v>
      </c>
      <c r="AG119" s="627">
        <f ca="1">IF(AG$7&lt;=손익!$M$5,SUM(OFFSET($G$66:$BE$116,0,0,2+COLUMN(AG66)-9,COLUMN(AG66)-6))-($C$66*SUMIF($B$66:$B$116,AF$8,$E$66:$E$116)*10%),0)</f>
        <v>63196945.990639955</v>
      </c>
      <c r="AH119" s="627">
        <f ca="1">IF(AH$7&lt;=손익!$M$5,SUM(OFFSET($G$66:$BE$116,0,0,2+COLUMN(AH66)-9,COLUMN(AH66)-6))-($C$66*SUMIF($B$66:$B$116,AG$8,$E$66:$E$116)*10%),0)</f>
        <v>78996182.488299936</v>
      </c>
      <c r="AI119" s="627">
        <f ca="1">IF(AI$7&lt;=손익!$M$5,SUM(OFFSET($G$66:$BE$116,0,0,2+COLUMN(AI66)-9,COLUMN(AI66)-6))-($C$66*SUMIF($B$66:$B$116,AH$8,$E$66:$E$116)*10%),0)</f>
        <v>78996182.488299936</v>
      </c>
      <c r="AJ119" s="627">
        <f ca="1">IF(AJ$7&lt;=손익!$M$5,SUM(OFFSET($G$66:$BE$116,0,0,2+COLUMN(AJ66)-9,COLUMN(AJ66)-6))-($C$66*SUMIF($B$66:$B$116,AI$8,$E$66:$E$116)*10%),0)</f>
        <v>78996182.488299936</v>
      </c>
      <c r="AK119" s="627">
        <f ca="1">IF(AK$7&lt;=손익!$M$5,SUM(OFFSET($G$66:$BE$116,0,0,2+COLUMN(AK66)-9,COLUMN(AK66)-6))-($C$66*SUMIF($B$66:$B$116,AJ$8,$E$66:$E$116)*10%),0)</f>
        <v>78996182.488299936</v>
      </c>
      <c r="AL119" s="627">
        <f ca="1">IF(AL$7&lt;=손익!$M$5,SUM(OFFSET($G$66:$BE$116,0,0,2+COLUMN(AL66)-9,COLUMN(AL66)-6))-($C$66*SUMIF($B$66:$B$116,AK$8,$E$66:$E$116)*10%),0)</f>
        <v>78996182.488299936</v>
      </c>
      <c r="AM119" s="627">
        <f ca="1">IF(AM$7&lt;=손익!$M$5,SUM(OFFSET($G$66:$BE$116,0,0,2+COLUMN(AM66)-9,COLUMN(AM66)-6))-($C$66*SUMIF($B$66:$B$116,AL$8,$E$66:$E$116)*10%),0)</f>
        <v>94795418.985959932</v>
      </c>
      <c r="AN119" s="627">
        <f ca="1">IF(AN$7&lt;=손익!$M$5,SUM(OFFSET($G$66:$BE$116,0,0,2+COLUMN(AN66)-9,COLUMN(AN66)-6))-($C$66*SUMIF($B$66:$B$116,AM$8,$E$66:$E$116)*10%),0)</f>
        <v>94795418.985959932</v>
      </c>
      <c r="AO119" s="627">
        <f ca="1">IF(AO$7&lt;=손익!$M$5,SUM(OFFSET($G$66:$BE$116,0,0,2+COLUMN(AO66)-9,COLUMN(AO66)-6))-($C$66*SUMIF($B$66:$B$116,AN$8,$E$66:$E$116)*10%),0)</f>
        <v>94795418.985959932</v>
      </c>
      <c r="AP119" s="627">
        <f ca="1">IF(AP$7&lt;=손익!$M$5,SUM(OFFSET($G$66:$BE$116,0,0,2+COLUMN(AP66)-9,COLUMN(AP66)-6))-($C$66*SUMIF($B$66:$B$116,AO$8,$E$66:$E$116)*10%),0)</f>
        <v>94795418.985959932</v>
      </c>
      <c r="AQ119" s="627">
        <f ca="1">IF(AQ$7&lt;=손익!$M$5,SUM(OFFSET($G$66:$BE$116,0,0,2+COLUMN(AQ66)-9,COLUMN(AQ66)-6))-($C$66*SUMIF($B$66:$B$116,AP$8,$E$66:$E$116)*10%),0)</f>
        <v>94795418.985959932</v>
      </c>
      <c r="AR119" s="627">
        <f ca="1">IF(AR$7&lt;=손익!$M$5,SUM(OFFSET($G$66:$BE$116,0,0,2+COLUMN(AR66)-9,COLUMN(AR66)-6))-($C$66*SUMIF($B$66:$B$116,AQ$8,$E$66:$E$116)*10%),0)</f>
        <v>0</v>
      </c>
      <c r="AS119" s="627">
        <f ca="1">IF(AS$7&lt;=손익!$M$5,SUM(OFFSET($G$66:$BE$116,0,0,2+COLUMN(AS66)-9,COLUMN(AS66)-6))-($C$66*SUMIF($B$66:$B$116,AR$8,$E$66:$E$116)*10%),0)</f>
        <v>0</v>
      </c>
      <c r="AT119" s="627">
        <f ca="1">IF(AT$7&lt;=손익!$M$5,SUM(OFFSET($G$66:$BE$116,0,0,2+COLUMN(AT66)-9,COLUMN(AT66)-6))-($C$66*SUMIF($B$66:$B$116,AS$8,$E$66:$E$116)*10%),0)</f>
        <v>0</v>
      </c>
      <c r="AU119" s="627">
        <f ca="1">IF(AU$7&lt;=손익!$M$5,SUM(OFFSET($G$66:$BE$116,0,0,2+COLUMN(AU66)-9,COLUMN(AU66)-6))-($C$66*SUMIF($B$66:$B$116,AT$8,$E$66:$E$116)*10%),0)</f>
        <v>0</v>
      </c>
      <c r="AV119" s="627">
        <f ca="1">IF(AV$7&lt;=손익!$M$5,SUM(OFFSET($G$66:$BE$116,0,0,2+COLUMN(AV66)-9,COLUMN(AV66)-6))-($C$66*SUMIF($B$66:$B$116,AU$8,$E$66:$E$116)*10%),0)</f>
        <v>0</v>
      </c>
      <c r="AW119" s="627">
        <f ca="1">IF(AW$7&lt;=손익!$M$5,SUM(OFFSET($G$66:$BE$116,0,0,2+COLUMN(AW66)-9,COLUMN(AW66)-6))-($C$66*SUMIF($B$66:$B$116,AV$8,$E$66:$E$116)*10%),0)</f>
        <v>0</v>
      </c>
      <c r="AX119" s="627">
        <f ca="1">IF(AX$7&lt;=손익!$M$5,SUM(OFFSET($G$66:$BE$116,0,0,2+COLUMN(AX66)-9,COLUMN(AX66)-6))-($C$66*SUMIF($B$66:$B$116,AW$8,$E$66:$E$116)*10%),0)</f>
        <v>0</v>
      </c>
      <c r="AY119" s="627">
        <f ca="1">IF(AY$7&lt;=손익!$M$5,SUM(OFFSET($G$66:$BE$116,0,0,2+COLUMN(AY66)-9,COLUMN(AY66)-6))-($C$66*SUMIF($B$66:$B$116,AX$8,$E$66:$E$116)*10%),0)</f>
        <v>0</v>
      </c>
      <c r="AZ119" s="627">
        <f ca="1">IF(AZ$7&lt;=손익!$M$5,SUM(OFFSET($G$66:$BE$116,0,0,2+COLUMN(AZ66)-9,COLUMN(AZ66)-6))-($C$66*SUMIF($B$66:$B$116,AY$8,$E$66:$E$116)*10%),0)</f>
        <v>0</v>
      </c>
      <c r="BA119" s="627">
        <f ca="1">IF(BA$7&lt;=손익!$M$5,SUM(OFFSET($G$66:$BE$116,0,0,2+COLUMN(BA66)-9,COLUMN(BA66)-6))-($C$66*SUMIF($B$66:$B$116,AZ$8,$E$66:$E$116)*10%),0)</f>
        <v>0</v>
      </c>
      <c r="BB119" s="627">
        <f ca="1">IF(BB$7&lt;=손익!$M$5,SUM(OFFSET($G$66:$BE$116,0,0,2+COLUMN(BB66)-9,COLUMN(BB66)-6))-($C$66*SUMIF($B$66:$B$116,BA$8,$E$66:$E$116)*10%),0)</f>
        <v>0</v>
      </c>
      <c r="BC119" s="627">
        <f ca="1">IF(BC$7&lt;=손익!$M$5,SUM(OFFSET($G$66:$BE$116,0,0,2+COLUMN(BC66)-9,COLUMN(BC66)-6))-($C$66*SUMIF($B$66:$B$116,BB$8,$E$66:$E$116)*10%),0)</f>
        <v>0</v>
      </c>
      <c r="BD119" s="627">
        <f ca="1">IF(BD$7&lt;=손익!$M$5,SUM(OFFSET($G$66:$BE$116,0,0,2+COLUMN(BD66)-9,COLUMN(BD66)-6))-($C$66*SUMIF($B$66:$B$116,BC$8,$E$66:$E$116)*10%),0)</f>
        <v>0</v>
      </c>
      <c r="BE119" s="627">
        <f ca="1">IF(BE$7&lt;=손익!$M$5,SUM(OFFSET($G$66:$BE$116,0,0,2+COLUMN(BE66)-9,COLUMN(BE66)-6))-($C$66*SUMIF($B$66:$B$116,BD$8,$E$66:$E$116)*10%),0)</f>
        <v>0</v>
      </c>
      <c r="BF119" s="628"/>
      <c r="BG119" s="556"/>
      <c r="BH119" s="556"/>
    </row>
    <row r="120" spans="1:60">
      <c r="A120" s="1854"/>
      <c r="B120" s="1857"/>
      <c r="C120" s="1858"/>
      <c r="D120" s="1860"/>
      <c r="E120" s="1862"/>
      <c r="F120" s="629" t="s">
        <v>370</v>
      </c>
      <c r="G120" s="630"/>
      <c r="H120" s="630"/>
      <c r="I120" s="630">
        <f t="shared" ref="I120:BE120" ca="1" si="42">ROUNDDOWN(H119*$E$119*(I$8-H$8)/365,0)</f>
        <v>0</v>
      </c>
      <c r="J120" s="630">
        <f t="shared" ca="1" si="42"/>
        <v>0</v>
      </c>
      <c r="K120" s="630">
        <f t="shared" ca="1" si="42"/>
        <v>0</v>
      </c>
      <c r="L120" s="630">
        <f t="shared" ca="1" si="42"/>
        <v>0</v>
      </c>
      <c r="M120" s="630">
        <f t="shared" ca="1" si="42"/>
        <v>0</v>
      </c>
      <c r="N120" s="630">
        <f t="shared" ca="1" si="42"/>
        <v>0</v>
      </c>
      <c r="O120" s="630">
        <f t="shared" ca="1" si="42"/>
        <v>0</v>
      </c>
      <c r="P120" s="630">
        <f t="shared" ca="1" si="42"/>
        <v>0</v>
      </c>
      <c r="Q120" s="630">
        <f t="shared" ca="1" si="42"/>
        <v>0</v>
      </c>
      <c r="R120" s="630">
        <f t="shared" ca="1" si="42"/>
        <v>45287</v>
      </c>
      <c r="S120" s="630">
        <f t="shared" ca="1" si="42"/>
        <v>43826</v>
      </c>
      <c r="T120" s="630">
        <f t="shared" ca="1" si="42"/>
        <v>45287</v>
      </c>
      <c r="U120" s="630">
        <f t="shared" ca="1" si="42"/>
        <v>43826</v>
      </c>
      <c r="V120" s="630">
        <f t="shared" ca="1" si="42"/>
        <v>109897</v>
      </c>
      <c r="W120" s="630">
        <f t="shared" ca="1" si="42"/>
        <v>109897</v>
      </c>
      <c r="X120" s="630">
        <f t="shared" ca="1" si="42"/>
        <v>102807</v>
      </c>
      <c r="Y120" s="630">
        <f t="shared" ca="1" si="42"/>
        <v>109897</v>
      </c>
      <c r="Z120" s="630">
        <f t="shared" ca="1" si="42"/>
        <v>175306</v>
      </c>
      <c r="AA120" s="630">
        <f t="shared" ca="1" si="42"/>
        <v>181150</v>
      </c>
      <c r="AB120" s="630">
        <f t="shared" ca="1" si="42"/>
        <v>175306</v>
      </c>
      <c r="AC120" s="630">
        <f t="shared" ca="1" si="42"/>
        <v>181150</v>
      </c>
      <c r="AD120" s="630">
        <f t="shared" ca="1" si="42"/>
        <v>241533</v>
      </c>
      <c r="AE120" s="630">
        <f t="shared" ca="1" si="42"/>
        <v>233742</v>
      </c>
      <c r="AF120" s="630">
        <f t="shared" ca="1" si="42"/>
        <v>241533</v>
      </c>
      <c r="AG120" s="630">
        <f t="shared" ca="1" si="42"/>
        <v>233742</v>
      </c>
      <c r="AH120" s="630">
        <f t="shared" ca="1" si="42"/>
        <v>241533</v>
      </c>
      <c r="AI120" s="630">
        <f t="shared" ca="1" si="42"/>
        <v>301916</v>
      </c>
      <c r="AJ120" s="630">
        <f t="shared" ca="1" si="42"/>
        <v>272699</v>
      </c>
      <c r="AK120" s="630">
        <f t="shared" ca="1" si="42"/>
        <v>301916</v>
      </c>
      <c r="AL120" s="630">
        <f t="shared" ca="1" si="42"/>
        <v>292177</v>
      </c>
      <c r="AM120" s="630">
        <f t="shared" ca="1" si="42"/>
        <v>301916</v>
      </c>
      <c r="AN120" s="630">
        <f t="shared" ca="1" si="42"/>
        <v>350613</v>
      </c>
      <c r="AO120" s="630">
        <f t="shared" ca="1" si="42"/>
        <v>362300</v>
      </c>
      <c r="AP120" s="630">
        <f t="shared" ca="1" si="42"/>
        <v>362300</v>
      </c>
      <c r="AQ120" s="630">
        <f t="shared" ca="1" si="42"/>
        <v>350613</v>
      </c>
      <c r="AR120" s="630">
        <f t="shared" ca="1" si="42"/>
        <v>362300</v>
      </c>
      <c r="AS120" s="630">
        <f t="shared" ca="1" si="42"/>
        <v>0</v>
      </c>
      <c r="AT120" s="630">
        <f t="shared" ca="1" si="42"/>
        <v>0</v>
      </c>
      <c r="AU120" s="630">
        <f t="shared" ca="1" si="42"/>
        <v>0</v>
      </c>
      <c r="AV120" s="630">
        <f t="shared" ca="1" si="42"/>
        <v>0</v>
      </c>
      <c r="AW120" s="630">
        <f t="shared" ca="1" si="42"/>
        <v>0</v>
      </c>
      <c r="AX120" s="630">
        <f t="shared" ca="1" si="42"/>
        <v>0</v>
      </c>
      <c r="AY120" s="630">
        <f t="shared" ca="1" si="42"/>
        <v>0</v>
      </c>
      <c r="AZ120" s="630">
        <f t="shared" ca="1" si="42"/>
        <v>0</v>
      </c>
      <c r="BA120" s="630">
        <f t="shared" ca="1" si="42"/>
        <v>0</v>
      </c>
      <c r="BB120" s="630">
        <f t="shared" ca="1" si="42"/>
        <v>0</v>
      </c>
      <c r="BC120" s="630">
        <f t="shared" ca="1" si="42"/>
        <v>0</v>
      </c>
      <c r="BD120" s="630">
        <f t="shared" ca="1" si="42"/>
        <v>0</v>
      </c>
      <c r="BE120" s="630">
        <f t="shared" ca="1" si="42"/>
        <v>0</v>
      </c>
      <c r="BF120" s="631">
        <f t="shared" ref="BF120:BF173" ca="1" si="43">SUM(G120:BE120)</f>
        <v>5774469</v>
      </c>
      <c r="BG120" s="556"/>
      <c r="BH120" s="556"/>
    </row>
    <row r="121" spans="1:60">
      <c r="A121" s="1866" t="str">
        <f>'CASH FLOW'!B16</f>
        <v xml:space="preserve"> 근린생활시설</v>
      </c>
      <c r="B121" s="632" t="s">
        <v>371</v>
      </c>
      <c r="C121" s="602" t="s">
        <v>355</v>
      </c>
      <c r="D121" s="603" t="s">
        <v>356</v>
      </c>
      <c r="E121" s="603" t="s">
        <v>357</v>
      </c>
      <c r="F121" s="602" t="s">
        <v>355</v>
      </c>
      <c r="G121" s="1502"/>
      <c r="H121" s="1502"/>
      <c r="I121" s="1502"/>
      <c r="J121" s="1502"/>
      <c r="K121" s="1502"/>
      <c r="L121" s="1502"/>
      <c r="M121" s="1502" t="s">
        <v>374</v>
      </c>
      <c r="N121" s="1502"/>
      <c r="O121" s="1502"/>
      <c r="P121" s="1502"/>
      <c r="Q121" s="1502"/>
      <c r="R121" s="1502"/>
      <c r="S121" s="1502" t="s">
        <v>359</v>
      </c>
      <c r="T121" s="1502"/>
      <c r="U121" s="1502"/>
      <c r="V121" s="1502"/>
      <c r="W121" s="1502"/>
      <c r="X121" s="1502"/>
      <c r="Y121" s="1502" t="s">
        <v>360</v>
      </c>
      <c r="Z121" s="1502"/>
      <c r="AA121" s="1502"/>
      <c r="AB121" s="1502"/>
      <c r="AC121" s="1502"/>
      <c r="AD121" s="1502"/>
      <c r="AE121" s="1502" t="s">
        <v>372</v>
      </c>
      <c r="AF121" s="1502"/>
      <c r="AG121" s="1502"/>
      <c r="AH121" s="1502"/>
      <c r="AI121" s="1502"/>
      <c r="AJ121" s="1502"/>
      <c r="AK121" s="1502" t="s">
        <v>362</v>
      </c>
      <c r="AL121" s="1502"/>
      <c r="AM121" s="1502"/>
      <c r="AN121" s="1502"/>
      <c r="AO121" s="1502"/>
      <c r="AP121" s="1502"/>
      <c r="AQ121" s="1502"/>
      <c r="AR121" s="1502" t="s">
        <v>365</v>
      </c>
      <c r="AS121" s="1502"/>
      <c r="AT121" s="1502"/>
      <c r="AU121" s="1502"/>
      <c r="AV121" s="1502"/>
      <c r="AW121" s="1502"/>
      <c r="AX121" s="1502"/>
      <c r="AY121" s="1502"/>
      <c r="AZ121" s="1502"/>
      <c r="BA121" s="1502"/>
      <c r="BB121" s="1502"/>
      <c r="BC121" s="1502"/>
      <c r="BD121" s="1502"/>
      <c r="BE121" s="1502"/>
      <c r="BF121" s="633"/>
      <c r="BG121" s="588"/>
      <c r="BH121" s="588"/>
    </row>
    <row r="122" spans="1:60">
      <c r="A122" s="1867"/>
      <c r="B122" s="611">
        <f>B66</f>
        <v>44835</v>
      </c>
      <c r="C122" s="605">
        <f>'CASH FLOW'!E16*1000</f>
        <v>21284968.815239683</v>
      </c>
      <c r="D122" s="1501"/>
      <c r="E122" s="607">
        <f>D122</f>
        <v>0</v>
      </c>
      <c r="F122" s="608">
        <f t="shared" ref="F122:F154" si="44">C122*D122</f>
        <v>0</v>
      </c>
      <c r="G122" s="605">
        <f>$F122*10%</f>
        <v>0</v>
      </c>
      <c r="H122" s="605">
        <f>IF(H$121="입주/잔금",($F122-SUM($G122:G122))*30%,IF(G$121="입주/잔금",($F122-SUM(F122:$G122))*50%,IF(F$121="입주/잔금",($F122-SUM(E122:$G122))*20%,IF(H$121=0,0,IF(H$121="2차중도금",$F122*30%-SUM($G122:G122),IF(H$121="3차중도금",$F122*40%-SUM($G122:G122),IF(H$121="4차중도금",$F122*50%-SUM($G122:G122),$F122*10%)))))))+(IF(H$121="5차중도금",$F122*60%-SUM($G122:G122)-$F122*10%,IF(H$121="6차중도금",$F122*70%-SUM($G122:G122)-$F122*10%,0)))</f>
        <v>0</v>
      </c>
      <c r="I122" s="605">
        <f>IF(I$121="입주/잔금",($F122-SUM($G122:H122))*30%,IF(H$121="입주/잔금",($F122-SUM(G122:$G122))*50%,IF(G$121="입주/잔금",($F122-SUM(F122:$G122))*20%,IF(I$121=0,0,IF(I$121="2차중도금",$F122*30%-SUM($G122:H122),IF(I$121="3차중도금",$F122*40%-SUM($G122:H122),IF(I$121="4차중도금",$F122*50%-SUM($G122:H122),$F122*10%)))))))+(IF(I$121="5차중도금",$F122*60%-SUM($G122:H122)-$F122*10%,IF(I$121="6차중도금",$F122*70%-SUM($G122:H122)-$F122*10%,0)))</f>
        <v>0</v>
      </c>
      <c r="J122" s="605">
        <f>IF(J$121="입주/잔금",($F122-SUM($G122:I122))*30%,IF(I$121="입주/잔금",($F122-SUM($G122:H122))*50%,IF(H$121="입주/잔금",($F122-SUM(G122:$G122))*20%,IF(J$121=0,0,IF(J$121="2차중도금",$F122*30%-SUM($G122:I122),IF(J$121="3차중도금",$F122*40%-SUM($G122:I122),IF(J$121="4차중도금",$F122*50%-SUM($G122:I122),$F122*10%)))))))+(IF(J$121="5차중도금",$F122*60%-SUM($G122:I122)-$F122*10%,IF(J$121="6차중도금",$F122*70%-SUM($G122:I122)-$F122*10%,0)))</f>
        <v>0</v>
      </c>
      <c r="K122" s="605">
        <f>IF(K$121="입주/잔금",($F122-SUM($G122:J122))*30%,IF(J$121="입주/잔금",($F122-SUM($G122:I122))*50%,IF(I$121="입주/잔금",($F122-SUM($G122:H122))*20%,IF(K$121=0,0,IF(K$121="2차중도금",$F122*30%-SUM($G122:J122),IF(K$121="3차중도금",$F122*40%-SUM($G122:J122),IF(K$121="4차중도금",$F122*50%-SUM($G122:J122),$F122*10%)))))))+(IF(K$121="5차중도금",$F122*60%-SUM($G122:J122)-$F122*10%,IF(K$121="6차중도금",$F122*70%-SUM($G122:J122)-$F122*10%,0)))</f>
        <v>0</v>
      </c>
      <c r="L122" s="605">
        <f>IF(L$121="입주/잔금",($F122-SUM($G122:K122))*30%,IF(K$121="입주/잔금",($F122-SUM($G122:J122))*50%,IF(J$121="입주/잔금",($F122-SUM($G122:I122))*20%,IF(L$121=0,0,IF(L$121="2차중도금",$F122*30%-SUM($G122:K122),IF(L$121="3차중도금",$F122*40%-SUM($G122:K122),IF(L$121="4차중도금",$F122*50%-SUM($G122:K122),$F122*10%)))))))+(IF(L$121="5차중도금",$F122*60%-SUM($G122:K122)-$F122*10%,IF(L$121="6차중도금",$F122*70%-SUM($G122:K122)-$F122*10%,0)))</f>
        <v>0</v>
      </c>
      <c r="M122" s="605">
        <f>IF(M$121="입주/잔금",($F122-SUM($G122:L122))*30%,IF(L$121="입주/잔금",($F122-SUM($G122:K122))*50%,IF(K$121="입주/잔금",($F122-SUM($G122:J122))*20%,IF(M$121=0,0,IF(M$121="2차중도금",$F122*30%-SUM($G122:L122),IF(M$121="3차중도금",$F122*40%-SUM($G122:L122),IF(M$121="4차중도금",$F122*50%-SUM($G122:L122),$F122*10%)))))))+(IF(M$121="5차중도금",$F122*60%-SUM($G122:L122)-$F122*10%,IF(M$121="6차중도금",$F122*70%-SUM($G122:L122)-$F122*10%,0)))</f>
        <v>0</v>
      </c>
      <c r="N122" s="605">
        <f>IF(N$121="입주/잔금",($F122-SUM($G122:M122))*30%,IF(M$121="입주/잔금",($F122-SUM($G122:L122))*50%,IF(L$121="입주/잔금",($F122-SUM($G122:K122))*20%,IF(N$121=0,0,IF(N$121="2차중도금",$F122*30%-SUM($G122:M122),IF(N$121="3차중도금",$F122*40%-SUM($G122:M122),IF(N$121="4차중도금",$F122*50%-SUM($G122:M122),$F122*10%)))))))+(IF(N$121="5차중도금",$F122*60%-SUM($G122:M122)-$F122*10%,IF(N$121="6차중도금",$F122*70%-SUM($G122:M122)-$F122*10%,0)))</f>
        <v>0</v>
      </c>
      <c r="O122" s="605">
        <f>IF(O$121="입주/잔금",($F122-SUM($G122:N122))*30%,IF(N$121="입주/잔금",($F122-SUM($G122:M122))*50%,IF(M$121="입주/잔금",($F122-SUM($G122:L122))*20%,IF(O$121=0,0,IF(O$121="2차중도금",$F122*30%-SUM($G122:N122),IF(O$121="3차중도금",$F122*40%-SUM($G122:N122),IF(O$121="4차중도금",$F122*50%-SUM($G122:N122),$F122*10%)))))))+(IF(O$121="5차중도금",$F122*60%-SUM($G122:N122)-$F122*10%,IF(O$121="6차중도금",$F122*70%-SUM($G122:N122)-$F122*10%,0)))</f>
        <v>0</v>
      </c>
      <c r="P122" s="605">
        <f>IF(P$121="입주/잔금",($F122-SUM($G122:O122))*30%,IF(O$121="입주/잔금",($F122-SUM($G122:N122))*50%,IF(N$121="입주/잔금",($F122-SUM($G122:M122))*20%,IF(P$121=0,0,IF(P$121="2차중도금",$F122*30%-SUM($G122:O122),IF(P$121="3차중도금",$F122*40%-SUM($G122:O122),IF(P$121="4차중도금",$F122*50%-SUM($G122:O122),$F122*10%)))))))+(IF(P$121="5차중도금",$F122*60%-SUM($G122:O122)-$F122*10%,IF(P$121="6차중도금",$F122*70%-SUM($G122:O122)-$F122*10%,0)))</f>
        <v>0</v>
      </c>
      <c r="Q122" s="605">
        <f>IF(Q$121="입주/잔금",($F122-SUM($G122:P122))*30%,IF(P$121="입주/잔금",($F122-SUM($G122:O122))*50%,IF(O$121="입주/잔금",($F122-SUM($G122:N122))*20%,IF(Q$121=0,0,IF(Q$121="2차중도금",$F122*30%-SUM($G122:P122),IF(Q$121="3차중도금",$F122*40%-SUM($G122:P122),IF(Q$121="4차중도금",$F122*50%-SUM($G122:P122),$F122*10%)))))))+(IF(Q$121="5차중도금",$F122*60%-SUM($G122:P122)-$F122*10%,IF(Q$121="6차중도금",$F122*70%-SUM($G122:P122)-$F122*10%,0)))</f>
        <v>0</v>
      </c>
      <c r="R122" s="605">
        <f>IF(R$121="입주/잔금",($F122-SUM($G122:Q122))*30%,IF(Q$121="입주/잔금",($F122-SUM($G122:P122))*50%,IF(P$121="입주/잔금",($F122-SUM($G122:O122))*20%,IF(R$121=0,0,IF(R$121="2차중도금",$F122*30%-SUM($G122:Q122),IF(R$121="3차중도금",$F122*40%-SUM($G122:Q122),IF(R$121="4차중도금",$F122*50%-SUM($G122:Q122),$F122*10%)))))))+(IF(R$121="5차중도금",$F122*60%-SUM($G122:Q122)-$F122*10%,IF(R$121="6차중도금",$F122*70%-SUM($G122:Q122)-$F122*10%,0)))</f>
        <v>0</v>
      </c>
      <c r="S122" s="605">
        <f>IF(S$121="입주/잔금",($F122-SUM($G122:R122))*30%,IF(R$121="입주/잔금",($F122-SUM($G122:Q122))*50%,IF(Q$121="입주/잔금",($F122-SUM($G122:P122))*20%,IF(S$121=0,0,IF(S$121="2차중도금",$F122*30%-SUM($G122:R122),IF(S$121="3차중도금",$F122*40%-SUM($G122:R122),IF(S$121="4차중도금",$F122*50%-SUM($G122:R122),$F122*10%)))))))+(IF(S$121="5차중도금",$F122*60%-SUM($G122:R122)-$F122*10%,IF(S$121="6차중도금",$F122*70%-SUM($G122:R122)-$F122*10%,0)))</f>
        <v>0</v>
      </c>
      <c r="T122" s="605">
        <f>IF(T$121="입주/잔금",($F122-SUM($G122:S122))*30%,IF(S$121="입주/잔금",($F122-SUM($G122:R122))*50%,IF(R$121="입주/잔금",($F122-SUM($G122:Q122))*20%,IF(T$121=0,0,IF(T$121="2차중도금",$F122*30%-SUM($G122:S122),IF(T$121="3차중도금",$F122*40%-SUM($G122:S122),IF(T$121="4차중도금",$F122*50%-SUM($G122:S122),$F122*10%)))))))+(IF(T$121="5차중도금",$F122*60%-SUM($G122:S122)-$F122*10%,IF(T$121="6차중도금",$F122*70%-SUM($G122:S122)-$F122*10%,0)))</f>
        <v>0</v>
      </c>
      <c r="U122" s="605">
        <f>IF(U$121="입주/잔금",($F122-SUM($G122:T122))*30%,IF(T$121="입주/잔금",($F122-SUM($G122:S122))*50%,IF(S$121="입주/잔금",($F122-SUM($G122:R122))*20%,IF(U$121=0,0,IF(U$121="2차중도금",$F122*30%-SUM($G122:T122),IF(U$121="3차중도금",$F122*40%-SUM($G122:T122),IF(U$121="4차중도금",$F122*50%-SUM($G122:T122),$F122*10%)))))))+(IF(U$121="5차중도금",$F122*60%-SUM($G122:T122)-$F122*10%,IF(U$121="6차중도금",$F122*70%-SUM($G122:T122)-$F122*10%,0)))</f>
        <v>0</v>
      </c>
      <c r="V122" s="605">
        <f>IF(V$121="입주/잔금",($F122-SUM($G122:U122))*30%,IF(U$121="입주/잔금",($F122-SUM($G122:T122))*50%,IF(T$121="입주/잔금",($F122-SUM($G122:S122))*20%,IF(V$121=0,0,IF(V$121="2차중도금",$F122*30%-SUM($G122:U122),IF(V$121="3차중도금",$F122*40%-SUM($G122:U122),IF(V$121="4차중도금",$F122*50%-SUM($G122:U122),$F122*10%)))))))+(IF(V$121="5차중도금",$F122*60%-SUM($G122:U122)-$F122*10%,IF(V$121="6차중도금",$F122*70%-SUM($G122:U122)-$F122*10%,0)))</f>
        <v>0</v>
      </c>
      <c r="W122" s="605">
        <f>IF(W$121="입주/잔금",($F122-SUM($G122:V122))*30%,IF(V$121="입주/잔금",($F122-SUM($G122:U122))*50%,IF(U$121="입주/잔금",($F122-SUM($G122:T122))*20%,IF(W$121=0,0,IF(W$121="2차중도금",$F122*30%-SUM($G122:V122),IF(W$121="3차중도금",$F122*40%-SUM($G122:V122),IF(W$121="4차중도금",$F122*50%-SUM($G122:V122),$F122*10%)))))))+(IF(W$121="5차중도금",$F122*60%-SUM($G122:V122)-$F122*10%,IF(W$121="6차중도금",$F122*70%-SUM($G122:V122)-$F122*10%,0)))</f>
        <v>0</v>
      </c>
      <c r="X122" s="605">
        <f>IF(X$121="입주/잔금",($F122-SUM($G122:W122))*30%,IF(W$121="입주/잔금",($F122-SUM($G122:V122))*50%,IF(V$121="입주/잔금",($F122-SUM($G122:U122))*20%,IF(X$121=0,0,IF(X$121="2차중도금",$F122*30%-SUM($G122:W122),IF(X$121="3차중도금",$F122*40%-SUM($G122:W122),IF(X$121="4차중도금",$F122*50%-SUM($G122:W122),$F122*10%)))))))+(IF(X$121="5차중도금",$F122*60%-SUM($G122:W122)-$F122*10%,IF(X$121="6차중도금",$F122*70%-SUM($G122:W122)-$F122*10%,0)))</f>
        <v>0</v>
      </c>
      <c r="Y122" s="605">
        <f>IF(Y$121="입주/잔금",($F122-SUM($G122:X122))*30%,IF(X$121="입주/잔금",($F122-SUM($G122:W122))*50%,IF(W$121="입주/잔금",($F122-SUM($G122:V122))*20%,IF(Y$121=0,0,IF(Y$121="2차중도금",$F122*30%-SUM($G122:X122),IF(Y$121="3차중도금",$F122*40%-SUM($G122:X122),IF(Y$121="4차중도금",$F122*50%-SUM($G122:X122),$F122*10%)))))))+(IF(Y$121="5차중도금",$F122*60%-SUM($G122:X122)-$F122*10%,IF(Y$121="6차중도금",$F122*70%-SUM($G122:X122)-$F122*10%,0)))</f>
        <v>0</v>
      </c>
      <c r="Z122" s="605">
        <f>IF(Z$121="입주/잔금",($F122-SUM($G122:Y122))*30%,IF(Y$121="입주/잔금",($F122-SUM($G122:X122))*50%,IF(X$121="입주/잔금",($F122-SUM($G122:W122))*20%,IF(Z$121=0,0,IF(Z$121="2차중도금",$F122*30%-SUM($G122:Y122),IF(Z$121="3차중도금",$F122*40%-SUM($G122:Y122),IF(Z$121="4차중도금",$F122*50%-SUM($G122:Y122),$F122*10%)))))))+(IF(Z$121="5차중도금",$F122*60%-SUM($G122:Y122)-$F122*10%,IF(Z$121="6차중도금",$F122*70%-SUM($G122:Y122)-$F122*10%,0)))</f>
        <v>0</v>
      </c>
      <c r="AA122" s="605">
        <f>IF(AA$121="입주/잔금",($F122-SUM($G122:Z122))*30%,IF(Z$121="입주/잔금",($F122-SUM($G122:Y122))*50%,IF(Y$121="입주/잔금",($F122-SUM($G122:X122))*20%,IF(AA$121=0,0,IF(AA$121="2차중도금",$F122*30%-SUM($G122:Z122),IF(AA$121="3차중도금",$F122*40%-SUM($G122:Z122),IF(AA$121="4차중도금",$F122*50%-SUM($G122:Z122),$F122*10%)))))))+(IF(AA$121="5차중도금",$F122*60%-SUM($G122:Z122)-$F122*10%,IF(AA$121="6차중도금",$F122*70%-SUM($G122:Z122)-$F122*10%,0)))</f>
        <v>0</v>
      </c>
      <c r="AB122" s="605">
        <f>IF(AB$121="입주/잔금",($F122-SUM($G122:AA122))*30%,IF(AA$121="입주/잔금",($F122-SUM($G122:Z122))*50%,IF(Z$121="입주/잔금",($F122-SUM($G122:Y122))*20%,IF(AB$121=0,0,IF(AB$121="2차중도금",$F122*30%-SUM($G122:AA122),IF(AB$121="3차중도금",$F122*40%-SUM($G122:AA122),IF(AB$121="4차중도금",$F122*50%-SUM($G122:AA122),$F122*10%)))))))+(IF(AB$121="5차중도금",$F122*60%-SUM($G122:AA122)-$F122*10%,IF(AB$121="6차중도금",$F122*70%-SUM($G122:AA122)-$F122*10%,0)))</f>
        <v>0</v>
      </c>
      <c r="AC122" s="605">
        <f>IF(AC$121="입주/잔금",($F122-SUM($G122:AB122))*30%,IF(AB$121="입주/잔금",($F122-SUM($G122:AA122))*50%,IF(AA$121="입주/잔금",($F122-SUM($G122:Z122))*20%,IF(AC$121=0,0,IF(AC$121="2차중도금",$F122*30%-SUM($G122:AB122),IF(AC$121="3차중도금",$F122*40%-SUM($G122:AB122),IF(AC$121="4차중도금",$F122*50%-SUM($G122:AB122),$F122*10%)))))))+(IF(AC$121="5차중도금",$F122*60%-SUM($G122:AB122)-$F122*10%,IF(AC$121="6차중도금",$F122*70%-SUM($G122:AB122)-$F122*10%,0)))</f>
        <v>0</v>
      </c>
      <c r="AD122" s="605">
        <f>IF(AD$121="입주/잔금",($F122-SUM($G122:AC122))*30%,IF(AC$121="입주/잔금",($F122-SUM($G122:AB122))*50%,IF(AB$121="입주/잔금",($F122-SUM($G122:AA122))*20%,IF(AD$121=0,0,IF(AD$121="2차중도금",$F122*30%-SUM($G122:AC122),IF(AD$121="3차중도금",$F122*40%-SUM($G122:AC122),IF(AD$121="4차중도금",$F122*50%-SUM($G122:AC122),$F122*10%)))))))+(IF(AD$121="5차중도금",$F122*60%-SUM($G122:AC122)-$F122*10%,IF(AD$121="6차중도금",$F122*70%-SUM($G122:AC122)-$F122*10%,0)))</f>
        <v>0</v>
      </c>
      <c r="AE122" s="605">
        <f>IF(AE$121="입주/잔금",($F122-SUM($G122:AD122))*30%,IF(AD$121="입주/잔금",($F122-SUM($G122:AC122))*50%,IF(AC$121="입주/잔금",($F122-SUM($G122:AB122))*20%,IF(AE$121=0,0,IF(AE$121="2차중도금",$F122*30%-SUM($G122:AD122),IF(AE$121="3차중도금",$F122*40%-SUM($G122:AD122),IF(AE$121="4차중도금",$F122*50%-SUM($G122:AD122),$F122*10%)))))))+(IF(AE$121="5차중도금",$F122*60%-SUM($G122:AD122)-$F122*10%,IF(AE$121="6차중도금",$F122*70%-SUM($G122:AD122)-$F122*10%,0)))</f>
        <v>0</v>
      </c>
      <c r="AF122" s="605">
        <f>IF(AF$121="입주/잔금",($F122-SUM($G122:AE122))*30%,IF(AE$121="입주/잔금",($F122-SUM($G122:AD122))*50%,IF(AD$121="입주/잔금",($F122-SUM($G122:AC122))*20%,IF(AF$121=0,0,IF(AF$121="2차중도금",$F122*30%-SUM($G122:AE122),IF(AF$121="3차중도금",$F122*40%-SUM($G122:AE122),IF(AF$121="4차중도금",$F122*50%-SUM($G122:AE122),$F122*10%)))))))+(IF(AF$121="5차중도금",$F122*60%-SUM($G122:AE122)-$F122*10%,IF(AF$121="6차중도금",$F122*70%-SUM($G122:AE122)-$F122*10%,0)))</f>
        <v>0</v>
      </c>
      <c r="AG122" s="605">
        <f>IF(AG$121="입주/잔금",($F122-SUM($G122:AF122))*30%,IF(AF$121="입주/잔금",($F122-SUM($G122:AE122))*50%,IF(AE$121="입주/잔금",($F122-SUM($G122:AD122))*20%,IF(AG$121=0,0,IF(AG$121="2차중도금",$F122*30%-SUM($G122:AF122),IF(AG$121="3차중도금",$F122*40%-SUM($G122:AF122),IF(AG$121="4차중도금",$F122*50%-SUM($G122:AF122),$F122*10%)))))))+(IF(AG$121="5차중도금",$F122*60%-SUM($G122:AF122)-$F122*10%,IF(AG$121="6차중도금",$F122*70%-SUM($G122:AF122)-$F122*10%,0)))</f>
        <v>0</v>
      </c>
      <c r="AH122" s="605">
        <f>IF(AH$121="입주/잔금",($F122-SUM($G122:AG122))*30%,IF(AG$121="입주/잔금",($F122-SUM($G122:AF122))*50%,IF(AF$121="입주/잔금",($F122-SUM($G122:AE122))*20%,IF(AH$121=0,0,IF(AH$121="2차중도금",$F122*30%-SUM($G122:AG122),IF(AH$121="3차중도금",$F122*40%-SUM($G122:AG122),IF(AH$121="4차중도금",$F122*50%-SUM($G122:AG122),$F122*10%)))))))+(IF(AH$121="5차중도금",$F122*60%-SUM($G122:AG122)-$F122*10%,IF(AH$121="6차중도금",$F122*70%-SUM($G122:AG122)-$F122*10%,0)))</f>
        <v>0</v>
      </c>
      <c r="AI122" s="605">
        <f>IF(AI$121="입주/잔금",($F122-SUM($G122:AH122))*30%,IF(AH$121="입주/잔금",($F122-SUM($G122:AG122))*50%,IF(AG$121="입주/잔금",($F122-SUM($G122:AF122))*20%,IF(AI$121=0,0,IF(AI$121="2차중도금",$F122*30%-SUM($G122:AH122),IF(AI$121="3차중도금",$F122*40%-SUM($G122:AH122),IF(AI$121="4차중도금",$F122*50%-SUM($G122:AH122),$F122*10%)))))))+(IF(AI$121="5차중도금",$F122*60%-SUM($G122:AH122)-$F122*10%,IF(AI$121="6차중도금",$F122*70%-SUM($G122:AH122)-$F122*10%,0)))</f>
        <v>0</v>
      </c>
      <c r="AJ122" s="605">
        <f>IF(AJ$121="입주/잔금",($F122-SUM($G122:AI122))*30%,IF(AI$121="입주/잔금",($F122-SUM($G122:AH122))*50%,IF(AH$121="입주/잔금",($F122-SUM($G122:AG122))*20%,IF(AJ$121=0,0,IF(AJ$121="2차중도금",$F122*30%-SUM($G122:AI122),IF(AJ$121="3차중도금",$F122*40%-SUM($G122:AI122),IF(AJ$121="4차중도금",$F122*50%-SUM($G122:AI122),$F122*10%)))))))+(IF(AJ$121="5차중도금",$F122*60%-SUM($G122:AI122)-$F122*10%,IF(AJ$121="6차중도금",$F122*70%-SUM($G122:AI122)-$F122*10%,0)))</f>
        <v>0</v>
      </c>
      <c r="AK122" s="605">
        <f>IF(AK$121="입주/잔금",($F122-SUM($G122:AJ122))*30%,IF(AJ$121="입주/잔금",($F122-SUM($G122:AI122))*50%,IF(AI$121="입주/잔금",($F122-SUM($G122:AH122))*20%,IF(AK$121=0,0,IF(AK$121="2차중도금",$F122*30%-SUM($G122:AJ122),IF(AK$121="3차중도금",$F122*40%-SUM($G122:AJ122),IF(AK$121="4차중도금",$F122*50%-SUM($G122:AJ122),$F122*10%)))))))+(IF(AK$121="5차중도금",$F122*60%-SUM($G122:AJ122)-$F122*10%,IF(AK$121="6차중도금",$F122*70%-SUM($G122:AJ122)-$F122*10%,0)))</f>
        <v>0</v>
      </c>
      <c r="AL122" s="605">
        <f>IF(AL$121="입주/잔금",($F122-SUM($G122:AK122))*30%,IF(AK$121="입주/잔금",($F122-SUM($G122:AJ122))*50%,IF(AJ$121="입주/잔금",($F122-SUM($G122:AI122))*20%,IF(AL$121=0,0,IF(AL$121="2차중도금",$F122*30%-SUM($G122:AK122),IF(AL$121="3차중도금",$F122*40%-SUM($G122:AK122),IF(AL$121="4차중도금",$F122*50%-SUM($G122:AK122),$F122*10%)))))))+(IF(AL$121="5차중도금",$F122*60%-SUM($G122:AK122)-$F122*10%,IF(AL$121="6차중도금",$F122*70%-SUM($G122:AK122)-$F122*10%,0)))</f>
        <v>0</v>
      </c>
      <c r="AM122" s="605">
        <f>IF(AM$121="입주/잔금",($F122-SUM($G122:AL122))*30%,IF(AL$121="입주/잔금",($F122-SUM($G122:AK122))*50%,IF(AK$121="입주/잔금",($F122-SUM($G122:AJ122))*20%,IF(AM$121=0,0,IF(AM$121="2차중도금",$F122*30%-SUM($G122:AL122),IF(AM$121="3차중도금",$F122*40%-SUM($G122:AL122),IF(AM$121="4차중도금",$F122*50%-SUM($G122:AL122),$F122*10%)))))))+(IF(AM$121="5차중도금",$F122*60%-SUM($G122:AL122)-$F122*10%,IF(AM$121="6차중도금",$F122*70%-SUM($G122:AL122)-$F122*10%,0)))</f>
        <v>0</v>
      </c>
      <c r="AN122" s="605">
        <f>IF(AN$121="입주/잔금",($F122-SUM($G122:AM122))*30%,IF(AM$121="입주/잔금",($F122-SUM($G122:AL122))*50%,IF(AL$121="입주/잔금",($F122-SUM($G122:AK122))*20%,IF(AN$121=0,0,IF(AN$121="2차중도금",$F122*30%-SUM($G122:AM122),IF(AN$121="3차중도금",$F122*40%-SUM($G122:AM122),IF(AN$121="4차중도금",$F122*50%-SUM($G122:AM122),$F122*10%)))))))+(IF(AN$121="5차중도금",$F122*60%-SUM($G122:AM122)-$F122*10%,IF(AN$121="6차중도금",$F122*70%-SUM($G122:AM122)-$F122*10%,0)))</f>
        <v>0</v>
      </c>
      <c r="AO122" s="605">
        <f>IF(AO$121="입주/잔금",($F122-SUM($G122:AN122))*30%,IF(AN$121="입주/잔금",($F122-SUM($G122:AM122))*50%,IF(AM$121="입주/잔금",($F122-SUM($G122:AL122))*20%,IF(AO$121=0,0,IF(AO$121="2차중도금",$F122*30%-SUM($G122:AN122),IF(AO$121="3차중도금",$F122*40%-SUM($G122:AN122),IF(AO$121="4차중도금",$F122*50%-SUM($G122:AN122),$F122*10%)))))))+(IF(AO$121="5차중도금",$F122*60%-SUM($G122:AN122)-$F122*10%,IF(AO$121="6차중도금",$F122*70%-SUM($G122:AN122)-$F122*10%,0)))</f>
        <v>0</v>
      </c>
      <c r="AP122" s="605">
        <f>IF(AP$121="입주/잔금",($F122-SUM($G122:AO122))*30%,IF(AO$121="입주/잔금",($F122-SUM($G122:AN122))*50%,IF(AN$121="입주/잔금",($F122-SUM($G122:AM122))*20%,IF(AP$121=0,0,IF(AP$121="2차중도금",$F122*30%-SUM($G122:AO122),IF(AP$121="3차중도금",$F122*40%-SUM($G122:AO122),IF(AP$121="4차중도금",$F122*50%-SUM($G122:AO122),$F122*10%)))))))+(IF(AP$121="5차중도금",$F122*60%-SUM($G122:AO122)-$F122*10%,IF(AP$121="6차중도금",$F122*70%-SUM($G122:AO122)-$F122*10%,0)))</f>
        <v>0</v>
      </c>
      <c r="AQ122" s="605">
        <f>IF(AQ$121="입주/잔금",($F122-SUM($G122:AP122))*30%,IF(AP$121="입주/잔금",($F122-SUM($G122:AO122))*50%,IF(AO$121="입주/잔금",($F122-SUM($G122:AN122))*20%,IF(AQ$121=0,0,IF(AQ$121="2차중도금",$F122*30%-SUM($G122:AP122),IF(AQ$121="3차중도금",$F122*40%-SUM($G122:AP122),IF(AQ$121="4차중도금",$F122*50%-SUM($G122:AP122),$F122*10%)))))))+(IF(AQ$121="5차중도금",$F122*60%-SUM($G122:AP122)-$F122*10%,IF(AQ$121="6차중도금",$F122*70%-SUM($G122:AP122)-$F122*10%,0)))</f>
        <v>0</v>
      </c>
      <c r="AR122" s="605">
        <f>IF(AR$121="입주/잔금",($F122-SUM($G122:AQ122))*30%,IF(AQ$121="입주/잔금",($F122-SUM($G122:AP122))*50%,IF(AP$121="입주/잔금",($F122-SUM($G122:AO122))*20%,IF(AR$121=0,0,IF(AR$121="2차중도금",$F122*30%-SUM($G122:AQ122),IF(AR$121="3차중도금",$F122*40%-SUM($G122:AQ122),IF(AR$121="4차중도금",$F122*50%-SUM($G122:AQ122),$F122*10%)))))))+(IF(AR$121="5차중도금",$F122*60%-SUM($G122:AQ122)-$F122*10%,IF(AR$121="6차중도금",$F122*70%-SUM($G122:AQ122)-$F122*10%,0)))</f>
        <v>0</v>
      </c>
      <c r="AS122" s="605">
        <f>IF(AS$121="입주/잔금",($F122-SUM($G122:AR122))*30%,IF(AR$121="입주/잔금",($F122-SUM($G122:AQ122))*50%,IF(AQ$121="입주/잔금",($F122-SUM($G122:AP122))*20%,IF(AS$121=0,0,IF(AS$121="2차중도금",$F122*30%-SUM($G122:AR122),IF(AS$121="3차중도금",$F122*40%-SUM($G122:AR122),IF(AS$121="4차중도금",$F122*50%-SUM($G122:AR122),$F122*10%)))))))+(IF(AS$121="5차중도금",$F122*60%-SUM($G122:AR122)-$F122*10%,IF(AS$121="6차중도금",$F122*70%-SUM($G122:AR122)-$F122*10%,0)))</f>
        <v>0</v>
      </c>
      <c r="AT122" s="605">
        <f>IF(AT$121="입주/잔금",($F122-SUM($G122:AS122))*30%,IF(AS$121="입주/잔금",($F122-SUM($G122:AR122))*50%,IF(AR$121="입주/잔금",($F122-SUM($G122:AQ122))*20%,IF(AT$121=0,0,IF(AT$121="2차중도금",$F122*30%-SUM($G122:AS122),IF(AT$121="3차중도금",$F122*40%-SUM($G122:AS122),IF(AT$121="4차중도금",$F122*50%-SUM($G122:AS122),$F122*10%)))))))+(IF(AT$121="5차중도금",$F122*60%-SUM($G122:AS122)-$F122*10%,IF(AT$121="6차중도금",$F122*70%-SUM($G122:AS122)-$F122*10%,0)))</f>
        <v>0</v>
      </c>
      <c r="AU122" s="605">
        <f>IF(AU$121="입주/잔금",($F122-SUM($G122:AT122))*30%,IF(AT$121="입주/잔금",($F122-SUM($G122:AS122))*50%,IF(AS$121="입주/잔금",($F122-SUM($G122:AR122))*20%,IF(AU$121=0,0,IF(AU$121="2차중도금",$F122*30%-SUM($G122:AT122),IF(AU$121="3차중도금",$F122*40%-SUM($G122:AT122),IF(AU$121="4차중도금",$F122*50%-SUM($G122:AT122),$F122*10%)))))))+(IF(AU$121="5차중도금",$F122*60%-SUM($G122:AT122)-$F122*10%,IF(AU$121="6차중도금",$F122*70%-SUM($G122:AT122)-$F122*10%,0)))</f>
        <v>0</v>
      </c>
      <c r="AV122" s="605">
        <f>IF(AV$121="입주/잔금",($F122-SUM($G122:AU122))*30%,IF(AU$121="입주/잔금",($F122-SUM($G122:AT122))*50%,IF(AT$121="입주/잔금",($F122-SUM($G122:AS122))*20%,IF(AV$121=0,0,IF(AV$121="2차중도금",$F122*30%-SUM($G122:AU122),IF(AV$121="3차중도금",$F122*40%-SUM($G122:AU122),IF(AV$121="4차중도금",$F122*50%-SUM($G122:AU122),$F122*10%)))))))+(IF(AV$121="5차중도금",$F122*60%-SUM($G122:AU122)-$F122*10%,IF(AV$121="6차중도금",$F122*70%-SUM($G122:AU122)-$F122*10%,0)))</f>
        <v>0</v>
      </c>
      <c r="AW122" s="605">
        <f>IF(AW$121="입주/잔금",($F122-SUM($G122:AV122))*30%,IF(AV$121="입주/잔금",($F122-SUM($G122:AU122))*50%,IF(AU$121="입주/잔금",($F122-SUM($G122:AT122))*20%,IF(AW$121=0,0,IF(AW$121="2차중도금",$F122*30%-SUM($G122:AV122),IF(AW$121="3차중도금",$F122*40%-SUM($G122:AV122),IF(AW$121="4차중도금",$F122*50%-SUM($G122:AV122),$F122*10%)))))))+(IF(AW$121="5차중도금",$F122*60%-SUM($G122:AV122)-$F122*10%,IF(AW$121="6차중도금",$F122*70%-SUM($G122:AV122)-$F122*10%,0)))</f>
        <v>0</v>
      </c>
      <c r="AX122" s="605">
        <f>IF(AX$121="입주/잔금",($F122-SUM($G122:AW122))*30%,IF(AW$121="입주/잔금",($F122-SUM($G122:AV122))*50%,IF(AV$121="입주/잔금",($F122-SUM($G122:AU122))*20%,IF(AX$121=0,0,IF(AX$121="2차중도금",$F122*30%-SUM($G122:AW122),IF(AX$121="3차중도금",$F122*40%-SUM($G122:AW122),IF(AX$121="4차중도금",$F122*50%-SUM($G122:AW122),$F122*10%)))))))+(IF(AX$121="5차중도금",$F122*60%-SUM($G122:AW122)-$F122*10%,IF(AX$121="6차중도금",$F122*70%-SUM($G122:AW122)-$F122*10%,0)))</f>
        <v>0</v>
      </c>
      <c r="AY122" s="605">
        <f>IF(AY$121="입주/잔금",($F122-SUM($G122:AX122))*30%,IF(AX$121="입주/잔금",($F122-SUM($G122:AW122))*50%,IF(AW$121="입주/잔금",($F122-SUM($G122:AV122))*20%,IF(AY$121=0,0,IF(AY$121="2차중도금",$F122*30%-SUM($G122:AX122),IF(AY$121="3차중도금",$F122*40%-SUM($G122:AX122),IF(AY$121="4차중도금",$F122*50%-SUM($G122:AX122),$F122*10%)))))))+(IF(AY$121="5차중도금",$F122*60%-SUM($G122:AX122)-$F122*10%,IF(AY$121="6차중도금",$F122*70%-SUM($G122:AX122)-$F122*10%,0)))</f>
        <v>0</v>
      </c>
      <c r="AZ122" s="605">
        <f>IF(AZ$121="입주/잔금",($F122-SUM($G122:AY122))*30%,IF(AY$121="입주/잔금",($F122-SUM($G122:AX122))*50%,IF(AX$121="입주/잔금",($F122-SUM($G122:AW122))*20%,IF(AZ$121=0,0,IF(AZ$121="2차중도금",$F122*30%-SUM($G122:AY122),IF(AZ$121="3차중도금",$F122*40%-SUM($G122:AY122),IF(AZ$121="4차중도금",$F122*50%-SUM($G122:AY122),$F122*10%)))))))+(IF(AZ$121="5차중도금",$F122*60%-SUM($G122:AY122)-$F122*10%,IF(AZ$121="6차중도금",$F122*70%-SUM($G122:AY122)-$F122*10%,0)))</f>
        <v>0</v>
      </c>
      <c r="BA122" s="605">
        <f>IF(BA$121="입주/잔금",($F122-SUM($G122:AZ122))*30%,IF(AZ$121="입주/잔금",($F122-SUM($G122:AY122))*50%,IF(AY$121="입주/잔금",($F122-SUM($G122:AX122))*20%,IF(BA$121=0,0,IF(BA$121="2차중도금",$F122*30%-SUM($G122:AZ122),IF(BA$121="3차중도금",$F122*40%-SUM($G122:AZ122),IF(BA$121="4차중도금",$F122*50%-SUM($G122:AZ122),$F122*10%)))))))+(IF(BA$121="5차중도금",$F122*60%-SUM($G122:AZ122)-$F122*10%,IF(BA$121="6차중도금",$F122*70%-SUM($G122:AZ122)-$F122*10%,0)))</f>
        <v>0</v>
      </c>
      <c r="BB122" s="605">
        <f>IF(BB$121="입주/잔금",($F122-SUM($G122:BA122))*30%,IF(BA$121="입주/잔금",($F122-SUM($G122:AZ122))*50%,IF(AZ$121="입주/잔금",($F122-SUM($G122:AY122))*20%,IF(BB$121=0,0,IF(BB$121="2차중도금",$F122*30%-SUM($G122:BA122),IF(BB$121="3차중도금",$F122*40%-SUM($G122:BA122),IF(BB$121="4차중도금",$F122*50%-SUM($G122:BA122),$F122*10%)))))))+(IF(BB$121="5차중도금",$F122*60%-SUM($G122:BA122)-$F122*10%,IF(BB$121="6차중도금",$F122*70%-SUM($G122:BA122)-$F122*10%,0)))</f>
        <v>0</v>
      </c>
      <c r="BC122" s="605">
        <f>IF(BC$121="입주/잔금",($F122-SUM($G122:BB122))*30%,IF(BB$121="입주/잔금",($F122-SUM($G122:BA122))*50%,IF(BA$121="입주/잔금",($F122-SUM($G122:AZ122))*20%,IF(BC$121=0,0,IF(BC$121="2차중도금",$F122*30%-SUM($G122:BB122),IF(BC$121="3차중도금",$F122*40%-SUM($G122:BB122),IF(BC$121="4차중도금",$F122*50%-SUM($G122:BB122),$F122*10%)))))))+(IF(BC$121="5차중도금",$F122*60%-SUM($G122:BB122)-$F122*10%,IF(BC$121="6차중도금",$F122*70%-SUM($G122:BB122)-$F122*10%,0)))</f>
        <v>0</v>
      </c>
      <c r="BD122" s="605">
        <f>IF(BD$121="입주/잔금",($F122-SUM($G122:BC122))*30%,IF(BC$121="입주/잔금",($F122-SUM($G122:BB122))*50%,IF(BB$121="입주/잔금",($F122-SUM($G122:BA122))*20%,IF(BD$121=0,0,IF(BD$121="2차중도금",$F122*30%-SUM($G122:BC122),IF(BD$121="3차중도금",$F122*40%-SUM($G122:BC122),IF(BD$121="4차중도금",$F122*50%-SUM($G122:BC122),$F122*10%)))))))+(IF(BD$121="5차중도금",$F122*60%-SUM($G122:BC122)-$F122*10%,IF(BD$121="6차중도금",$F122*70%-SUM($G122:BC122)-$F122*10%,0)))</f>
        <v>0</v>
      </c>
      <c r="BE122" s="605">
        <f>IF(BE$121="입주/잔금",($F122-SUM($G122:BD122))*30%,IF(BD$121="입주/잔금",($F122-SUM($G122:BC122))*50%,IF(BC$121="입주/잔금",($F122-SUM($G122:BB122))*20%,IF(BE$121=0,0,IF(BE$121="2차중도금",$F122*30%-SUM($G122:BD122),IF(BE$121="3차중도금",$F122*40%-SUM($G122:BD122),IF(BE$121="4차중도금",$F122*50%-SUM($G122:BD122),$F122*10%)))))))+(IF(BE$121="5차중도금",$F122*60%-SUM($G122:BD122)-$F122*10%,IF(BE$121="6차중도금",$F122*70%-SUM($G122:BD122)-$F122*10%,0)))</f>
        <v>0</v>
      </c>
      <c r="BF122" s="636">
        <f t="shared" si="43"/>
        <v>0</v>
      </c>
      <c r="BG122" s="556">
        <f t="shared" ref="BG122:BG173" si="45">+F122-BF122</f>
        <v>0</v>
      </c>
      <c r="BH122" s="610"/>
    </row>
    <row r="123" spans="1:60">
      <c r="A123" s="1867"/>
      <c r="B123" s="611">
        <f t="shared" ref="B123:B172" si="46">DATE(YEAR(B122),MONTH(B122)+1,DAY(B122))</f>
        <v>44866</v>
      </c>
      <c r="C123" s="605">
        <f t="shared" ref="C123:D138" si="47">C122</f>
        <v>21284968.815239683</v>
      </c>
      <c r="D123" s="1501"/>
      <c r="E123" s="607">
        <f>E122+D123</f>
        <v>0</v>
      </c>
      <c r="F123" s="608">
        <f t="shared" si="44"/>
        <v>0</v>
      </c>
      <c r="G123" s="605"/>
      <c r="H123" s="605">
        <f>$F123*10%</f>
        <v>0</v>
      </c>
      <c r="I123" s="605">
        <f>IF(I$121="입주/잔금",($F123-SUM($G123:H123))*30%,IF(H$121="입주/잔금",($F123-SUM(G123:$G123))*50%,IF(G$121="입주/잔금",($F123-SUM(F123:$G123))*20%,IF(I$121=0,0,IF(I$121="2차중도금",$F123*30%-SUM($G123:H123),IF(I$121="3차중도금",$F123*40%-SUM($G123:H123),IF(I$121="4차중도금",$F123*50%-SUM($G123:H123),$F123*10%)))))))+(IF(I$121="5차중도금",$F123*60%-SUM($G123:H123)-$F123*10%,IF(I$121="6차중도금",$F123*70%-SUM($G123:H123)-$F123*10%,0)))</f>
        <v>0</v>
      </c>
      <c r="J123" s="605">
        <f>IF(J$121="입주/잔금",($F123-SUM($G123:I123))*30%,IF(I$121="입주/잔금",($F123-SUM($G123:H123))*50%,IF(H$121="입주/잔금",($F123-SUM(G123:$G123))*20%,IF(J$121=0,0,IF(J$121="2차중도금",$F123*30%-SUM($G123:I123),IF(J$121="3차중도금",$F123*40%-SUM($G123:I123),IF(J$121="4차중도금",$F123*50%-SUM($G123:I123),$F123*10%)))))))+(IF(J$121="5차중도금",$F123*60%-SUM($G123:I123)-$F123*10%,IF(J$121="6차중도금",$F123*70%-SUM($G123:I123)-$F123*10%,0)))</f>
        <v>0</v>
      </c>
      <c r="K123" s="605">
        <f>IF(K$121="입주/잔금",($F123-SUM($G123:J123))*30%,IF(J$121="입주/잔금",($F123-SUM($G123:I123))*50%,IF(I$121="입주/잔금",($F123-SUM($G123:H123))*20%,IF(K$121=0,0,IF(K$121="2차중도금",$F123*30%-SUM($G123:J123),IF(K$121="3차중도금",$F123*40%-SUM($G123:J123),IF(K$121="4차중도금",$F123*50%-SUM($G123:J123),$F123*10%)))))))+(IF(K$121="5차중도금",$F123*60%-SUM($G123:J123)-$F123*10%,IF(K$121="6차중도금",$F123*70%-SUM($G123:J123)-$F123*10%,0)))</f>
        <v>0</v>
      </c>
      <c r="L123" s="605">
        <f>IF(L$121="입주/잔금",($F123-SUM($G123:K123))*30%,IF(K$121="입주/잔금",($F123-SUM($G123:J123))*50%,IF(J$121="입주/잔금",($F123-SUM($G123:I123))*20%,IF(L$121=0,0,IF(L$121="2차중도금",$F123*30%-SUM($G123:K123),IF(L$121="3차중도금",$F123*40%-SUM($G123:K123),IF(L$121="4차중도금",$F123*50%-SUM($G123:K123),$F123*10%)))))))+(IF(L$121="5차중도금",$F123*60%-SUM($G123:K123)-$F123*10%,IF(L$121="6차중도금",$F123*70%-SUM($G123:K123)-$F123*10%,0)))</f>
        <v>0</v>
      </c>
      <c r="M123" s="605">
        <f>IF(M$121="입주/잔금",($F123-SUM($G123:L123))*30%,IF(L$121="입주/잔금",($F123-SUM($G123:K123))*50%,IF(K$121="입주/잔금",($F123-SUM($G123:J123))*20%,IF(M$121=0,0,IF(M$121="2차중도금",$F123*30%-SUM($G123:L123),IF(M$121="3차중도금",$F123*40%-SUM($G123:L123),IF(M$121="4차중도금",$F123*50%-SUM($G123:L123),$F123*10%)))))))+(IF(M$121="5차중도금",$F123*60%-SUM($G123:L123)-$F123*10%,IF(M$121="6차중도금",$F123*70%-SUM($G123:L123)-$F123*10%,0)))</f>
        <v>0</v>
      </c>
      <c r="N123" s="605">
        <f>IF(N$121="입주/잔금",($F123-SUM($G123:M123))*30%,IF(M$121="입주/잔금",($F123-SUM($G123:L123))*50%,IF(L$121="입주/잔금",($F123-SUM($G123:K123))*20%,IF(N$121=0,0,IF(N$121="2차중도금",$F123*30%-SUM($G123:M123),IF(N$121="3차중도금",$F123*40%-SUM($G123:M123),IF(N$121="4차중도금",$F123*50%-SUM($G123:M123),$F123*10%)))))))+(IF(N$121="5차중도금",$F123*60%-SUM($G123:M123)-$F123*10%,IF(N$121="6차중도금",$F123*70%-SUM($G123:M123)-$F123*10%,0)))</f>
        <v>0</v>
      </c>
      <c r="O123" s="605">
        <f>IF(O$121="입주/잔금",($F123-SUM($G123:N123))*30%,IF(N$121="입주/잔금",($F123-SUM($G123:M123))*50%,IF(M$121="입주/잔금",($F123-SUM($G123:L123))*20%,IF(O$121=0,0,IF(O$121="2차중도금",$F123*30%-SUM($G123:N123),IF(O$121="3차중도금",$F123*40%-SUM($G123:N123),IF(O$121="4차중도금",$F123*50%-SUM($G123:N123),$F123*10%)))))))+(IF(O$121="5차중도금",$F123*60%-SUM($G123:N123)-$F123*10%,IF(O$121="6차중도금",$F123*70%-SUM($G123:N123)-$F123*10%,0)))</f>
        <v>0</v>
      </c>
      <c r="P123" s="605">
        <f>IF(P$121="입주/잔금",($F123-SUM($G123:O123))*30%,IF(O$121="입주/잔금",($F123-SUM($G123:N123))*50%,IF(N$121="입주/잔금",($F123-SUM($G123:M123))*20%,IF(P$121=0,0,IF(P$121="2차중도금",$F123*30%-SUM($G123:O123),IF(P$121="3차중도금",$F123*40%-SUM($G123:O123),IF(P$121="4차중도금",$F123*50%-SUM($G123:O123),$F123*10%)))))))+(IF(P$121="5차중도금",$F123*60%-SUM($G123:O123)-$F123*10%,IF(P$121="6차중도금",$F123*70%-SUM($G123:O123)-$F123*10%,0)))</f>
        <v>0</v>
      </c>
      <c r="Q123" s="605">
        <f>IF(Q$121="입주/잔금",($F123-SUM($G123:P123))*30%,IF(P$121="입주/잔금",($F123-SUM($G123:O123))*50%,IF(O$121="입주/잔금",($F123-SUM($G123:N123))*20%,IF(Q$121=0,0,IF(Q$121="2차중도금",$F123*30%-SUM($G123:P123),IF(Q$121="3차중도금",$F123*40%-SUM($G123:P123),IF(Q$121="4차중도금",$F123*50%-SUM($G123:P123),$F123*10%)))))))+(IF(Q$121="5차중도금",$F123*60%-SUM($G123:P123)-$F123*10%,IF(Q$121="6차중도금",$F123*70%-SUM($G123:P123)-$F123*10%,0)))</f>
        <v>0</v>
      </c>
      <c r="R123" s="605">
        <f>IF(R$121="입주/잔금",($F123-SUM($G123:Q123))*30%,IF(Q$121="입주/잔금",($F123-SUM($G123:P123))*50%,IF(P$121="입주/잔금",($F123-SUM($G123:O123))*20%,IF(R$121=0,0,IF(R$121="2차중도금",$F123*30%-SUM($G123:Q123),IF(R$121="3차중도금",$F123*40%-SUM($G123:Q123),IF(R$121="4차중도금",$F123*50%-SUM($G123:Q123),$F123*10%)))))))+(IF(R$121="5차중도금",$F123*60%-SUM($G123:Q123)-$F123*10%,IF(R$121="6차중도금",$F123*70%-SUM($G123:Q123)-$F123*10%,0)))</f>
        <v>0</v>
      </c>
      <c r="S123" s="605">
        <f>IF(S$121="입주/잔금",($F123-SUM($G123:R123))*30%,IF(R$121="입주/잔금",($F123-SUM($G123:Q123))*50%,IF(Q$121="입주/잔금",($F123-SUM($G123:P123))*20%,IF(S$121=0,0,IF(S$121="2차중도금",$F123*30%-SUM($G123:R123),IF(S$121="3차중도금",$F123*40%-SUM($G123:R123),IF(S$121="4차중도금",$F123*50%-SUM($G123:R123),$F123*10%)))))))+(IF(S$121="5차중도금",$F123*60%-SUM($G123:R123)-$F123*10%,IF(S$121="6차중도금",$F123*70%-SUM($G123:R123)-$F123*10%,0)))</f>
        <v>0</v>
      </c>
      <c r="T123" s="605">
        <f>IF(T$121="입주/잔금",($F123-SUM($G123:S123))*30%,IF(S$121="입주/잔금",($F123-SUM($G123:R123))*50%,IF(R$121="입주/잔금",($F123-SUM($G123:Q123))*20%,IF(T$121=0,0,IF(T$121="2차중도금",$F123*30%-SUM($G123:S123),IF(T$121="3차중도금",$F123*40%-SUM($G123:S123),IF(T$121="4차중도금",$F123*50%-SUM($G123:S123),$F123*10%)))))))+(IF(T$121="5차중도금",$F123*60%-SUM($G123:S123)-$F123*10%,IF(T$121="6차중도금",$F123*70%-SUM($G123:S123)-$F123*10%,0)))</f>
        <v>0</v>
      </c>
      <c r="U123" s="605">
        <f>IF(U$121="입주/잔금",($F123-SUM($G123:T123))*30%,IF(T$121="입주/잔금",($F123-SUM($G123:S123))*50%,IF(S$121="입주/잔금",($F123-SUM($G123:R123))*20%,IF(U$121=0,0,IF(U$121="2차중도금",$F123*30%-SUM($G123:T123),IF(U$121="3차중도금",$F123*40%-SUM($G123:T123),IF(U$121="4차중도금",$F123*50%-SUM($G123:T123),$F123*10%)))))))+(IF(U$121="5차중도금",$F123*60%-SUM($G123:T123)-$F123*10%,IF(U$121="6차중도금",$F123*70%-SUM($G123:T123)-$F123*10%,0)))</f>
        <v>0</v>
      </c>
      <c r="V123" s="605">
        <f>IF(V$121="입주/잔금",($F123-SUM($G123:U123))*30%,IF(U$121="입주/잔금",($F123-SUM($G123:T123))*50%,IF(T$121="입주/잔금",($F123-SUM($G123:S123))*20%,IF(V$121=0,0,IF(V$121="2차중도금",$F123*30%-SUM($G123:U123),IF(V$121="3차중도금",$F123*40%-SUM($G123:U123),IF(V$121="4차중도금",$F123*50%-SUM($G123:U123),$F123*10%)))))))+(IF(V$121="5차중도금",$F123*60%-SUM($G123:U123)-$F123*10%,IF(V$121="6차중도금",$F123*70%-SUM($G123:U123)-$F123*10%,0)))</f>
        <v>0</v>
      </c>
      <c r="W123" s="605">
        <f>IF(W$121="입주/잔금",($F123-SUM($G123:V123))*30%,IF(V$121="입주/잔금",($F123-SUM($G123:U123))*50%,IF(U$121="입주/잔금",($F123-SUM($G123:T123))*20%,IF(W$121=0,0,IF(W$121="2차중도금",$F123*30%-SUM($G123:V123),IF(W$121="3차중도금",$F123*40%-SUM($G123:V123),IF(W$121="4차중도금",$F123*50%-SUM($G123:V123),$F123*10%)))))))+(IF(W$121="5차중도금",$F123*60%-SUM($G123:V123)-$F123*10%,IF(W$121="6차중도금",$F123*70%-SUM($G123:V123)-$F123*10%,0)))</f>
        <v>0</v>
      </c>
      <c r="X123" s="605">
        <f>IF(X$121="입주/잔금",($F123-SUM($G123:W123))*30%,IF(W$121="입주/잔금",($F123-SUM($G123:V123))*50%,IF(V$121="입주/잔금",($F123-SUM($G123:U123))*20%,IF(X$121=0,0,IF(X$121="2차중도금",$F123*30%-SUM($G123:W123),IF(X$121="3차중도금",$F123*40%-SUM($G123:W123),IF(X$121="4차중도금",$F123*50%-SUM($G123:W123),$F123*10%)))))))+(IF(X$121="5차중도금",$F123*60%-SUM($G123:W123)-$F123*10%,IF(X$121="6차중도금",$F123*70%-SUM($G123:W123)-$F123*10%,0)))</f>
        <v>0</v>
      </c>
      <c r="Y123" s="605">
        <f>IF(Y$121="입주/잔금",($F123-SUM($G123:X123))*30%,IF(X$121="입주/잔금",($F123-SUM($G123:W123))*50%,IF(W$121="입주/잔금",($F123-SUM($G123:V123))*20%,IF(Y$121=0,0,IF(Y$121="2차중도금",$F123*30%-SUM($G123:X123),IF(Y$121="3차중도금",$F123*40%-SUM($G123:X123),IF(Y$121="4차중도금",$F123*50%-SUM($G123:X123),$F123*10%)))))))+(IF(Y$121="5차중도금",$F123*60%-SUM($G123:X123)-$F123*10%,IF(Y$121="6차중도금",$F123*70%-SUM($G123:X123)-$F123*10%,0)))</f>
        <v>0</v>
      </c>
      <c r="Z123" s="605">
        <f>IF(Z$121="입주/잔금",($F123-SUM($G123:Y123))*30%,IF(Y$121="입주/잔금",($F123-SUM($G123:X123))*50%,IF(X$121="입주/잔금",($F123-SUM($G123:W123))*20%,IF(Z$121=0,0,IF(Z$121="2차중도금",$F123*30%-SUM($G123:Y123),IF(Z$121="3차중도금",$F123*40%-SUM($G123:Y123),IF(Z$121="4차중도금",$F123*50%-SUM($G123:Y123),$F123*10%)))))))+(IF(Z$121="5차중도금",$F123*60%-SUM($G123:Y123)-$F123*10%,IF(Z$121="6차중도금",$F123*70%-SUM($G123:Y123)-$F123*10%,0)))</f>
        <v>0</v>
      </c>
      <c r="AA123" s="605">
        <f>IF(AA$121="입주/잔금",($F123-SUM($G123:Z123))*30%,IF(Z$121="입주/잔금",($F123-SUM($G123:Y123))*50%,IF(Y$121="입주/잔금",($F123-SUM($G123:X123))*20%,IF(AA$121=0,0,IF(AA$121="2차중도금",$F123*30%-SUM($G123:Z123),IF(AA$121="3차중도금",$F123*40%-SUM($G123:Z123),IF(AA$121="4차중도금",$F123*50%-SUM($G123:Z123),$F123*10%)))))))+(IF(AA$121="5차중도금",$F123*60%-SUM($G123:Z123)-$F123*10%,IF(AA$121="6차중도금",$F123*70%-SUM($G123:Z123)-$F123*10%,0)))</f>
        <v>0</v>
      </c>
      <c r="AB123" s="605">
        <f>IF(AB$121="입주/잔금",($F123-SUM($G123:AA123))*30%,IF(AA$121="입주/잔금",($F123-SUM($G123:Z123))*50%,IF(Z$121="입주/잔금",($F123-SUM($G123:Y123))*20%,IF(AB$121=0,0,IF(AB$121="2차중도금",$F123*30%-SUM($G123:AA123),IF(AB$121="3차중도금",$F123*40%-SUM($G123:AA123),IF(AB$121="4차중도금",$F123*50%-SUM($G123:AA123),$F123*10%)))))))+(IF(AB$121="5차중도금",$F123*60%-SUM($G123:AA123)-$F123*10%,IF(AB$121="6차중도금",$F123*70%-SUM($G123:AA123)-$F123*10%,0)))</f>
        <v>0</v>
      </c>
      <c r="AC123" s="605">
        <f>IF(AC$121="입주/잔금",($F123-SUM($G123:AB123))*30%,IF(AB$121="입주/잔금",($F123-SUM($G123:AA123))*50%,IF(AA$121="입주/잔금",($F123-SUM($G123:Z123))*20%,IF(AC$121=0,0,IF(AC$121="2차중도금",$F123*30%-SUM($G123:AB123),IF(AC$121="3차중도금",$F123*40%-SUM($G123:AB123),IF(AC$121="4차중도금",$F123*50%-SUM($G123:AB123),$F123*10%)))))))+(IF(AC$121="5차중도금",$F123*60%-SUM($G123:AB123)-$F123*10%,IF(AC$121="6차중도금",$F123*70%-SUM($G123:AB123)-$F123*10%,0)))</f>
        <v>0</v>
      </c>
      <c r="AD123" s="605">
        <f>IF(AD$121="입주/잔금",($F123-SUM($G123:AC123))*30%,IF(AC$121="입주/잔금",($F123-SUM($G123:AB123))*50%,IF(AB$121="입주/잔금",($F123-SUM($G123:AA123))*20%,IF(AD$121=0,0,IF(AD$121="2차중도금",$F123*30%-SUM($G123:AC123),IF(AD$121="3차중도금",$F123*40%-SUM($G123:AC123),IF(AD$121="4차중도금",$F123*50%-SUM($G123:AC123),$F123*10%)))))))+(IF(AD$121="5차중도금",$F123*60%-SUM($G123:AC123)-$F123*10%,IF(AD$121="6차중도금",$F123*70%-SUM($G123:AC123)-$F123*10%,0)))</f>
        <v>0</v>
      </c>
      <c r="AE123" s="605">
        <f>IF(AE$121="입주/잔금",($F123-SUM($G123:AD123))*30%,IF(AD$121="입주/잔금",($F123-SUM($G123:AC123))*50%,IF(AC$121="입주/잔금",($F123-SUM($G123:AB123))*20%,IF(AE$121=0,0,IF(AE$121="2차중도금",$F123*30%-SUM($G123:AD123),IF(AE$121="3차중도금",$F123*40%-SUM($G123:AD123),IF(AE$121="4차중도금",$F123*50%-SUM($G123:AD123),$F123*10%)))))))+(IF(AE$121="5차중도금",$F123*60%-SUM($G123:AD123)-$F123*10%,IF(AE$121="6차중도금",$F123*70%-SUM($G123:AD123)-$F123*10%,0)))</f>
        <v>0</v>
      </c>
      <c r="AF123" s="605">
        <f>IF(AF$121="입주/잔금",($F123-SUM($G123:AE123))*30%,IF(AE$121="입주/잔금",($F123-SUM($G123:AD123))*50%,IF(AD$121="입주/잔금",($F123-SUM($G123:AC123))*20%,IF(AF$121=0,0,IF(AF$121="2차중도금",$F123*30%-SUM($G123:AE123),IF(AF$121="3차중도금",$F123*40%-SUM($G123:AE123),IF(AF$121="4차중도금",$F123*50%-SUM($G123:AE123),$F123*10%)))))))+(IF(AF$121="5차중도금",$F123*60%-SUM($G123:AE123)-$F123*10%,IF(AF$121="6차중도금",$F123*70%-SUM($G123:AE123)-$F123*10%,0)))</f>
        <v>0</v>
      </c>
      <c r="AG123" s="605">
        <f>IF(AG$121="입주/잔금",($F123-SUM($G123:AF123))*30%,IF(AF$121="입주/잔금",($F123-SUM($G123:AE123))*50%,IF(AE$121="입주/잔금",($F123-SUM($G123:AD123))*20%,IF(AG$121=0,0,IF(AG$121="2차중도금",$F123*30%-SUM($G123:AF123),IF(AG$121="3차중도금",$F123*40%-SUM($G123:AF123),IF(AG$121="4차중도금",$F123*50%-SUM($G123:AF123),$F123*10%)))))))+(IF(AG$121="5차중도금",$F123*60%-SUM($G123:AF123)-$F123*10%,IF(AG$121="6차중도금",$F123*70%-SUM($G123:AF123)-$F123*10%,0)))</f>
        <v>0</v>
      </c>
      <c r="AH123" s="605">
        <f>IF(AH$121="입주/잔금",($F123-SUM($G123:AG123))*30%,IF(AG$121="입주/잔금",($F123-SUM($G123:AF123))*50%,IF(AF$121="입주/잔금",($F123-SUM($G123:AE123))*20%,IF(AH$121=0,0,IF(AH$121="2차중도금",$F123*30%-SUM($G123:AG123),IF(AH$121="3차중도금",$F123*40%-SUM($G123:AG123),IF(AH$121="4차중도금",$F123*50%-SUM($G123:AG123),$F123*10%)))))))+(IF(AH$121="5차중도금",$F123*60%-SUM($G123:AG123)-$F123*10%,IF(AH$121="6차중도금",$F123*70%-SUM($G123:AG123)-$F123*10%,0)))</f>
        <v>0</v>
      </c>
      <c r="AI123" s="605">
        <f>IF(AI$121="입주/잔금",($F123-SUM($G123:AH123))*30%,IF(AH$121="입주/잔금",($F123-SUM($G123:AG123))*50%,IF(AG$121="입주/잔금",($F123-SUM($G123:AF123))*20%,IF(AI$121=0,0,IF(AI$121="2차중도금",$F123*30%-SUM($G123:AH123),IF(AI$121="3차중도금",$F123*40%-SUM($G123:AH123),IF(AI$121="4차중도금",$F123*50%-SUM($G123:AH123),$F123*10%)))))))+(IF(AI$121="5차중도금",$F123*60%-SUM($G123:AH123)-$F123*10%,IF(AI$121="6차중도금",$F123*70%-SUM($G123:AH123)-$F123*10%,0)))</f>
        <v>0</v>
      </c>
      <c r="AJ123" s="605">
        <f>IF(AJ$121="입주/잔금",($F123-SUM($G123:AI123))*30%,IF(AI$121="입주/잔금",($F123-SUM($G123:AH123))*50%,IF(AH$121="입주/잔금",($F123-SUM($G123:AG123))*20%,IF(AJ$121=0,0,IF(AJ$121="2차중도금",$F123*30%-SUM($G123:AI123),IF(AJ$121="3차중도금",$F123*40%-SUM($G123:AI123),IF(AJ$121="4차중도금",$F123*50%-SUM($G123:AI123),$F123*10%)))))))+(IF(AJ$121="5차중도금",$F123*60%-SUM($G123:AI123)-$F123*10%,IF(AJ$121="6차중도금",$F123*70%-SUM($G123:AI123)-$F123*10%,0)))</f>
        <v>0</v>
      </c>
      <c r="AK123" s="605">
        <f>IF(AK$121="입주/잔금",($F123-SUM($G123:AJ123))*30%,IF(AJ$121="입주/잔금",($F123-SUM($G123:AI123))*50%,IF(AI$121="입주/잔금",($F123-SUM($G123:AH123))*20%,IF(AK$121=0,0,IF(AK$121="2차중도금",$F123*30%-SUM($G123:AJ123),IF(AK$121="3차중도금",$F123*40%-SUM($G123:AJ123),IF(AK$121="4차중도금",$F123*50%-SUM($G123:AJ123),$F123*10%)))))))+(IF(AK$121="5차중도금",$F123*60%-SUM($G123:AJ123)-$F123*10%,IF(AK$121="6차중도금",$F123*70%-SUM($G123:AJ123)-$F123*10%,0)))</f>
        <v>0</v>
      </c>
      <c r="AL123" s="605">
        <f>IF(AL$121="입주/잔금",($F123-SUM($G123:AK123))*30%,IF(AK$121="입주/잔금",($F123-SUM($G123:AJ123))*50%,IF(AJ$121="입주/잔금",($F123-SUM($G123:AI123))*20%,IF(AL$121=0,0,IF(AL$121="2차중도금",$F123*30%-SUM($G123:AK123),IF(AL$121="3차중도금",$F123*40%-SUM($G123:AK123),IF(AL$121="4차중도금",$F123*50%-SUM($G123:AK123),$F123*10%)))))))+(IF(AL$121="5차중도금",$F123*60%-SUM($G123:AK123)-$F123*10%,IF(AL$121="6차중도금",$F123*70%-SUM($G123:AK123)-$F123*10%,0)))</f>
        <v>0</v>
      </c>
      <c r="AM123" s="605">
        <f>IF(AM$121="입주/잔금",($F123-SUM($G123:AL123))*30%,IF(AL$121="입주/잔금",($F123-SUM($G123:AK123))*50%,IF(AK$121="입주/잔금",($F123-SUM($G123:AJ123))*20%,IF(AM$121=0,0,IF(AM$121="2차중도금",$F123*30%-SUM($G123:AL123),IF(AM$121="3차중도금",$F123*40%-SUM($G123:AL123),IF(AM$121="4차중도금",$F123*50%-SUM($G123:AL123),$F123*10%)))))))+(IF(AM$121="5차중도금",$F123*60%-SUM($G123:AL123)-$F123*10%,IF(AM$121="6차중도금",$F123*70%-SUM($G123:AL123)-$F123*10%,0)))</f>
        <v>0</v>
      </c>
      <c r="AN123" s="605">
        <f>IF(AN$121="입주/잔금",($F123-SUM($G123:AM123))*30%,IF(AM$121="입주/잔금",($F123-SUM($G123:AL123))*50%,IF(AL$121="입주/잔금",($F123-SUM($G123:AK123))*20%,IF(AN$121=0,0,IF(AN$121="2차중도금",$F123*30%-SUM($G123:AM123),IF(AN$121="3차중도금",$F123*40%-SUM($G123:AM123),IF(AN$121="4차중도금",$F123*50%-SUM($G123:AM123),$F123*10%)))))))+(IF(AN$121="5차중도금",$F123*60%-SUM($G123:AM123)-$F123*10%,IF(AN$121="6차중도금",$F123*70%-SUM($G123:AM123)-$F123*10%,0)))</f>
        <v>0</v>
      </c>
      <c r="AO123" s="605">
        <f>IF(AO$121="입주/잔금",($F123-SUM($G123:AN123))*30%,IF(AN$121="입주/잔금",($F123-SUM($G123:AM123))*50%,IF(AM$121="입주/잔금",($F123-SUM($G123:AL123))*20%,IF(AO$121=0,0,IF(AO$121="2차중도금",$F123*30%-SUM($G123:AN123),IF(AO$121="3차중도금",$F123*40%-SUM($G123:AN123),IF(AO$121="4차중도금",$F123*50%-SUM($G123:AN123),$F123*10%)))))))+(IF(AO$121="5차중도금",$F123*60%-SUM($G123:AN123)-$F123*10%,IF(AO$121="6차중도금",$F123*70%-SUM($G123:AN123)-$F123*10%,0)))</f>
        <v>0</v>
      </c>
      <c r="AP123" s="605">
        <f>IF(AP$121="입주/잔금",($F123-SUM($G123:AO123))*30%,IF(AO$121="입주/잔금",($F123-SUM($G123:AN123))*50%,IF(AN$121="입주/잔금",($F123-SUM($G123:AM123))*20%,IF(AP$121=0,0,IF(AP$121="2차중도금",$F123*30%-SUM($G123:AO123),IF(AP$121="3차중도금",$F123*40%-SUM($G123:AO123),IF(AP$121="4차중도금",$F123*50%-SUM($G123:AO123),$F123*10%)))))))+(IF(AP$121="5차중도금",$F123*60%-SUM($G123:AO123)-$F123*10%,IF(AP$121="6차중도금",$F123*70%-SUM($G123:AO123)-$F123*10%,0)))</f>
        <v>0</v>
      </c>
      <c r="AQ123" s="605">
        <f>IF(AQ$121="입주/잔금",($F123-SUM($G123:AP123))*30%,IF(AP$121="입주/잔금",($F123-SUM($G123:AO123))*50%,IF(AO$121="입주/잔금",($F123-SUM($G123:AN123))*20%,IF(AQ$121=0,0,IF(AQ$121="2차중도금",$F123*30%-SUM($G123:AP123),IF(AQ$121="3차중도금",$F123*40%-SUM($G123:AP123),IF(AQ$121="4차중도금",$F123*50%-SUM($G123:AP123),$F123*10%)))))))+(IF(AQ$121="5차중도금",$F123*60%-SUM($G123:AP123)-$F123*10%,IF(AQ$121="6차중도금",$F123*70%-SUM($G123:AP123)-$F123*10%,0)))</f>
        <v>0</v>
      </c>
      <c r="AR123" s="605">
        <f>IF(AR$121="입주/잔금",($F123-SUM($G123:AQ123))*30%,IF(AQ$121="입주/잔금",($F123-SUM($G123:AP123))*50%,IF(AP$121="입주/잔금",($F123-SUM($G123:AO123))*20%,IF(AR$121=0,0,IF(AR$121="2차중도금",$F123*30%-SUM($G123:AQ123),IF(AR$121="3차중도금",$F123*40%-SUM($G123:AQ123),IF(AR$121="4차중도금",$F123*50%-SUM($G123:AQ123),$F123*10%)))))))+(IF(AR$121="5차중도금",$F123*60%-SUM($G123:AQ123)-$F123*10%,IF(AR$121="6차중도금",$F123*70%-SUM($G123:AQ123)-$F123*10%,0)))</f>
        <v>0</v>
      </c>
      <c r="AS123" s="605">
        <f>IF(AS$121="입주/잔금",($F123-SUM($G123:AR123))*30%,IF(AR$121="입주/잔금",($F123-SUM($G123:AQ123))*50%,IF(AQ$121="입주/잔금",($F123-SUM($G123:AP123))*20%,IF(AS$121=0,0,IF(AS$121="2차중도금",$F123*30%-SUM($G123:AR123),IF(AS$121="3차중도금",$F123*40%-SUM($G123:AR123),IF(AS$121="4차중도금",$F123*50%-SUM($G123:AR123),$F123*10%)))))))+(IF(AS$121="5차중도금",$F123*60%-SUM($G123:AR123)-$F123*10%,IF(AS$121="6차중도금",$F123*70%-SUM($G123:AR123)-$F123*10%,0)))</f>
        <v>0</v>
      </c>
      <c r="AT123" s="605">
        <f>IF(AT$121="입주/잔금",($F123-SUM($G123:AS123))*30%,IF(AS$121="입주/잔금",($F123-SUM($G123:AR123))*50%,IF(AR$121="입주/잔금",($F123-SUM($G123:AQ123))*20%,IF(AT$121=0,0,IF(AT$121="2차중도금",$F123*30%-SUM($G123:AS123),IF(AT$121="3차중도금",$F123*40%-SUM($G123:AS123),IF(AT$121="4차중도금",$F123*50%-SUM($G123:AS123),$F123*10%)))))))+(IF(AT$121="5차중도금",$F123*60%-SUM($G123:AS123)-$F123*10%,IF(AT$121="6차중도금",$F123*70%-SUM($G123:AS123)-$F123*10%,0)))</f>
        <v>0</v>
      </c>
      <c r="AU123" s="605">
        <f>IF(AU$121="입주/잔금",($F123-SUM($G123:AT123))*30%,IF(AT$121="입주/잔금",($F123-SUM($G123:AS123))*50%,IF(AS$121="입주/잔금",($F123-SUM($G123:AR123))*20%,IF(AU$121=0,0,IF(AU$121="2차중도금",$F123*30%-SUM($G123:AT123),IF(AU$121="3차중도금",$F123*40%-SUM($G123:AT123),IF(AU$121="4차중도금",$F123*50%-SUM($G123:AT123),$F123*10%)))))))+(IF(AU$121="5차중도금",$F123*60%-SUM($G123:AT123)-$F123*10%,IF(AU$121="6차중도금",$F123*70%-SUM($G123:AT123)-$F123*10%,0)))</f>
        <v>0</v>
      </c>
      <c r="AV123" s="605">
        <f>IF(AV$121="입주/잔금",($F123-SUM($G123:AU123))*30%,IF(AU$121="입주/잔금",($F123-SUM($G123:AT123))*50%,IF(AT$121="입주/잔금",($F123-SUM($G123:AS123))*20%,IF(AV$121=0,0,IF(AV$121="2차중도금",$F123*30%-SUM($G123:AU123),IF(AV$121="3차중도금",$F123*40%-SUM($G123:AU123),IF(AV$121="4차중도금",$F123*50%-SUM($G123:AU123),$F123*10%)))))))+(IF(AV$121="5차중도금",$F123*60%-SUM($G123:AU123)-$F123*10%,IF(AV$121="6차중도금",$F123*70%-SUM($G123:AU123)-$F123*10%,0)))</f>
        <v>0</v>
      </c>
      <c r="AW123" s="605">
        <f>IF(AW$121="입주/잔금",($F123-SUM($G123:AV123))*30%,IF(AV$121="입주/잔금",($F123-SUM($G123:AU123))*50%,IF(AU$121="입주/잔금",($F123-SUM($G123:AT123))*20%,IF(AW$121=0,0,IF(AW$121="2차중도금",$F123*30%-SUM($G123:AV123),IF(AW$121="3차중도금",$F123*40%-SUM($G123:AV123),IF(AW$121="4차중도금",$F123*50%-SUM($G123:AV123),$F123*10%)))))))+(IF(AW$121="5차중도금",$F123*60%-SUM($G123:AV123)-$F123*10%,IF(AW$121="6차중도금",$F123*70%-SUM($G123:AV123)-$F123*10%,0)))</f>
        <v>0</v>
      </c>
      <c r="AX123" s="605">
        <f>IF(AX$121="입주/잔금",($F123-SUM($G123:AW123))*30%,IF(AW$121="입주/잔금",($F123-SUM($G123:AV123))*50%,IF(AV$121="입주/잔금",($F123-SUM($G123:AU123))*20%,IF(AX$121=0,0,IF(AX$121="2차중도금",$F123*30%-SUM($G123:AW123),IF(AX$121="3차중도금",$F123*40%-SUM($G123:AW123),IF(AX$121="4차중도금",$F123*50%-SUM($G123:AW123),$F123*10%)))))))+(IF(AX$121="5차중도금",$F123*60%-SUM($G123:AW123)-$F123*10%,IF(AX$121="6차중도금",$F123*70%-SUM($G123:AW123)-$F123*10%,0)))</f>
        <v>0</v>
      </c>
      <c r="AY123" s="605">
        <f>IF(AY$121="입주/잔금",($F123-SUM($G123:AX123))*30%,IF(AX$121="입주/잔금",($F123-SUM($G123:AW123))*50%,IF(AW$121="입주/잔금",($F123-SUM($G123:AV123))*20%,IF(AY$121=0,0,IF(AY$121="2차중도금",$F123*30%-SUM($G123:AX123),IF(AY$121="3차중도금",$F123*40%-SUM($G123:AX123),IF(AY$121="4차중도금",$F123*50%-SUM($G123:AX123),$F123*10%)))))))+(IF(AY$121="5차중도금",$F123*60%-SUM($G123:AX123)-$F123*10%,IF(AY$121="6차중도금",$F123*70%-SUM($G123:AX123)-$F123*10%,0)))</f>
        <v>0</v>
      </c>
      <c r="AZ123" s="605">
        <f>IF(AZ$121="입주/잔금",($F123-SUM($G123:AY123))*30%,IF(AY$121="입주/잔금",($F123-SUM($G123:AX123))*50%,IF(AX$121="입주/잔금",($F123-SUM($G123:AW123))*20%,IF(AZ$121=0,0,IF(AZ$121="2차중도금",$F123*30%-SUM($G123:AY123),IF(AZ$121="3차중도금",$F123*40%-SUM($G123:AY123),IF(AZ$121="4차중도금",$F123*50%-SUM($G123:AY123),$F123*10%)))))))+(IF(AZ$121="5차중도금",$F123*60%-SUM($G123:AY123)-$F123*10%,IF(AZ$121="6차중도금",$F123*70%-SUM($G123:AY123)-$F123*10%,0)))</f>
        <v>0</v>
      </c>
      <c r="BA123" s="605">
        <f>IF(BA$121="입주/잔금",($F123-SUM($G123:AZ123))*30%,IF(AZ$121="입주/잔금",($F123-SUM($G123:AY123))*50%,IF(AY$121="입주/잔금",($F123-SUM($G123:AX123))*20%,IF(BA$121=0,0,IF(BA$121="2차중도금",$F123*30%-SUM($G123:AZ123),IF(BA$121="3차중도금",$F123*40%-SUM($G123:AZ123),IF(BA$121="4차중도금",$F123*50%-SUM($G123:AZ123),$F123*10%)))))))+(IF(BA$121="5차중도금",$F123*60%-SUM($G123:AZ123)-$F123*10%,IF(BA$121="6차중도금",$F123*70%-SUM($G123:AZ123)-$F123*10%,0)))</f>
        <v>0</v>
      </c>
      <c r="BB123" s="605">
        <f>IF(BB$121="입주/잔금",($F123-SUM($G123:BA123))*30%,IF(BA$121="입주/잔금",($F123-SUM($G123:AZ123))*50%,IF(AZ$121="입주/잔금",($F123-SUM($G123:AY123))*20%,IF(BB$121=0,0,IF(BB$121="2차중도금",$F123*30%-SUM($G123:BA123),IF(BB$121="3차중도금",$F123*40%-SUM($G123:BA123),IF(BB$121="4차중도금",$F123*50%-SUM($G123:BA123),$F123*10%)))))))+(IF(BB$121="5차중도금",$F123*60%-SUM($G123:BA123)-$F123*10%,IF(BB$121="6차중도금",$F123*70%-SUM($G123:BA123)-$F123*10%,0)))</f>
        <v>0</v>
      </c>
      <c r="BC123" s="605">
        <f>IF(BC$121="입주/잔금",($F123-SUM($G123:BB123))*30%,IF(BB$121="입주/잔금",($F123-SUM($G123:BA123))*50%,IF(BA$121="입주/잔금",($F123-SUM($G123:AZ123))*20%,IF(BC$121=0,0,IF(BC$121="2차중도금",$F123*30%-SUM($G123:BB123),IF(BC$121="3차중도금",$F123*40%-SUM($G123:BB123),IF(BC$121="4차중도금",$F123*50%-SUM($G123:BB123),$F123*10%)))))))+(IF(BC$121="5차중도금",$F123*60%-SUM($G123:BB123)-$F123*10%,IF(BC$121="6차중도금",$F123*70%-SUM($G123:BB123)-$F123*10%,0)))</f>
        <v>0</v>
      </c>
      <c r="BD123" s="605">
        <f>IF(BD$121="입주/잔금",($F123-SUM($G123:BC123))*30%,IF(BC$121="입주/잔금",($F123-SUM($G123:BB123))*50%,IF(BB$121="입주/잔금",($F123-SUM($G123:BA123))*20%,IF(BD$121=0,0,IF(BD$121="2차중도금",$F123*30%-SUM($G123:BC123),IF(BD$121="3차중도금",$F123*40%-SUM($G123:BC123),IF(BD$121="4차중도금",$F123*50%-SUM($G123:BC123),$F123*10%)))))))+(IF(BD$121="5차중도금",$F123*60%-SUM($G123:BC123)-$F123*10%,IF(BD$121="6차중도금",$F123*70%-SUM($G123:BC123)-$F123*10%,0)))</f>
        <v>0</v>
      </c>
      <c r="BE123" s="605">
        <f>IF(BE$121="입주/잔금",($F123-SUM($G123:BD123))*30%,IF(BD$121="입주/잔금",($F123-SUM($G123:BC123))*50%,IF(BC$121="입주/잔금",($F123-SUM($G123:BB123))*20%,IF(BE$121=0,0,IF(BE$121="2차중도금",$F123*30%-SUM($G123:BD123),IF(BE$121="3차중도금",$F123*40%-SUM($G123:BD123),IF(BE$121="4차중도금",$F123*50%-SUM($G123:BD123),$F123*10%)))))))+(IF(BE$121="5차중도금",$F123*60%-SUM($G123:BD123)-$F123*10%,IF(BE$121="6차중도금",$F123*70%-SUM($G123:BD123)-$F123*10%,0)))</f>
        <v>0</v>
      </c>
      <c r="BF123" s="609">
        <f t="shared" si="43"/>
        <v>0</v>
      </c>
      <c r="BG123" s="556">
        <f t="shared" si="45"/>
        <v>0</v>
      </c>
      <c r="BH123" s="610"/>
    </row>
    <row r="124" spans="1:60">
      <c r="A124" s="1867"/>
      <c r="B124" s="611">
        <f t="shared" si="46"/>
        <v>44896</v>
      </c>
      <c r="C124" s="605">
        <f t="shared" si="47"/>
        <v>21284968.815239683</v>
      </c>
      <c r="D124" s="1501"/>
      <c r="E124" s="612">
        <f t="shared" ref="E124:E154" si="48">E123+D124</f>
        <v>0</v>
      </c>
      <c r="F124" s="608">
        <f t="shared" si="44"/>
        <v>0</v>
      </c>
      <c r="G124" s="605"/>
      <c r="H124" s="605"/>
      <c r="I124" s="605">
        <f>$F124*10%</f>
        <v>0</v>
      </c>
      <c r="J124" s="605">
        <f>IF(J$121="입주/잔금",($F124-SUM($G124:I124))*30%,IF(I$121="입주/잔금",($F124-SUM($G124:H124))*50%,IF(H$121="입주/잔금",($F124-SUM(G124:$G124))*20%,IF(J$121=0,0,IF(J$121="2차중도금",$F124*30%-SUM($G124:I124),IF(J$121="3차중도금",$F124*40%-SUM($G124:I124),IF(J$121="4차중도금",$F124*50%-SUM($G124:I124),$F124*10%)))))))+(IF(J$121="5차중도금",$F124*60%-SUM($G124:I124)-$F124*10%,IF(J$121="6차중도금",$F124*70%-SUM($G124:I124)-$F124*10%,0)))</f>
        <v>0</v>
      </c>
      <c r="K124" s="605">
        <f>IF(K$121="입주/잔금",($F124-SUM($G124:J124))*30%,IF(J$121="입주/잔금",($F124-SUM($G124:I124))*50%,IF(I$121="입주/잔금",($F124-SUM($G124:H124))*20%,IF(K$121=0,0,IF(K$121="2차중도금",$F124*30%-SUM($G124:J124),IF(K$121="3차중도금",$F124*40%-SUM($G124:J124),IF(K$121="4차중도금",$F124*50%-SUM($G124:J124),$F124*10%)))))))+(IF(K$121="5차중도금",$F124*60%-SUM($G124:J124)-$F124*10%,IF(K$121="6차중도금",$F124*70%-SUM($G124:J124)-$F124*10%,0)))</f>
        <v>0</v>
      </c>
      <c r="L124" s="605">
        <f>IF(L$121="입주/잔금",($F124-SUM($G124:K124))*30%,IF(K$121="입주/잔금",($F124-SUM($G124:J124))*50%,IF(J$121="입주/잔금",($F124-SUM($G124:I124))*20%,IF(L$121=0,0,IF(L$121="2차중도금",$F124*30%-SUM($G124:K124),IF(L$121="3차중도금",$F124*40%-SUM($G124:K124),IF(L$121="4차중도금",$F124*50%-SUM($G124:K124),$F124*10%)))))))+(IF(L$121="5차중도금",$F124*60%-SUM($G124:K124)-$F124*10%,IF(L$121="6차중도금",$F124*70%-SUM($G124:K124)-$F124*10%,0)))</f>
        <v>0</v>
      </c>
      <c r="M124" s="605">
        <f>IF(M$121="입주/잔금",($F124-SUM($G124:L124))*30%,IF(L$121="입주/잔금",($F124-SUM($G124:K124))*50%,IF(K$121="입주/잔금",($F124-SUM($G124:J124))*20%,IF(M$121=0,0,IF(M$121="2차중도금",$F124*30%-SUM($G124:L124),IF(M$121="3차중도금",$F124*40%-SUM($G124:L124),IF(M$121="4차중도금",$F124*50%-SUM($G124:L124),$F124*10%)))))))+(IF(M$121="5차중도금",$F124*60%-SUM($G124:L124)-$F124*10%,IF(M$121="6차중도금",$F124*70%-SUM($G124:L124)-$F124*10%,0)))</f>
        <v>0</v>
      </c>
      <c r="N124" s="605">
        <f>IF(N$121="입주/잔금",($F124-SUM($G124:M124))*30%,IF(M$121="입주/잔금",($F124-SUM($G124:L124))*50%,IF(L$121="입주/잔금",($F124-SUM($G124:K124))*20%,IF(N$121=0,0,IF(N$121="2차중도금",$F124*30%-SUM($G124:M124),IF(N$121="3차중도금",$F124*40%-SUM($G124:M124),IF(N$121="4차중도금",$F124*50%-SUM($G124:M124),$F124*10%)))))))+(IF(N$121="5차중도금",$F124*60%-SUM($G124:M124)-$F124*10%,IF(N$121="6차중도금",$F124*70%-SUM($G124:M124)-$F124*10%,0)))</f>
        <v>0</v>
      </c>
      <c r="O124" s="605">
        <f>IF(O$121="입주/잔금",($F124-SUM($G124:N124))*30%,IF(N$121="입주/잔금",($F124-SUM($G124:M124))*50%,IF(M$121="입주/잔금",($F124-SUM($G124:L124))*20%,IF(O$121=0,0,IF(O$121="2차중도금",$F124*30%-SUM($G124:N124),IF(O$121="3차중도금",$F124*40%-SUM($G124:N124),IF(O$121="4차중도금",$F124*50%-SUM($G124:N124),$F124*10%)))))))+(IF(O$121="5차중도금",$F124*60%-SUM($G124:N124)-$F124*10%,IF(O$121="6차중도금",$F124*70%-SUM($G124:N124)-$F124*10%,0)))</f>
        <v>0</v>
      </c>
      <c r="P124" s="605">
        <f>IF(P$121="입주/잔금",($F124-SUM($G124:O124))*30%,IF(O$121="입주/잔금",($F124-SUM($G124:N124))*50%,IF(N$121="입주/잔금",($F124-SUM($G124:M124))*20%,IF(P$121=0,0,IF(P$121="2차중도금",$F124*30%-SUM($G124:O124),IF(P$121="3차중도금",$F124*40%-SUM($G124:O124),IF(P$121="4차중도금",$F124*50%-SUM($G124:O124),$F124*10%)))))))+(IF(P$121="5차중도금",$F124*60%-SUM($G124:O124)-$F124*10%,IF(P$121="6차중도금",$F124*70%-SUM($G124:O124)-$F124*10%,0)))</f>
        <v>0</v>
      </c>
      <c r="Q124" s="605">
        <f>IF(Q$121="입주/잔금",($F124-SUM($G124:P124))*30%,IF(P$121="입주/잔금",($F124-SUM($G124:O124))*50%,IF(O$121="입주/잔금",($F124-SUM($G124:N124))*20%,IF(Q$121=0,0,IF(Q$121="2차중도금",$F124*30%-SUM($G124:P124),IF(Q$121="3차중도금",$F124*40%-SUM($G124:P124),IF(Q$121="4차중도금",$F124*50%-SUM($G124:P124),$F124*10%)))))))+(IF(Q$121="5차중도금",$F124*60%-SUM($G124:P124)-$F124*10%,IF(Q$121="6차중도금",$F124*70%-SUM($G124:P124)-$F124*10%,0)))</f>
        <v>0</v>
      </c>
      <c r="R124" s="605">
        <f>IF(R$121="입주/잔금",($F124-SUM($G124:Q124))*30%,IF(Q$121="입주/잔금",($F124-SUM($G124:P124))*50%,IF(P$121="입주/잔금",($F124-SUM($G124:O124))*20%,IF(R$121=0,0,IF(R$121="2차중도금",$F124*30%-SUM($G124:Q124),IF(R$121="3차중도금",$F124*40%-SUM($G124:Q124),IF(R$121="4차중도금",$F124*50%-SUM($G124:Q124),$F124*10%)))))))+(IF(R$121="5차중도금",$F124*60%-SUM($G124:Q124)-$F124*10%,IF(R$121="6차중도금",$F124*70%-SUM($G124:Q124)-$F124*10%,0)))</f>
        <v>0</v>
      </c>
      <c r="S124" s="605">
        <f>IF(S$121="입주/잔금",($F124-SUM($G124:R124))*30%,IF(R$121="입주/잔금",($F124-SUM($G124:Q124))*50%,IF(Q$121="입주/잔금",($F124-SUM($G124:P124))*20%,IF(S$121=0,0,IF(S$121="2차중도금",$F124*30%-SUM($G124:R124),IF(S$121="3차중도금",$F124*40%-SUM($G124:R124),IF(S$121="4차중도금",$F124*50%-SUM($G124:R124),$F124*10%)))))))+(IF(S$121="5차중도금",$F124*60%-SUM($G124:R124)-$F124*10%,IF(S$121="6차중도금",$F124*70%-SUM($G124:R124)-$F124*10%,0)))</f>
        <v>0</v>
      </c>
      <c r="T124" s="605">
        <f>IF(T$121="입주/잔금",($F124-SUM($G124:S124))*30%,IF(S$121="입주/잔금",($F124-SUM($G124:R124))*50%,IF(R$121="입주/잔금",($F124-SUM($G124:Q124))*20%,IF(T$121=0,0,IF(T$121="2차중도금",$F124*30%-SUM($G124:S124),IF(T$121="3차중도금",$F124*40%-SUM($G124:S124),IF(T$121="4차중도금",$F124*50%-SUM($G124:S124),$F124*10%)))))))+(IF(T$121="5차중도금",$F124*60%-SUM($G124:S124)-$F124*10%,IF(T$121="6차중도금",$F124*70%-SUM($G124:S124)-$F124*10%,0)))</f>
        <v>0</v>
      </c>
      <c r="U124" s="605">
        <f>IF(U$121="입주/잔금",($F124-SUM($G124:T124))*30%,IF(T$121="입주/잔금",($F124-SUM($G124:S124))*50%,IF(S$121="입주/잔금",($F124-SUM($G124:R124))*20%,IF(U$121=0,0,IF(U$121="2차중도금",$F124*30%-SUM($G124:T124),IF(U$121="3차중도금",$F124*40%-SUM($G124:T124),IF(U$121="4차중도금",$F124*50%-SUM($G124:T124),$F124*10%)))))))+(IF(U$121="5차중도금",$F124*60%-SUM($G124:T124)-$F124*10%,IF(U$121="6차중도금",$F124*70%-SUM($G124:T124)-$F124*10%,0)))</f>
        <v>0</v>
      </c>
      <c r="V124" s="605">
        <f>IF(V$121="입주/잔금",($F124-SUM($G124:U124))*30%,IF(U$121="입주/잔금",($F124-SUM($G124:T124))*50%,IF(T$121="입주/잔금",($F124-SUM($G124:S124))*20%,IF(V$121=0,0,IF(V$121="2차중도금",$F124*30%-SUM($G124:U124),IF(V$121="3차중도금",$F124*40%-SUM($G124:U124),IF(V$121="4차중도금",$F124*50%-SUM($G124:U124),$F124*10%)))))))+(IF(V$121="5차중도금",$F124*60%-SUM($G124:U124)-$F124*10%,IF(V$121="6차중도금",$F124*70%-SUM($G124:U124)-$F124*10%,0)))</f>
        <v>0</v>
      </c>
      <c r="W124" s="605">
        <f>IF(W$121="입주/잔금",($F124-SUM($G124:V124))*30%,IF(V$121="입주/잔금",($F124-SUM($G124:U124))*50%,IF(U$121="입주/잔금",($F124-SUM($G124:T124))*20%,IF(W$121=0,0,IF(W$121="2차중도금",$F124*30%-SUM($G124:V124),IF(W$121="3차중도금",$F124*40%-SUM($G124:V124),IF(W$121="4차중도금",$F124*50%-SUM($G124:V124),$F124*10%)))))))+(IF(W$121="5차중도금",$F124*60%-SUM($G124:V124)-$F124*10%,IF(W$121="6차중도금",$F124*70%-SUM($G124:V124)-$F124*10%,0)))</f>
        <v>0</v>
      </c>
      <c r="X124" s="605">
        <f>IF(X$121="입주/잔금",($F124-SUM($G124:W124))*30%,IF(W$121="입주/잔금",($F124-SUM($G124:V124))*50%,IF(V$121="입주/잔금",($F124-SUM($G124:U124))*20%,IF(X$121=0,0,IF(X$121="2차중도금",$F124*30%-SUM($G124:W124),IF(X$121="3차중도금",$F124*40%-SUM($G124:W124),IF(X$121="4차중도금",$F124*50%-SUM($G124:W124),$F124*10%)))))))+(IF(X$121="5차중도금",$F124*60%-SUM($G124:W124)-$F124*10%,IF(X$121="6차중도금",$F124*70%-SUM($G124:W124)-$F124*10%,0)))</f>
        <v>0</v>
      </c>
      <c r="Y124" s="605">
        <f>IF(Y$121="입주/잔금",($F124-SUM($G124:X124))*30%,IF(X$121="입주/잔금",($F124-SUM($G124:W124))*50%,IF(W$121="입주/잔금",($F124-SUM($G124:V124))*20%,IF(Y$121=0,0,IF(Y$121="2차중도금",$F124*30%-SUM($G124:X124),IF(Y$121="3차중도금",$F124*40%-SUM($G124:X124),IF(Y$121="4차중도금",$F124*50%-SUM($G124:X124),$F124*10%)))))))+(IF(Y$121="5차중도금",$F124*60%-SUM($G124:X124)-$F124*10%,IF(Y$121="6차중도금",$F124*70%-SUM($G124:X124)-$F124*10%,0)))</f>
        <v>0</v>
      </c>
      <c r="Z124" s="605">
        <f>IF(Z$121="입주/잔금",($F124-SUM($G124:Y124))*30%,IF(Y$121="입주/잔금",($F124-SUM($G124:X124))*50%,IF(X$121="입주/잔금",($F124-SUM($G124:W124))*20%,IF(Z$121=0,0,IF(Z$121="2차중도금",$F124*30%-SUM($G124:Y124),IF(Z$121="3차중도금",$F124*40%-SUM($G124:Y124),IF(Z$121="4차중도금",$F124*50%-SUM($G124:Y124),$F124*10%)))))))+(IF(Z$121="5차중도금",$F124*60%-SUM($G124:Y124)-$F124*10%,IF(Z$121="6차중도금",$F124*70%-SUM($G124:Y124)-$F124*10%,0)))</f>
        <v>0</v>
      </c>
      <c r="AA124" s="605">
        <f>IF(AA$121="입주/잔금",($F124-SUM($G124:Z124))*30%,IF(Z$121="입주/잔금",($F124-SUM($G124:Y124))*50%,IF(Y$121="입주/잔금",($F124-SUM($G124:X124))*20%,IF(AA$121=0,0,IF(AA$121="2차중도금",$F124*30%-SUM($G124:Z124),IF(AA$121="3차중도금",$F124*40%-SUM($G124:Z124),IF(AA$121="4차중도금",$F124*50%-SUM($G124:Z124),$F124*10%)))))))+(IF(AA$121="5차중도금",$F124*60%-SUM($G124:Z124)-$F124*10%,IF(AA$121="6차중도금",$F124*70%-SUM($G124:Z124)-$F124*10%,0)))</f>
        <v>0</v>
      </c>
      <c r="AB124" s="605">
        <f>IF(AB$121="입주/잔금",($F124-SUM($G124:AA124))*30%,IF(AA$121="입주/잔금",($F124-SUM($G124:Z124))*50%,IF(Z$121="입주/잔금",($F124-SUM($G124:Y124))*20%,IF(AB$121=0,0,IF(AB$121="2차중도금",$F124*30%-SUM($G124:AA124),IF(AB$121="3차중도금",$F124*40%-SUM($G124:AA124),IF(AB$121="4차중도금",$F124*50%-SUM($G124:AA124),$F124*10%)))))))+(IF(AB$121="5차중도금",$F124*60%-SUM($G124:AA124)-$F124*10%,IF(AB$121="6차중도금",$F124*70%-SUM($G124:AA124)-$F124*10%,0)))</f>
        <v>0</v>
      </c>
      <c r="AC124" s="605">
        <f>IF(AC$121="입주/잔금",($F124-SUM($G124:AB124))*30%,IF(AB$121="입주/잔금",($F124-SUM($G124:AA124))*50%,IF(AA$121="입주/잔금",($F124-SUM($G124:Z124))*20%,IF(AC$121=0,0,IF(AC$121="2차중도금",$F124*30%-SUM($G124:AB124),IF(AC$121="3차중도금",$F124*40%-SUM($G124:AB124),IF(AC$121="4차중도금",$F124*50%-SUM($G124:AB124),$F124*10%)))))))+(IF(AC$121="5차중도금",$F124*60%-SUM($G124:AB124)-$F124*10%,IF(AC$121="6차중도금",$F124*70%-SUM($G124:AB124)-$F124*10%,0)))</f>
        <v>0</v>
      </c>
      <c r="AD124" s="605">
        <f>IF(AD$121="입주/잔금",($F124-SUM($G124:AC124))*30%,IF(AC$121="입주/잔금",($F124-SUM($G124:AB124))*50%,IF(AB$121="입주/잔금",($F124-SUM($G124:AA124))*20%,IF(AD$121=0,0,IF(AD$121="2차중도금",$F124*30%-SUM($G124:AC124),IF(AD$121="3차중도금",$F124*40%-SUM($G124:AC124),IF(AD$121="4차중도금",$F124*50%-SUM($G124:AC124),$F124*10%)))))))+(IF(AD$121="5차중도금",$F124*60%-SUM($G124:AC124)-$F124*10%,IF(AD$121="6차중도금",$F124*70%-SUM($G124:AC124)-$F124*10%,0)))</f>
        <v>0</v>
      </c>
      <c r="AE124" s="605">
        <f>IF(AE$121="입주/잔금",($F124-SUM($G124:AD124))*30%,IF(AD$121="입주/잔금",($F124-SUM($G124:AC124))*50%,IF(AC$121="입주/잔금",($F124-SUM($G124:AB124))*20%,IF(AE$121=0,0,IF(AE$121="2차중도금",$F124*30%-SUM($G124:AD124),IF(AE$121="3차중도금",$F124*40%-SUM($G124:AD124),IF(AE$121="4차중도금",$F124*50%-SUM($G124:AD124),$F124*10%)))))))+(IF(AE$121="5차중도금",$F124*60%-SUM($G124:AD124)-$F124*10%,IF(AE$121="6차중도금",$F124*70%-SUM($G124:AD124)-$F124*10%,0)))</f>
        <v>0</v>
      </c>
      <c r="AF124" s="605">
        <f>IF(AF$121="입주/잔금",($F124-SUM($G124:AE124))*30%,IF(AE$121="입주/잔금",($F124-SUM($G124:AD124))*50%,IF(AD$121="입주/잔금",($F124-SUM($G124:AC124))*20%,IF(AF$121=0,0,IF(AF$121="2차중도금",$F124*30%-SUM($G124:AE124),IF(AF$121="3차중도금",$F124*40%-SUM($G124:AE124),IF(AF$121="4차중도금",$F124*50%-SUM($G124:AE124),$F124*10%)))))))+(IF(AF$121="5차중도금",$F124*60%-SUM($G124:AE124)-$F124*10%,IF(AF$121="6차중도금",$F124*70%-SUM($G124:AE124)-$F124*10%,0)))</f>
        <v>0</v>
      </c>
      <c r="AG124" s="605">
        <f>IF(AG$121="입주/잔금",($F124-SUM($G124:AF124))*30%,IF(AF$121="입주/잔금",($F124-SUM($G124:AE124))*50%,IF(AE$121="입주/잔금",($F124-SUM($G124:AD124))*20%,IF(AG$121=0,0,IF(AG$121="2차중도금",$F124*30%-SUM($G124:AF124),IF(AG$121="3차중도금",$F124*40%-SUM($G124:AF124),IF(AG$121="4차중도금",$F124*50%-SUM($G124:AF124),$F124*10%)))))))+(IF(AG$121="5차중도금",$F124*60%-SUM($G124:AF124)-$F124*10%,IF(AG$121="6차중도금",$F124*70%-SUM($G124:AF124)-$F124*10%,0)))</f>
        <v>0</v>
      </c>
      <c r="AH124" s="605">
        <f>IF(AH$121="입주/잔금",($F124-SUM($G124:AG124))*30%,IF(AG$121="입주/잔금",($F124-SUM($G124:AF124))*50%,IF(AF$121="입주/잔금",($F124-SUM($G124:AE124))*20%,IF(AH$121=0,0,IF(AH$121="2차중도금",$F124*30%-SUM($G124:AG124),IF(AH$121="3차중도금",$F124*40%-SUM($G124:AG124),IF(AH$121="4차중도금",$F124*50%-SUM($G124:AG124),$F124*10%)))))))+(IF(AH$121="5차중도금",$F124*60%-SUM($G124:AG124)-$F124*10%,IF(AH$121="6차중도금",$F124*70%-SUM($G124:AG124)-$F124*10%,0)))</f>
        <v>0</v>
      </c>
      <c r="AI124" s="605">
        <f>IF(AI$121="입주/잔금",($F124-SUM($G124:AH124))*30%,IF(AH$121="입주/잔금",($F124-SUM($G124:AG124))*50%,IF(AG$121="입주/잔금",($F124-SUM($G124:AF124))*20%,IF(AI$121=0,0,IF(AI$121="2차중도금",$F124*30%-SUM($G124:AH124),IF(AI$121="3차중도금",$F124*40%-SUM($G124:AH124),IF(AI$121="4차중도금",$F124*50%-SUM($G124:AH124),$F124*10%)))))))+(IF(AI$121="5차중도금",$F124*60%-SUM($G124:AH124)-$F124*10%,IF(AI$121="6차중도금",$F124*70%-SUM($G124:AH124)-$F124*10%,0)))</f>
        <v>0</v>
      </c>
      <c r="AJ124" s="605">
        <f>IF(AJ$121="입주/잔금",($F124-SUM($G124:AI124))*30%,IF(AI$121="입주/잔금",($F124-SUM($G124:AH124))*50%,IF(AH$121="입주/잔금",($F124-SUM($G124:AG124))*20%,IF(AJ$121=0,0,IF(AJ$121="2차중도금",$F124*30%-SUM($G124:AI124),IF(AJ$121="3차중도금",$F124*40%-SUM($G124:AI124),IF(AJ$121="4차중도금",$F124*50%-SUM($G124:AI124),$F124*10%)))))))+(IF(AJ$121="5차중도금",$F124*60%-SUM($G124:AI124)-$F124*10%,IF(AJ$121="6차중도금",$F124*70%-SUM($G124:AI124)-$F124*10%,0)))</f>
        <v>0</v>
      </c>
      <c r="AK124" s="605">
        <f>IF(AK$121="입주/잔금",($F124-SUM($G124:AJ124))*30%,IF(AJ$121="입주/잔금",($F124-SUM($G124:AI124))*50%,IF(AI$121="입주/잔금",($F124-SUM($G124:AH124))*20%,IF(AK$121=0,0,IF(AK$121="2차중도금",$F124*30%-SUM($G124:AJ124),IF(AK$121="3차중도금",$F124*40%-SUM($G124:AJ124),IF(AK$121="4차중도금",$F124*50%-SUM($G124:AJ124),$F124*10%)))))))+(IF(AK$121="5차중도금",$F124*60%-SUM($G124:AJ124)-$F124*10%,IF(AK$121="6차중도금",$F124*70%-SUM($G124:AJ124)-$F124*10%,0)))</f>
        <v>0</v>
      </c>
      <c r="AL124" s="605">
        <f>IF(AL$121="입주/잔금",($F124-SUM($G124:AK124))*30%,IF(AK$121="입주/잔금",($F124-SUM($G124:AJ124))*50%,IF(AJ$121="입주/잔금",($F124-SUM($G124:AI124))*20%,IF(AL$121=0,0,IF(AL$121="2차중도금",$F124*30%-SUM($G124:AK124),IF(AL$121="3차중도금",$F124*40%-SUM($G124:AK124),IF(AL$121="4차중도금",$F124*50%-SUM($G124:AK124),$F124*10%)))))))+(IF(AL$121="5차중도금",$F124*60%-SUM($G124:AK124)-$F124*10%,IF(AL$121="6차중도금",$F124*70%-SUM($G124:AK124)-$F124*10%,0)))</f>
        <v>0</v>
      </c>
      <c r="AM124" s="605">
        <f>IF(AM$121="입주/잔금",($F124-SUM($G124:AL124))*30%,IF(AL$121="입주/잔금",($F124-SUM($G124:AK124))*50%,IF(AK$121="입주/잔금",($F124-SUM($G124:AJ124))*20%,IF(AM$121=0,0,IF(AM$121="2차중도금",$F124*30%-SUM($G124:AL124),IF(AM$121="3차중도금",$F124*40%-SUM($G124:AL124),IF(AM$121="4차중도금",$F124*50%-SUM($G124:AL124),$F124*10%)))))))+(IF(AM$121="5차중도금",$F124*60%-SUM($G124:AL124)-$F124*10%,IF(AM$121="6차중도금",$F124*70%-SUM($G124:AL124)-$F124*10%,0)))</f>
        <v>0</v>
      </c>
      <c r="AN124" s="605">
        <f>IF(AN$121="입주/잔금",($F124-SUM($G124:AM124))*30%,IF(AM$121="입주/잔금",($F124-SUM($G124:AL124))*50%,IF(AL$121="입주/잔금",($F124-SUM($G124:AK124))*20%,IF(AN$121=0,0,IF(AN$121="2차중도금",$F124*30%-SUM($G124:AM124),IF(AN$121="3차중도금",$F124*40%-SUM($G124:AM124),IF(AN$121="4차중도금",$F124*50%-SUM($G124:AM124),$F124*10%)))))))+(IF(AN$121="5차중도금",$F124*60%-SUM($G124:AM124)-$F124*10%,IF(AN$121="6차중도금",$F124*70%-SUM($G124:AM124)-$F124*10%,0)))</f>
        <v>0</v>
      </c>
      <c r="AO124" s="605">
        <f>IF(AO$121="입주/잔금",($F124-SUM($G124:AN124))*30%,IF(AN$121="입주/잔금",($F124-SUM($G124:AM124))*50%,IF(AM$121="입주/잔금",($F124-SUM($G124:AL124))*20%,IF(AO$121=0,0,IF(AO$121="2차중도금",$F124*30%-SUM($G124:AN124),IF(AO$121="3차중도금",$F124*40%-SUM($G124:AN124),IF(AO$121="4차중도금",$F124*50%-SUM($G124:AN124),$F124*10%)))))))+(IF(AO$121="5차중도금",$F124*60%-SUM($G124:AN124)-$F124*10%,IF(AO$121="6차중도금",$F124*70%-SUM($G124:AN124)-$F124*10%,0)))</f>
        <v>0</v>
      </c>
      <c r="AP124" s="605">
        <f>IF(AP$121="입주/잔금",($F124-SUM($G124:AO124))*30%,IF(AO$121="입주/잔금",($F124-SUM($G124:AN124))*50%,IF(AN$121="입주/잔금",($F124-SUM($G124:AM124))*20%,IF(AP$121=0,0,IF(AP$121="2차중도금",$F124*30%-SUM($G124:AO124),IF(AP$121="3차중도금",$F124*40%-SUM($G124:AO124),IF(AP$121="4차중도금",$F124*50%-SUM($G124:AO124),$F124*10%)))))))+(IF(AP$121="5차중도금",$F124*60%-SUM($G124:AO124)-$F124*10%,IF(AP$121="6차중도금",$F124*70%-SUM($G124:AO124)-$F124*10%,0)))</f>
        <v>0</v>
      </c>
      <c r="AQ124" s="605">
        <f>IF(AQ$121="입주/잔금",($F124-SUM($G124:AP124))*30%,IF(AP$121="입주/잔금",($F124-SUM($G124:AO124))*50%,IF(AO$121="입주/잔금",($F124-SUM($G124:AN124))*20%,IF(AQ$121=0,0,IF(AQ$121="2차중도금",$F124*30%-SUM($G124:AP124),IF(AQ$121="3차중도금",$F124*40%-SUM($G124:AP124),IF(AQ$121="4차중도금",$F124*50%-SUM($G124:AP124),$F124*10%)))))))+(IF(AQ$121="5차중도금",$F124*60%-SUM($G124:AP124)-$F124*10%,IF(AQ$121="6차중도금",$F124*70%-SUM($G124:AP124)-$F124*10%,0)))</f>
        <v>0</v>
      </c>
      <c r="AR124" s="605">
        <f>IF(AR$121="입주/잔금",($F124-SUM($G124:AQ124))*30%,IF(AQ$121="입주/잔금",($F124-SUM($G124:AP124))*50%,IF(AP$121="입주/잔금",($F124-SUM($G124:AO124))*20%,IF(AR$121=0,0,IF(AR$121="2차중도금",$F124*30%-SUM($G124:AQ124),IF(AR$121="3차중도금",$F124*40%-SUM($G124:AQ124),IF(AR$121="4차중도금",$F124*50%-SUM($G124:AQ124),$F124*10%)))))))+(IF(AR$121="5차중도금",$F124*60%-SUM($G124:AQ124)-$F124*10%,IF(AR$121="6차중도금",$F124*70%-SUM($G124:AQ124)-$F124*10%,0)))</f>
        <v>0</v>
      </c>
      <c r="AS124" s="605">
        <f>IF(AS$121="입주/잔금",($F124-SUM($G124:AR124))*30%,IF(AR$121="입주/잔금",($F124-SUM($G124:AQ124))*50%,IF(AQ$121="입주/잔금",($F124-SUM($G124:AP124))*20%,IF(AS$121=0,0,IF(AS$121="2차중도금",$F124*30%-SUM($G124:AR124),IF(AS$121="3차중도금",$F124*40%-SUM($G124:AR124),IF(AS$121="4차중도금",$F124*50%-SUM($G124:AR124),$F124*10%)))))))+(IF(AS$121="5차중도금",$F124*60%-SUM($G124:AR124)-$F124*10%,IF(AS$121="6차중도금",$F124*70%-SUM($G124:AR124)-$F124*10%,0)))</f>
        <v>0</v>
      </c>
      <c r="AT124" s="605">
        <f>IF(AT$121="입주/잔금",($F124-SUM($G124:AS124))*30%,IF(AS$121="입주/잔금",($F124-SUM($G124:AR124))*50%,IF(AR$121="입주/잔금",($F124-SUM($G124:AQ124))*20%,IF(AT$121=0,0,IF(AT$121="2차중도금",$F124*30%-SUM($G124:AS124),IF(AT$121="3차중도금",$F124*40%-SUM($G124:AS124),IF(AT$121="4차중도금",$F124*50%-SUM($G124:AS124),$F124*10%)))))))+(IF(AT$121="5차중도금",$F124*60%-SUM($G124:AS124)-$F124*10%,IF(AT$121="6차중도금",$F124*70%-SUM($G124:AS124)-$F124*10%,0)))</f>
        <v>0</v>
      </c>
      <c r="AU124" s="605">
        <f>IF(AU$121="입주/잔금",($F124-SUM($G124:AT124))*30%,IF(AT$121="입주/잔금",($F124-SUM($G124:AS124))*50%,IF(AS$121="입주/잔금",($F124-SUM($G124:AR124))*20%,IF(AU$121=0,0,IF(AU$121="2차중도금",$F124*30%-SUM($G124:AT124),IF(AU$121="3차중도금",$F124*40%-SUM($G124:AT124),IF(AU$121="4차중도금",$F124*50%-SUM($G124:AT124),$F124*10%)))))))+(IF(AU$121="5차중도금",$F124*60%-SUM($G124:AT124)-$F124*10%,IF(AU$121="6차중도금",$F124*70%-SUM($G124:AT124)-$F124*10%,0)))</f>
        <v>0</v>
      </c>
      <c r="AV124" s="605">
        <f>IF(AV$121="입주/잔금",($F124-SUM($G124:AU124))*30%,IF(AU$121="입주/잔금",($F124-SUM($G124:AT124))*50%,IF(AT$121="입주/잔금",($F124-SUM($G124:AS124))*20%,IF(AV$121=0,0,IF(AV$121="2차중도금",$F124*30%-SUM($G124:AU124),IF(AV$121="3차중도금",$F124*40%-SUM($G124:AU124),IF(AV$121="4차중도금",$F124*50%-SUM($G124:AU124),$F124*10%)))))))+(IF(AV$121="5차중도금",$F124*60%-SUM($G124:AU124)-$F124*10%,IF(AV$121="6차중도금",$F124*70%-SUM($G124:AU124)-$F124*10%,0)))</f>
        <v>0</v>
      </c>
      <c r="AW124" s="605">
        <f>IF(AW$121="입주/잔금",($F124-SUM($G124:AV124))*30%,IF(AV$121="입주/잔금",($F124-SUM($G124:AU124))*50%,IF(AU$121="입주/잔금",($F124-SUM($G124:AT124))*20%,IF(AW$121=0,0,IF(AW$121="2차중도금",$F124*30%-SUM($G124:AV124),IF(AW$121="3차중도금",$F124*40%-SUM($G124:AV124),IF(AW$121="4차중도금",$F124*50%-SUM($G124:AV124),$F124*10%)))))))+(IF(AW$121="5차중도금",$F124*60%-SUM($G124:AV124)-$F124*10%,IF(AW$121="6차중도금",$F124*70%-SUM($G124:AV124)-$F124*10%,0)))</f>
        <v>0</v>
      </c>
      <c r="AX124" s="605">
        <f>IF(AX$121="입주/잔금",($F124-SUM($G124:AW124))*30%,IF(AW$121="입주/잔금",($F124-SUM($G124:AV124))*50%,IF(AV$121="입주/잔금",($F124-SUM($G124:AU124))*20%,IF(AX$121=0,0,IF(AX$121="2차중도금",$F124*30%-SUM($G124:AW124),IF(AX$121="3차중도금",$F124*40%-SUM($G124:AW124),IF(AX$121="4차중도금",$F124*50%-SUM($G124:AW124),$F124*10%)))))))+(IF(AX$121="5차중도금",$F124*60%-SUM($G124:AW124)-$F124*10%,IF(AX$121="6차중도금",$F124*70%-SUM($G124:AW124)-$F124*10%,0)))</f>
        <v>0</v>
      </c>
      <c r="AY124" s="605">
        <f>IF(AY$121="입주/잔금",($F124-SUM($G124:AX124))*30%,IF(AX$121="입주/잔금",($F124-SUM($G124:AW124))*50%,IF(AW$121="입주/잔금",($F124-SUM($G124:AV124))*20%,IF(AY$121=0,0,IF(AY$121="2차중도금",$F124*30%-SUM($G124:AX124),IF(AY$121="3차중도금",$F124*40%-SUM($G124:AX124),IF(AY$121="4차중도금",$F124*50%-SUM($G124:AX124),$F124*10%)))))))+(IF(AY$121="5차중도금",$F124*60%-SUM($G124:AX124)-$F124*10%,IF(AY$121="6차중도금",$F124*70%-SUM($G124:AX124)-$F124*10%,0)))</f>
        <v>0</v>
      </c>
      <c r="AZ124" s="605">
        <f>IF(AZ$121="입주/잔금",($F124-SUM($G124:AY124))*30%,IF(AY$121="입주/잔금",($F124-SUM($G124:AX124))*50%,IF(AX$121="입주/잔금",($F124-SUM($G124:AW124))*20%,IF(AZ$121=0,0,IF(AZ$121="2차중도금",$F124*30%-SUM($G124:AY124),IF(AZ$121="3차중도금",$F124*40%-SUM($G124:AY124),IF(AZ$121="4차중도금",$F124*50%-SUM($G124:AY124),$F124*10%)))))))+(IF(AZ$121="5차중도금",$F124*60%-SUM($G124:AY124)-$F124*10%,IF(AZ$121="6차중도금",$F124*70%-SUM($G124:AY124)-$F124*10%,0)))</f>
        <v>0</v>
      </c>
      <c r="BA124" s="605">
        <f>IF(BA$121="입주/잔금",($F124-SUM($G124:AZ124))*30%,IF(AZ$121="입주/잔금",($F124-SUM($G124:AY124))*50%,IF(AY$121="입주/잔금",($F124-SUM($G124:AX124))*20%,IF(BA$121=0,0,IF(BA$121="2차중도금",$F124*30%-SUM($G124:AZ124),IF(BA$121="3차중도금",$F124*40%-SUM($G124:AZ124),IF(BA$121="4차중도금",$F124*50%-SUM($G124:AZ124),$F124*10%)))))))+(IF(BA$121="5차중도금",$F124*60%-SUM($G124:AZ124)-$F124*10%,IF(BA$121="6차중도금",$F124*70%-SUM($G124:AZ124)-$F124*10%,0)))</f>
        <v>0</v>
      </c>
      <c r="BB124" s="605">
        <f>IF(BB$121="입주/잔금",($F124-SUM($G124:BA124))*30%,IF(BA$121="입주/잔금",($F124-SUM($G124:AZ124))*50%,IF(AZ$121="입주/잔금",($F124-SUM($G124:AY124))*20%,IF(BB$121=0,0,IF(BB$121="2차중도금",$F124*30%-SUM($G124:BA124),IF(BB$121="3차중도금",$F124*40%-SUM($G124:BA124),IF(BB$121="4차중도금",$F124*50%-SUM($G124:BA124),$F124*10%)))))))+(IF(BB$121="5차중도금",$F124*60%-SUM($G124:BA124)-$F124*10%,IF(BB$121="6차중도금",$F124*70%-SUM($G124:BA124)-$F124*10%,0)))</f>
        <v>0</v>
      </c>
      <c r="BC124" s="605">
        <f>IF(BC$121="입주/잔금",($F124-SUM($G124:BB124))*30%,IF(BB$121="입주/잔금",($F124-SUM($G124:BA124))*50%,IF(BA$121="입주/잔금",($F124-SUM($G124:AZ124))*20%,IF(BC$121=0,0,IF(BC$121="2차중도금",$F124*30%-SUM($G124:BB124),IF(BC$121="3차중도금",$F124*40%-SUM($G124:BB124),IF(BC$121="4차중도금",$F124*50%-SUM($G124:BB124),$F124*10%)))))))+(IF(BC$121="5차중도금",$F124*60%-SUM($G124:BB124)-$F124*10%,IF(BC$121="6차중도금",$F124*70%-SUM($G124:BB124)-$F124*10%,0)))</f>
        <v>0</v>
      </c>
      <c r="BD124" s="605">
        <f>IF(BD$121="입주/잔금",($F124-SUM($G124:BC124))*30%,IF(BC$121="입주/잔금",($F124-SUM($G124:BB124))*50%,IF(BB$121="입주/잔금",($F124-SUM($G124:BA124))*20%,IF(BD$121=0,0,IF(BD$121="2차중도금",$F124*30%-SUM($G124:BC124),IF(BD$121="3차중도금",$F124*40%-SUM($G124:BC124),IF(BD$121="4차중도금",$F124*50%-SUM($G124:BC124),$F124*10%)))))))+(IF(BD$121="5차중도금",$F124*60%-SUM($G124:BC124)-$F124*10%,IF(BD$121="6차중도금",$F124*70%-SUM($G124:BC124)-$F124*10%,0)))</f>
        <v>0</v>
      </c>
      <c r="BE124" s="605">
        <f>IF(BE$121="입주/잔금",($F124-SUM($G124:BD124))*30%,IF(BD$121="입주/잔금",($F124-SUM($G124:BC124))*50%,IF(BC$121="입주/잔금",($F124-SUM($G124:BB124))*20%,IF(BE$121=0,0,IF(BE$121="2차중도금",$F124*30%-SUM($G124:BD124),IF(BE$121="3차중도금",$F124*40%-SUM($G124:BD124),IF(BE$121="4차중도금",$F124*50%-SUM($G124:BD124),$F124*10%)))))))+(IF(BE$121="5차중도금",$F124*60%-SUM($G124:BD124)-$F124*10%,IF(BE$121="6차중도금",$F124*70%-SUM($G124:BD124)-$F124*10%,0)))</f>
        <v>0</v>
      </c>
      <c r="BF124" s="609">
        <f t="shared" si="43"/>
        <v>0</v>
      </c>
      <c r="BG124" s="556">
        <f t="shared" si="45"/>
        <v>0</v>
      </c>
      <c r="BH124" s="610"/>
    </row>
    <row r="125" spans="1:60">
      <c r="A125" s="1867"/>
      <c r="B125" s="611">
        <f t="shared" si="46"/>
        <v>44927</v>
      </c>
      <c r="C125" s="605">
        <f t="shared" si="47"/>
        <v>21284968.815239683</v>
      </c>
      <c r="D125" s="1501"/>
      <c r="E125" s="607">
        <f t="shared" si="48"/>
        <v>0</v>
      </c>
      <c r="F125" s="608">
        <f t="shared" si="44"/>
        <v>0</v>
      </c>
      <c r="G125" s="605"/>
      <c r="H125" s="605"/>
      <c r="I125" s="605"/>
      <c r="J125" s="605">
        <f>$F125*10%</f>
        <v>0</v>
      </c>
      <c r="K125" s="605">
        <f>IF(K$121="입주/잔금",($F125-SUM($G125:J125))*30%,IF(J$121="입주/잔금",($F125-SUM($G125:I125))*50%,IF(I$121="입주/잔금",($F125-SUM($G125:H125))*20%,IF(K$121=0,0,IF(K$121="2차중도금",$F125*30%-SUM($G125:J125),IF(K$121="3차중도금",$F125*40%-SUM($G125:J125),IF(K$121="4차중도금",$F125*50%-SUM($G125:J125),$F125*10%)))))))+(IF(K$121="5차중도금",$F125*60%-SUM($G125:J125)-$F125*10%,IF(K$121="6차중도금",$F125*70%-SUM($G125:J125)-$F125*10%,0)))</f>
        <v>0</v>
      </c>
      <c r="L125" s="605">
        <f>IF(L$121="입주/잔금",($F125-SUM($G125:K125))*30%,IF(K$121="입주/잔금",($F125-SUM($G125:J125))*50%,IF(J$121="입주/잔금",($F125-SUM($G125:I125))*20%,IF(L$121=0,0,IF(L$121="2차중도금",$F125*30%-SUM($G125:K125),IF(L$121="3차중도금",$F125*40%-SUM($G125:K125),IF(L$121="4차중도금",$F125*50%-SUM($G125:K125),$F125*10%)))))))+(IF(L$121="5차중도금",$F125*60%-SUM($G125:K125)-$F125*10%,IF(L$121="6차중도금",$F125*70%-SUM($G125:K125)-$F125*10%,0)))</f>
        <v>0</v>
      </c>
      <c r="M125" s="605">
        <f>IF(M$121="입주/잔금",($F125-SUM($G125:L125))*30%,IF(L$121="입주/잔금",($F125-SUM($G125:K125))*50%,IF(K$121="입주/잔금",($F125-SUM($G125:J125))*20%,IF(M$121=0,0,IF(M$121="2차중도금",$F125*30%-SUM($G125:L125),IF(M$121="3차중도금",$F125*40%-SUM($G125:L125),IF(M$121="4차중도금",$F125*50%-SUM($G125:L125),$F125*10%)))))))+(IF(M$121="5차중도금",$F125*60%-SUM($G125:L125)-$F125*10%,IF(M$121="6차중도금",$F125*70%-SUM($G125:L125)-$F125*10%,0)))</f>
        <v>0</v>
      </c>
      <c r="N125" s="605">
        <f>IF(N$121="입주/잔금",($F125-SUM($G125:M125))*30%,IF(M$121="입주/잔금",($F125-SUM($G125:L125))*50%,IF(L$121="입주/잔금",($F125-SUM($G125:K125))*20%,IF(N$121=0,0,IF(N$121="2차중도금",$F125*30%-SUM($G125:M125),IF(N$121="3차중도금",$F125*40%-SUM($G125:M125),IF(N$121="4차중도금",$F125*50%-SUM($G125:M125),$F125*10%)))))))+(IF(N$121="5차중도금",$F125*60%-SUM($G125:M125)-$F125*10%,IF(N$121="6차중도금",$F125*70%-SUM($G125:M125)-$F125*10%,0)))</f>
        <v>0</v>
      </c>
      <c r="O125" s="605">
        <f>IF(O$121="입주/잔금",($F125-SUM($G125:N125))*30%,IF(N$121="입주/잔금",($F125-SUM($G125:M125))*50%,IF(M$121="입주/잔금",($F125-SUM($G125:L125))*20%,IF(O$121=0,0,IF(O$121="2차중도금",$F125*30%-SUM($G125:N125),IF(O$121="3차중도금",$F125*40%-SUM($G125:N125),IF(O$121="4차중도금",$F125*50%-SUM($G125:N125),$F125*10%)))))))+(IF(O$121="5차중도금",$F125*60%-SUM($G125:N125)-$F125*10%,IF(O$121="6차중도금",$F125*70%-SUM($G125:N125)-$F125*10%,0)))</f>
        <v>0</v>
      </c>
      <c r="P125" s="605">
        <f>IF(P$121="입주/잔금",($F125-SUM($G125:O125))*30%,IF(O$121="입주/잔금",($F125-SUM($G125:N125))*50%,IF(N$121="입주/잔금",($F125-SUM($G125:M125))*20%,IF(P$121=0,0,IF(P$121="2차중도금",$F125*30%-SUM($G125:O125),IF(P$121="3차중도금",$F125*40%-SUM($G125:O125),IF(P$121="4차중도금",$F125*50%-SUM($G125:O125),$F125*10%)))))))+(IF(P$121="5차중도금",$F125*60%-SUM($G125:O125)-$F125*10%,IF(P$121="6차중도금",$F125*70%-SUM($G125:O125)-$F125*10%,0)))</f>
        <v>0</v>
      </c>
      <c r="Q125" s="605">
        <f>IF(Q$121="입주/잔금",($F125-SUM($G125:P125))*30%,IF(P$121="입주/잔금",($F125-SUM($G125:O125))*50%,IF(O$121="입주/잔금",($F125-SUM($G125:N125))*20%,IF(Q$121=0,0,IF(Q$121="2차중도금",$F125*30%-SUM($G125:P125),IF(Q$121="3차중도금",$F125*40%-SUM($G125:P125),IF(Q$121="4차중도금",$F125*50%-SUM($G125:P125),$F125*10%)))))))+(IF(Q$121="5차중도금",$F125*60%-SUM($G125:P125)-$F125*10%,IF(Q$121="6차중도금",$F125*70%-SUM($G125:P125)-$F125*10%,0)))</f>
        <v>0</v>
      </c>
      <c r="R125" s="605">
        <f>IF(R$121="입주/잔금",($F125-SUM($G125:Q125))*30%,IF(Q$121="입주/잔금",($F125-SUM($G125:P125))*50%,IF(P$121="입주/잔금",($F125-SUM($G125:O125))*20%,IF(R$121=0,0,IF(R$121="2차중도금",$F125*30%-SUM($G125:Q125),IF(R$121="3차중도금",$F125*40%-SUM($G125:Q125),IF(R$121="4차중도금",$F125*50%-SUM($G125:Q125),$F125*10%)))))))+(IF(R$121="5차중도금",$F125*60%-SUM($G125:Q125)-$F125*10%,IF(R$121="6차중도금",$F125*70%-SUM($G125:Q125)-$F125*10%,0)))</f>
        <v>0</v>
      </c>
      <c r="S125" s="605">
        <f>IF(S$121="입주/잔금",($F125-SUM($G125:R125))*30%,IF(R$121="입주/잔금",($F125-SUM($G125:Q125))*50%,IF(Q$121="입주/잔금",($F125-SUM($G125:P125))*20%,IF(S$121=0,0,IF(S$121="2차중도금",$F125*30%-SUM($G125:R125),IF(S$121="3차중도금",$F125*40%-SUM($G125:R125),IF(S$121="4차중도금",$F125*50%-SUM($G125:R125),$F125*10%)))))))+(IF(S$121="5차중도금",$F125*60%-SUM($G125:R125)-$F125*10%,IF(S$121="6차중도금",$F125*70%-SUM($G125:R125)-$F125*10%,0)))</f>
        <v>0</v>
      </c>
      <c r="T125" s="605">
        <f>IF(T$121="입주/잔금",($F125-SUM($G125:S125))*30%,IF(S$121="입주/잔금",($F125-SUM($G125:R125))*50%,IF(R$121="입주/잔금",($F125-SUM($G125:Q125))*20%,IF(T$121=0,0,IF(T$121="2차중도금",$F125*30%-SUM($G125:S125),IF(T$121="3차중도금",$F125*40%-SUM($G125:S125),IF(T$121="4차중도금",$F125*50%-SUM($G125:S125),$F125*10%)))))))+(IF(T$121="5차중도금",$F125*60%-SUM($G125:S125)-$F125*10%,IF(T$121="6차중도금",$F125*70%-SUM($G125:S125)-$F125*10%,0)))</f>
        <v>0</v>
      </c>
      <c r="U125" s="605">
        <f>IF(U$121="입주/잔금",($F125-SUM($G125:T125))*30%,IF(T$121="입주/잔금",($F125-SUM($G125:S125))*50%,IF(S$121="입주/잔금",($F125-SUM($G125:R125))*20%,IF(U$121=0,0,IF(U$121="2차중도금",$F125*30%-SUM($G125:T125),IF(U$121="3차중도금",$F125*40%-SUM($G125:T125),IF(U$121="4차중도금",$F125*50%-SUM($G125:T125),$F125*10%)))))))+(IF(U$121="5차중도금",$F125*60%-SUM($G125:T125)-$F125*10%,IF(U$121="6차중도금",$F125*70%-SUM($G125:T125)-$F125*10%,0)))</f>
        <v>0</v>
      </c>
      <c r="V125" s="605">
        <f>IF(V$121="입주/잔금",($F125-SUM($G125:U125))*30%,IF(U$121="입주/잔금",($F125-SUM($G125:T125))*50%,IF(T$121="입주/잔금",($F125-SUM($G125:S125))*20%,IF(V$121=0,0,IF(V$121="2차중도금",$F125*30%-SUM($G125:U125),IF(V$121="3차중도금",$F125*40%-SUM($G125:U125),IF(V$121="4차중도금",$F125*50%-SUM($G125:U125),$F125*10%)))))))+(IF(V$121="5차중도금",$F125*60%-SUM($G125:U125)-$F125*10%,IF(V$121="6차중도금",$F125*70%-SUM($G125:U125)-$F125*10%,0)))</f>
        <v>0</v>
      </c>
      <c r="W125" s="605">
        <f>IF(W$121="입주/잔금",($F125-SUM($G125:V125))*30%,IF(V$121="입주/잔금",($F125-SUM($G125:U125))*50%,IF(U$121="입주/잔금",($F125-SUM($G125:T125))*20%,IF(W$121=0,0,IF(W$121="2차중도금",$F125*30%-SUM($G125:V125),IF(W$121="3차중도금",$F125*40%-SUM($G125:V125),IF(W$121="4차중도금",$F125*50%-SUM($G125:V125),$F125*10%)))))))+(IF(W$121="5차중도금",$F125*60%-SUM($G125:V125)-$F125*10%,IF(W$121="6차중도금",$F125*70%-SUM($G125:V125)-$F125*10%,0)))</f>
        <v>0</v>
      </c>
      <c r="X125" s="605">
        <f>IF(X$121="입주/잔금",($F125-SUM($G125:W125))*30%,IF(W$121="입주/잔금",($F125-SUM($G125:V125))*50%,IF(V$121="입주/잔금",($F125-SUM($G125:U125))*20%,IF(X$121=0,0,IF(X$121="2차중도금",$F125*30%-SUM($G125:W125),IF(X$121="3차중도금",$F125*40%-SUM($G125:W125),IF(X$121="4차중도금",$F125*50%-SUM($G125:W125),$F125*10%)))))))+(IF(X$121="5차중도금",$F125*60%-SUM($G125:W125)-$F125*10%,IF(X$121="6차중도금",$F125*70%-SUM($G125:W125)-$F125*10%,0)))</f>
        <v>0</v>
      </c>
      <c r="Y125" s="605">
        <f>IF(Y$121="입주/잔금",($F125-SUM($G125:X125))*30%,IF(X$121="입주/잔금",($F125-SUM($G125:W125))*50%,IF(W$121="입주/잔금",($F125-SUM($G125:V125))*20%,IF(Y$121=0,0,IF(Y$121="2차중도금",$F125*30%-SUM($G125:X125),IF(Y$121="3차중도금",$F125*40%-SUM($G125:X125),IF(Y$121="4차중도금",$F125*50%-SUM($G125:X125),$F125*10%)))))))+(IF(Y$121="5차중도금",$F125*60%-SUM($G125:X125)-$F125*10%,IF(Y$121="6차중도금",$F125*70%-SUM($G125:X125)-$F125*10%,0)))</f>
        <v>0</v>
      </c>
      <c r="Z125" s="605">
        <f>IF(Z$121="입주/잔금",($F125-SUM($G125:Y125))*30%,IF(Y$121="입주/잔금",($F125-SUM($G125:X125))*50%,IF(X$121="입주/잔금",($F125-SUM($G125:W125))*20%,IF(Z$121=0,0,IF(Z$121="2차중도금",$F125*30%-SUM($G125:Y125),IF(Z$121="3차중도금",$F125*40%-SUM($G125:Y125),IF(Z$121="4차중도금",$F125*50%-SUM($G125:Y125),$F125*10%)))))))+(IF(Z$121="5차중도금",$F125*60%-SUM($G125:Y125)-$F125*10%,IF(Z$121="6차중도금",$F125*70%-SUM($G125:Y125)-$F125*10%,0)))</f>
        <v>0</v>
      </c>
      <c r="AA125" s="605">
        <f>IF(AA$121="입주/잔금",($F125-SUM($G125:Z125))*30%,IF(Z$121="입주/잔금",($F125-SUM($G125:Y125))*50%,IF(Y$121="입주/잔금",($F125-SUM($G125:X125))*20%,IF(AA$121=0,0,IF(AA$121="2차중도금",$F125*30%-SUM($G125:Z125),IF(AA$121="3차중도금",$F125*40%-SUM($G125:Z125),IF(AA$121="4차중도금",$F125*50%-SUM($G125:Z125),$F125*10%)))))))+(IF(AA$121="5차중도금",$F125*60%-SUM($G125:Z125)-$F125*10%,IF(AA$121="6차중도금",$F125*70%-SUM($G125:Z125)-$F125*10%,0)))</f>
        <v>0</v>
      </c>
      <c r="AB125" s="605">
        <f>IF(AB$121="입주/잔금",($F125-SUM($G125:AA125))*30%,IF(AA$121="입주/잔금",($F125-SUM($G125:Z125))*50%,IF(Z$121="입주/잔금",($F125-SUM($G125:Y125))*20%,IF(AB$121=0,0,IF(AB$121="2차중도금",$F125*30%-SUM($G125:AA125),IF(AB$121="3차중도금",$F125*40%-SUM($G125:AA125),IF(AB$121="4차중도금",$F125*50%-SUM($G125:AA125),$F125*10%)))))))+(IF(AB$121="5차중도금",$F125*60%-SUM($G125:AA125)-$F125*10%,IF(AB$121="6차중도금",$F125*70%-SUM($G125:AA125)-$F125*10%,0)))</f>
        <v>0</v>
      </c>
      <c r="AC125" s="605">
        <f>IF(AC$121="입주/잔금",($F125-SUM($G125:AB125))*30%,IF(AB$121="입주/잔금",($F125-SUM($G125:AA125))*50%,IF(AA$121="입주/잔금",($F125-SUM($G125:Z125))*20%,IF(AC$121=0,0,IF(AC$121="2차중도금",$F125*30%-SUM($G125:AB125),IF(AC$121="3차중도금",$F125*40%-SUM($G125:AB125),IF(AC$121="4차중도금",$F125*50%-SUM($G125:AB125),$F125*10%)))))))+(IF(AC$121="5차중도금",$F125*60%-SUM($G125:AB125)-$F125*10%,IF(AC$121="6차중도금",$F125*70%-SUM($G125:AB125)-$F125*10%,0)))</f>
        <v>0</v>
      </c>
      <c r="AD125" s="605">
        <f>IF(AD$121="입주/잔금",($F125-SUM($G125:AC125))*30%,IF(AC$121="입주/잔금",($F125-SUM($G125:AB125))*50%,IF(AB$121="입주/잔금",($F125-SUM($G125:AA125))*20%,IF(AD$121=0,0,IF(AD$121="2차중도금",$F125*30%-SUM($G125:AC125),IF(AD$121="3차중도금",$F125*40%-SUM($G125:AC125),IF(AD$121="4차중도금",$F125*50%-SUM($G125:AC125),$F125*10%)))))))+(IF(AD$121="5차중도금",$F125*60%-SUM($G125:AC125)-$F125*10%,IF(AD$121="6차중도금",$F125*70%-SUM($G125:AC125)-$F125*10%,0)))</f>
        <v>0</v>
      </c>
      <c r="AE125" s="605">
        <f>IF(AE$121="입주/잔금",($F125-SUM($G125:AD125))*30%,IF(AD$121="입주/잔금",($F125-SUM($G125:AC125))*50%,IF(AC$121="입주/잔금",($F125-SUM($G125:AB125))*20%,IF(AE$121=0,0,IF(AE$121="2차중도금",$F125*30%-SUM($G125:AD125),IF(AE$121="3차중도금",$F125*40%-SUM($G125:AD125),IF(AE$121="4차중도금",$F125*50%-SUM($G125:AD125),$F125*10%)))))))+(IF(AE$121="5차중도금",$F125*60%-SUM($G125:AD125)-$F125*10%,IF(AE$121="6차중도금",$F125*70%-SUM($G125:AD125)-$F125*10%,0)))</f>
        <v>0</v>
      </c>
      <c r="AF125" s="605">
        <f>IF(AF$121="입주/잔금",($F125-SUM($G125:AE125))*30%,IF(AE$121="입주/잔금",($F125-SUM($G125:AD125))*50%,IF(AD$121="입주/잔금",($F125-SUM($G125:AC125))*20%,IF(AF$121=0,0,IF(AF$121="2차중도금",$F125*30%-SUM($G125:AE125),IF(AF$121="3차중도금",$F125*40%-SUM($G125:AE125),IF(AF$121="4차중도금",$F125*50%-SUM($G125:AE125),$F125*10%)))))))+(IF(AF$121="5차중도금",$F125*60%-SUM($G125:AE125)-$F125*10%,IF(AF$121="6차중도금",$F125*70%-SUM($G125:AE125)-$F125*10%,0)))</f>
        <v>0</v>
      </c>
      <c r="AG125" s="605">
        <f>IF(AG$121="입주/잔금",($F125-SUM($G125:AF125))*30%,IF(AF$121="입주/잔금",($F125-SUM($G125:AE125))*50%,IF(AE$121="입주/잔금",($F125-SUM($G125:AD125))*20%,IF(AG$121=0,0,IF(AG$121="2차중도금",$F125*30%-SUM($G125:AF125),IF(AG$121="3차중도금",$F125*40%-SUM($G125:AF125),IF(AG$121="4차중도금",$F125*50%-SUM($G125:AF125),$F125*10%)))))))+(IF(AG$121="5차중도금",$F125*60%-SUM($G125:AF125)-$F125*10%,IF(AG$121="6차중도금",$F125*70%-SUM($G125:AF125)-$F125*10%,0)))</f>
        <v>0</v>
      </c>
      <c r="AH125" s="605">
        <f>IF(AH$121="입주/잔금",($F125-SUM($G125:AG125))*30%,IF(AG$121="입주/잔금",($F125-SUM($G125:AF125))*50%,IF(AF$121="입주/잔금",($F125-SUM($G125:AE125))*20%,IF(AH$121=0,0,IF(AH$121="2차중도금",$F125*30%-SUM($G125:AG125),IF(AH$121="3차중도금",$F125*40%-SUM($G125:AG125),IF(AH$121="4차중도금",$F125*50%-SUM($G125:AG125),$F125*10%)))))))+(IF(AH$121="5차중도금",$F125*60%-SUM($G125:AG125)-$F125*10%,IF(AH$121="6차중도금",$F125*70%-SUM($G125:AG125)-$F125*10%,0)))</f>
        <v>0</v>
      </c>
      <c r="AI125" s="605">
        <f>IF(AI$121="입주/잔금",($F125-SUM($G125:AH125))*30%,IF(AH$121="입주/잔금",($F125-SUM($G125:AG125))*50%,IF(AG$121="입주/잔금",($F125-SUM($G125:AF125))*20%,IF(AI$121=0,0,IF(AI$121="2차중도금",$F125*30%-SUM($G125:AH125),IF(AI$121="3차중도금",$F125*40%-SUM($G125:AH125),IF(AI$121="4차중도금",$F125*50%-SUM($G125:AH125),$F125*10%)))))))+(IF(AI$121="5차중도금",$F125*60%-SUM($G125:AH125)-$F125*10%,IF(AI$121="6차중도금",$F125*70%-SUM($G125:AH125)-$F125*10%,0)))</f>
        <v>0</v>
      </c>
      <c r="AJ125" s="605">
        <f>IF(AJ$121="입주/잔금",($F125-SUM($G125:AI125))*30%,IF(AI$121="입주/잔금",($F125-SUM($G125:AH125))*50%,IF(AH$121="입주/잔금",($F125-SUM($G125:AG125))*20%,IF(AJ$121=0,0,IF(AJ$121="2차중도금",$F125*30%-SUM($G125:AI125),IF(AJ$121="3차중도금",$F125*40%-SUM($G125:AI125),IF(AJ$121="4차중도금",$F125*50%-SUM($G125:AI125),$F125*10%)))))))+(IF(AJ$121="5차중도금",$F125*60%-SUM($G125:AI125)-$F125*10%,IF(AJ$121="6차중도금",$F125*70%-SUM($G125:AI125)-$F125*10%,0)))</f>
        <v>0</v>
      </c>
      <c r="AK125" s="605">
        <f>IF(AK$121="입주/잔금",($F125-SUM($G125:AJ125))*30%,IF(AJ$121="입주/잔금",($F125-SUM($G125:AI125))*50%,IF(AI$121="입주/잔금",($F125-SUM($G125:AH125))*20%,IF(AK$121=0,0,IF(AK$121="2차중도금",$F125*30%-SUM($G125:AJ125),IF(AK$121="3차중도금",$F125*40%-SUM($G125:AJ125),IF(AK$121="4차중도금",$F125*50%-SUM($G125:AJ125),$F125*10%)))))))+(IF(AK$121="5차중도금",$F125*60%-SUM($G125:AJ125)-$F125*10%,IF(AK$121="6차중도금",$F125*70%-SUM($G125:AJ125)-$F125*10%,0)))</f>
        <v>0</v>
      </c>
      <c r="AL125" s="605">
        <f>IF(AL$121="입주/잔금",($F125-SUM($G125:AK125))*30%,IF(AK$121="입주/잔금",($F125-SUM($G125:AJ125))*50%,IF(AJ$121="입주/잔금",($F125-SUM($G125:AI125))*20%,IF(AL$121=0,0,IF(AL$121="2차중도금",$F125*30%-SUM($G125:AK125),IF(AL$121="3차중도금",$F125*40%-SUM($G125:AK125),IF(AL$121="4차중도금",$F125*50%-SUM($G125:AK125),$F125*10%)))))))+(IF(AL$121="5차중도금",$F125*60%-SUM($G125:AK125)-$F125*10%,IF(AL$121="6차중도금",$F125*70%-SUM($G125:AK125)-$F125*10%,0)))</f>
        <v>0</v>
      </c>
      <c r="AM125" s="605">
        <f>IF(AM$121="입주/잔금",($F125-SUM($G125:AL125))*30%,IF(AL$121="입주/잔금",($F125-SUM($G125:AK125))*50%,IF(AK$121="입주/잔금",($F125-SUM($G125:AJ125))*20%,IF(AM$121=0,0,IF(AM$121="2차중도금",$F125*30%-SUM($G125:AL125),IF(AM$121="3차중도금",$F125*40%-SUM($G125:AL125),IF(AM$121="4차중도금",$F125*50%-SUM($G125:AL125),$F125*10%)))))))+(IF(AM$121="5차중도금",$F125*60%-SUM($G125:AL125)-$F125*10%,IF(AM$121="6차중도금",$F125*70%-SUM($G125:AL125)-$F125*10%,0)))</f>
        <v>0</v>
      </c>
      <c r="AN125" s="605">
        <f>IF(AN$121="입주/잔금",($F125-SUM($G125:AM125))*30%,IF(AM$121="입주/잔금",($F125-SUM($G125:AL125))*50%,IF(AL$121="입주/잔금",($F125-SUM($G125:AK125))*20%,IF(AN$121=0,0,IF(AN$121="2차중도금",$F125*30%-SUM($G125:AM125),IF(AN$121="3차중도금",$F125*40%-SUM($G125:AM125),IF(AN$121="4차중도금",$F125*50%-SUM($G125:AM125),$F125*10%)))))))+(IF(AN$121="5차중도금",$F125*60%-SUM($G125:AM125)-$F125*10%,IF(AN$121="6차중도금",$F125*70%-SUM($G125:AM125)-$F125*10%,0)))</f>
        <v>0</v>
      </c>
      <c r="AO125" s="605">
        <f>IF(AO$121="입주/잔금",($F125-SUM($G125:AN125))*30%,IF(AN$121="입주/잔금",($F125-SUM($G125:AM125))*50%,IF(AM$121="입주/잔금",($F125-SUM($G125:AL125))*20%,IF(AO$121=0,0,IF(AO$121="2차중도금",$F125*30%-SUM($G125:AN125),IF(AO$121="3차중도금",$F125*40%-SUM($G125:AN125),IF(AO$121="4차중도금",$F125*50%-SUM($G125:AN125),$F125*10%)))))))+(IF(AO$121="5차중도금",$F125*60%-SUM($G125:AN125)-$F125*10%,IF(AO$121="6차중도금",$F125*70%-SUM($G125:AN125)-$F125*10%,0)))</f>
        <v>0</v>
      </c>
      <c r="AP125" s="605">
        <f>IF(AP$121="입주/잔금",($F125-SUM($G125:AO125))*30%,IF(AO$121="입주/잔금",($F125-SUM($G125:AN125))*50%,IF(AN$121="입주/잔금",($F125-SUM($G125:AM125))*20%,IF(AP$121=0,0,IF(AP$121="2차중도금",$F125*30%-SUM($G125:AO125),IF(AP$121="3차중도금",$F125*40%-SUM($G125:AO125),IF(AP$121="4차중도금",$F125*50%-SUM($G125:AO125),$F125*10%)))))))+(IF(AP$121="5차중도금",$F125*60%-SUM($G125:AO125)-$F125*10%,IF(AP$121="6차중도금",$F125*70%-SUM($G125:AO125)-$F125*10%,0)))</f>
        <v>0</v>
      </c>
      <c r="AQ125" s="605">
        <f>IF(AQ$121="입주/잔금",($F125-SUM($G125:AP125))*30%,IF(AP$121="입주/잔금",($F125-SUM($G125:AO125))*50%,IF(AO$121="입주/잔금",($F125-SUM($G125:AN125))*20%,IF(AQ$121=0,0,IF(AQ$121="2차중도금",$F125*30%-SUM($G125:AP125),IF(AQ$121="3차중도금",$F125*40%-SUM($G125:AP125),IF(AQ$121="4차중도금",$F125*50%-SUM($G125:AP125),$F125*10%)))))))+(IF(AQ$121="5차중도금",$F125*60%-SUM($G125:AP125)-$F125*10%,IF(AQ$121="6차중도금",$F125*70%-SUM($G125:AP125)-$F125*10%,0)))</f>
        <v>0</v>
      </c>
      <c r="AR125" s="605">
        <f>IF(AR$121="입주/잔금",($F125-SUM($G125:AQ125))*30%,IF(AQ$121="입주/잔금",($F125-SUM($G125:AP125))*50%,IF(AP$121="입주/잔금",($F125-SUM($G125:AO125))*20%,IF(AR$121=0,0,IF(AR$121="2차중도금",$F125*30%-SUM($G125:AQ125),IF(AR$121="3차중도금",$F125*40%-SUM($G125:AQ125),IF(AR$121="4차중도금",$F125*50%-SUM($G125:AQ125),$F125*10%)))))))+(IF(AR$121="5차중도금",$F125*60%-SUM($G125:AQ125)-$F125*10%,IF(AR$121="6차중도금",$F125*70%-SUM($G125:AQ125)-$F125*10%,0)))</f>
        <v>0</v>
      </c>
      <c r="AS125" s="605">
        <f>IF(AS$121="입주/잔금",($F125-SUM($G125:AR125))*30%,IF(AR$121="입주/잔금",($F125-SUM($G125:AQ125))*50%,IF(AQ$121="입주/잔금",($F125-SUM($G125:AP125))*20%,IF(AS$121=0,0,IF(AS$121="2차중도금",$F125*30%-SUM($G125:AR125),IF(AS$121="3차중도금",$F125*40%-SUM($G125:AR125),IF(AS$121="4차중도금",$F125*50%-SUM($G125:AR125),$F125*10%)))))))+(IF(AS$121="5차중도금",$F125*60%-SUM($G125:AR125)-$F125*10%,IF(AS$121="6차중도금",$F125*70%-SUM($G125:AR125)-$F125*10%,0)))</f>
        <v>0</v>
      </c>
      <c r="AT125" s="605">
        <f>IF(AT$121="입주/잔금",($F125-SUM($G125:AS125))*30%,IF(AS$121="입주/잔금",($F125-SUM($G125:AR125))*50%,IF(AR$121="입주/잔금",($F125-SUM($G125:AQ125))*20%,IF(AT$121=0,0,IF(AT$121="2차중도금",$F125*30%-SUM($G125:AS125),IF(AT$121="3차중도금",$F125*40%-SUM($G125:AS125),IF(AT$121="4차중도금",$F125*50%-SUM($G125:AS125),$F125*10%)))))))+(IF(AT$121="5차중도금",$F125*60%-SUM($G125:AS125)-$F125*10%,IF(AT$121="6차중도금",$F125*70%-SUM($G125:AS125)-$F125*10%,0)))</f>
        <v>0</v>
      </c>
      <c r="AU125" s="605">
        <f>IF(AU$121="입주/잔금",($F125-SUM($G125:AT125))*30%,IF(AT$121="입주/잔금",($F125-SUM($G125:AS125))*50%,IF(AS$121="입주/잔금",($F125-SUM($G125:AR125))*20%,IF(AU$121=0,0,IF(AU$121="2차중도금",$F125*30%-SUM($G125:AT125),IF(AU$121="3차중도금",$F125*40%-SUM($G125:AT125),IF(AU$121="4차중도금",$F125*50%-SUM($G125:AT125),$F125*10%)))))))+(IF(AU$121="5차중도금",$F125*60%-SUM($G125:AT125)-$F125*10%,IF(AU$121="6차중도금",$F125*70%-SUM($G125:AT125)-$F125*10%,0)))</f>
        <v>0</v>
      </c>
      <c r="AV125" s="605">
        <f>IF(AV$121="입주/잔금",($F125-SUM($G125:AU125))*30%,IF(AU$121="입주/잔금",($F125-SUM($G125:AT125))*50%,IF(AT$121="입주/잔금",($F125-SUM($G125:AS125))*20%,IF(AV$121=0,0,IF(AV$121="2차중도금",$F125*30%-SUM($G125:AU125),IF(AV$121="3차중도금",$F125*40%-SUM($G125:AU125),IF(AV$121="4차중도금",$F125*50%-SUM($G125:AU125),$F125*10%)))))))+(IF(AV$121="5차중도금",$F125*60%-SUM($G125:AU125)-$F125*10%,IF(AV$121="6차중도금",$F125*70%-SUM($G125:AU125)-$F125*10%,0)))</f>
        <v>0</v>
      </c>
      <c r="AW125" s="605">
        <f>IF(AW$121="입주/잔금",($F125-SUM($G125:AV125))*30%,IF(AV$121="입주/잔금",($F125-SUM($G125:AU125))*50%,IF(AU$121="입주/잔금",($F125-SUM($G125:AT125))*20%,IF(AW$121=0,0,IF(AW$121="2차중도금",$F125*30%-SUM($G125:AV125),IF(AW$121="3차중도금",$F125*40%-SUM($G125:AV125),IF(AW$121="4차중도금",$F125*50%-SUM($G125:AV125),$F125*10%)))))))+(IF(AW$121="5차중도금",$F125*60%-SUM($G125:AV125)-$F125*10%,IF(AW$121="6차중도금",$F125*70%-SUM($G125:AV125)-$F125*10%,0)))</f>
        <v>0</v>
      </c>
      <c r="AX125" s="605">
        <f>IF(AX$121="입주/잔금",($F125-SUM($G125:AW125))*30%,IF(AW$121="입주/잔금",($F125-SUM($G125:AV125))*50%,IF(AV$121="입주/잔금",($F125-SUM($G125:AU125))*20%,IF(AX$121=0,0,IF(AX$121="2차중도금",$F125*30%-SUM($G125:AW125),IF(AX$121="3차중도금",$F125*40%-SUM($G125:AW125),IF(AX$121="4차중도금",$F125*50%-SUM($G125:AW125),$F125*10%)))))))+(IF(AX$121="5차중도금",$F125*60%-SUM($G125:AW125)-$F125*10%,IF(AX$121="6차중도금",$F125*70%-SUM($G125:AW125)-$F125*10%,0)))</f>
        <v>0</v>
      </c>
      <c r="AY125" s="605">
        <f>IF(AY$121="입주/잔금",($F125-SUM($G125:AX125))*30%,IF(AX$121="입주/잔금",($F125-SUM($G125:AW125))*50%,IF(AW$121="입주/잔금",($F125-SUM($G125:AV125))*20%,IF(AY$121=0,0,IF(AY$121="2차중도금",$F125*30%-SUM($G125:AX125),IF(AY$121="3차중도금",$F125*40%-SUM($G125:AX125),IF(AY$121="4차중도금",$F125*50%-SUM($G125:AX125),$F125*10%)))))))+(IF(AY$121="5차중도금",$F125*60%-SUM($G125:AX125)-$F125*10%,IF(AY$121="6차중도금",$F125*70%-SUM($G125:AX125)-$F125*10%,0)))</f>
        <v>0</v>
      </c>
      <c r="AZ125" s="605">
        <f>IF(AZ$121="입주/잔금",($F125-SUM($G125:AY125))*30%,IF(AY$121="입주/잔금",($F125-SUM($G125:AX125))*50%,IF(AX$121="입주/잔금",($F125-SUM($G125:AW125))*20%,IF(AZ$121=0,0,IF(AZ$121="2차중도금",$F125*30%-SUM($G125:AY125),IF(AZ$121="3차중도금",$F125*40%-SUM($G125:AY125),IF(AZ$121="4차중도금",$F125*50%-SUM($G125:AY125),$F125*10%)))))))+(IF(AZ$121="5차중도금",$F125*60%-SUM($G125:AY125)-$F125*10%,IF(AZ$121="6차중도금",$F125*70%-SUM($G125:AY125)-$F125*10%,0)))</f>
        <v>0</v>
      </c>
      <c r="BA125" s="605">
        <f>IF(BA$121="입주/잔금",($F125-SUM($G125:AZ125))*30%,IF(AZ$121="입주/잔금",($F125-SUM($G125:AY125))*50%,IF(AY$121="입주/잔금",($F125-SUM($G125:AX125))*20%,IF(BA$121=0,0,IF(BA$121="2차중도금",$F125*30%-SUM($G125:AZ125),IF(BA$121="3차중도금",$F125*40%-SUM($G125:AZ125),IF(BA$121="4차중도금",$F125*50%-SUM($G125:AZ125),$F125*10%)))))))+(IF(BA$121="5차중도금",$F125*60%-SUM($G125:AZ125)-$F125*10%,IF(BA$121="6차중도금",$F125*70%-SUM($G125:AZ125)-$F125*10%,0)))</f>
        <v>0</v>
      </c>
      <c r="BB125" s="605">
        <f>IF(BB$121="입주/잔금",($F125-SUM($G125:BA125))*30%,IF(BA$121="입주/잔금",($F125-SUM($G125:AZ125))*50%,IF(AZ$121="입주/잔금",($F125-SUM($G125:AY125))*20%,IF(BB$121=0,0,IF(BB$121="2차중도금",$F125*30%-SUM($G125:BA125),IF(BB$121="3차중도금",$F125*40%-SUM($G125:BA125),IF(BB$121="4차중도금",$F125*50%-SUM($G125:BA125),$F125*10%)))))))+(IF(BB$121="5차중도금",$F125*60%-SUM($G125:BA125)-$F125*10%,IF(BB$121="6차중도금",$F125*70%-SUM($G125:BA125)-$F125*10%,0)))</f>
        <v>0</v>
      </c>
      <c r="BC125" s="605">
        <f>IF(BC$121="입주/잔금",($F125-SUM($G125:BB125))*30%,IF(BB$121="입주/잔금",($F125-SUM($G125:BA125))*50%,IF(BA$121="입주/잔금",($F125-SUM($G125:AZ125))*20%,IF(BC$121=0,0,IF(BC$121="2차중도금",$F125*30%-SUM($G125:BB125),IF(BC$121="3차중도금",$F125*40%-SUM($G125:BB125),IF(BC$121="4차중도금",$F125*50%-SUM($G125:BB125),$F125*10%)))))))+(IF(BC$121="5차중도금",$F125*60%-SUM($G125:BB125)-$F125*10%,IF(BC$121="6차중도금",$F125*70%-SUM($G125:BB125)-$F125*10%,0)))</f>
        <v>0</v>
      </c>
      <c r="BD125" s="605">
        <f>IF(BD$121="입주/잔금",($F125-SUM($G125:BC125))*30%,IF(BC$121="입주/잔금",($F125-SUM($G125:BB125))*50%,IF(BB$121="입주/잔금",($F125-SUM($G125:BA125))*20%,IF(BD$121=0,0,IF(BD$121="2차중도금",$F125*30%-SUM($G125:BC125),IF(BD$121="3차중도금",$F125*40%-SUM($G125:BC125),IF(BD$121="4차중도금",$F125*50%-SUM($G125:BC125),$F125*10%)))))))+(IF(BD$121="5차중도금",$F125*60%-SUM($G125:BC125)-$F125*10%,IF(BD$121="6차중도금",$F125*70%-SUM($G125:BC125)-$F125*10%,0)))</f>
        <v>0</v>
      </c>
      <c r="BE125" s="605">
        <f>IF(BE$121="입주/잔금",($F125-SUM($G125:BD125))*30%,IF(BD$121="입주/잔금",($F125-SUM($G125:BC125))*50%,IF(BC$121="입주/잔금",($F125-SUM($G125:BB125))*20%,IF(BE$121=0,0,IF(BE$121="2차중도금",$F125*30%-SUM($G125:BD125),IF(BE$121="3차중도금",$F125*40%-SUM($G125:BD125),IF(BE$121="4차중도금",$F125*50%-SUM($G125:BD125),$F125*10%)))))))+(IF(BE$121="5차중도금",$F125*60%-SUM($G125:BD125)-$F125*10%,IF(BE$121="6차중도금",$F125*70%-SUM($G125:BD125)-$F125*10%,0)))</f>
        <v>0</v>
      </c>
      <c r="BF125" s="609">
        <f t="shared" si="43"/>
        <v>0</v>
      </c>
      <c r="BG125" s="556">
        <f t="shared" si="45"/>
        <v>0</v>
      </c>
      <c r="BH125" s="610"/>
    </row>
    <row r="126" spans="1:60">
      <c r="A126" s="1867"/>
      <c r="B126" s="611">
        <f t="shared" si="46"/>
        <v>44958</v>
      </c>
      <c r="C126" s="605">
        <f t="shared" si="47"/>
        <v>21284968.815239683</v>
      </c>
      <c r="D126" s="1501"/>
      <c r="E126" s="607">
        <f t="shared" si="48"/>
        <v>0</v>
      </c>
      <c r="F126" s="608">
        <f t="shared" si="44"/>
        <v>0</v>
      </c>
      <c r="G126" s="605"/>
      <c r="H126" s="605"/>
      <c r="I126" s="605"/>
      <c r="J126" s="605"/>
      <c r="K126" s="605">
        <f>$F126*10%</f>
        <v>0</v>
      </c>
      <c r="L126" s="605">
        <f>IF(L$121="입주/잔금",($F126-SUM($G126:K126))*30%,IF(K$121="입주/잔금",($F126-SUM($G126:J126))*50%,IF(J$121="입주/잔금",($F126-SUM($G126:I126))*20%,IF(L$121=0,0,IF(L$121="2차중도금",$F126*30%-SUM($G126:K126),IF(L$121="3차중도금",$F126*40%-SUM($G126:K126),IF(L$121="4차중도금",$F126*50%-SUM($G126:K126),$F126*10%)))))))+(IF(L$121="5차중도금",$F126*60%-SUM($G126:K126)-$F126*10%,IF(L$121="6차중도금",$F126*70%-SUM($G126:K126)-$F126*10%,0)))</f>
        <v>0</v>
      </c>
      <c r="M126" s="605">
        <f>IF(M$121="입주/잔금",($F126-SUM($G126:L126))*30%,IF(L$121="입주/잔금",($F126-SUM($G126:K126))*50%,IF(K$121="입주/잔금",($F126-SUM($G126:J126))*20%,IF(M$121=0,0,IF(M$121="2차중도금",$F126*30%-SUM($G126:L126),IF(M$121="3차중도금",$F126*40%-SUM($G126:L126),IF(M$121="4차중도금",$F126*50%-SUM($G126:L126),$F126*10%)))))))+(IF(M$121="5차중도금",$F126*60%-SUM($G126:L126)-$F126*10%,IF(M$121="6차중도금",$F126*70%-SUM($G126:L126)-$F126*10%,0)))</f>
        <v>0</v>
      </c>
      <c r="N126" s="605">
        <f>IF(N$121="입주/잔금",($F126-SUM($G126:M126))*30%,IF(M$121="입주/잔금",($F126-SUM($G126:L126))*50%,IF(L$121="입주/잔금",($F126-SUM($G126:K126))*20%,IF(N$121=0,0,IF(N$121="2차중도금",$F126*30%-SUM($G126:M126),IF(N$121="3차중도금",$F126*40%-SUM($G126:M126),IF(N$121="4차중도금",$F126*50%-SUM($G126:M126),$F126*10%)))))))+(IF(N$121="5차중도금",$F126*60%-SUM($G126:M126)-$F126*10%,IF(N$121="6차중도금",$F126*70%-SUM($G126:M126)-$F126*10%,0)))</f>
        <v>0</v>
      </c>
      <c r="O126" s="605">
        <f>IF(O$121="입주/잔금",($F126-SUM($G126:N126))*30%,IF(N$121="입주/잔금",($F126-SUM($G126:M126))*50%,IF(M$121="입주/잔금",($F126-SUM($G126:L126))*20%,IF(O$121=0,0,IF(O$121="2차중도금",$F126*30%-SUM($G126:N126),IF(O$121="3차중도금",$F126*40%-SUM($G126:N126),IF(O$121="4차중도금",$F126*50%-SUM($G126:N126),$F126*10%)))))))+(IF(O$121="5차중도금",$F126*60%-SUM($G126:N126)-$F126*10%,IF(O$121="6차중도금",$F126*70%-SUM($G126:N126)-$F126*10%,0)))</f>
        <v>0</v>
      </c>
      <c r="P126" s="605">
        <f>IF(P$121="입주/잔금",($F126-SUM($G126:O126))*30%,IF(O$121="입주/잔금",($F126-SUM($G126:N126))*50%,IF(N$121="입주/잔금",($F126-SUM($G126:M126))*20%,IF(P$121=0,0,IF(P$121="2차중도금",$F126*30%-SUM($G126:O126),IF(P$121="3차중도금",$F126*40%-SUM($G126:O126),IF(P$121="4차중도금",$F126*50%-SUM($G126:O126),$F126*10%)))))))+(IF(P$121="5차중도금",$F126*60%-SUM($G126:O126)-$F126*10%,IF(P$121="6차중도금",$F126*70%-SUM($G126:O126)-$F126*10%,0)))</f>
        <v>0</v>
      </c>
      <c r="Q126" s="605">
        <f>IF(Q$121="입주/잔금",($F126-SUM($G126:P126))*30%,IF(P$121="입주/잔금",($F126-SUM($G126:O126))*50%,IF(O$121="입주/잔금",($F126-SUM($G126:N126))*20%,IF(Q$121=0,0,IF(Q$121="2차중도금",$F126*30%-SUM($G126:P126),IF(Q$121="3차중도금",$F126*40%-SUM($G126:P126),IF(Q$121="4차중도금",$F126*50%-SUM($G126:P126),$F126*10%)))))))+(IF(Q$121="5차중도금",$F126*60%-SUM($G126:P126)-$F126*10%,IF(Q$121="6차중도금",$F126*70%-SUM($G126:P126)-$F126*10%,0)))</f>
        <v>0</v>
      </c>
      <c r="R126" s="605">
        <f>IF(R$121="입주/잔금",($F126-SUM($G126:Q126))*30%,IF(Q$121="입주/잔금",($F126-SUM($G126:P126))*50%,IF(P$121="입주/잔금",($F126-SUM($G126:O126))*20%,IF(R$121=0,0,IF(R$121="2차중도금",$F126*30%-SUM($G126:Q126),IF(R$121="3차중도금",$F126*40%-SUM($G126:Q126),IF(R$121="4차중도금",$F126*50%-SUM($G126:Q126),$F126*10%)))))))+(IF(R$121="5차중도금",$F126*60%-SUM($G126:Q126)-$F126*10%,IF(R$121="6차중도금",$F126*70%-SUM($G126:Q126)-$F126*10%,0)))</f>
        <v>0</v>
      </c>
      <c r="S126" s="605">
        <f>IF(S$121="입주/잔금",($F126-SUM($G126:R126))*30%,IF(R$121="입주/잔금",($F126-SUM($G126:Q126))*50%,IF(Q$121="입주/잔금",($F126-SUM($G126:P126))*20%,IF(S$121=0,0,IF(S$121="2차중도금",$F126*30%-SUM($G126:R126),IF(S$121="3차중도금",$F126*40%-SUM($G126:R126),IF(S$121="4차중도금",$F126*50%-SUM($G126:R126),$F126*10%)))))))+(IF(S$121="5차중도금",$F126*60%-SUM($G126:R126)-$F126*10%,IF(S$121="6차중도금",$F126*70%-SUM($G126:R126)-$F126*10%,0)))</f>
        <v>0</v>
      </c>
      <c r="T126" s="605">
        <f>IF(T$121="입주/잔금",($F126-SUM($G126:S126))*30%,IF(S$121="입주/잔금",($F126-SUM($G126:R126))*50%,IF(R$121="입주/잔금",($F126-SUM($G126:Q126))*20%,IF(T$121=0,0,IF(T$121="2차중도금",$F126*30%-SUM($G126:S126),IF(T$121="3차중도금",$F126*40%-SUM($G126:S126),IF(T$121="4차중도금",$F126*50%-SUM($G126:S126),$F126*10%)))))))+(IF(T$121="5차중도금",$F126*60%-SUM($G126:S126)-$F126*10%,IF(T$121="6차중도금",$F126*70%-SUM($G126:S126)-$F126*10%,0)))</f>
        <v>0</v>
      </c>
      <c r="U126" s="605">
        <f>IF(U$121="입주/잔금",($F126-SUM($G126:T126))*30%,IF(T$121="입주/잔금",($F126-SUM($G126:S126))*50%,IF(S$121="입주/잔금",($F126-SUM($G126:R126))*20%,IF(U$121=0,0,IF(U$121="2차중도금",$F126*30%-SUM($G126:T126),IF(U$121="3차중도금",$F126*40%-SUM($G126:T126),IF(U$121="4차중도금",$F126*50%-SUM($G126:T126),$F126*10%)))))))+(IF(U$121="5차중도금",$F126*60%-SUM($G126:T126)-$F126*10%,IF(U$121="6차중도금",$F126*70%-SUM($G126:T126)-$F126*10%,0)))</f>
        <v>0</v>
      </c>
      <c r="V126" s="605">
        <f>IF(V$121="입주/잔금",($F126-SUM($G126:U126))*30%,IF(U$121="입주/잔금",($F126-SUM($G126:T126))*50%,IF(T$121="입주/잔금",($F126-SUM($G126:S126))*20%,IF(V$121=0,0,IF(V$121="2차중도금",$F126*30%-SUM($G126:U126),IF(V$121="3차중도금",$F126*40%-SUM($G126:U126),IF(V$121="4차중도금",$F126*50%-SUM($G126:U126),$F126*10%)))))))+(IF(V$121="5차중도금",$F126*60%-SUM($G126:U126)-$F126*10%,IF(V$121="6차중도금",$F126*70%-SUM($G126:U126)-$F126*10%,0)))</f>
        <v>0</v>
      </c>
      <c r="W126" s="605">
        <f>IF(W$121="입주/잔금",($F126-SUM($G126:V126))*30%,IF(V$121="입주/잔금",($F126-SUM($G126:U126))*50%,IF(U$121="입주/잔금",($F126-SUM($G126:T126))*20%,IF(W$121=0,0,IF(W$121="2차중도금",$F126*30%-SUM($G126:V126),IF(W$121="3차중도금",$F126*40%-SUM($G126:V126),IF(W$121="4차중도금",$F126*50%-SUM($G126:V126),$F126*10%)))))))+(IF(W$121="5차중도금",$F126*60%-SUM($G126:V126)-$F126*10%,IF(W$121="6차중도금",$F126*70%-SUM($G126:V126)-$F126*10%,0)))</f>
        <v>0</v>
      </c>
      <c r="X126" s="605">
        <f>IF(X$121="입주/잔금",($F126-SUM($G126:W126))*30%,IF(W$121="입주/잔금",($F126-SUM($G126:V126))*50%,IF(V$121="입주/잔금",($F126-SUM($G126:U126))*20%,IF(X$121=0,0,IF(X$121="2차중도금",$F126*30%-SUM($G126:W126),IF(X$121="3차중도금",$F126*40%-SUM($G126:W126),IF(X$121="4차중도금",$F126*50%-SUM($G126:W126),$F126*10%)))))))+(IF(X$121="5차중도금",$F126*60%-SUM($G126:W126)-$F126*10%,IF(X$121="6차중도금",$F126*70%-SUM($G126:W126)-$F126*10%,0)))</f>
        <v>0</v>
      </c>
      <c r="Y126" s="605">
        <f>IF(Y$121="입주/잔금",($F126-SUM($G126:X126))*30%,IF(X$121="입주/잔금",($F126-SUM($G126:W126))*50%,IF(W$121="입주/잔금",($F126-SUM($G126:V126))*20%,IF(Y$121=0,0,IF(Y$121="2차중도금",$F126*30%-SUM($G126:X126),IF(Y$121="3차중도금",$F126*40%-SUM($G126:X126),IF(Y$121="4차중도금",$F126*50%-SUM($G126:X126),$F126*10%)))))))+(IF(Y$121="5차중도금",$F126*60%-SUM($G126:X126)-$F126*10%,IF(Y$121="6차중도금",$F126*70%-SUM($G126:X126)-$F126*10%,0)))</f>
        <v>0</v>
      </c>
      <c r="Z126" s="605">
        <f>IF(Z$121="입주/잔금",($F126-SUM($G126:Y126))*30%,IF(Y$121="입주/잔금",($F126-SUM($G126:X126))*50%,IF(X$121="입주/잔금",($F126-SUM($G126:W126))*20%,IF(Z$121=0,0,IF(Z$121="2차중도금",$F126*30%-SUM($G126:Y126),IF(Z$121="3차중도금",$F126*40%-SUM($G126:Y126),IF(Z$121="4차중도금",$F126*50%-SUM($G126:Y126),$F126*10%)))))))+(IF(Z$121="5차중도금",$F126*60%-SUM($G126:Y126)-$F126*10%,IF(Z$121="6차중도금",$F126*70%-SUM($G126:Y126)-$F126*10%,0)))</f>
        <v>0</v>
      </c>
      <c r="AA126" s="605">
        <f>IF(AA$121="입주/잔금",($F126-SUM($G126:Z126))*30%,IF(Z$121="입주/잔금",($F126-SUM($G126:Y126))*50%,IF(Y$121="입주/잔금",($F126-SUM($G126:X126))*20%,IF(AA$121=0,0,IF(AA$121="2차중도금",$F126*30%-SUM($G126:Z126),IF(AA$121="3차중도금",$F126*40%-SUM($G126:Z126),IF(AA$121="4차중도금",$F126*50%-SUM($G126:Z126),$F126*10%)))))))+(IF(AA$121="5차중도금",$F126*60%-SUM($G126:Z126)-$F126*10%,IF(AA$121="6차중도금",$F126*70%-SUM($G126:Z126)-$F126*10%,0)))</f>
        <v>0</v>
      </c>
      <c r="AB126" s="605">
        <f>IF(AB$121="입주/잔금",($F126-SUM($G126:AA126))*30%,IF(AA$121="입주/잔금",($F126-SUM($G126:Z126))*50%,IF(Z$121="입주/잔금",($F126-SUM($G126:Y126))*20%,IF(AB$121=0,0,IF(AB$121="2차중도금",$F126*30%-SUM($G126:AA126),IF(AB$121="3차중도금",$F126*40%-SUM($G126:AA126),IF(AB$121="4차중도금",$F126*50%-SUM($G126:AA126),$F126*10%)))))))+(IF(AB$121="5차중도금",$F126*60%-SUM($G126:AA126)-$F126*10%,IF(AB$121="6차중도금",$F126*70%-SUM($G126:AA126)-$F126*10%,0)))</f>
        <v>0</v>
      </c>
      <c r="AC126" s="605">
        <f>IF(AC$121="입주/잔금",($F126-SUM($G126:AB126))*30%,IF(AB$121="입주/잔금",($F126-SUM($G126:AA126))*50%,IF(AA$121="입주/잔금",($F126-SUM($G126:Z126))*20%,IF(AC$121=0,0,IF(AC$121="2차중도금",$F126*30%-SUM($G126:AB126),IF(AC$121="3차중도금",$F126*40%-SUM($G126:AB126),IF(AC$121="4차중도금",$F126*50%-SUM($G126:AB126),$F126*10%)))))))+(IF(AC$121="5차중도금",$F126*60%-SUM($G126:AB126)-$F126*10%,IF(AC$121="6차중도금",$F126*70%-SUM($G126:AB126)-$F126*10%,0)))</f>
        <v>0</v>
      </c>
      <c r="AD126" s="605">
        <f>IF(AD$121="입주/잔금",($F126-SUM($G126:AC126))*30%,IF(AC$121="입주/잔금",($F126-SUM($G126:AB126))*50%,IF(AB$121="입주/잔금",($F126-SUM($G126:AA126))*20%,IF(AD$121=0,0,IF(AD$121="2차중도금",$F126*30%-SUM($G126:AC126),IF(AD$121="3차중도금",$F126*40%-SUM($G126:AC126),IF(AD$121="4차중도금",$F126*50%-SUM($G126:AC126),$F126*10%)))))))+(IF(AD$121="5차중도금",$F126*60%-SUM($G126:AC126)-$F126*10%,IF(AD$121="6차중도금",$F126*70%-SUM($G126:AC126)-$F126*10%,0)))</f>
        <v>0</v>
      </c>
      <c r="AE126" s="605">
        <f>IF(AE$121="입주/잔금",($F126-SUM($G126:AD126))*30%,IF(AD$121="입주/잔금",($F126-SUM($G126:AC126))*50%,IF(AC$121="입주/잔금",($F126-SUM($G126:AB126))*20%,IF(AE$121=0,0,IF(AE$121="2차중도금",$F126*30%-SUM($G126:AD126),IF(AE$121="3차중도금",$F126*40%-SUM($G126:AD126),IF(AE$121="4차중도금",$F126*50%-SUM($G126:AD126),$F126*10%)))))))+(IF(AE$121="5차중도금",$F126*60%-SUM($G126:AD126)-$F126*10%,IF(AE$121="6차중도금",$F126*70%-SUM($G126:AD126)-$F126*10%,0)))</f>
        <v>0</v>
      </c>
      <c r="AF126" s="605">
        <f>IF(AF$121="입주/잔금",($F126-SUM($G126:AE126))*30%,IF(AE$121="입주/잔금",($F126-SUM($G126:AD126))*50%,IF(AD$121="입주/잔금",($F126-SUM($G126:AC126))*20%,IF(AF$121=0,0,IF(AF$121="2차중도금",$F126*30%-SUM($G126:AE126),IF(AF$121="3차중도금",$F126*40%-SUM($G126:AE126),IF(AF$121="4차중도금",$F126*50%-SUM($G126:AE126),$F126*10%)))))))+(IF(AF$121="5차중도금",$F126*60%-SUM($G126:AE126)-$F126*10%,IF(AF$121="6차중도금",$F126*70%-SUM($G126:AE126)-$F126*10%,0)))</f>
        <v>0</v>
      </c>
      <c r="AG126" s="605">
        <f>IF(AG$121="입주/잔금",($F126-SUM($G126:AF126))*30%,IF(AF$121="입주/잔금",($F126-SUM($G126:AE126))*50%,IF(AE$121="입주/잔금",($F126-SUM($G126:AD126))*20%,IF(AG$121=0,0,IF(AG$121="2차중도금",$F126*30%-SUM($G126:AF126),IF(AG$121="3차중도금",$F126*40%-SUM($G126:AF126),IF(AG$121="4차중도금",$F126*50%-SUM($G126:AF126),$F126*10%)))))))+(IF(AG$121="5차중도금",$F126*60%-SUM($G126:AF126)-$F126*10%,IF(AG$121="6차중도금",$F126*70%-SUM($G126:AF126)-$F126*10%,0)))</f>
        <v>0</v>
      </c>
      <c r="AH126" s="605">
        <f>IF(AH$121="입주/잔금",($F126-SUM($G126:AG126))*30%,IF(AG$121="입주/잔금",($F126-SUM($G126:AF126))*50%,IF(AF$121="입주/잔금",($F126-SUM($G126:AE126))*20%,IF(AH$121=0,0,IF(AH$121="2차중도금",$F126*30%-SUM($G126:AG126),IF(AH$121="3차중도금",$F126*40%-SUM($G126:AG126),IF(AH$121="4차중도금",$F126*50%-SUM($G126:AG126),$F126*10%)))))))+(IF(AH$121="5차중도금",$F126*60%-SUM($G126:AG126)-$F126*10%,IF(AH$121="6차중도금",$F126*70%-SUM($G126:AG126)-$F126*10%,0)))</f>
        <v>0</v>
      </c>
      <c r="AI126" s="605">
        <f>IF(AI$121="입주/잔금",($F126-SUM($G126:AH126))*30%,IF(AH$121="입주/잔금",($F126-SUM($G126:AG126))*50%,IF(AG$121="입주/잔금",($F126-SUM($G126:AF126))*20%,IF(AI$121=0,0,IF(AI$121="2차중도금",$F126*30%-SUM($G126:AH126),IF(AI$121="3차중도금",$F126*40%-SUM($G126:AH126),IF(AI$121="4차중도금",$F126*50%-SUM($G126:AH126),$F126*10%)))))))+(IF(AI$121="5차중도금",$F126*60%-SUM($G126:AH126)-$F126*10%,IF(AI$121="6차중도금",$F126*70%-SUM($G126:AH126)-$F126*10%,0)))</f>
        <v>0</v>
      </c>
      <c r="AJ126" s="605">
        <f>IF(AJ$121="입주/잔금",($F126-SUM($G126:AI126))*30%,IF(AI$121="입주/잔금",($F126-SUM($G126:AH126))*50%,IF(AH$121="입주/잔금",($F126-SUM($G126:AG126))*20%,IF(AJ$121=0,0,IF(AJ$121="2차중도금",$F126*30%-SUM($G126:AI126),IF(AJ$121="3차중도금",$F126*40%-SUM($G126:AI126),IF(AJ$121="4차중도금",$F126*50%-SUM($G126:AI126),$F126*10%)))))))+(IF(AJ$121="5차중도금",$F126*60%-SUM($G126:AI126)-$F126*10%,IF(AJ$121="6차중도금",$F126*70%-SUM($G126:AI126)-$F126*10%,0)))</f>
        <v>0</v>
      </c>
      <c r="AK126" s="605">
        <f>IF(AK$121="입주/잔금",($F126-SUM($G126:AJ126))*30%,IF(AJ$121="입주/잔금",($F126-SUM($G126:AI126))*50%,IF(AI$121="입주/잔금",($F126-SUM($G126:AH126))*20%,IF(AK$121=0,0,IF(AK$121="2차중도금",$F126*30%-SUM($G126:AJ126),IF(AK$121="3차중도금",$F126*40%-SUM($G126:AJ126),IF(AK$121="4차중도금",$F126*50%-SUM($G126:AJ126),$F126*10%)))))))+(IF(AK$121="5차중도금",$F126*60%-SUM($G126:AJ126)-$F126*10%,IF(AK$121="6차중도금",$F126*70%-SUM($G126:AJ126)-$F126*10%,0)))</f>
        <v>0</v>
      </c>
      <c r="AL126" s="605">
        <f>IF(AL$121="입주/잔금",($F126-SUM($G126:AK126))*30%,IF(AK$121="입주/잔금",($F126-SUM($G126:AJ126))*50%,IF(AJ$121="입주/잔금",($F126-SUM($G126:AI126))*20%,IF(AL$121=0,0,IF(AL$121="2차중도금",$F126*30%-SUM($G126:AK126),IF(AL$121="3차중도금",$F126*40%-SUM($G126:AK126),IF(AL$121="4차중도금",$F126*50%-SUM($G126:AK126),$F126*10%)))))))+(IF(AL$121="5차중도금",$F126*60%-SUM($G126:AK126)-$F126*10%,IF(AL$121="6차중도금",$F126*70%-SUM($G126:AK126)-$F126*10%,0)))</f>
        <v>0</v>
      </c>
      <c r="AM126" s="605">
        <f>IF(AM$121="입주/잔금",($F126-SUM($G126:AL126))*30%,IF(AL$121="입주/잔금",($F126-SUM($G126:AK126))*50%,IF(AK$121="입주/잔금",($F126-SUM($G126:AJ126))*20%,IF(AM$121=0,0,IF(AM$121="2차중도금",$F126*30%-SUM($G126:AL126),IF(AM$121="3차중도금",$F126*40%-SUM($G126:AL126),IF(AM$121="4차중도금",$F126*50%-SUM($G126:AL126),$F126*10%)))))))+(IF(AM$121="5차중도금",$F126*60%-SUM($G126:AL126)-$F126*10%,IF(AM$121="6차중도금",$F126*70%-SUM($G126:AL126)-$F126*10%,0)))</f>
        <v>0</v>
      </c>
      <c r="AN126" s="605">
        <f>IF(AN$121="입주/잔금",($F126-SUM($G126:AM126))*30%,IF(AM$121="입주/잔금",($F126-SUM($G126:AL126))*50%,IF(AL$121="입주/잔금",($F126-SUM($G126:AK126))*20%,IF(AN$121=0,0,IF(AN$121="2차중도금",$F126*30%-SUM($G126:AM126),IF(AN$121="3차중도금",$F126*40%-SUM($G126:AM126),IF(AN$121="4차중도금",$F126*50%-SUM($G126:AM126),$F126*10%)))))))+(IF(AN$121="5차중도금",$F126*60%-SUM($G126:AM126)-$F126*10%,IF(AN$121="6차중도금",$F126*70%-SUM($G126:AM126)-$F126*10%,0)))</f>
        <v>0</v>
      </c>
      <c r="AO126" s="605">
        <f>IF(AO$121="입주/잔금",($F126-SUM($G126:AN126))*30%,IF(AN$121="입주/잔금",($F126-SUM($G126:AM126))*50%,IF(AM$121="입주/잔금",($F126-SUM($G126:AL126))*20%,IF(AO$121=0,0,IF(AO$121="2차중도금",$F126*30%-SUM($G126:AN126),IF(AO$121="3차중도금",$F126*40%-SUM($G126:AN126),IF(AO$121="4차중도금",$F126*50%-SUM($G126:AN126),$F126*10%)))))))+(IF(AO$121="5차중도금",$F126*60%-SUM($G126:AN126)-$F126*10%,IF(AO$121="6차중도금",$F126*70%-SUM($G126:AN126)-$F126*10%,0)))</f>
        <v>0</v>
      </c>
      <c r="AP126" s="605">
        <f>IF(AP$121="입주/잔금",($F126-SUM($G126:AO126))*30%,IF(AO$121="입주/잔금",($F126-SUM($G126:AN126))*50%,IF(AN$121="입주/잔금",($F126-SUM($G126:AM126))*20%,IF(AP$121=0,0,IF(AP$121="2차중도금",$F126*30%-SUM($G126:AO126),IF(AP$121="3차중도금",$F126*40%-SUM($G126:AO126),IF(AP$121="4차중도금",$F126*50%-SUM($G126:AO126),$F126*10%)))))))+(IF(AP$121="5차중도금",$F126*60%-SUM($G126:AO126)-$F126*10%,IF(AP$121="6차중도금",$F126*70%-SUM($G126:AO126)-$F126*10%,0)))</f>
        <v>0</v>
      </c>
      <c r="AQ126" s="605">
        <f>IF(AQ$121="입주/잔금",($F126-SUM($G126:AP126))*30%,IF(AP$121="입주/잔금",($F126-SUM($G126:AO126))*50%,IF(AO$121="입주/잔금",($F126-SUM($G126:AN126))*20%,IF(AQ$121=0,0,IF(AQ$121="2차중도금",$F126*30%-SUM($G126:AP126),IF(AQ$121="3차중도금",$F126*40%-SUM($G126:AP126),IF(AQ$121="4차중도금",$F126*50%-SUM($G126:AP126),$F126*10%)))))))+(IF(AQ$121="5차중도금",$F126*60%-SUM($G126:AP126)-$F126*10%,IF(AQ$121="6차중도금",$F126*70%-SUM($G126:AP126)-$F126*10%,0)))</f>
        <v>0</v>
      </c>
      <c r="AR126" s="605">
        <f>IF(AR$121="입주/잔금",($F126-SUM($G126:AQ126))*30%,IF(AQ$121="입주/잔금",($F126-SUM($G126:AP126))*50%,IF(AP$121="입주/잔금",($F126-SUM($G126:AO126))*20%,IF(AR$121=0,0,IF(AR$121="2차중도금",$F126*30%-SUM($G126:AQ126),IF(AR$121="3차중도금",$F126*40%-SUM($G126:AQ126),IF(AR$121="4차중도금",$F126*50%-SUM($G126:AQ126),$F126*10%)))))))+(IF(AR$121="5차중도금",$F126*60%-SUM($G126:AQ126)-$F126*10%,IF(AR$121="6차중도금",$F126*70%-SUM($G126:AQ126)-$F126*10%,0)))</f>
        <v>0</v>
      </c>
      <c r="AS126" s="605">
        <f>IF(AS$121="입주/잔금",($F126-SUM($G126:AR126))*30%,IF(AR$121="입주/잔금",($F126-SUM($G126:AQ126))*50%,IF(AQ$121="입주/잔금",($F126-SUM($G126:AP126))*20%,IF(AS$121=0,0,IF(AS$121="2차중도금",$F126*30%-SUM($G126:AR126),IF(AS$121="3차중도금",$F126*40%-SUM($G126:AR126),IF(AS$121="4차중도금",$F126*50%-SUM($G126:AR126),$F126*10%)))))))+(IF(AS$121="5차중도금",$F126*60%-SUM($G126:AR126)-$F126*10%,IF(AS$121="6차중도금",$F126*70%-SUM($G126:AR126)-$F126*10%,0)))</f>
        <v>0</v>
      </c>
      <c r="AT126" s="605">
        <f>IF(AT$121="입주/잔금",($F126-SUM($G126:AS126))*30%,IF(AS$121="입주/잔금",($F126-SUM($G126:AR126))*50%,IF(AR$121="입주/잔금",($F126-SUM($G126:AQ126))*20%,IF(AT$121=0,0,IF(AT$121="2차중도금",$F126*30%-SUM($G126:AS126),IF(AT$121="3차중도금",$F126*40%-SUM($G126:AS126),IF(AT$121="4차중도금",$F126*50%-SUM($G126:AS126),$F126*10%)))))))+(IF(AT$121="5차중도금",$F126*60%-SUM($G126:AS126)-$F126*10%,IF(AT$121="6차중도금",$F126*70%-SUM($G126:AS126)-$F126*10%,0)))</f>
        <v>0</v>
      </c>
      <c r="AU126" s="605">
        <f>IF(AU$121="입주/잔금",($F126-SUM($G126:AT126))*30%,IF(AT$121="입주/잔금",($F126-SUM($G126:AS126))*50%,IF(AS$121="입주/잔금",($F126-SUM($G126:AR126))*20%,IF(AU$121=0,0,IF(AU$121="2차중도금",$F126*30%-SUM($G126:AT126),IF(AU$121="3차중도금",$F126*40%-SUM($G126:AT126),IF(AU$121="4차중도금",$F126*50%-SUM($G126:AT126),$F126*10%)))))))+(IF(AU$121="5차중도금",$F126*60%-SUM($G126:AT126)-$F126*10%,IF(AU$121="6차중도금",$F126*70%-SUM($G126:AT126)-$F126*10%,0)))</f>
        <v>0</v>
      </c>
      <c r="AV126" s="605">
        <f>IF(AV$121="입주/잔금",($F126-SUM($G126:AU126))*30%,IF(AU$121="입주/잔금",($F126-SUM($G126:AT126))*50%,IF(AT$121="입주/잔금",($F126-SUM($G126:AS126))*20%,IF(AV$121=0,0,IF(AV$121="2차중도금",$F126*30%-SUM($G126:AU126),IF(AV$121="3차중도금",$F126*40%-SUM($G126:AU126),IF(AV$121="4차중도금",$F126*50%-SUM($G126:AU126),$F126*10%)))))))+(IF(AV$121="5차중도금",$F126*60%-SUM($G126:AU126)-$F126*10%,IF(AV$121="6차중도금",$F126*70%-SUM($G126:AU126)-$F126*10%,0)))</f>
        <v>0</v>
      </c>
      <c r="AW126" s="605">
        <f>IF(AW$121="입주/잔금",($F126-SUM($G126:AV126))*30%,IF(AV$121="입주/잔금",($F126-SUM($G126:AU126))*50%,IF(AU$121="입주/잔금",($F126-SUM($G126:AT126))*20%,IF(AW$121=0,0,IF(AW$121="2차중도금",$F126*30%-SUM($G126:AV126),IF(AW$121="3차중도금",$F126*40%-SUM($G126:AV126),IF(AW$121="4차중도금",$F126*50%-SUM($G126:AV126),$F126*10%)))))))+(IF(AW$121="5차중도금",$F126*60%-SUM($G126:AV126)-$F126*10%,IF(AW$121="6차중도금",$F126*70%-SUM($G126:AV126)-$F126*10%,0)))</f>
        <v>0</v>
      </c>
      <c r="AX126" s="605">
        <f>IF(AX$121="입주/잔금",($F126-SUM($G126:AW126))*30%,IF(AW$121="입주/잔금",($F126-SUM($G126:AV126))*50%,IF(AV$121="입주/잔금",($F126-SUM($G126:AU126))*20%,IF(AX$121=0,0,IF(AX$121="2차중도금",$F126*30%-SUM($G126:AW126),IF(AX$121="3차중도금",$F126*40%-SUM($G126:AW126),IF(AX$121="4차중도금",$F126*50%-SUM($G126:AW126),$F126*10%)))))))+(IF(AX$121="5차중도금",$F126*60%-SUM($G126:AW126)-$F126*10%,IF(AX$121="6차중도금",$F126*70%-SUM($G126:AW126)-$F126*10%,0)))</f>
        <v>0</v>
      </c>
      <c r="AY126" s="605">
        <f>IF(AY$121="입주/잔금",($F126-SUM($G126:AX126))*30%,IF(AX$121="입주/잔금",($F126-SUM($G126:AW126))*50%,IF(AW$121="입주/잔금",($F126-SUM($G126:AV126))*20%,IF(AY$121=0,0,IF(AY$121="2차중도금",$F126*30%-SUM($G126:AX126),IF(AY$121="3차중도금",$F126*40%-SUM($G126:AX126),IF(AY$121="4차중도금",$F126*50%-SUM($G126:AX126),$F126*10%)))))))+(IF(AY$121="5차중도금",$F126*60%-SUM($G126:AX126)-$F126*10%,IF(AY$121="6차중도금",$F126*70%-SUM($G126:AX126)-$F126*10%,0)))</f>
        <v>0</v>
      </c>
      <c r="AZ126" s="605">
        <f>IF(AZ$121="입주/잔금",($F126-SUM($G126:AY126))*30%,IF(AY$121="입주/잔금",($F126-SUM($G126:AX126))*50%,IF(AX$121="입주/잔금",($F126-SUM($G126:AW126))*20%,IF(AZ$121=0,0,IF(AZ$121="2차중도금",$F126*30%-SUM($G126:AY126),IF(AZ$121="3차중도금",$F126*40%-SUM($G126:AY126),IF(AZ$121="4차중도금",$F126*50%-SUM($G126:AY126),$F126*10%)))))))+(IF(AZ$121="5차중도금",$F126*60%-SUM($G126:AY126)-$F126*10%,IF(AZ$121="6차중도금",$F126*70%-SUM($G126:AY126)-$F126*10%,0)))</f>
        <v>0</v>
      </c>
      <c r="BA126" s="605">
        <f>IF(BA$121="입주/잔금",($F126-SUM($G126:AZ126))*30%,IF(AZ$121="입주/잔금",($F126-SUM($G126:AY126))*50%,IF(AY$121="입주/잔금",($F126-SUM($G126:AX126))*20%,IF(BA$121=0,0,IF(BA$121="2차중도금",$F126*30%-SUM($G126:AZ126),IF(BA$121="3차중도금",$F126*40%-SUM($G126:AZ126),IF(BA$121="4차중도금",$F126*50%-SUM($G126:AZ126),$F126*10%)))))))+(IF(BA$121="5차중도금",$F126*60%-SUM($G126:AZ126)-$F126*10%,IF(BA$121="6차중도금",$F126*70%-SUM($G126:AZ126)-$F126*10%,0)))</f>
        <v>0</v>
      </c>
      <c r="BB126" s="605">
        <f>IF(BB$121="입주/잔금",($F126-SUM($G126:BA126))*30%,IF(BA$121="입주/잔금",($F126-SUM($G126:AZ126))*50%,IF(AZ$121="입주/잔금",($F126-SUM($G126:AY126))*20%,IF(BB$121=0,0,IF(BB$121="2차중도금",$F126*30%-SUM($G126:BA126),IF(BB$121="3차중도금",$F126*40%-SUM($G126:BA126),IF(BB$121="4차중도금",$F126*50%-SUM($G126:BA126),$F126*10%)))))))+(IF(BB$121="5차중도금",$F126*60%-SUM($G126:BA126)-$F126*10%,IF(BB$121="6차중도금",$F126*70%-SUM($G126:BA126)-$F126*10%,0)))</f>
        <v>0</v>
      </c>
      <c r="BC126" s="605">
        <f>IF(BC$121="입주/잔금",($F126-SUM($G126:BB126))*30%,IF(BB$121="입주/잔금",($F126-SUM($G126:BA126))*50%,IF(BA$121="입주/잔금",($F126-SUM($G126:AZ126))*20%,IF(BC$121=0,0,IF(BC$121="2차중도금",$F126*30%-SUM($G126:BB126),IF(BC$121="3차중도금",$F126*40%-SUM($G126:BB126),IF(BC$121="4차중도금",$F126*50%-SUM($G126:BB126),$F126*10%)))))))+(IF(BC$121="5차중도금",$F126*60%-SUM($G126:BB126)-$F126*10%,IF(BC$121="6차중도금",$F126*70%-SUM($G126:BB126)-$F126*10%,0)))</f>
        <v>0</v>
      </c>
      <c r="BD126" s="605">
        <f>IF(BD$121="입주/잔금",($F126-SUM($G126:BC126))*30%,IF(BC$121="입주/잔금",($F126-SUM($G126:BB126))*50%,IF(BB$121="입주/잔금",($F126-SUM($G126:BA126))*20%,IF(BD$121=0,0,IF(BD$121="2차중도금",$F126*30%-SUM($G126:BC126),IF(BD$121="3차중도금",$F126*40%-SUM($G126:BC126),IF(BD$121="4차중도금",$F126*50%-SUM($G126:BC126),$F126*10%)))))))+(IF(BD$121="5차중도금",$F126*60%-SUM($G126:BC126)-$F126*10%,IF(BD$121="6차중도금",$F126*70%-SUM($G126:BC126)-$F126*10%,0)))</f>
        <v>0</v>
      </c>
      <c r="BE126" s="605">
        <f>IF(BE$121="입주/잔금",($F126-SUM($G126:BD126))*30%,IF(BD$121="입주/잔금",($F126-SUM($G126:BC126))*50%,IF(BC$121="입주/잔금",($F126-SUM($G126:BB126))*20%,IF(BE$121=0,0,IF(BE$121="2차중도금",$F126*30%-SUM($G126:BD126),IF(BE$121="3차중도금",$F126*40%-SUM($G126:BD126),IF(BE$121="4차중도금",$F126*50%-SUM($G126:BD126),$F126*10%)))))))+(IF(BE$121="5차중도금",$F126*60%-SUM($G126:BD126)-$F126*10%,IF(BE$121="6차중도금",$F126*70%-SUM($G126:BD126)-$F126*10%,0)))</f>
        <v>0</v>
      </c>
      <c r="BF126" s="609">
        <f t="shared" si="43"/>
        <v>0</v>
      </c>
      <c r="BG126" s="556">
        <f t="shared" si="45"/>
        <v>0</v>
      </c>
      <c r="BH126" s="610"/>
    </row>
    <row r="127" spans="1:60">
      <c r="A127" s="1867"/>
      <c r="B127" s="611">
        <f t="shared" si="46"/>
        <v>44986</v>
      </c>
      <c r="C127" s="605">
        <f t="shared" si="47"/>
        <v>21284968.815239683</v>
      </c>
      <c r="D127" s="1501"/>
      <c r="E127" s="612">
        <f t="shared" si="48"/>
        <v>0</v>
      </c>
      <c r="F127" s="608">
        <f t="shared" si="44"/>
        <v>0</v>
      </c>
      <c r="G127" s="605"/>
      <c r="H127" s="605"/>
      <c r="I127" s="605"/>
      <c r="J127" s="605"/>
      <c r="K127" s="605"/>
      <c r="L127" s="605">
        <f>$F127*10%</f>
        <v>0</v>
      </c>
      <c r="M127" s="605">
        <f>IF(M$121="입주/잔금",($F127-SUM($G127:L127))*30%,IF(L$121="입주/잔금",($F127-SUM($G127:K127))*50%,IF(K$121="입주/잔금",($F127-SUM($G127:J127))*20%,IF(M$121=0,0,IF(M$121="2차중도금",$F127*30%-SUM($G127:L127),IF(M$121="3차중도금",$F127*40%-SUM($G127:L127),IF(M$121="4차중도금",$F127*50%-SUM($G127:L127),$F127*10%)))))))+(IF(M$121="5차중도금",$F127*60%-SUM($G127:L127)-$F127*10%,IF(M$121="6차중도금",$F127*70%-SUM($G127:L127)-$F127*10%,0)))</f>
        <v>0</v>
      </c>
      <c r="N127" s="605">
        <f>IF(N$121="입주/잔금",($F127-SUM($G127:M127))*30%,IF(M$121="입주/잔금",($F127-SUM($G127:L127))*50%,IF(L$121="입주/잔금",($F127-SUM($G127:K127))*20%,IF(N$121=0,0,IF(N$121="2차중도금",$F127*30%-SUM($G127:M127),IF(N$121="3차중도금",$F127*40%-SUM($G127:M127),IF(N$121="4차중도금",$F127*50%-SUM($G127:M127),$F127*10%)))))))+(IF(N$121="5차중도금",$F127*60%-SUM($G127:M127)-$F127*10%,IF(N$121="6차중도금",$F127*70%-SUM($G127:M127)-$F127*10%,0)))</f>
        <v>0</v>
      </c>
      <c r="O127" s="605">
        <f>IF(O$121="입주/잔금",($F127-SUM($G127:N127))*30%,IF(N$121="입주/잔금",($F127-SUM($G127:M127))*50%,IF(M$121="입주/잔금",($F127-SUM($G127:L127))*20%,IF(O$121=0,0,IF(O$121="2차중도금",$F127*30%-SUM($G127:N127),IF(O$121="3차중도금",$F127*40%-SUM($G127:N127),IF(O$121="4차중도금",$F127*50%-SUM($G127:N127),$F127*10%)))))))+(IF(O$121="5차중도금",$F127*60%-SUM($G127:N127)-$F127*10%,IF(O$121="6차중도금",$F127*70%-SUM($G127:N127)-$F127*10%,0)))</f>
        <v>0</v>
      </c>
      <c r="P127" s="605">
        <f>IF(P$121="입주/잔금",($F127-SUM($G127:O127))*30%,IF(O$121="입주/잔금",($F127-SUM($G127:N127))*50%,IF(N$121="입주/잔금",($F127-SUM($G127:M127))*20%,IF(P$121=0,0,IF(P$121="2차중도금",$F127*30%-SUM($G127:O127),IF(P$121="3차중도금",$F127*40%-SUM($G127:O127),IF(P$121="4차중도금",$F127*50%-SUM($G127:O127),$F127*10%)))))))+(IF(P$121="5차중도금",$F127*60%-SUM($G127:O127)-$F127*10%,IF(P$121="6차중도금",$F127*70%-SUM($G127:O127)-$F127*10%,0)))</f>
        <v>0</v>
      </c>
      <c r="Q127" s="605">
        <f>IF(Q$121="입주/잔금",($F127-SUM($G127:P127))*30%,IF(P$121="입주/잔금",($F127-SUM($G127:O127))*50%,IF(O$121="입주/잔금",($F127-SUM($G127:N127))*20%,IF(Q$121=0,0,IF(Q$121="2차중도금",$F127*30%-SUM($G127:P127),IF(Q$121="3차중도금",$F127*40%-SUM($G127:P127),IF(Q$121="4차중도금",$F127*50%-SUM($G127:P127),$F127*10%)))))))+(IF(Q$121="5차중도금",$F127*60%-SUM($G127:P127)-$F127*10%,IF(Q$121="6차중도금",$F127*70%-SUM($G127:P127)-$F127*10%,0)))</f>
        <v>0</v>
      </c>
      <c r="R127" s="605">
        <f>IF(R$121="입주/잔금",($F127-SUM($G127:Q127))*30%,IF(Q$121="입주/잔금",($F127-SUM($G127:P127))*50%,IF(P$121="입주/잔금",($F127-SUM($G127:O127))*20%,IF(R$121=0,0,IF(R$121="2차중도금",$F127*30%-SUM($G127:Q127),IF(R$121="3차중도금",$F127*40%-SUM($G127:Q127),IF(R$121="4차중도금",$F127*50%-SUM($G127:Q127),$F127*10%)))))))+(IF(R$121="5차중도금",$F127*60%-SUM($G127:Q127)-$F127*10%,IF(R$121="6차중도금",$F127*70%-SUM($G127:Q127)-$F127*10%,0)))</f>
        <v>0</v>
      </c>
      <c r="S127" s="605">
        <f>IF(S$121="입주/잔금",($F127-SUM($G127:R127))*30%,IF(R$121="입주/잔금",($F127-SUM($G127:Q127))*50%,IF(Q$121="입주/잔금",($F127-SUM($G127:P127))*20%,IF(S$121=0,0,IF(S$121="2차중도금",$F127*30%-SUM($G127:R127),IF(S$121="3차중도금",$F127*40%-SUM($G127:R127),IF(S$121="4차중도금",$F127*50%-SUM($G127:R127),$F127*10%)))))))+(IF(S$121="5차중도금",$F127*60%-SUM($G127:R127)-$F127*10%,IF(S$121="6차중도금",$F127*70%-SUM($G127:R127)-$F127*10%,0)))</f>
        <v>0</v>
      </c>
      <c r="T127" s="605">
        <f>IF(T$121="입주/잔금",($F127-SUM($G127:S127))*30%,IF(S$121="입주/잔금",($F127-SUM($G127:R127))*50%,IF(R$121="입주/잔금",($F127-SUM($G127:Q127))*20%,IF(T$121=0,0,IF(T$121="2차중도금",$F127*30%-SUM($G127:S127),IF(T$121="3차중도금",$F127*40%-SUM($G127:S127),IF(T$121="4차중도금",$F127*50%-SUM($G127:S127),$F127*10%)))))))+(IF(T$121="5차중도금",$F127*60%-SUM($G127:S127)-$F127*10%,IF(T$121="6차중도금",$F127*70%-SUM($G127:S127)-$F127*10%,0)))</f>
        <v>0</v>
      </c>
      <c r="U127" s="605">
        <f>IF(U$121="입주/잔금",($F127-SUM($G127:T127))*30%,IF(T$121="입주/잔금",($F127-SUM($G127:S127))*50%,IF(S$121="입주/잔금",($F127-SUM($G127:R127))*20%,IF(U$121=0,0,IF(U$121="2차중도금",$F127*30%-SUM($G127:T127),IF(U$121="3차중도금",$F127*40%-SUM($G127:T127),IF(U$121="4차중도금",$F127*50%-SUM($G127:T127),$F127*10%)))))))+(IF(U$121="5차중도금",$F127*60%-SUM($G127:T127)-$F127*10%,IF(U$121="6차중도금",$F127*70%-SUM($G127:T127)-$F127*10%,0)))</f>
        <v>0</v>
      </c>
      <c r="V127" s="605">
        <f>IF(V$121="입주/잔금",($F127-SUM($G127:U127))*30%,IF(U$121="입주/잔금",($F127-SUM($G127:T127))*50%,IF(T$121="입주/잔금",($F127-SUM($G127:S127))*20%,IF(V$121=0,0,IF(V$121="2차중도금",$F127*30%-SUM($G127:U127),IF(V$121="3차중도금",$F127*40%-SUM($G127:U127),IF(V$121="4차중도금",$F127*50%-SUM($G127:U127),$F127*10%)))))))+(IF(V$121="5차중도금",$F127*60%-SUM($G127:U127)-$F127*10%,IF(V$121="6차중도금",$F127*70%-SUM($G127:U127)-$F127*10%,0)))</f>
        <v>0</v>
      </c>
      <c r="W127" s="605">
        <f>IF(W$121="입주/잔금",($F127-SUM($G127:V127))*30%,IF(V$121="입주/잔금",($F127-SUM($G127:U127))*50%,IF(U$121="입주/잔금",($F127-SUM($G127:T127))*20%,IF(W$121=0,0,IF(W$121="2차중도금",$F127*30%-SUM($G127:V127),IF(W$121="3차중도금",$F127*40%-SUM($G127:V127),IF(W$121="4차중도금",$F127*50%-SUM($G127:V127),$F127*10%)))))))+(IF(W$121="5차중도금",$F127*60%-SUM($G127:V127)-$F127*10%,IF(W$121="6차중도금",$F127*70%-SUM($G127:V127)-$F127*10%,0)))</f>
        <v>0</v>
      </c>
      <c r="X127" s="605">
        <f>IF(X$121="입주/잔금",($F127-SUM($G127:W127))*30%,IF(W$121="입주/잔금",($F127-SUM($G127:V127))*50%,IF(V$121="입주/잔금",($F127-SUM($G127:U127))*20%,IF(X$121=0,0,IF(X$121="2차중도금",$F127*30%-SUM($G127:W127),IF(X$121="3차중도금",$F127*40%-SUM($G127:W127),IF(X$121="4차중도금",$F127*50%-SUM($G127:W127),$F127*10%)))))))+(IF(X$121="5차중도금",$F127*60%-SUM($G127:W127)-$F127*10%,IF(X$121="6차중도금",$F127*70%-SUM($G127:W127)-$F127*10%,0)))</f>
        <v>0</v>
      </c>
      <c r="Y127" s="605">
        <f>IF(Y$121="입주/잔금",($F127-SUM($G127:X127))*30%,IF(X$121="입주/잔금",($F127-SUM($G127:W127))*50%,IF(W$121="입주/잔금",($F127-SUM($G127:V127))*20%,IF(Y$121=0,0,IF(Y$121="2차중도금",$F127*30%-SUM($G127:X127),IF(Y$121="3차중도금",$F127*40%-SUM($G127:X127),IF(Y$121="4차중도금",$F127*50%-SUM($G127:X127),$F127*10%)))))))+(IF(Y$121="5차중도금",$F127*60%-SUM($G127:X127)-$F127*10%,IF(Y$121="6차중도금",$F127*70%-SUM($G127:X127)-$F127*10%,0)))</f>
        <v>0</v>
      </c>
      <c r="Z127" s="605">
        <f>IF(Z$121="입주/잔금",($F127-SUM($G127:Y127))*30%,IF(Y$121="입주/잔금",($F127-SUM($G127:X127))*50%,IF(X$121="입주/잔금",($F127-SUM($G127:W127))*20%,IF(Z$121=0,0,IF(Z$121="2차중도금",$F127*30%-SUM($G127:Y127),IF(Z$121="3차중도금",$F127*40%-SUM($G127:Y127),IF(Z$121="4차중도금",$F127*50%-SUM($G127:Y127),$F127*10%)))))))+(IF(Z$121="5차중도금",$F127*60%-SUM($G127:Y127)-$F127*10%,IF(Z$121="6차중도금",$F127*70%-SUM($G127:Y127)-$F127*10%,0)))</f>
        <v>0</v>
      </c>
      <c r="AA127" s="605">
        <f>IF(AA$121="입주/잔금",($F127-SUM($G127:Z127))*30%,IF(Z$121="입주/잔금",($F127-SUM($G127:Y127))*50%,IF(Y$121="입주/잔금",($F127-SUM($G127:X127))*20%,IF(AA$121=0,0,IF(AA$121="2차중도금",$F127*30%-SUM($G127:Z127),IF(AA$121="3차중도금",$F127*40%-SUM($G127:Z127),IF(AA$121="4차중도금",$F127*50%-SUM($G127:Z127),$F127*10%)))))))+(IF(AA$121="5차중도금",$F127*60%-SUM($G127:Z127)-$F127*10%,IF(AA$121="6차중도금",$F127*70%-SUM($G127:Z127)-$F127*10%,0)))</f>
        <v>0</v>
      </c>
      <c r="AB127" s="605">
        <f>IF(AB$121="입주/잔금",($F127-SUM($G127:AA127))*30%,IF(AA$121="입주/잔금",($F127-SUM($G127:Z127))*50%,IF(Z$121="입주/잔금",($F127-SUM($G127:Y127))*20%,IF(AB$121=0,0,IF(AB$121="2차중도금",$F127*30%-SUM($G127:AA127),IF(AB$121="3차중도금",$F127*40%-SUM($G127:AA127),IF(AB$121="4차중도금",$F127*50%-SUM($G127:AA127),$F127*10%)))))))+(IF(AB$121="5차중도금",$F127*60%-SUM($G127:AA127)-$F127*10%,IF(AB$121="6차중도금",$F127*70%-SUM($G127:AA127)-$F127*10%,0)))</f>
        <v>0</v>
      </c>
      <c r="AC127" s="605">
        <f>IF(AC$121="입주/잔금",($F127-SUM($G127:AB127))*30%,IF(AB$121="입주/잔금",($F127-SUM($G127:AA127))*50%,IF(AA$121="입주/잔금",($F127-SUM($G127:Z127))*20%,IF(AC$121=0,0,IF(AC$121="2차중도금",$F127*30%-SUM($G127:AB127),IF(AC$121="3차중도금",$F127*40%-SUM($G127:AB127),IF(AC$121="4차중도금",$F127*50%-SUM($G127:AB127),$F127*10%)))))))+(IF(AC$121="5차중도금",$F127*60%-SUM($G127:AB127)-$F127*10%,IF(AC$121="6차중도금",$F127*70%-SUM($G127:AB127)-$F127*10%,0)))</f>
        <v>0</v>
      </c>
      <c r="AD127" s="605">
        <f>IF(AD$121="입주/잔금",($F127-SUM($G127:AC127))*30%,IF(AC$121="입주/잔금",($F127-SUM($G127:AB127))*50%,IF(AB$121="입주/잔금",($F127-SUM($G127:AA127))*20%,IF(AD$121=0,0,IF(AD$121="2차중도금",$F127*30%-SUM($G127:AC127),IF(AD$121="3차중도금",$F127*40%-SUM($G127:AC127),IF(AD$121="4차중도금",$F127*50%-SUM($G127:AC127),$F127*10%)))))))+(IF(AD$121="5차중도금",$F127*60%-SUM($G127:AC127)-$F127*10%,IF(AD$121="6차중도금",$F127*70%-SUM($G127:AC127)-$F127*10%,0)))</f>
        <v>0</v>
      </c>
      <c r="AE127" s="605">
        <f>IF(AE$121="입주/잔금",($F127-SUM($G127:AD127))*30%,IF(AD$121="입주/잔금",($F127-SUM($G127:AC127))*50%,IF(AC$121="입주/잔금",($F127-SUM($G127:AB127))*20%,IF(AE$121=0,0,IF(AE$121="2차중도금",$F127*30%-SUM($G127:AD127),IF(AE$121="3차중도금",$F127*40%-SUM($G127:AD127),IF(AE$121="4차중도금",$F127*50%-SUM($G127:AD127),$F127*10%)))))))+(IF(AE$121="5차중도금",$F127*60%-SUM($G127:AD127)-$F127*10%,IF(AE$121="6차중도금",$F127*70%-SUM($G127:AD127)-$F127*10%,0)))</f>
        <v>0</v>
      </c>
      <c r="AF127" s="605">
        <f>IF(AF$121="입주/잔금",($F127-SUM($G127:AE127))*30%,IF(AE$121="입주/잔금",($F127-SUM($G127:AD127))*50%,IF(AD$121="입주/잔금",($F127-SUM($G127:AC127))*20%,IF(AF$121=0,0,IF(AF$121="2차중도금",$F127*30%-SUM($G127:AE127),IF(AF$121="3차중도금",$F127*40%-SUM($G127:AE127),IF(AF$121="4차중도금",$F127*50%-SUM($G127:AE127),$F127*10%)))))))+(IF(AF$121="5차중도금",$F127*60%-SUM($G127:AE127)-$F127*10%,IF(AF$121="6차중도금",$F127*70%-SUM($G127:AE127)-$F127*10%,0)))</f>
        <v>0</v>
      </c>
      <c r="AG127" s="605">
        <f>IF(AG$121="입주/잔금",($F127-SUM($G127:AF127))*30%,IF(AF$121="입주/잔금",($F127-SUM($G127:AE127))*50%,IF(AE$121="입주/잔금",($F127-SUM($G127:AD127))*20%,IF(AG$121=0,0,IF(AG$121="2차중도금",$F127*30%-SUM($G127:AF127),IF(AG$121="3차중도금",$F127*40%-SUM($G127:AF127),IF(AG$121="4차중도금",$F127*50%-SUM($G127:AF127),$F127*10%)))))))+(IF(AG$121="5차중도금",$F127*60%-SUM($G127:AF127)-$F127*10%,IF(AG$121="6차중도금",$F127*70%-SUM($G127:AF127)-$F127*10%,0)))</f>
        <v>0</v>
      </c>
      <c r="AH127" s="605">
        <f>IF(AH$121="입주/잔금",($F127-SUM($G127:AG127))*30%,IF(AG$121="입주/잔금",($F127-SUM($G127:AF127))*50%,IF(AF$121="입주/잔금",($F127-SUM($G127:AE127))*20%,IF(AH$121=0,0,IF(AH$121="2차중도금",$F127*30%-SUM($G127:AG127),IF(AH$121="3차중도금",$F127*40%-SUM($G127:AG127),IF(AH$121="4차중도금",$F127*50%-SUM($G127:AG127),$F127*10%)))))))+(IF(AH$121="5차중도금",$F127*60%-SUM($G127:AG127)-$F127*10%,IF(AH$121="6차중도금",$F127*70%-SUM($G127:AG127)-$F127*10%,0)))</f>
        <v>0</v>
      </c>
      <c r="AI127" s="605">
        <f>IF(AI$121="입주/잔금",($F127-SUM($G127:AH127))*30%,IF(AH$121="입주/잔금",($F127-SUM($G127:AG127))*50%,IF(AG$121="입주/잔금",($F127-SUM($G127:AF127))*20%,IF(AI$121=0,0,IF(AI$121="2차중도금",$F127*30%-SUM($G127:AH127),IF(AI$121="3차중도금",$F127*40%-SUM($G127:AH127),IF(AI$121="4차중도금",$F127*50%-SUM($G127:AH127),$F127*10%)))))))+(IF(AI$121="5차중도금",$F127*60%-SUM($G127:AH127)-$F127*10%,IF(AI$121="6차중도금",$F127*70%-SUM($G127:AH127)-$F127*10%,0)))</f>
        <v>0</v>
      </c>
      <c r="AJ127" s="605">
        <f>IF(AJ$121="입주/잔금",($F127-SUM($G127:AI127))*30%,IF(AI$121="입주/잔금",($F127-SUM($G127:AH127))*50%,IF(AH$121="입주/잔금",($F127-SUM($G127:AG127))*20%,IF(AJ$121=0,0,IF(AJ$121="2차중도금",$F127*30%-SUM($G127:AI127),IF(AJ$121="3차중도금",$F127*40%-SUM($G127:AI127),IF(AJ$121="4차중도금",$F127*50%-SUM($G127:AI127),$F127*10%)))))))+(IF(AJ$121="5차중도금",$F127*60%-SUM($G127:AI127)-$F127*10%,IF(AJ$121="6차중도금",$F127*70%-SUM($G127:AI127)-$F127*10%,0)))</f>
        <v>0</v>
      </c>
      <c r="AK127" s="605">
        <f>IF(AK$121="입주/잔금",($F127-SUM($G127:AJ127))*30%,IF(AJ$121="입주/잔금",($F127-SUM($G127:AI127))*50%,IF(AI$121="입주/잔금",($F127-SUM($G127:AH127))*20%,IF(AK$121=0,0,IF(AK$121="2차중도금",$F127*30%-SUM($G127:AJ127),IF(AK$121="3차중도금",$F127*40%-SUM($G127:AJ127),IF(AK$121="4차중도금",$F127*50%-SUM($G127:AJ127),$F127*10%)))))))+(IF(AK$121="5차중도금",$F127*60%-SUM($G127:AJ127)-$F127*10%,IF(AK$121="6차중도금",$F127*70%-SUM($G127:AJ127)-$F127*10%,0)))</f>
        <v>0</v>
      </c>
      <c r="AL127" s="605">
        <f>IF(AL$121="입주/잔금",($F127-SUM($G127:AK127))*30%,IF(AK$121="입주/잔금",($F127-SUM($G127:AJ127))*50%,IF(AJ$121="입주/잔금",($F127-SUM($G127:AI127))*20%,IF(AL$121=0,0,IF(AL$121="2차중도금",$F127*30%-SUM($G127:AK127),IF(AL$121="3차중도금",$F127*40%-SUM($G127:AK127),IF(AL$121="4차중도금",$F127*50%-SUM($G127:AK127),$F127*10%)))))))+(IF(AL$121="5차중도금",$F127*60%-SUM($G127:AK127)-$F127*10%,IF(AL$121="6차중도금",$F127*70%-SUM($G127:AK127)-$F127*10%,0)))</f>
        <v>0</v>
      </c>
      <c r="AM127" s="605">
        <f>IF(AM$121="입주/잔금",($F127-SUM($G127:AL127))*30%,IF(AL$121="입주/잔금",($F127-SUM($G127:AK127))*50%,IF(AK$121="입주/잔금",($F127-SUM($G127:AJ127))*20%,IF(AM$121=0,0,IF(AM$121="2차중도금",$F127*30%-SUM($G127:AL127),IF(AM$121="3차중도금",$F127*40%-SUM($G127:AL127),IF(AM$121="4차중도금",$F127*50%-SUM($G127:AL127),$F127*10%)))))))+(IF(AM$121="5차중도금",$F127*60%-SUM($G127:AL127)-$F127*10%,IF(AM$121="6차중도금",$F127*70%-SUM($G127:AL127)-$F127*10%,0)))</f>
        <v>0</v>
      </c>
      <c r="AN127" s="605">
        <f>IF(AN$121="입주/잔금",($F127-SUM($G127:AM127))*30%,IF(AM$121="입주/잔금",($F127-SUM($G127:AL127))*50%,IF(AL$121="입주/잔금",($F127-SUM($G127:AK127))*20%,IF(AN$121=0,0,IF(AN$121="2차중도금",$F127*30%-SUM($G127:AM127),IF(AN$121="3차중도금",$F127*40%-SUM($G127:AM127),IF(AN$121="4차중도금",$F127*50%-SUM($G127:AM127),$F127*10%)))))))+(IF(AN$121="5차중도금",$F127*60%-SUM($G127:AM127)-$F127*10%,IF(AN$121="6차중도금",$F127*70%-SUM($G127:AM127)-$F127*10%,0)))</f>
        <v>0</v>
      </c>
      <c r="AO127" s="605">
        <f>IF(AO$121="입주/잔금",($F127-SUM($G127:AN127))*30%,IF(AN$121="입주/잔금",($F127-SUM($G127:AM127))*50%,IF(AM$121="입주/잔금",($F127-SUM($G127:AL127))*20%,IF(AO$121=0,0,IF(AO$121="2차중도금",$F127*30%-SUM($G127:AN127),IF(AO$121="3차중도금",$F127*40%-SUM($G127:AN127),IF(AO$121="4차중도금",$F127*50%-SUM($G127:AN127),$F127*10%)))))))+(IF(AO$121="5차중도금",$F127*60%-SUM($G127:AN127)-$F127*10%,IF(AO$121="6차중도금",$F127*70%-SUM($G127:AN127)-$F127*10%,0)))</f>
        <v>0</v>
      </c>
      <c r="AP127" s="605">
        <f>IF(AP$121="입주/잔금",($F127-SUM($G127:AO127))*30%,IF(AO$121="입주/잔금",($F127-SUM($G127:AN127))*50%,IF(AN$121="입주/잔금",($F127-SUM($G127:AM127))*20%,IF(AP$121=0,0,IF(AP$121="2차중도금",$F127*30%-SUM($G127:AO127),IF(AP$121="3차중도금",$F127*40%-SUM($G127:AO127),IF(AP$121="4차중도금",$F127*50%-SUM($G127:AO127),$F127*10%)))))))+(IF(AP$121="5차중도금",$F127*60%-SUM($G127:AO127)-$F127*10%,IF(AP$121="6차중도금",$F127*70%-SUM($G127:AO127)-$F127*10%,0)))</f>
        <v>0</v>
      </c>
      <c r="AQ127" s="605">
        <f>IF(AQ$121="입주/잔금",($F127-SUM($G127:AP127))*30%,IF(AP$121="입주/잔금",($F127-SUM($G127:AO127))*50%,IF(AO$121="입주/잔금",($F127-SUM($G127:AN127))*20%,IF(AQ$121=0,0,IF(AQ$121="2차중도금",$F127*30%-SUM($G127:AP127),IF(AQ$121="3차중도금",$F127*40%-SUM($G127:AP127),IF(AQ$121="4차중도금",$F127*50%-SUM($G127:AP127),$F127*10%)))))))+(IF(AQ$121="5차중도금",$F127*60%-SUM($G127:AP127)-$F127*10%,IF(AQ$121="6차중도금",$F127*70%-SUM($G127:AP127)-$F127*10%,0)))</f>
        <v>0</v>
      </c>
      <c r="AR127" s="605">
        <f>IF(AR$121="입주/잔금",($F127-SUM($G127:AQ127))*30%,IF(AQ$121="입주/잔금",($F127-SUM($G127:AP127))*50%,IF(AP$121="입주/잔금",($F127-SUM($G127:AO127))*20%,IF(AR$121=0,0,IF(AR$121="2차중도금",$F127*30%-SUM($G127:AQ127),IF(AR$121="3차중도금",$F127*40%-SUM($G127:AQ127),IF(AR$121="4차중도금",$F127*50%-SUM($G127:AQ127),$F127*10%)))))))+(IF(AR$121="5차중도금",$F127*60%-SUM($G127:AQ127)-$F127*10%,IF(AR$121="6차중도금",$F127*70%-SUM($G127:AQ127)-$F127*10%,0)))</f>
        <v>0</v>
      </c>
      <c r="AS127" s="605">
        <f>IF(AS$121="입주/잔금",($F127-SUM($G127:AR127))*30%,IF(AR$121="입주/잔금",($F127-SUM($G127:AQ127))*50%,IF(AQ$121="입주/잔금",($F127-SUM($G127:AP127))*20%,IF(AS$121=0,0,IF(AS$121="2차중도금",$F127*30%-SUM($G127:AR127),IF(AS$121="3차중도금",$F127*40%-SUM($G127:AR127),IF(AS$121="4차중도금",$F127*50%-SUM($G127:AR127),$F127*10%)))))))+(IF(AS$121="5차중도금",$F127*60%-SUM($G127:AR127)-$F127*10%,IF(AS$121="6차중도금",$F127*70%-SUM($G127:AR127)-$F127*10%,0)))</f>
        <v>0</v>
      </c>
      <c r="AT127" s="605">
        <f>IF(AT$121="입주/잔금",($F127-SUM($G127:AS127))*30%,IF(AS$121="입주/잔금",($F127-SUM($G127:AR127))*50%,IF(AR$121="입주/잔금",($F127-SUM($G127:AQ127))*20%,IF(AT$121=0,0,IF(AT$121="2차중도금",$F127*30%-SUM($G127:AS127),IF(AT$121="3차중도금",$F127*40%-SUM($G127:AS127),IF(AT$121="4차중도금",$F127*50%-SUM($G127:AS127),$F127*10%)))))))+(IF(AT$121="5차중도금",$F127*60%-SUM($G127:AS127)-$F127*10%,IF(AT$121="6차중도금",$F127*70%-SUM($G127:AS127)-$F127*10%,0)))</f>
        <v>0</v>
      </c>
      <c r="AU127" s="605">
        <f>IF(AU$121="입주/잔금",($F127-SUM($G127:AT127))*30%,IF(AT$121="입주/잔금",($F127-SUM($G127:AS127))*50%,IF(AS$121="입주/잔금",($F127-SUM($G127:AR127))*20%,IF(AU$121=0,0,IF(AU$121="2차중도금",$F127*30%-SUM($G127:AT127),IF(AU$121="3차중도금",$F127*40%-SUM($G127:AT127),IF(AU$121="4차중도금",$F127*50%-SUM($G127:AT127),$F127*10%)))))))+(IF(AU$121="5차중도금",$F127*60%-SUM($G127:AT127)-$F127*10%,IF(AU$121="6차중도금",$F127*70%-SUM($G127:AT127)-$F127*10%,0)))</f>
        <v>0</v>
      </c>
      <c r="AV127" s="605">
        <f>IF(AV$121="입주/잔금",($F127-SUM($G127:AU127))*30%,IF(AU$121="입주/잔금",($F127-SUM($G127:AT127))*50%,IF(AT$121="입주/잔금",($F127-SUM($G127:AS127))*20%,IF(AV$121=0,0,IF(AV$121="2차중도금",$F127*30%-SUM($G127:AU127),IF(AV$121="3차중도금",$F127*40%-SUM($G127:AU127),IF(AV$121="4차중도금",$F127*50%-SUM($G127:AU127),$F127*10%)))))))+(IF(AV$121="5차중도금",$F127*60%-SUM($G127:AU127)-$F127*10%,IF(AV$121="6차중도금",$F127*70%-SUM($G127:AU127)-$F127*10%,0)))</f>
        <v>0</v>
      </c>
      <c r="AW127" s="605">
        <f>IF(AW$121="입주/잔금",($F127-SUM($G127:AV127))*30%,IF(AV$121="입주/잔금",($F127-SUM($G127:AU127))*50%,IF(AU$121="입주/잔금",($F127-SUM($G127:AT127))*20%,IF(AW$121=0,0,IF(AW$121="2차중도금",$F127*30%-SUM($G127:AV127),IF(AW$121="3차중도금",$F127*40%-SUM($G127:AV127),IF(AW$121="4차중도금",$F127*50%-SUM($G127:AV127),$F127*10%)))))))+(IF(AW$121="5차중도금",$F127*60%-SUM($G127:AV127)-$F127*10%,IF(AW$121="6차중도금",$F127*70%-SUM($G127:AV127)-$F127*10%,0)))</f>
        <v>0</v>
      </c>
      <c r="AX127" s="605">
        <f>IF(AX$121="입주/잔금",($F127-SUM($G127:AW127))*30%,IF(AW$121="입주/잔금",($F127-SUM($G127:AV127))*50%,IF(AV$121="입주/잔금",($F127-SUM($G127:AU127))*20%,IF(AX$121=0,0,IF(AX$121="2차중도금",$F127*30%-SUM($G127:AW127),IF(AX$121="3차중도금",$F127*40%-SUM($G127:AW127),IF(AX$121="4차중도금",$F127*50%-SUM($G127:AW127),$F127*10%)))))))+(IF(AX$121="5차중도금",$F127*60%-SUM($G127:AW127)-$F127*10%,IF(AX$121="6차중도금",$F127*70%-SUM($G127:AW127)-$F127*10%,0)))</f>
        <v>0</v>
      </c>
      <c r="AY127" s="605">
        <f>IF(AY$121="입주/잔금",($F127-SUM($G127:AX127))*30%,IF(AX$121="입주/잔금",($F127-SUM($G127:AW127))*50%,IF(AW$121="입주/잔금",($F127-SUM($G127:AV127))*20%,IF(AY$121=0,0,IF(AY$121="2차중도금",$F127*30%-SUM($G127:AX127),IF(AY$121="3차중도금",$F127*40%-SUM($G127:AX127),IF(AY$121="4차중도금",$F127*50%-SUM($G127:AX127),$F127*10%)))))))+(IF(AY$121="5차중도금",$F127*60%-SUM($G127:AX127)-$F127*10%,IF(AY$121="6차중도금",$F127*70%-SUM($G127:AX127)-$F127*10%,0)))</f>
        <v>0</v>
      </c>
      <c r="AZ127" s="605">
        <f>IF(AZ$121="입주/잔금",($F127-SUM($G127:AY127))*30%,IF(AY$121="입주/잔금",($F127-SUM($G127:AX127))*50%,IF(AX$121="입주/잔금",($F127-SUM($G127:AW127))*20%,IF(AZ$121=0,0,IF(AZ$121="2차중도금",$F127*30%-SUM($G127:AY127),IF(AZ$121="3차중도금",$F127*40%-SUM($G127:AY127),IF(AZ$121="4차중도금",$F127*50%-SUM($G127:AY127),$F127*10%)))))))+(IF(AZ$121="5차중도금",$F127*60%-SUM($G127:AY127)-$F127*10%,IF(AZ$121="6차중도금",$F127*70%-SUM($G127:AY127)-$F127*10%,0)))</f>
        <v>0</v>
      </c>
      <c r="BA127" s="605">
        <f>IF(BA$121="입주/잔금",($F127-SUM($G127:AZ127))*30%,IF(AZ$121="입주/잔금",($F127-SUM($G127:AY127))*50%,IF(AY$121="입주/잔금",($F127-SUM($G127:AX127))*20%,IF(BA$121=0,0,IF(BA$121="2차중도금",$F127*30%-SUM($G127:AZ127),IF(BA$121="3차중도금",$F127*40%-SUM($G127:AZ127),IF(BA$121="4차중도금",$F127*50%-SUM($G127:AZ127),$F127*10%)))))))+(IF(BA$121="5차중도금",$F127*60%-SUM($G127:AZ127)-$F127*10%,IF(BA$121="6차중도금",$F127*70%-SUM($G127:AZ127)-$F127*10%,0)))</f>
        <v>0</v>
      </c>
      <c r="BB127" s="605">
        <f>IF(BB$121="입주/잔금",($F127-SUM($G127:BA127))*30%,IF(BA$121="입주/잔금",($F127-SUM($G127:AZ127))*50%,IF(AZ$121="입주/잔금",($F127-SUM($G127:AY127))*20%,IF(BB$121=0,0,IF(BB$121="2차중도금",$F127*30%-SUM($G127:BA127),IF(BB$121="3차중도금",$F127*40%-SUM($G127:BA127),IF(BB$121="4차중도금",$F127*50%-SUM($G127:BA127),$F127*10%)))))))+(IF(BB$121="5차중도금",$F127*60%-SUM($G127:BA127)-$F127*10%,IF(BB$121="6차중도금",$F127*70%-SUM($G127:BA127)-$F127*10%,0)))</f>
        <v>0</v>
      </c>
      <c r="BC127" s="605">
        <f>IF(BC$121="입주/잔금",($F127-SUM($G127:BB127))*30%,IF(BB$121="입주/잔금",($F127-SUM($G127:BA127))*50%,IF(BA$121="입주/잔금",($F127-SUM($G127:AZ127))*20%,IF(BC$121=0,0,IF(BC$121="2차중도금",$F127*30%-SUM($G127:BB127),IF(BC$121="3차중도금",$F127*40%-SUM($G127:BB127),IF(BC$121="4차중도금",$F127*50%-SUM($G127:BB127),$F127*10%)))))))+(IF(BC$121="5차중도금",$F127*60%-SUM($G127:BB127)-$F127*10%,IF(BC$121="6차중도금",$F127*70%-SUM($G127:BB127)-$F127*10%,0)))</f>
        <v>0</v>
      </c>
      <c r="BD127" s="605">
        <f>IF(BD$121="입주/잔금",($F127-SUM($G127:BC127))*30%,IF(BC$121="입주/잔금",($F127-SUM($G127:BB127))*50%,IF(BB$121="입주/잔금",($F127-SUM($G127:BA127))*20%,IF(BD$121=0,0,IF(BD$121="2차중도금",$F127*30%-SUM($G127:BC127),IF(BD$121="3차중도금",$F127*40%-SUM($G127:BC127),IF(BD$121="4차중도금",$F127*50%-SUM($G127:BC127),$F127*10%)))))))+(IF(BD$121="5차중도금",$F127*60%-SUM($G127:BC127)-$F127*10%,IF(BD$121="6차중도금",$F127*70%-SUM($G127:BC127)-$F127*10%,0)))</f>
        <v>0</v>
      </c>
      <c r="BE127" s="605">
        <f>IF(BE$121="입주/잔금",($F127-SUM($G127:BD127))*30%,IF(BD$121="입주/잔금",($F127-SUM($G127:BC127))*50%,IF(BC$121="입주/잔금",($F127-SUM($G127:BB127))*20%,IF(BE$121=0,0,IF(BE$121="2차중도금",$F127*30%-SUM($G127:BD127),IF(BE$121="3차중도금",$F127*40%-SUM($G127:BD127),IF(BE$121="4차중도금",$F127*50%-SUM($G127:BD127),$F127*10%)))))))+(IF(BE$121="5차중도금",$F127*60%-SUM($G127:BD127)-$F127*10%,IF(BE$121="6차중도금",$F127*70%-SUM($G127:BD127)-$F127*10%,0)))</f>
        <v>0</v>
      </c>
      <c r="BF127" s="609">
        <f t="shared" si="43"/>
        <v>0</v>
      </c>
      <c r="BG127" s="556">
        <f t="shared" si="45"/>
        <v>0</v>
      </c>
      <c r="BH127" s="610"/>
    </row>
    <row r="128" spans="1:60">
      <c r="A128" s="1867"/>
      <c r="B128" s="604">
        <f t="shared" si="46"/>
        <v>45017</v>
      </c>
      <c r="C128" s="605">
        <f t="shared" si="47"/>
        <v>21284968.815239683</v>
      </c>
      <c r="D128" s="1501">
        <v>0.2</v>
      </c>
      <c r="E128" s="607">
        <f t="shared" si="48"/>
        <v>0.2</v>
      </c>
      <c r="F128" s="608">
        <f t="shared" si="44"/>
        <v>4256993.7630479364</v>
      </c>
      <c r="G128" s="605"/>
      <c r="H128" s="605"/>
      <c r="I128" s="605"/>
      <c r="J128" s="605"/>
      <c r="K128" s="605"/>
      <c r="L128" s="605"/>
      <c r="M128" s="605">
        <f>$F128*10%</f>
        <v>425699.37630479364</v>
      </c>
      <c r="N128" s="605">
        <f>IF(N$121="입주/잔금",($F128-SUM($G128:M128))*30%,IF(M$121="입주/잔금",($F128-SUM($G128:L128))*50%,IF(L$121="입주/잔금",($F128-SUM($G128:K128))*20%,IF(N$121=0,0,IF(N$121="2차중도금",$F128*30%-SUM($G128:M128),IF(N$121="3차중도금",$F128*40%-SUM($G128:M128),IF(N$121="4차중도금",$F128*50%-SUM($G128:M128),$F128*10%)))))))+(IF(N$121="5차중도금",$F128*60%-SUM($G128:M128)-$F128*10%,IF(N$121="6차중도금",$F128*70%-SUM($G128:M128)-$F128*10%,0)))</f>
        <v>0</v>
      </c>
      <c r="O128" s="605">
        <f>IF(O$121="입주/잔금",($F128-SUM($G128:N128))*30%,IF(N$121="입주/잔금",($F128-SUM($G128:M128))*50%,IF(M$121="입주/잔금",($F128-SUM($G128:L128))*20%,IF(O$121=0,0,IF(O$121="2차중도금",$F128*30%-SUM($G128:N128),IF(O$121="3차중도금",$F128*40%-SUM($G128:N128),IF(O$121="4차중도금",$F128*50%-SUM($G128:N128),$F128*10%)))))))+(IF(O$121="5차중도금",$F128*60%-SUM($G128:N128)-$F128*10%,IF(O$121="6차중도금",$F128*70%-SUM($G128:N128)-$F128*10%,0)))</f>
        <v>0</v>
      </c>
      <c r="P128" s="605">
        <f>IF(P$121="입주/잔금",($F128-SUM($G128:O128))*30%,IF(O$121="입주/잔금",($F128-SUM($G128:N128))*50%,IF(N$121="입주/잔금",($F128-SUM($G128:M128))*20%,IF(P$121=0,0,IF(P$121="2차중도금",$F128*30%-SUM($G128:O128),IF(P$121="3차중도금",$F128*40%-SUM($G128:O128),IF(P$121="4차중도금",$F128*50%-SUM($G128:O128),$F128*10%)))))))+(IF(P$121="5차중도금",$F128*60%-SUM($G128:O128)-$F128*10%,IF(P$121="6차중도금",$F128*70%-SUM($G128:O128)-$F128*10%,0)))</f>
        <v>0</v>
      </c>
      <c r="Q128" s="605">
        <f>IF(Q$121="입주/잔금",($F128-SUM($G128:P128))*30%,IF(P$121="입주/잔금",($F128-SUM($G128:O128))*50%,IF(O$121="입주/잔금",($F128-SUM($G128:N128))*20%,IF(Q$121=0,0,IF(Q$121="2차중도금",$F128*30%-SUM($G128:P128),IF(Q$121="3차중도금",$F128*40%-SUM($G128:P128),IF(Q$121="4차중도금",$F128*50%-SUM($G128:P128),$F128*10%)))))))+(IF(Q$121="5차중도금",$F128*60%-SUM($G128:P128)-$F128*10%,IF(Q$121="6차중도금",$F128*70%-SUM($G128:P128)-$F128*10%,0)))</f>
        <v>0</v>
      </c>
      <c r="R128" s="605">
        <f>IF(R$121="입주/잔금",($F128-SUM($G128:Q128))*30%,IF(Q$121="입주/잔금",($F128-SUM($G128:P128))*50%,IF(P$121="입주/잔금",($F128-SUM($G128:O128))*20%,IF(R$121=0,0,IF(R$121="2차중도금",$F128*30%-SUM($G128:Q128),IF(R$121="3차중도금",$F128*40%-SUM($G128:Q128),IF(R$121="4차중도금",$F128*50%-SUM($G128:Q128),$F128*10%)))))))+(IF(R$121="5차중도금",$F128*60%-SUM($G128:Q128)-$F128*10%,IF(R$121="6차중도금",$F128*70%-SUM($G128:Q128)-$F128*10%,0)))</f>
        <v>0</v>
      </c>
      <c r="S128" s="605">
        <f>IF(S$121="입주/잔금",($F128-SUM($G128:R128))*30%,IF(R$121="입주/잔금",($F128-SUM($G128:Q128))*50%,IF(Q$121="입주/잔금",($F128-SUM($G128:P128))*20%,IF(S$121=0,0,IF(S$121="2차중도금",$F128*30%-SUM($G128:R128),IF(S$121="3차중도금",$F128*40%-SUM($G128:R128),IF(S$121="4차중도금",$F128*50%-SUM($G128:R128),$F128*10%)))))))+(IF(S$121="5차중도금",$F128*60%-SUM($G128:R128)-$F128*10%,IF(S$121="6차중도금",$F128*70%-SUM($G128:R128)-$F128*10%,0)))</f>
        <v>425699.37630479364</v>
      </c>
      <c r="T128" s="605">
        <f>IF(T$121="입주/잔금",($F128-SUM($G128:S128))*30%,IF(S$121="입주/잔금",($F128-SUM($G128:R128))*50%,IF(R$121="입주/잔금",($F128-SUM($G128:Q128))*20%,IF(T$121=0,0,IF(T$121="2차중도금",$F128*30%-SUM($G128:S128),IF(T$121="3차중도금",$F128*40%-SUM($G128:S128),IF(T$121="4차중도금",$F128*50%-SUM($G128:S128),$F128*10%)))))))+(IF(T$121="5차중도금",$F128*60%-SUM($G128:S128)-$F128*10%,IF(T$121="6차중도금",$F128*70%-SUM($G128:S128)-$F128*10%,0)))</f>
        <v>0</v>
      </c>
      <c r="U128" s="605">
        <f>IF(U$121="입주/잔금",($F128-SUM($G128:T128))*30%,IF(T$121="입주/잔금",($F128-SUM($G128:S128))*50%,IF(S$121="입주/잔금",($F128-SUM($G128:R128))*20%,IF(U$121=0,0,IF(U$121="2차중도금",$F128*30%-SUM($G128:T128),IF(U$121="3차중도금",$F128*40%-SUM($G128:T128),IF(U$121="4차중도금",$F128*50%-SUM($G128:T128),$F128*10%)))))))+(IF(U$121="5차중도금",$F128*60%-SUM($G128:T128)-$F128*10%,IF(U$121="6차중도금",$F128*70%-SUM($G128:T128)-$F128*10%,0)))</f>
        <v>0</v>
      </c>
      <c r="V128" s="605">
        <f>IF(V$121="입주/잔금",($F128-SUM($G128:U128))*30%,IF(U$121="입주/잔금",($F128-SUM($G128:T128))*50%,IF(T$121="입주/잔금",($F128-SUM($G128:S128))*20%,IF(V$121=0,0,IF(V$121="2차중도금",$F128*30%-SUM($G128:U128),IF(V$121="3차중도금",$F128*40%-SUM($G128:U128),IF(V$121="4차중도금",$F128*50%-SUM($G128:U128),$F128*10%)))))))+(IF(V$121="5차중도금",$F128*60%-SUM($G128:U128)-$F128*10%,IF(V$121="6차중도금",$F128*70%-SUM($G128:U128)-$F128*10%,0)))</f>
        <v>0</v>
      </c>
      <c r="W128" s="605">
        <f>IF(W$121="입주/잔금",($F128-SUM($G128:V128))*30%,IF(V$121="입주/잔금",($F128-SUM($G128:U128))*50%,IF(U$121="입주/잔금",($F128-SUM($G128:T128))*20%,IF(W$121=0,0,IF(W$121="2차중도금",$F128*30%-SUM($G128:V128),IF(W$121="3차중도금",$F128*40%-SUM($G128:V128),IF(W$121="4차중도금",$F128*50%-SUM($G128:V128),$F128*10%)))))))+(IF(W$121="5차중도금",$F128*60%-SUM($G128:V128)-$F128*10%,IF(W$121="6차중도금",$F128*70%-SUM($G128:V128)-$F128*10%,0)))</f>
        <v>0</v>
      </c>
      <c r="X128" s="605">
        <f>IF(X$121="입주/잔금",($F128-SUM($G128:W128))*30%,IF(W$121="입주/잔금",($F128-SUM($G128:V128))*50%,IF(V$121="입주/잔금",($F128-SUM($G128:U128))*20%,IF(X$121=0,0,IF(X$121="2차중도금",$F128*30%-SUM($G128:W128),IF(X$121="3차중도금",$F128*40%-SUM($G128:W128),IF(X$121="4차중도금",$F128*50%-SUM($G128:W128),$F128*10%)))))))+(IF(X$121="5차중도금",$F128*60%-SUM($G128:W128)-$F128*10%,IF(X$121="6차중도금",$F128*70%-SUM($G128:W128)-$F128*10%,0)))</f>
        <v>0</v>
      </c>
      <c r="Y128" s="605">
        <f>IF(Y$121="입주/잔금",($F128-SUM($G128:X128))*30%,IF(X$121="입주/잔금",($F128-SUM($G128:W128))*50%,IF(W$121="입주/잔금",($F128-SUM($G128:V128))*20%,IF(Y$121=0,0,IF(Y$121="2차중도금",$F128*30%-SUM($G128:X128),IF(Y$121="3차중도금",$F128*40%-SUM($G128:X128),IF(Y$121="4차중도금",$F128*50%-SUM($G128:X128),$F128*10%)))))))+(IF(Y$121="5차중도금",$F128*60%-SUM($G128:X128)-$F128*10%,IF(Y$121="6차중도금",$F128*70%-SUM($G128:X128)-$F128*10%,0)))</f>
        <v>425699.37630479364</v>
      </c>
      <c r="Z128" s="605">
        <f>IF(Z$121="입주/잔금",($F128-SUM($G128:Y128))*30%,IF(Y$121="입주/잔금",($F128-SUM($G128:X128))*50%,IF(X$121="입주/잔금",($F128-SUM($G128:W128))*20%,IF(Z$121=0,0,IF(Z$121="2차중도금",$F128*30%-SUM($G128:Y128),IF(Z$121="3차중도금",$F128*40%-SUM($G128:Y128),IF(Z$121="4차중도금",$F128*50%-SUM($G128:Y128),$F128*10%)))))))+(IF(Z$121="5차중도금",$F128*60%-SUM($G128:Y128)-$F128*10%,IF(Z$121="6차중도금",$F128*70%-SUM($G128:Y128)-$F128*10%,0)))</f>
        <v>0</v>
      </c>
      <c r="AA128" s="605">
        <f>IF(AA$121="입주/잔금",($F128-SUM($G128:Z128))*30%,IF(Z$121="입주/잔금",($F128-SUM($G128:Y128))*50%,IF(Y$121="입주/잔금",($F128-SUM($G128:X128))*20%,IF(AA$121=0,0,IF(AA$121="2차중도금",$F128*30%-SUM($G128:Z128),IF(AA$121="3차중도금",$F128*40%-SUM($G128:Z128),IF(AA$121="4차중도금",$F128*50%-SUM($G128:Z128),$F128*10%)))))))+(IF(AA$121="5차중도금",$F128*60%-SUM($G128:Z128)-$F128*10%,IF(AA$121="6차중도금",$F128*70%-SUM($G128:Z128)-$F128*10%,0)))</f>
        <v>0</v>
      </c>
      <c r="AB128" s="605">
        <f>IF(AB$121="입주/잔금",($F128-SUM($G128:AA128))*30%,IF(AA$121="입주/잔금",($F128-SUM($G128:Z128))*50%,IF(Z$121="입주/잔금",($F128-SUM($G128:Y128))*20%,IF(AB$121=0,0,IF(AB$121="2차중도금",$F128*30%-SUM($G128:AA128),IF(AB$121="3차중도금",$F128*40%-SUM($G128:AA128),IF(AB$121="4차중도금",$F128*50%-SUM($G128:AA128),$F128*10%)))))))+(IF(AB$121="5차중도금",$F128*60%-SUM($G128:AA128)-$F128*10%,IF(AB$121="6차중도금",$F128*70%-SUM($G128:AA128)-$F128*10%,0)))</f>
        <v>0</v>
      </c>
      <c r="AC128" s="605">
        <f>IF(AC$121="입주/잔금",($F128-SUM($G128:AB128))*30%,IF(AB$121="입주/잔금",($F128-SUM($G128:AA128))*50%,IF(AA$121="입주/잔금",($F128-SUM($G128:Z128))*20%,IF(AC$121=0,0,IF(AC$121="2차중도금",$F128*30%-SUM($G128:AB128),IF(AC$121="3차중도금",$F128*40%-SUM($G128:AB128),IF(AC$121="4차중도금",$F128*50%-SUM($G128:AB128),$F128*10%)))))))+(IF(AC$121="5차중도금",$F128*60%-SUM($G128:AB128)-$F128*10%,IF(AC$121="6차중도금",$F128*70%-SUM($G128:AB128)-$F128*10%,0)))</f>
        <v>0</v>
      </c>
      <c r="AD128" s="605">
        <f>IF(AD$121="입주/잔금",($F128-SUM($G128:AC128))*30%,IF(AC$121="입주/잔금",($F128-SUM($G128:AB128))*50%,IF(AB$121="입주/잔금",($F128-SUM($G128:AA128))*20%,IF(AD$121=0,0,IF(AD$121="2차중도금",$F128*30%-SUM($G128:AC128),IF(AD$121="3차중도금",$F128*40%-SUM($G128:AC128),IF(AD$121="4차중도금",$F128*50%-SUM($G128:AC128),$F128*10%)))))))+(IF(AD$121="5차중도금",$F128*60%-SUM($G128:AC128)-$F128*10%,IF(AD$121="6차중도금",$F128*70%-SUM($G128:AC128)-$F128*10%,0)))</f>
        <v>0</v>
      </c>
      <c r="AE128" s="605">
        <f>IF(AE$121="입주/잔금",($F128-SUM($G128:AD128))*30%,IF(AD$121="입주/잔금",($F128-SUM($G128:AC128))*50%,IF(AC$121="입주/잔금",($F128-SUM($G128:AB128))*20%,IF(AE$121=0,0,IF(AE$121="2차중도금",$F128*30%-SUM($G128:AD128),IF(AE$121="3차중도금",$F128*40%-SUM($G128:AD128),IF(AE$121="4차중도금",$F128*50%-SUM($G128:AD128),$F128*10%)))))))+(IF(AE$121="5차중도금",$F128*60%-SUM($G128:AD128)-$F128*10%,IF(AE$121="6차중도금",$F128*70%-SUM($G128:AD128)-$F128*10%,0)))</f>
        <v>425699.37630479364</v>
      </c>
      <c r="AF128" s="605">
        <f>IF(AF$121="입주/잔금",($F128-SUM($G128:AE128))*30%,IF(AE$121="입주/잔금",($F128-SUM($G128:AD128))*50%,IF(AD$121="입주/잔금",($F128-SUM($G128:AC128))*20%,IF(AF$121=0,0,IF(AF$121="2차중도금",$F128*30%-SUM($G128:AE128),IF(AF$121="3차중도금",$F128*40%-SUM($G128:AE128),IF(AF$121="4차중도금",$F128*50%-SUM($G128:AE128),$F128*10%)))))))+(IF(AF$121="5차중도금",$F128*60%-SUM($G128:AE128)-$F128*10%,IF(AF$121="6차중도금",$F128*70%-SUM($G128:AE128)-$F128*10%,0)))</f>
        <v>0</v>
      </c>
      <c r="AG128" s="605">
        <f>IF(AG$121="입주/잔금",($F128-SUM($G128:AF128))*30%,IF(AF$121="입주/잔금",($F128-SUM($G128:AE128))*50%,IF(AE$121="입주/잔금",($F128-SUM($G128:AD128))*20%,IF(AG$121=0,0,IF(AG$121="2차중도금",$F128*30%-SUM($G128:AF128),IF(AG$121="3차중도금",$F128*40%-SUM($G128:AF128),IF(AG$121="4차중도금",$F128*50%-SUM($G128:AF128),$F128*10%)))))))+(IF(AG$121="5차중도금",$F128*60%-SUM($G128:AF128)-$F128*10%,IF(AG$121="6차중도금",$F128*70%-SUM($G128:AF128)-$F128*10%,0)))</f>
        <v>0</v>
      </c>
      <c r="AH128" s="605">
        <f>IF(AH$121="입주/잔금",($F128-SUM($G128:AG128))*30%,IF(AG$121="입주/잔금",($F128-SUM($G128:AF128))*50%,IF(AF$121="입주/잔금",($F128-SUM($G128:AE128))*20%,IF(AH$121=0,0,IF(AH$121="2차중도금",$F128*30%-SUM($G128:AG128),IF(AH$121="3차중도금",$F128*40%-SUM($G128:AG128),IF(AH$121="4차중도금",$F128*50%-SUM($G128:AG128),$F128*10%)))))))+(IF(AH$121="5차중도금",$F128*60%-SUM($G128:AG128)-$F128*10%,IF(AH$121="6차중도금",$F128*70%-SUM($G128:AG128)-$F128*10%,0)))</f>
        <v>0</v>
      </c>
      <c r="AI128" s="605">
        <f>IF(AI$121="입주/잔금",($F128-SUM($G128:AH128))*30%,IF(AH$121="입주/잔금",($F128-SUM($G128:AG128))*50%,IF(AG$121="입주/잔금",($F128-SUM($G128:AF128))*20%,IF(AI$121=0,0,IF(AI$121="2차중도금",$F128*30%-SUM($G128:AH128),IF(AI$121="3차중도금",$F128*40%-SUM($G128:AH128),IF(AI$121="4차중도금",$F128*50%-SUM($G128:AH128),$F128*10%)))))))+(IF(AI$121="5차중도금",$F128*60%-SUM($G128:AH128)-$F128*10%,IF(AI$121="6차중도금",$F128*70%-SUM($G128:AH128)-$F128*10%,0)))</f>
        <v>0</v>
      </c>
      <c r="AJ128" s="605">
        <f>IF(AJ$121="입주/잔금",($F128-SUM($G128:AI128))*30%,IF(AI$121="입주/잔금",($F128-SUM($G128:AH128))*50%,IF(AH$121="입주/잔금",($F128-SUM($G128:AG128))*20%,IF(AJ$121=0,0,IF(AJ$121="2차중도금",$F128*30%-SUM($G128:AI128),IF(AJ$121="3차중도금",$F128*40%-SUM($G128:AI128),IF(AJ$121="4차중도금",$F128*50%-SUM($G128:AI128),$F128*10%)))))))+(IF(AJ$121="5차중도금",$F128*60%-SUM($G128:AI128)-$F128*10%,IF(AJ$121="6차중도금",$F128*70%-SUM($G128:AI128)-$F128*10%,0)))</f>
        <v>0</v>
      </c>
      <c r="AK128" s="605">
        <f>IF(AK$121="입주/잔금",($F128-SUM($G128:AJ128))*30%,IF(AJ$121="입주/잔금",($F128-SUM($G128:AI128))*50%,IF(AI$121="입주/잔금",($F128-SUM($G128:AH128))*20%,IF(AK$121=0,0,IF(AK$121="2차중도금",$F128*30%-SUM($G128:AJ128),IF(AK$121="3차중도금",$F128*40%-SUM($G128:AJ128),IF(AK$121="4차중도금",$F128*50%-SUM($G128:AJ128),$F128*10%)))))))+(IF(AK$121="5차중도금",$F128*60%-SUM($G128:AJ128)-$F128*10%,IF(AK$121="6차중도금",$F128*70%-SUM($G128:AJ128)-$F128*10%,0)))</f>
        <v>425699.37630479364</v>
      </c>
      <c r="AL128" s="605">
        <f>IF(AL$121="입주/잔금",($F128-SUM($G128:AK128))*30%,IF(AK$121="입주/잔금",($F128-SUM($G128:AJ128))*50%,IF(AJ$121="입주/잔금",($F128-SUM($G128:AI128))*20%,IF(AL$121=0,0,IF(AL$121="2차중도금",$F128*30%-SUM($G128:AK128),IF(AL$121="3차중도금",$F128*40%-SUM($G128:AK128),IF(AL$121="4차중도금",$F128*50%-SUM($G128:AK128),$F128*10%)))))))+(IF(AL$121="5차중도금",$F128*60%-SUM($G128:AK128)-$F128*10%,IF(AL$121="6차중도금",$F128*70%-SUM($G128:AK128)-$F128*10%,0)))</f>
        <v>0</v>
      </c>
      <c r="AM128" s="605">
        <f>IF(AM$121="입주/잔금",($F128-SUM($G128:AL128))*30%,IF(AL$121="입주/잔금",($F128-SUM($G128:AK128))*50%,IF(AK$121="입주/잔금",($F128-SUM($G128:AJ128))*20%,IF(AM$121=0,0,IF(AM$121="2차중도금",$F128*30%-SUM($G128:AL128),IF(AM$121="3차중도금",$F128*40%-SUM($G128:AL128),IF(AM$121="4차중도금",$F128*50%-SUM($G128:AL128),$F128*10%)))))))+(IF(AM$121="5차중도금",$F128*60%-SUM($G128:AL128)-$F128*10%,IF(AM$121="6차중도금",$F128*70%-SUM($G128:AL128)-$F128*10%,0)))</f>
        <v>0</v>
      </c>
      <c r="AN128" s="605">
        <f>IF(AN$121="입주/잔금",($F128-SUM($G128:AM128))*30%,IF(AM$121="입주/잔금",($F128-SUM($G128:AL128))*50%,IF(AL$121="입주/잔금",($F128-SUM($G128:AK128))*20%,IF(AN$121=0,0,IF(AN$121="2차중도금",$F128*30%-SUM($G128:AM128),IF(AN$121="3차중도금",$F128*40%-SUM($G128:AM128),IF(AN$121="4차중도금",$F128*50%-SUM($G128:AM128),$F128*10%)))))))+(IF(AN$121="5차중도금",$F128*60%-SUM($G128:AM128)-$F128*10%,IF(AN$121="6차중도금",$F128*70%-SUM($G128:AM128)-$F128*10%,0)))</f>
        <v>0</v>
      </c>
      <c r="AO128" s="605">
        <f>IF(AO$121="입주/잔금",($F128-SUM($G128:AN128))*30%,IF(AN$121="입주/잔금",($F128-SUM($G128:AM128))*50%,IF(AM$121="입주/잔금",($F128-SUM($G128:AL128))*20%,IF(AO$121=0,0,IF(AO$121="2차중도금",$F128*30%-SUM($G128:AN128),IF(AO$121="3차중도금",$F128*40%-SUM($G128:AN128),IF(AO$121="4차중도금",$F128*50%-SUM($G128:AN128),$F128*10%)))))))+(IF(AO$121="5차중도금",$F128*60%-SUM($G128:AN128)-$F128*10%,IF(AO$121="6차중도금",$F128*70%-SUM($G128:AN128)-$F128*10%,0)))</f>
        <v>0</v>
      </c>
      <c r="AP128" s="605">
        <f>IF(AP$121="입주/잔금",($F128-SUM($G128:AO128))*30%,IF(AO$121="입주/잔금",($F128-SUM($G128:AN128))*50%,IF(AN$121="입주/잔금",($F128-SUM($G128:AM128))*20%,IF(AP$121=0,0,IF(AP$121="2차중도금",$F128*30%-SUM($G128:AO128),IF(AP$121="3차중도금",$F128*40%-SUM($G128:AO128),IF(AP$121="4차중도금",$F128*50%-SUM($G128:AO128),$F128*10%)))))))+(IF(AP$121="5차중도금",$F128*60%-SUM($G128:AO128)-$F128*10%,IF(AP$121="6차중도금",$F128*70%-SUM($G128:AO128)-$F128*10%,0)))</f>
        <v>0</v>
      </c>
      <c r="AQ128" s="605">
        <f>IF(AQ$121="입주/잔금",($F128-SUM($G128:AP128))*30%,IF(AP$121="입주/잔금",($F128-SUM($G128:AO128))*50%,IF(AO$121="입주/잔금",($F128-SUM($G128:AN128))*20%,IF(AQ$121=0,0,IF(AQ$121="2차중도금",$F128*30%-SUM($G128:AP128),IF(AQ$121="3차중도금",$F128*40%-SUM($G128:AP128),IF(AQ$121="4차중도금",$F128*50%-SUM($G128:AP128),$F128*10%)))))))+(IF(AQ$121="5차중도금",$F128*60%-SUM($G128:AP128)-$F128*10%,IF(AQ$121="6차중도금",$F128*70%-SUM($G128:AP128)-$F128*10%,0)))</f>
        <v>0</v>
      </c>
      <c r="AR128" s="605">
        <f>IF(AR$121="입주/잔금",($F128-SUM($G128:AQ128))*30%,IF(AQ$121="입주/잔금",($F128-SUM($G128:AP128))*50%,IF(AP$121="입주/잔금",($F128-SUM($G128:AO128))*20%,IF(AR$121=0,0,IF(AR$121="2차중도금",$F128*30%-SUM($G128:AQ128),IF(AR$121="3차중도금",$F128*40%-SUM($G128:AQ128),IF(AR$121="4차중도금",$F128*50%-SUM($G128:AQ128),$F128*10%)))))))+(IF(AR$121="5차중도금",$F128*60%-SUM($G128:AQ128)-$F128*10%,IF(AR$121="6차중도금",$F128*70%-SUM($G128:AQ128)-$F128*10%,0)))</f>
        <v>638549.06445719046</v>
      </c>
      <c r="AS128" s="605">
        <f>IF(AS$121="입주/잔금",($F128-SUM($G128:AR128))*30%,IF(AR$121="입주/잔금",($F128-SUM($G128:AQ128))*50%,IF(AQ$121="입주/잔금",($F128-SUM($G128:AP128))*20%,IF(AS$121=0,0,IF(AS$121="2차중도금",$F128*30%-SUM($G128:AR128),IF(AS$121="3차중도금",$F128*40%-SUM($G128:AR128),IF(AS$121="4차중도금",$F128*50%-SUM($G128:AR128),$F128*10%)))))))+(IF(AS$121="5차중도금",$F128*60%-SUM($G128:AR128)-$F128*10%,IF(AS$121="6차중도금",$F128*70%-SUM($G128:AR128)-$F128*10%,0)))</f>
        <v>1064248.4407619841</v>
      </c>
      <c r="AT128" s="605">
        <f>IF(AT$121="입주/잔금",($F128-SUM($G128:AS128))*30%,IF(AS$121="입주/잔금",($F128-SUM($G128:AR128))*50%,IF(AR$121="입주/잔금",($F128-SUM($G128:AQ128))*20%,IF(AT$121=0,0,IF(AT$121="2차중도금",$F128*30%-SUM($G128:AS128),IF(AT$121="3차중도금",$F128*40%-SUM($G128:AS128),IF(AT$121="4차중도금",$F128*50%-SUM($G128:AS128),$F128*10%)))))))+(IF(AT$121="5차중도금",$F128*60%-SUM($G128:AS128)-$F128*10%,IF(AT$121="6차중도금",$F128*70%-SUM($G128:AS128)-$F128*10%,0)))</f>
        <v>425699.37630479364</v>
      </c>
      <c r="AU128" s="605">
        <f>IF(AU$121="입주/잔금",($F128-SUM($G128:AT128))*30%,IF(AT$121="입주/잔금",($F128-SUM($G128:AS128))*50%,IF(AS$121="입주/잔금",($F128-SUM($G128:AR128))*20%,IF(AU$121=0,0,IF(AU$121="2차중도금",$F128*30%-SUM($G128:AT128),IF(AU$121="3차중도금",$F128*40%-SUM($G128:AT128),IF(AU$121="4차중도금",$F128*50%-SUM($G128:AT128),$F128*10%)))))))+(IF(AU$121="5차중도금",$F128*60%-SUM($G128:AT128)-$F128*10%,IF(AU$121="6차중도금",$F128*70%-SUM($G128:AT128)-$F128*10%,0)))</f>
        <v>0</v>
      </c>
      <c r="AV128" s="605">
        <f>IF(AV$121="입주/잔금",($F128-SUM($G128:AU128))*30%,IF(AU$121="입주/잔금",($F128-SUM($G128:AT128))*50%,IF(AT$121="입주/잔금",($F128-SUM($G128:AS128))*20%,IF(AV$121=0,0,IF(AV$121="2차중도금",$F128*30%-SUM($G128:AU128),IF(AV$121="3차중도금",$F128*40%-SUM($G128:AU128),IF(AV$121="4차중도금",$F128*50%-SUM($G128:AU128),$F128*10%)))))))+(IF(AV$121="5차중도금",$F128*60%-SUM($G128:AU128)-$F128*10%,IF(AV$121="6차중도금",$F128*70%-SUM($G128:AU128)-$F128*10%,0)))</f>
        <v>0</v>
      </c>
      <c r="AW128" s="605">
        <f>IF(AW$121="입주/잔금",($F128-SUM($G128:AV128))*30%,IF(AV$121="입주/잔금",($F128-SUM($G128:AU128))*50%,IF(AU$121="입주/잔금",($F128-SUM($G128:AT128))*20%,IF(AW$121=0,0,IF(AW$121="2차중도금",$F128*30%-SUM($G128:AV128),IF(AW$121="3차중도금",$F128*40%-SUM($G128:AV128),IF(AW$121="4차중도금",$F128*50%-SUM($G128:AV128),$F128*10%)))))))+(IF(AW$121="5차중도금",$F128*60%-SUM($G128:AV128)-$F128*10%,IF(AW$121="6차중도금",$F128*70%-SUM($G128:AV128)-$F128*10%,0)))</f>
        <v>0</v>
      </c>
      <c r="AX128" s="605">
        <f>IF(AX$121="입주/잔금",($F128-SUM($G128:AW128))*30%,IF(AW$121="입주/잔금",($F128-SUM($G128:AV128))*50%,IF(AV$121="입주/잔금",($F128-SUM($G128:AU128))*20%,IF(AX$121=0,0,IF(AX$121="2차중도금",$F128*30%-SUM($G128:AW128),IF(AX$121="3차중도금",$F128*40%-SUM($G128:AW128),IF(AX$121="4차중도금",$F128*50%-SUM($G128:AW128),$F128*10%)))))))+(IF(AX$121="5차중도금",$F128*60%-SUM($G128:AW128)-$F128*10%,IF(AX$121="6차중도금",$F128*70%-SUM($G128:AW128)-$F128*10%,0)))</f>
        <v>0</v>
      </c>
      <c r="AY128" s="605">
        <f>IF(AY$121="입주/잔금",($F128-SUM($G128:AX128))*30%,IF(AX$121="입주/잔금",($F128-SUM($G128:AW128))*50%,IF(AW$121="입주/잔금",($F128-SUM($G128:AV128))*20%,IF(AY$121=0,0,IF(AY$121="2차중도금",$F128*30%-SUM($G128:AX128),IF(AY$121="3차중도금",$F128*40%-SUM($G128:AX128),IF(AY$121="4차중도금",$F128*50%-SUM($G128:AX128),$F128*10%)))))))+(IF(AY$121="5차중도금",$F128*60%-SUM($G128:AX128)-$F128*10%,IF(AY$121="6차중도금",$F128*70%-SUM($G128:AX128)-$F128*10%,0)))</f>
        <v>0</v>
      </c>
      <c r="AZ128" s="605">
        <f>IF(AZ$121="입주/잔금",($F128-SUM($G128:AY128))*30%,IF(AY$121="입주/잔금",($F128-SUM($G128:AX128))*50%,IF(AX$121="입주/잔금",($F128-SUM($G128:AW128))*20%,IF(AZ$121=0,0,IF(AZ$121="2차중도금",$F128*30%-SUM($G128:AY128),IF(AZ$121="3차중도금",$F128*40%-SUM($G128:AY128),IF(AZ$121="4차중도금",$F128*50%-SUM($G128:AY128),$F128*10%)))))))+(IF(AZ$121="5차중도금",$F128*60%-SUM($G128:AY128)-$F128*10%,IF(AZ$121="6차중도금",$F128*70%-SUM($G128:AY128)-$F128*10%,0)))</f>
        <v>0</v>
      </c>
      <c r="BA128" s="605">
        <f>IF(BA$121="입주/잔금",($F128-SUM($G128:AZ128))*30%,IF(AZ$121="입주/잔금",($F128-SUM($G128:AY128))*50%,IF(AY$121="입주/잔금",($F128-SUM($G128:AX128))*20%,IF(BA$121=0,0,IF(BA$121="2차중도금",$F128*30%-SUM($G128:AZ128),IF(BA$121="3차중도금",$F128*40%-SUM($G128:AZ128),IF(BA$121="4차중도금",$F128*50%-SUM($G128:AZ128),$F128*10%)))))))+(IF(BA$121="5차중도금",$F128*60%-SUM($G128:AZ128)-$F128*10%,IF(BA$121="6차중도금",$F128*70%-SUM($G128:AZ128)-$F128*10%,0)))</f>
        <v>0</v>
      </c>
      <c r="BB128" s="605">
        <f>IF(BB$121="입주/잔금",($F128-SUM($G128:BA128))*30%,IF(BA$121="입주/잔금",($F128-SUM($G128:AZ128))*50%,IF(AZ$121="입주/잔금",($F128-SUM($G128:AY128))*20%,IF(BB$121=0,0,IF(BB$121="2차중도금",$F128*30%-SUM($G128:BA128),IF(BB$121="3차중도금",$F128*40%-SUM($G128:BA128),IF(BB$121="4차중도금",$F128*50%-SUM($G128:BA128),$F128*10%)))))))+(IF(BB$121="5차중도금",$F128*60%-SUM($G128:BA128)-$F128*10%,IF(BB$121="6차중도금",$F128*70%-SUM($G128:BA128)-$F128*10%,0)))</f>
        <v>0</v>
      </c>
      <c r="BC128" s="605">
        <f>IF(BC$121="입주/잔금",($F128-SUM($G128:BB128))*30%,IF(BB$121="입주/잔금",($F128-SUM($G128:BA128))*50%,IF(BA$121="입주/잔금",($F128-SUM($G128:AZ128))*20%,IF(BC$121=0,0,IF(BC$121="2차중도금",$F128*30%-SUM($G128:BB128),IF(BC$121="3차중도금",$F128*40%-SUM($G128:BB128),IF(BC$121="4차중도금",$F128*50%-SUM($G128:BB128),$F128*10%)))))))+(IF(BC$121="5차중도금",$F128*60%-SUM($G128:BB128)-$F128*10%,IF(BC$121="6차중도금",$F128*70%-SUM($G128:BB128)-$F128*10%,0)))</f>
        <v>0</v>
      </c>
      <c r="BD128" s="605">
        <f>IF(BD$121="입주/잔금",($F128-SUM($G128:BC128))*30%,IF(BC$121="입주/잔금",($F128-SUM($G128:BB128))*50%,IF(BB$121="입주/잔금",($F128-SUM($G128:BA128))*20%,IF(BD$121=0,0,IF(BD$121="2차중도금",$F128*30%-SUM($G128:BC128),IF(BD$121="3차중도금",$F128*40%-SUM($G128:BC128),IF(BD$121="4차중도금",$F128*50%-SUM($G128:BC128),$F128*10%)))))))+(IF(BD$121="5차중도금",$F128*60%-SUM($G128:BC128)-$F128*10%,IF(BD$121="6차중도금",$F128*70%-SUM($G128:BC128)-$F128*10%,0)))</f>
        <v>0</v>
      </c>
      <c r="BE128" s="605">
        <f>IF(BE$121="입주/잔금",($F128-SUM($G128:BD128))*30%,IF(BD$121="입주/잔금",($F128-SUM($G128:BC128))*50%,IF(BC$121="입주/잔금",($F128-SUM($G128:BB128))*20%,IF(BE$121=0,0,IF(BE$121="2차중도금",$F128*30%-SUM($G128:BD128),IF(BE$121="3차중도금",$F128*40%-SUM($G128:BD128),IF(BE$121="4차중도금",$F128*50%-SUM($G128:BD128),$F128*10%)))))))+(IF(BE$121="5차중도금",$F128*60%-SUM($G128:BD128)-$F128*10%,IF(BE$121="6차중도금",$F128*70%-SUM($G128:BD128)-$F128*10%,0)))</f>
        <v>0</v>
      </c>
      <c r="BF128" s="609">
        <f t="shared" si="43"/>
        <v>4256993.7630479373</v>
      </c>
      <c r="BG128" s="556">
        <f t="shared" si="45"/>
        <v>0</v>
      </c>
      <c r="BH128" s="610"/>
    </row>
    <row r="129" spans="1:60">
      <c r="A129" s="1867"/>
      <c r="B129" s="611">
        <f t="shared" si="46"/>
        <v>45047</v>
      </c>
      <c r="C129" s="605">
        <f t="shared" si="47"/>
        <v>21284968.815239683</v>
      </c>
      <c r="D129" s="1501">
        <v>0.05</v>
      </c>
      <c r="E129" s="607">
        <f t="shared" si="48"/>
        <v>0.25</v>
      </c>
      <c r="F129" s="608">
        <f t="shared" si="44"/>
        <v>1064248.4407619841</v>
      </c>
      <c r="G129" s="605"/>
      <c r="H129" s="605"/>
      <c r="I129" s="605"/>
      <c r="J129" s="605"/>
      <c r="K129" s="605"/>
      <c r="L129" s="605"/>
      <c r="M129" s="605"/>
      <c r="N129" s="605">
        <f>$F129*10%</f>
        <v>106424.84407619841</v>
      </c>
      <c r="O129" s="605">
        <f>IF(O$121="입주/잔금",($F129-SUM($G129:N129))*30%,IF(N$121="입주/잔금",($F129-SUM($G129:M129))*50%,IF(M$121="입주/잔금",($F129-SUM($G129:L129))*20%,IF(O$121=0,0,IF(O$121="2차중도금",$F129*30%-SUM($G129:N129),IF(O$121="3차중도금",$F129*40%-SUM($G129:N129),IF(O$121="4차중도금",$F129*50%-SUM($G129:N129),$F129*10%)))))))+(IF(O$121="5차중도금",$F129*60%-SUM($G129:N129)-$F129*10%,IF(O$121="6차중도금",$F129*70%-SUM($G129:N129)-$F129*10%,0)))</f>
        <v>0</v>
      </c>
      <c r="P129" s="605">
        <f>IF(P$121="입주/잔금",($F129-SUM($G129:O129))*30%,IF(O$121="입주/잔금",($F129-SUM($G129:N129))*50%,IF(N$121="입주/잔금",($F129-SUM($G129:M129))*20%,IF(P$121=0,0,IF(P$121="2차중도금",$F129*30%-SUM($G129:O129),IF(P$121="3차중도금",$F129*40%-SUM($G129:O129),IF(P$121="4차중도금",$F129*50%-SUM($G129:O129),$F129*10%)))))))+(IF(P$121="5차중도금",$F129*60%-SUM($G129:O129)-$F129*10%,IF(P$121="6차중도금",$F129*70%-SUM($G129:O129)-$F129*10%,0)))</f>
        <v>0</v>
      </c>
      <c r="Q129" s="605">
        <f>IF(Q$121="입주/잔금",($F129-SUM($G129:P129))*30%,IF(P$121="입주/잔금",($F129-SUM($G129:O129))*50%,IF(O$121="입주/잔금",($F129-SUM($G129:N129))*20%,IF(Q$121=0,0,IF(Q$121="2차중도금",$F129*30%-SUM($G129:P129),IF(Q$121="3차중도금",$F129*40%-SUM($G129:P129),IF(Q$121="4차중도금",$F129*50%-SUM($G129:P129),$F129*10%)))))))+(IF(Q$121="5차중도금",$F129*60%-SUM($G129:P129)-$F129*10%,IF(Q$121="6차중도금",$F129*70%-SUM($G129:P129)-$F129*10%,0)))</f>
        <v>0</v>
      </c>
      <c r="R129" s="605">
        <f>IF(R$121="입주/잔금",($F129-SUM($G129:Q129))*30%,IF(Q$121="입주/잔금",($F129-SUM($G129:P129))*50%,IF(P$121="입주/잔금",($F129-SUM($G129:O129))*20%,IF(R$121=0,0,IF(R$121="2차중도금",$F129*30%-SUM($G129:Q129),IF(R$121="3차중도금",$F129*40%-SUM($G129:Q129),IF(R$121="4차중도금",$F129*50%-SUM($G129:Q129),$F129*10%)))))))+(IF(R$121="5차중도금",$F129*60%-SUM($G129:Q129)-$F129*10%,IF(R$121="6차중도금",$F129*70%-SUM($G129:Q129)-$F129*10%,0)))</f>
        <v>0</v>
      </c>
      <c r="S129" s="605">
        <f>IF(S$121="입주/잔금",($F129-SUM($G129:R129))*30%,IF(R$121="입주/잔금",($F129-SUM($G129:Q129))*50%,IF(Q$121="입주/잔금",($F129-SUM($G129:P129))*20%,IF(S$121=0,0,IF(S$121="2차중도금",$F129*30%-SUM($G129:R129),IF(S$121="3차중도금",$F129*40%-SUM($G129:R129),IF(S$121="4차중도금",$F129*50%-SUM($G129:R129),$F129*10%)))))))+(IF(S$121="5차중도금",$F129*60%-SUM($G129:R129)-$F129*10%,IF(S$121="6차중도금",$F129*70%-SUM($G129:R129)-$F129*10%,0)))</f>
        <v>106424.84407619841</v>
      </c>
      <c r="T129" s="605">
        <f>IF(T$121="입주/잔금",($F129-SUM($G129:S129))*30%,IF(S$121="입주/잔금",($F129-SUM($G129:R129))*50%,IF(R$121="입주/잔금",($F129-SUM($G129:Q129))*20%,IF(T$121=0,0,IF(T$121="2차중도금",$F129*30%-SUM($G129:S129),IF(T$121="3차중도금",$F129*40%-SUM($G129:S129),IF(T$121="4차중도금",$F129*50%-SUM($G129:S129),$F129*10%)))))))+(IF(T$121="5차중도금",$F129*60%-SUM($G129:S129)-$F129*10%,IF(T$121="6차중도금",$F129*70%-SUM($G129:S129)-$F129*10%,0)))</f>
        <v>0</v>
      </c>
      <c r="U129" s="605">
        <f>IF(U$121="입주/잔금",($F129-SUM($G129:T129))*30%,IF(T$121="입주/잔금",($F129-SUM($G129:S129))*50%,IF(S$121="입주/잔금",($F129-SUM($G129:R129))*20%,IF(U$121=0,0,IF(U$121="2차중도금",$F129*30%-SUM($G129:T129),IF(U$121="3차중도금",$F129*40%-SUM($G129:T129),IF(U$121="4차중도금",$F129*50%-SUM($G129:T129),$F129*10%)))))))+(IF(U$121="5차중도금",$F129*60%-SUM($G129:T129)-$F129*10%,IF(U$121="6차중도금",$F129*70%-SUM($G129:T129)-$F129*10%,0)))</f>
        <v>0</v>
      </c>
      <c r="V129" s="605">
        <f>IF(V$121="입주/잔금",($F129-SUM($G129:U129))*30%,IF(U$121="입주/잔금",($F129-SUM($G129:T129))*50%,IF(T$121="입주/잔금",($F129-SUM($G129:S129))*20%,IF(V$121=0,0,IF(V$121="2차중도금",$F129*30%-SUM($G129:U129),IF(V$121="3차중도금",$F129*40%-SUM($G129:U129),IF(V$121="4차중도금",$F129*50%-SUM($G129:U129),$F129*10%)))))))+(IF(V$121="5차중도금",$F129*60%-SUM($G129:U129)-$F129*10%,IF(V$121="6차중도금",$F129*70%-SUM($G129:U129)-$F129*10%,0)))</f>
        <v>0</v>
      </c>
      <c r="W129" s="605">
        <f>IF(W$121="입주/잔금",($F129-SUM($G129:V129))*30%,IF(V$121="입주/잔금",($F129-SUM($G129:U129))*50%,IF(U$121="입주/잔금",($F129-SUM($G129:T129))*20%,IF(W$121=0,0,IF(W$121="2차중도금",$F129*30%-SUM($G129:V129),IF(W$121="3차중도금",$F129*40%-SUM($G129:V129),IF(W$121="4차중도금",$F129*50%-SUM($G129:V129),$F129*10%)))))))+(IF(W$121="5차중도금",$F129*60%-SUM($G129:V129)-$F129*10%,IF(W$121="6차중도금",$F129*70%-SUM($G129:V129)-$F129*10%,0)))</f>
        <v>0</v>
      </c>
      <c r="X129" s="605">
        <f>IF(X$121="입주/잔금",($F129-SUM($G129:W129))*30%,IF(W$121="입주/잔금",($F129-SUM($G129:V129))*50%,IF(V$121="입주/잔금",($F129-SUM($G129:U129))*20%,IF(X$121=0,0,IF(X$121="2차중도금",$F129*30%-SUM($G129:W129),IF(X$121="3차중도금",$F129*40%-SUM($G129:W129),IF(X$121="4차중도금",$F129*50%-SUM($G129:W129),$F129*10%)))))))+(IF(X$121="5차중도금",$F129*60%-SUM($G129:W129)-$F129*10%,IF(X$121="6차중도금",$F129*70%-SUM($G129:W129)-$F129*10%,0)))</f>
        <v>0</v>
      </c>
      <c r="Y129" s="605">
        <f>IF(Y$121="입주/잔금",($F129-SUM($G129:X129))*30%,IF(X$121="입주/잔금",($F129-SUM($G129:W129))*50%,IF(W$121="입주/잔금",($F129-SUM($G129:V129))*20%,IF(Y$121=0,0,IF(Y$121="2차중도금",$F129*30%-SUM($G129:X129),IF(Y$121="3차중도금",$F129*40%-SUM($G129:X129),IF(Y$121="4차중도금",$F129*50%-SUM($G129:X129),$F129*10%)))))))+(IF(Y$121="5차중도금",$F129*60%-SUM($G129:X129)-$F129*10%,IF(Y$121="6차중도금",$F129*70%-SUM($G129:X129)-$F129*10%,0)))</f>
        <v>106424.84407619841</v>
      </c>
      <c r="Z129" s="605">
        <f>IF(Z$121="입주/잔금",($F129-SUM($G129:Y129))*30%,IF(Y$121="입주/잔금",($F129-SUM($G129:X129))*50%,IF(X$121="입주/잔금",($F129-SUM($G129:W129))*20%,IF(Z$121=0,0,IF(Z$121="2차중도금",$F129*30%-SUM($G129:Y129),IF(Z$121="3차중도금",$F129*40%-SUM($G129:Y129),IF(Z$121="4차중도금",$F129*50%-SUM($G129:Y129),$F129*10%)))))))+(IF(Z$121="5차중도금",$F129*60%-SUM($G129:Y129)-$F129*10%,IF(Z$121="6차중도금",$F129*70%-SUM($G129:Y129)-$F129*10%,0)))</f>
        <v>0</v>
      </c>
      <c r="AA129" s="605">
        <f>IF(AA$121="입주/잔금",($F129-SUM($G129:Z129))*30%,IF(Z$121="입주/잔금",($F129-SUM($G129:Y129))*50%,IF(Y$121="입주/잔금",($F129-SUM($G129:X129))*20%,IF(AA$121=0,0,IF(AA$121="2차중도금",$F129*30%-SUM($G129:Z129),IF(AA$121="3차중도금",$F129*40%-SUM($G129:Z129),IF(AA$121="4차중도금",$F129*50%-SUM($G129:Z129),$F129*10%)))))))+(IF(AA$121="5차중도금",$F129*60%-SUM($G129:Z129)-$F129*10%,IF(AA$121="6차중도금",$F129*70%-SUM($G129:Z129)-$F129*10%,0)))</f>
        <v>0</v>
      </c>
      <c r="AB129" s="605">
        <f>IF(AB$121="입주/잔금",($F129-SUM($G129:AA129))*30%,IF(AA$121="입주/잔금",($F129-SUM($G129:Z129))*50%,IF(Z$121="입주/잔금",($F129-SUM($G129:Y129))*20%,IF(AB$121=0,0,IF(AB$121="2차중도금",$F129*30%-SUM($G129:AA129),IF(AB$121="3차중도금",$F129*40%-SUM($G129:AA129),IF(AB$121="4차중도금",$F129*50%-SUM($G129:AA129),$F129*10%)))))))+(IF(AB$121="5차중도금",$F129*60%-SUM($G129:AA129)-$F129*10%,IF(AB$121="6차중도금",$F129*70%-SUM($G129:AA129)-$F129*10%,0)))</f>
        <v>0</v>
      </c>
      <c r="AC129" s="605">
        <f>IF(AC$121="입주/잔금",($F129-SUM($G129:AB129))*30%,IF(AB$121="입주/잔금",($F129-SUM($G129:AA129))*50%,IF(AA$121="입주/잔금",($F129-SUM($G129:Z129))*20%,IF(AC$121=0,0,IF(AC$121="2차중도금",$F129*30%-SUM($G129:AB129),IF(AC$121="3차중도금",$F129*40%-SUM($G129:AB129),IF(AC$121="4차중도금",$F129*50%-SUM($G129:AB129),$F129*10%)))))))+(IF(AC$121="5차중도금",$F129*60%-SUM($G129:AB129)-$F129*10%,IF(AC$121="6차중도금",$F129*70%-SUM($G129:AB129)-$F129*10%,0)))</f>
        <v>0</v>
      </c>
      <c r="AD129" s="605">
        <f>IF(AD$121="입주/잔금",($F129-SUM($G129:AC129))*30%,IF(AC$121="입주/잔금",($F129-SUM($G129:AB129))*50%,IF(AB$121="입주/잔금",($F129-SUM($G129:AA129))*20%,IF(AD$121=0,0,IF(AD$121="2차중도금",$F129*30%-SUM($G129:AC129),IF(AD$121="3차중도금",$F129*40%-SUM($G129:AC129),IF(AD$121="4차중도금",$F129*50%-SUM($G129:AC129),$F129*10%)))))))+(IF(AD$121="5차중도금",$F129*60%-SUM($G129:AC129)-$F129*10%,IF(AD$121="6차중도금",$F129*70%-SUM($G129:AC129)-$F129*10%,0)))</f>
        <v>0</v>
      </c>
      <c r="AE129" s="605">
        <f>IF(AE$121="입주/잔금",($F129-SUM($G129:AD129))*30%,IF(AD$121="입주/잔금",($F129-SUM($G129:AC129))*50%,IF(AC$121="입주/잔금",($F129-SUM($G129:AB129))*20%,IF(AE$121=0,0,IF(AE$121="2차중도금",$F129*30%-SUM($G129:AD129),IF(AE$121="3차중도금",$F129*40%-SUM($G129:AD129),IF(AE$121="4차중도금",$F129*50%-SUM($G129:AD129),$F129*10%)))))))+(IF(AE$121="5차중도금",$F129*60%-SUM($G129:AD129)-$F129*10%,IF(AE$121="6차중도금",$F129*70%-SUM($G129:AD129)-$F129*10%,0)))</f>
        <v>106424.84407619841</v>
      </c>
      <c r="AF129" s="605">
        <f>IF(AF$121="입주/잔금",($F129-SUM($G129:AE129))*30%,IF(AE$121="입주/잔금",($F129-SUM($G129:AD129))*50%,IF(AD$121="입주/잔금",($F129-SUM($G129:AC129))*20%,IF(AF$121=0,0,IF(AF$121="2차중도금",$F129*30%-SUM($G129:AE129),IF(AF$121="3차중도금",$F129*40%-SUM($G129:AE129),IF(AF$121="4차중도금",$F129*50%-SUM($G129:AE129),$F129*10%)))))))+(IF(AF$121="5차중도금",$F129*60%-SUM($G129:AE129)-$F129*10%,IF(AF$121="6차중도금",$F129*70%-SUM($G129:AE129)-$F129*10%,0)))</f>
        <v>0</v>
      </c>
      <c r="AG129" s="605">
        <f>IF(AG$121="입주/잔금",($F129-SUM($G129:AF129))*30%,IF(AF$121="입주/잔금",($F129-SUM($G129:AE129))*50%,IF(AE$121="입주/잔금",($F129-SUM($G129:AD129))*20%,IF(AG$121=0,0,IF(AG$121="2차중도금",$F129*30%-SUM($G129:AF129),IF(AG$121="3차중도금",$F129*40%-SUM($G129:AF129),IF(AG$121="4차중도금",$F129*50%-SUM($G129:AF129),$F129*10%)))))))+(IF(AG$121="5차중도금",$F129*60%-SUM($G129:AF129)-$F129*10%,IF(AG$121="6차중도금",$F129*70%-SUM($G129:AF129)-$F129*10%,0)))</f>
        <v>0</v>
      </c>
      <c r="AH129" s="605">
        <f>IF(AH$121="입주/잔금",($F129-SUM($G129:AG129))*30%,IF(AG$121="입주/잔금",($F129-SUM($G129:AF129))*50%,IF(AF$121="입주/잔금",($F129-SUM($G129:AE129))*20%,IF(AH$121=0,0,IF(AH$121="2차중도금",$F129*30%-SUM($G129:AG129),IF(AH$121="3차중도금",$F129*40%-SUM($G129:AG129),IF(AH$121="4차중도금",$F129*50%-SUM($G129:AG129),$F129*10%)))))))+(IF(AH$121="5차중도금",$F129*60%-SUM($G129:AG129)-$F129*10%,IF(AH$121="6차중도금",$F129*70%-SUM($G129:AG129)-$F129*10%,0)))</f>
        <v>0</v>
      </c>
      <c r="AI129" s="605">
        <f>IF(AI$121="입주/잔금",($F129-SUM($G129:AH129))*30%,IF(AH$121="입주/잔금",($F129-SUM($G129:AG129))*50%,IF(AG$121="입주/잔금",($F129-SUM($G129:AF129))*20%,IF(AI$121=0,0,IF(AI$121="2차중도금",$F129*30%-SUM($G129:AH129),IF(AI$121="3차중도금",$F129*40%-SUM($G129:AH129),IF(AI$121="4차중도금",$F129*50%-SUM($G129:AH129),$F129*10%)))))))+(IF(AI$121="5차중도금",$F129*60%-SUM($G129:AH129)-$F129*10%,IF(AI$121="6차중도금",$F129*70%-SUM($G129:AH129)-$F129*10%,0)))</f>
        <v>0</v>
      </c>
      <c r="AJ129" s="605">
        <f>IF(AJ$121="입주/잔금",($F129-SUM($G129:AI129))*30%,IF(AI$121="입주/잔금",($F129-SUM($G129:AH129))*50%,IF(AH$121="입주/잔금",($F129-SUM($G129:AG129))*20%,IF(AJ$121=0,0,IF(AJ$121="2차중도금",$F129*30%-SUM($G129:AI129),IF(AJ$121="3차중도금",$F129*40%-SUM($G129:AI129),IF(AJ$121="4차중도금",$F129*50%-SUM($G129:AI129),$F129*10%)))))))+(IF(AJ$121="5차중도금",$F129*60%-SUM($G129:AI129)-$F129*10%,IF(AJ$121="6차중도금",$F129*70%-SUM($G129:AI129)-$F129*10%,0)))</f>
        <v>0</v>
      </c>
      <c r="AK129" s="605">
        <f>IF(AK$121="입주/잔금",($F129-SUM($G129:AJ129))*30%,IF(AJ$121="입주/잔금",($F129-SUM($G129:AI129))*50%,IF(AI$121="입주/잔금",($F129-SUM($G129:AH129))*20%,IF(AK$121=0,0,IF(AK$121="2차중도금",$F129*30%-SUM($G129:AJ129),IF(AK$121="3차중도금",$F129*40%-SUM($G129:AJ129),IF(AK$121="4차중도금",$F129*50%-SUM($G129:AJ129),$F129*10%)))))))+(IF(AK$121="5차중도금",$F129*60%-SUM($G129:AJ129)-$F129*10%,IF(AK$121="6차중도금",$F129*70%-SUM($G129:AJ129)-$F129*10%,0)))</f>
        <v>106424.84407619841</v>
      </c>
      <c r="AL129" s="605">
        <f>IF(AL$121="입주/잔금",($F129-SUM($G129:AK129))*30%,IF(AK$121="입주/잔금",($F129-SUM($G129:AJ129))*50%,IF(AJ$121="입주/잔금",($F129-SUM($G129:AI129))*20%,IF(AL$121=0,0,IF(AL$121="2차중도금",$F129*30%-SUM($G129:AK129),IF(AL$121="3차중도금",$F129*40%-SUM($G129:AK129),IF(AL$121="4차중도금",$F129*50%-SUM($G129:AK129),$F129*10%)))))))+(IF(AL$121="5차중도금",$F129*60%-SUM($G129:AK129)-$F129*10%,IF(AL$121="6차중도금",$F129*70%-SUM($G129:AK129)-$F129*10%,0)))</f>
        <v>0</v>
      </c>
      <c r="AM129" s="605">
        <f>IF(AM$121="입주/잔금",($F129-SUM($G129:AL129))*30%,IF(AL$121="입주/잔금",($F129-SUM($G129:AK129))*50%,IF(AK$121="입주/잔금",($F129-SUM($G129:AJ129))*20%,IF(AM$121=0,0,IF(AM$121="2차중도금",$F129*30%-SUM($G129:AL129),IF(AM$121="3차중도금",$F129*40%-SUM($G129:AL129),IF(AM$121="4차중도금",$F129*50%-SUM($G129:AL129),$F129*10%)))))))+(IF(AM$121="5차중도금",$F129*60%-SUM($G129:AL129)-$F129*10%,IF(AM$121="6차중도금",$F129*70%-SUM($G129:AL129)-$F129*10%,0)))</f>
        <v>0</v>
      </c>
      <c r="AN129" s="605">
        <f>IF(AN$121="입주/잔금",($F129-SUM($G129:AM129))*30%,IF(AM$121="입주/잔금",($F129-SUM($G129:AL129))*50%,IF(AL$121="입주/잔금",($F129-SUM($G129:AK129))*20%,IF(AN$121=0,0,IF(AN$121="2차중도금",$F129*30%-SUM($G129:AM129),IF(AN$121="3차중도금",$F129*40%-SUM($G129:AM129),IF(AN$121="4차중도금",$F129*50%-SUM($G129:AM129),$F129*10%)))))))+(IF(AN$121="5차중도금",$F129*60%-SUM($G129:AM129)-$F129*10%,IF(AN$121="6차중도금",$F129*70%-SUM($G129:AM129)-$F129*10%,0)))</f>
        <v>0</v>
      </c>
      <c r="AO129" s="605">
        <f>IF(AO$121="입주/잔금",($F129-SUM($G129:AN129))*30%,IF(AN$121="입주/잔금",($F129-SUM($G129:AM129))*50%,IF(AM$121="입주/잔금",($F129-SUM($G129:AL129))*20%,IF(AO$121=0,0,IF(AO$121="2차중도금",$F129*30%-SUM($G129:AN129),IF(AO$121="3차중도금",$F129*40%-SUM($G129:AN129),IF(AO$121="4차중도금",$F129*50%-SUM($G129:AN129),$F129*10%)))))))+(IF(AO$121="5차중도금",$F129*60%-SUM($G129:AN129)-$F129*10%,IF(AO$121="6차중도금",$F129*70%-SUM($G129:AN129)-$F129*10%,0)))</f>
        <v>0</v>
      </c>
      <c r="AP129" s="605">
        <f>IF(AP$121="입주/잔금",($F129-SUM($G129:AO129))*30%,IF(AO$121="입주/잔금",($F129-SUM($G129:AN129))*50%,IF(AN$121="입주/잔금",($F129-SUM($G129:AM129))*20%,IF(AP$121=0,0,IF(AP$121="2차중도금",$F129*30%-SUM($G129:AO129),IF(AP$121="3차중도금",$F129*40%-SUM($G129:AO129),IF(AP$121="4차중도금",$F129*50%-SUM($G129:AO129),$F129*10%)))))))+(IF(AP$121="5차중도금",$F129*60%-SUM($G129:AO129)-$F129*10%,IF(AP$121="6차중도금",$F129*70%-SUM($G129:AO129)-$F129*10%,0)))</f>
        <v>0</v>
      </c>
      <c r="AQ129" s="605">
        <f>IF(AQ$121="입주/잔금",($F129-SUM($G129:AP129))*30%,IF(AP$121="입주/잔금",($F129-SUM($G129:AO129))*50%,IF(AO$121="입주/잔금",($F129-SUM($G129:AN129))*20%,IF(AQ$121=0,0,IF(AQ$121="2차중도금",$F129*30%-SUM($G129:AP129),IF(AQ$121="3차중도금",$F129*40%-SUM($G129:AP129),IF(AQ$121="4차중도금",$F129*50%-SUM($G129:AP129),$F129*10%)))))))+(IF(AQ$121="5차중도금",$F129*60%-SUM($G129:AP129)-$F129*10%,IF(AQ$121="6차중도금",$F129*70%-SUM($G129:AP129)-$F129*10%,0)))</f>
        <v>0</v>
      </c>
      <c r="AR129" s="605">
        <f>IF(AR$121="입주/잔금",($F129-SUM($G129:AQ129))*30%,IF(AQ$121="입주/잔금",($F129-SUM($G129:AP129))*50%,IF(AP$121="입주/잔금",($F129-SUM($G129:AO129))*20%,IF(AR$121=0,0,IF(AR$121="2차중도금",$F129*30%-SUM($G129:AQ129),IF(AR$121="3차중도금",$F129*40%-SUM($G129:AQ129),IF(AR$121="4차중도금",$F129*50%-SUM($G129:AQ129),$F129*10%)))))))+(IF(AR$121="5차중도금",$F129*60%-SUM($G129:AQ129)-$F129*10%,IF(AR$121="6차중도금",$F129*70%-SUM($G129:AQ129)-$F129*10%,0)))</f>
        <v>159637.26611429761</v>
      </c>
      <c r="AS129" s="605">
        <f>IF(AS$121="입주/잔금",($F129-SUM($G129:AR129))*30%,IF(AR$121="입주/잔금",($F129-SUM($G129:AQ129))*50%,IF(AQ$121="입주/잔금",($F129-SUM($G129:AP129))*20%,IF(AS$121=0,0,IF(AS$121="2차중도금",$F129*30%-SUM($G129:AR129),IF(AS$121="3차중도금",$F129*40%-SUM($G129:AR129),IF(AS$121="4차중도금",$F129*50%-SUM($G129:AR129),$F129*10%)))))))+(IF(AS$121="5차중도금",$F129*60%-SUM($G129:AR129)-$F129*10%,IF(AS$121="6차중도금",$F129*70%-SUM($G129:AR129)-$F129*10%,0)))</f>
        <v>266062.11019049602</v>
      </c>
      <c r="AT129" s="605">
        <f>IF(AT$121="입주/잔금",($F129-SUM($G129:AS129))*30%,IF(AS$121="입주/잔금",($F129-SUM($G129:AR129))*50%,IF(AR$121="입주/잔금",($F129-SUM($G129:AQ129))*20%,IF(AT$121=0,0,IF(AT$121="2차중도금",$F129*30%-SUM($G129:AS129),IF(AT$121="3차중도금",$F129*40%-SUM($G129:AS129),IF(AT$121="4차중도금",$F129*50%-SUM($G129:AS129),$F129*10%)))))))+(IF(AT$121="5차중도금",$F129*60%-SUM($G129:AS129)-$F129*10%,IF(AT$121="6차중도금",$F129*70%-SUM($G129:AS129)-$F129*10%,0)))</f>
        <v>106424.84407619841</v>
      </c>
      <c r="AU129" s="605">
        <f>IF(AU$121="입주/잔금",($F129-SUM($G129:AT129))*30%,IF(AT$121="입주/잔금",($F129-SUM($G129:AS129))*50%,IF(AS$121="입주/잔금",($F129-SUM($G129:AR129))*20%,IF(AU$121=0,0,IF(AU$121="2차중도금",$F129*30%-SUM($G129:AT129),IF(AU$121="3차중도금",$F129*40%-SUM($G129:AT129),IF(AU$121="4차중도금",$F129*50%-SUM($G129:AT129),$F129*10%)))))))+(IF(AU$121="5차중도금",$F129*60%-SUM($G129:AT129)-$F129*10%,IF(AU$121="6차중도금",$F129*70%-SUM($G129:AT129)-$F129*10%,0)))</f>
        <v>0</v>
      </c>
      <c r="AV129" s="605">
        <f>IF(AV$121="입주/잔금",($F129-SUM($G129:AU129))*30%,IF(AU$121="입주/잔금",($F129-SUM($G129:AT129))*50%,IF(AT$121="입주/잔금",($F129-SUM($G129:AS129))*20%,IF(AV$121=0,0,IF(AV$121="2차중도금",$F129*30%-SUM($G129:AU129),IF(AV$121="3차중도금",$F129*40%-SUM($G129:AU129),IF(AV$121="4차중도금",$F129*50%-SUM($G129:AU129),$F129*10%)))))))+(IF(AV$121="5차중도금",$F129*60%-SUM($G129:AU129)-$F129*10%,IF(AV$121="6차중도금",$F129*70%-SUM($G129:AU129)-$F129*10%,0)))</f>
        <v>0</v>
      </c>
      <c r="AW129" s="605">
        <f>IF(AW$121="입주/잔금",($F129-SUM($G129:AV129))*30%,IF(AV$121="입주/잔금",($F129-SUM($G129:AU129))*50%,IF(AU$121="입주/잔금",($F129-SUM($G129:AT129))*20%,IF(AW$121=0,0,IF(AW$121="2차중도금",$F129*30%-SUM($G129:AV129),IF(AW$121="3차중도금",$F129*40%-SUM($G129:AV129),IF(AW$121="4차중도금",$F129*50%-SUM($G129:AV129),$F129*10%)))))))+(IF(AW$121="5차중도금",$F129*60%-SUM($G129:AV129)-$F129*10%,IF(AW$121="6차중도금",$F129*70%-SUM($G129:AV129)-$F129*10%,0)))</f>
        <v>0</v>
      </c>
      <c r="AX129" s="605">
        <f>IF(AX$121="입주/잔금",($F129-SUM($G129:AW129))*30%,IF(AW$121="입주/잔금",($F129-SUM($G129:AV129))*50%,IF(AV$121="입주/잔금",($F129-SUM($G129:AU129))*20%,IF(AX$121=0,0,IF(AX$121="2차중도금",$F129*30%-SUM($G129:AW129),IF(AX$121="3차중도금",$F129*40%-SUM($G129:AW129),IF(AX$121="4차중도금",$F129*50%-SUM($G129:AW129),$F129*10%)))))))+(IF(AX$121="5차중도금",$F129*60%-SUM($G129:AW129)-$F129*10%,IF(AX$121="6차중도금",$F129*70%-SUM($G129:AW129)-$F129*10%,0)))</f>
        <v>0</v>
      </c>
      <c r="AY129" s="605">
        <f>IF(AY$121="입주/잔금",($F129-SUM($G129:AX129))*30%,IF(AX$121="입주/잔금",($F129-SUM($G129:AW129))*50%,IF(AW$121="입주/잔금",($F129-SUM($G129:AV129))*20%,IF(AY$121=0,0,IF(AY$121="2차중도금",$F129*30%-SUM($G129:AX129),IF(AY$121="3차중도금",$F129*40%-SUM($G129:AX129),IF(AY$121="4차중도금",$F129*50%-SUM($G129:AX129),$F129*10%)))))))+(IF(AY$121="5차중도금",$F129*60%-SUM($G129:AX129)-$F129*10%,IF(AY$121="6차중도금",$F129*70%-SUM($G129:AX129)-$F129*10%,0)))</f>
        <v>0</v>
      </c>
      <c r="AZ129" s="605">
        <f>IF(AZ$121="입주/잔금",($F129-SUM($G129:AY129))*30%,IF(AY$121="입주/잔금",($F129-SUM($G129:AX129))*50%,IF(AX$121="입주/잔금",($F129-SUM($G129:AW129))*20%,IF(AZ$121=0,0,IF(AZ$121="2차중도금",$F129*30%-SUM($G129:AY129),IF(AZ$121="3차중도금",$F129*40%-SUM($G129:AY129),IF(AZ$121="4차중도금",$F129*50%-SUM($G129:AY129),$F129*10%)))))))+(IF(AZ$121="5차중도금",$F129*60%-SUM($G129:AY129)-$F129*10%,IF(AZ$121="6차중도금",$F129*70%-SUM($G129:AY129)-$F129*10%,0)))</f>
        <v>0</v>
      </c>
      <c r="BA129" s="605">
        <f>IF(BA$121="입주/잔금",($F129-SUM($G129:AZ129))*30%,IF(AZ$121="입주/잔금",($F129-SUM($G129:AY129))*50%,IF(AY$121="입주/잔금",($F129-SUM($G129:AX129))*20%,IF(BA$121=0,0,IF(BA$121="2차중도금",$F129*30%-SUM($G129:AZ129),IF(BA$121="3차중도금",$F129*40%-SUM($G129:AZ129),IF(BA$121="4차중도금",$F129*50%-SUM($G129:AZ129),$F129*10%)))))))+(IF(BA$121="5차중도금",$F129*60%-SUM($G129:AZ129)-$F129*10%,IF(BA$121="6차중도금",$F129*70%-SUM($G129:AZ129)-$F129*10%,0)))</f>
        <v>0</v>
      </c>
      <c r="BB129" s="605">
        <f>IF(BB$121="입주/잔금",($F129-SUM($G129:BA129))*30%,IF(BA$121="입주/잔금",($F129-SUM($G129:AZ129))*50%,IF(AZ$121="입주/잔금",($F129-SUM($G129:AY129))*20%,IF(BB$121=0,0,IF(BB$121="2차중도금",$F129*30%-SUM($G129:BA129),IF(BB$121="3차중도금",$F129*40%-SUM($G129:BA129),IF(BB$121="4차중도금",$F129*50%-SUM($G129:BA129),$F129*10%)))))))+(IF(BB$121="5차중도금",$F129*60%-SUM($G129:BA129)-$F129*10%,IF(BB$121="6차중도금",$F129*70%-SUM($G129:BA129)-$F129*10%,0)))</f>
        <v>0</v>
      </c>
      <c r="BC129" s="605">
        <f>IF(BC$121="입주/잔금",($F129-SUM($G129:BB129))*30%,IF(BB$121="입주/잔금",($F129-SUM($G129:BA129))*50%,IF(BA$121="입주/잔금",($F129-SUM($G129:AZ129))*20%,IF(BC$121=0,0,IF(BC$121="2차중도금",$F129*30%-SUM($G129:BB129),IF(BC$121="3차중도금",$F129*40%-SUM($G129:BB129),IF(BC$121="4차중도금",$F129*50%-SUM($G129:BB129),$F129*10%)))))))+(IF(BC$121="5차중도금",$F129*60%-SUM($G129:BB129)-$F129*10%,IF(BC$121="6차중도금",$F129*70%-SUM($G129:BB129)-$F129*10%,0)))</f>
        <v>0</v>
      </c>
      <c r="BD129" s="605">
        <f>IF(BD$121="입주/잔금",($F129-SUM($G129:BC129))*30%,IF(BC$121="입주/잔금",($F129-SUM($G129:BB129))*50%,IF(BB$121="입주/잔금",($F129-SUM($G129:BA129))*20%,IF(BD$121=0,0,IF(BD$121="2차중도금",$F129*30%-SUM($G129:BC129),IF(BD$121="3차중도금",$F129*40%-SUM($G129:BC129),IF(BD$121="4차중도금",$F129*50%-SUM($G129:BC129),$F129*10%)))))))+(IF(BD$121="5차중도금",$F129*60%-SUM($G129:BC129)-$F129*10%,IF(BD$121="6차중도금",$F129*70%-SUM($G129:BC129)-$F129*10%,0)))</f>
        <v>0</v>
      </c>
      <c r="BE129" s="605">
        <f>IF(BE$121="입주/잔금",($F129-SUM($G129:BD129))*30%,IF(BD$121="입주/잔금",($F129-SUM($G129:BC129))*50%,IF(BC$121="입주/잔금",($F129-SUM($G129:BB129))*20%,IF(BE$121=0,0,IF(BE$121="2차중도금",$F129*30%-SUM($G129:BD129),IF(BE$121="3차중도금",$F129*40%-SUM($G129:BD129),IF(BE$121="4차중도금",$F129*50%-SUM($G129:BD129),$F129*10%)))))))+(IF(BE$121="5차중도금",$F129*60%-SUM($G129:BD129)-$F129*10%,IF(BE$121="6차중도금",$F129*70%-SUM($G129:BD129)-$F129*10%,0)))</f>
        <v>0</v>
      </c>
      <c r="BF129" s="609">
        <f t="shared" si="43"/>
        <v>1064248.4407619843</v>
      </c>
      <c r="BG129" s="556">
        <f t="shared" si="45"/>
        <v>0</v>
      </c>
      <c r="BH129" s="610"/>
    </row>
    <row r="130" spans="1:60">
      <c r="A130" s="1867"/>
      <c r="B130" s="611">
        <f t="shared" si="46"/>
        <v>45078</v>
      </c>
      <c r="C130" s="605">
        <f t="shared" si="47"/>
        <v>21284968.815239683</v>
      </c>
      <c r="D130" s="1501">
        <f t="shared" si="47"/>
        <v>0.05</v>
      </c>
      <c r="E130" s="607">
        <f t="shared" si="48"/>
        <v>0.3</v>
      </c>
      <c r="F130" s="608">
        <f t="shared" si="44"/>
        <v>1064248.4407619841</v>
      </c>
      <c r="G130" s="605"/>
      <c r="H130" s="605"/>
      <c r="I130" s="605"/>
      <c r="J130" s="605"/>
      <c r="K130" s="605"/>
      <c r="L130" s="605"/>
      <c r="M130" s="605"/>
      <c r="N130" s="605"/>
      <c r="O130" s="605">
        <f>$F130*10%</f>
        <v>106424.84407619841</v>
      </c>
      <c r="P130" s="605">
        <f>IF(P$121="입주/잔금",($F130-SUM($G130:O130))*30%,IF(O$121="입주/잔금",($F130-SUM($G130:N130))*50%,IF(N$121="입주/잔금",($F130-SUM($G130:M130))*20%,IF(P$121=0,0,IF(P$121="2차중도금",$F130*30%-SUM($G130:O130),IF(P$121="3차중도금",$F130*40%-SUM($G130:O130),IF(P$121="4차중도금",$F130*50%-SUM($G130:O130),$F130*10%)))))))+(IF(P$121="5차중도금",$F130*60%-SUM($G130:O130)-$F130*10%,IF(P$121="6차중도금",$F130*70%-SUM($G130:O130)-$F130*10%,0)))</f>
        <v>0</v>
      </c>
      <c r="Q130" s="605">
        <f>IF(Q$121="입주/잔금",($F130-SUM($G130:P130))*30%,IF(P$121="입주/잔금",($F130-SUM($G130:O130))*50%,IF(O$121="입주/잔금",($F130-SUM($G130:N130))*20%,IF(Q$121=0,0,IF(Q$121="2차중도금",$F130*30%-SUM($G130:P130),IF(Q$121="3차중도금",$F130*40%-SUM($G130:P130),IF(Q$121="4차중도금",$F130*50%-SUM($G130:P130),$F130*10%)))))))+(IF(Q$121="5차중도금",$F130*60%-SUM($G130:P130)-$F130*10%,IF(Q$121="6차중도금",$F130*70%-SUM($G130:P130)-$F130*10%,0)))</f>
        <v>0</v>
      </c>
      <c r="R130" s="605">
        <f>IF(R$121="입주/잔금",($F130-SUM($G130:Q130))*30%,IF(Q$121="입주/잔금",($F130-SUM($G130:P130))*50%,IF(P$121="입주/잔금",($F130-SUM($G130:O130))*20%,IF(R$121=0,0,IF(R$121="2차중도금",$F130*30%-SUM($G130:Q130),IF(R$121="3차중도금",$F130*40%-SUM($G130:Q130),IF(R$121="4차중도금",$F130*50%-SUM($G130:Q130),$F130*10%)))))))+(IF(R$121="5차중도금",$F130*60%-SUM($G130:Q130)-$F130*10%,IF(R$121="6차중도금",$F130*70%-SUM($G130:Q130)-$F130*10%,0)))</f>
        <v>0</v>
      </c>
      <c r="S130" s="605">
        <f>IF(S$121="입주/잔금",($F130-SUM($G130:R130))*30%,IF(R$121="입주/잔금",($F130-SUM($G130:Q130))*50%,IF(Q$121="입주/잔금",($F130-SUM($G130:P130))*20%,IF(S$121=0,0,IF(S$121="2차중도금",$F130*30%-SUM($G130:R130),IF(S$121="3차중도금",$F130*40%-SUM($G130:R130),IF(S$121="4차중도금",$F130*50%-SUM($G130:R130),$F130*10%)))))))+(IF(S$121="5차중도금",$F130*60%-SUM($G130:R130)-$F130*10%,IF(S$121="6차중도금",$F130*70%-SUM($G130:R130)-$F130*10%,0)))</f>
        <v>106424.84407619841</v>
      </c>
      <c r="T130" s="605">
        <f>IF(T$121="입주/잔금",($F130-SUM($G130:S130))*30%,IF(S$121="입주/잔금",($F130-SUM($G130:R130))*50%,IF(R$121="입주/잔금",($F130-SUM($G130:Q130))*20%,IF(T$121=0,0,IF(T$121="2차중도금",$F130*30%-SUM($G130:S130),IF(T$121="3차중도금",$F130*40%-SUM($G130:S130),IF(T$121="4차중도금",$F130*50%-SUM($G130:S130),$F130*10%)))))))+(IF(T$121="5차중도금",$F130*60%-SUM($G130:S130)-$F130*10%,IF(T$121="6차중도금",$F130*70%-SUM($G130:S130)-$F130*10%,0)))</f>
        <v>0</v>
      </c>
      <c r="U130" s="605">
        <f>IF(U$121="입주/잔금",($F130-SUM($G130:T130))*30%,IF(T$121="입주/잔금",($F130-SUM($G130:S130))*50%,IF(S$121="입주/잔금",($F130-SUM($G130:R130))*20%,IF(U$121=0,0,IF(U$121="2차중도금",$F130*30%-SUM($G130:T130),IF(U$121="3차중도금",$F130*40%-SUM($G130:T130),IF(U$121="4차중도금",$F130*50%-SUM($G130:T130),$F130*10%)))))))+(IF(U$121="5차중도금",$F130*60%-SUM($G130:T130)-$F130*10%,IF(U$121="6차중도금",$F130*70%-SUM($G130:T130)-$F130*10%,0)))</f>
        <v>0</v>
      </c>
      <c r="V130" s="605">
        <f>IF(V$121="입주/잔금",($F130-SUM($G130:U130))*30%,IF(U$121="입주/잔금",($F130-SUM($G130:T130))*50%,IF(T$121="입주/잔금",($F130-SUM($G130:S130))*20%,IF(V$121=0,0,IF(V$121="2차중도금",$F130*30%-SUM($G130:U130),IF(V$121="3차중도금",$F130*40%-SUM($G130:U130),IF(V$121="4차중도금",$F130*50%-SUM($G130:U130),$F130*10%)))))))+(IF(V$121="5차중도금",$F130*60%-SUM($G130:U130)-$F130*10%,IF(V$121="6차중도금",$F130*70%-SUM($G130:U130)-$F130*10%,0)))</f>
        <v>0</v>
      </c>
      <c r="W130" s="605">
        <f>IF(W$121="입주/잔금",($F130-SUM($G130:V130))*30%,IF(V$121="입주/잔금",($F130-SUM($G130:U130))*50%,IF(U$121="입주/잔금",($F130-SUM($G130:T130))*20%,IF(W$121=0,0,IF(W$121="2차중도금",$F130*30%-SUM($G130:V130),IF(W$121="3차중도금",$F130*40%-SUM($G130:V130),IF(W$121="4차중도금",$F130*50%-SUM($G130:V130),$F130*10%)))))))+(IF(W$121="5차중도금",$F130*60%-SUM($G130:V130)-$F130*10%,IF(W$121="6차중도금",$F130*70%-SUM($G130:V130)-$F130*10%,0)))</f>
        <v>0</v>
      </c>
      <c r="X130" s="605">
        <f>IF(X$121="입주/잔금",($F130-SUM($G130:W130))*30%,IF(W$121="입주/잔금",($F130-SUM($G130:V130))*50%,IF(V$121="입주/잔금",($F130-SUM($G130:U130))*20%,IF(X$121=0,0,IF(X$121="2차중도금",$F130*30%-SUM($G130:W130),IF(X$121="3차중도금",$F130*40%-SUM($G130:W130),IF(X$121="4차중도금",$F130*50%-SUM($G130:W130),$F130*10%)))))))+(IF(X$121="5차중도금",$F130*60%-SUM($G130:W130)-$F130*10%,IF(X$121="6차중도금",$F130*70%-SUM($G130:W130)-$F130*10%,0)))</f>
        <v>0</v>
      </c>
      <c r="Y130" s="605">
        <f>IF(Y$121="입주/잔금",($F130-SUM($G130:X130))*30%,IF(X$121="입주/잔금",($F130-SUM($G130:W130))*50%,IF(W$121="입주/잔금",($F130-SUM($G130:V130))*20%,IF(Y$121=0,0,IF(Y$121="2차중도금",$F130*30%-SUM($G130:X130),IF(Y$121="3차중도금",$F130*40%-SUM($G130:X130),IF(Y$121="4차중도금",$F130*50%-SUM($G130:X130),$F130*10%)))))))+(IF(Y$121="5차중도금",$F130*60%-SUM($G130:X130)-$F130*10%,IF(Y$121="6차중도금",$F130*70%-SUM($G130:X130)-$F130*10%,0)))</f>
        <v>106424.84407619841</v>
      </c>
      <c r="Z130" s="605">
        <f>IF(Z$121="입주/잔금",($F130-SUM($G130:Y130))*30%,IF(Y$121="입주/잔금",($F130-SUM($G130:X130))*50%,IF(X$121="입주/잔금",($F130-SUM($G130:W130))*20%,IF(Z$121=0,0,IF(Z$121="2차중도금",$F130*30%-SUM($G130:Y130),IF(Z$121="3차중도금",$F130*40%-SUM($G130:Y130),IF(Z$121="4차중도금",$F130*50%-SUM($G130:Y130),$F130*10%)))))))+(IF(Z$121="5차중도금",$F130*60%-SUM($G130:Y130)-$F130*10%,IF(Z$121="6차중도금",$F130*70%-SUM($G130:Y130)-$F130*10%,0)))</f>
        <v>0</v>
      </c>
      <c r="AA130" s="605">
        <f>IF(AA$121="입주/잔금",($F130-SUM($G130:Z130))*30%,IF(Z$121="입주/잔금",($F130-SUM($G130:Y130))*50%,IF(Y$121="입주/잔금",($F130-SUM($G130:X130))*20%,IF(AA$121=0,0,IF(AA$121="2차중도금",$F130*30%-SUM($G130:Z130),IF(AA$121="3차중도금",$F130*40%-SUM($G130:Z130),IF(AA$121="4차중도금",$F130*50%-SUM($G130:Z130),$F130*10%)))))))+(IF(AA$121="5차중도금",$F130*60%-SUM($G130:Z130)-$F130*10%,IF(AA$121="6차중도금",$F130*70%-SUM($G130:Z130)-$F130*10%,0)))</f>
        <v>0</v>
      </c>
      <c r="AB130" s="605">
        <f>IF(AB$121="입주/잔금",($F130-SUM($G130:AA130))*30%,IF(AA$121="입주/잔금",($F130-SUM($G130:Z130))*50%,IF(Z$121="입주/잔금",($F130-SUM($G130:Y130))*20%,IF(AB$121=0,0,IF(AB$121="2차중도금",$F130*30%-SUM($G130:AA130),IF(AB$121="3차중도금",$F130*40%-SUM($G130:AA130),IF(AB$121="4차중도금",$F130*50%-SUM($G130:AA130),$F130*10%)))))))+(IF(AB$121="5차중도금",$F130*60%-SUM($G130:AA130)-$F130*10%,IF(AB$121="6차중도금",$F130*70%-SUM($G130:AA130)-$F130*10%,0)))</f>
        <v>0</v>
      </c>
      <c r="AC130" s="605">
        <f>IF(AC$121="입주/잔금",($F130-SUM($G130:AB130))*30%,IF(AB$121="입주/잔금",($F130-SUM($G130:AA130))*50%,IF(AA$121="입주/잔금",($F130-SUM($G130:Z130))*20%,IF(AC$121=0,0,IF(AC$121="2차중도금",$F130*30%-SUM($G130:AB130),IF(AC$121="3차중도금",$F130*40%-SUM($G130:AB130),IF(AC$121="4차중도금",$F130*50%-SUM($G130:AB130),$F130*10%)))))))+(IF(AC$121="5차중도금",$F130*60%-SUM($G130:AB130)-$F130*10%,IF(AC$121="6차중도금",$F130*70%-SUM($G130:AB130)-$F130*10%,0)))</f>
        <v>0</v>
      </c>
      <c r="AD130" s="605">
        <f>IF(AD$121="입주/잔금",($F130-SUM($G130:AC130))*30%,IF(AC$121="입주/잔금",($F130-SUM($G130:AB130))*50%,IF(AB$121="입주/잔금",($F130-SUM($G130:AA130))*20%,IF(AD$121=0,0,IF(AD$121="2차중도금",$F130*30%-SUM($G130:AC130),IF(AD$121="3차중도금",$F130*40%-SUM($G130:AC130),IF(AD$121="4차중도금",$F130*50%-SUM($G130:AC130),$F130*10%)))))))+(IF(AD$121="5차중도금",$F130*60%-SUM($G130:AC130)-$F130*10%,IF(AD$121="6차중도금",$F130*70%-SUM($G130:AC130)-$F130*10%,0)))</f>
        <v>0</v>
      </c>
      <c r="AE130" s="605">
        <f>IF(AE$121="입주/잔금",($F130-SUM($G130:AD130))*30%,IF(AD$121="입주/잔금",($F130-SUM($G130:AC130))*50%,IF(AC$121="입주/잔금",($F130-SUM($G130:AB130))*20%,IF(AE$121=0,0,IF(AE$121="2차중도금",$F130*30%-SUM($G130:AD130),IF(AE$121="3차중도금",$F130*40%-SUM($G130:AD130),IF(AE$121="4차중도금",$F130*50%-SUM($G130:AD130),$F130*10%)))))))+(IF(AE$121="5차중도금",$F130*60%-SUM($G130:AD130)-$F130*10%,IF(AE$121="6차중도금",$F130*70%-SUM($G130:AD130)-$F130*10%,0)))</f>
        <v>106424.84407619841</v>
      </c>
      <c r="AF130" s="605">
        <f>IF(AF$121="입주/잔금",($F130-SUM($G130:AE130))*30%,IF(AE$121="입주/잔금",($F130-SUM($G130:AD130))*50%,IF(AD$121="입주/잔금",($F130-SUM($G130:AC130))*20%,IF(AF$121=0,0,IF(AF$121="2차중도금",$F130*30%-SUM($G130:AE130),IF(AF$121="3차중도금",$F130*40%-SUM($G130:AE130),IF(AF$121="4차중도금",$F130*50%-SUM($G130:AE130),$F130*10%)))))))+(IF(AF$121="5차중도금",$F130*60%-SUM($G130:AE130)-$F130*10%,IF(AF$121="6차중도금",$F130*70%-SUM($G130:AE130)-$F130*10%,0)))</f>
        <v>0</v>
      </c>
      <c r="AG130" s="605">
        <f>IF(AG$121="입주/잔금",($F130-SUM($G130:AF130))*30%,IF(AF$121="입주/잔금",($F130-SUM($G130:AE130))*50%,IF(AE$121="입주/잔금",($F130-SUM($G130:AD130))*20%,IF(AG$121=0,0,IF(AG$121="2차중도금",$F130*30%-SUM($G130:AF130),IF(AG$121="3차중도금",$F130*40%-SUM($G130:AF130),IF(AG$121="4차중도금",$F130*50%-SUM($G130:AF130),$F130*10%)))))))+(IF(AG$121="5차중도금",$F130*60%-SUM($G130:AF130)-$F130*10%,IF(AG$121="6차중도금",$F130*70%-SUM($G130:AF130)-$F130*10%,0)))</f>
        <v>0</v>
      </c>
      <c r="AH130" s="605">
        <f>IF(AH$121="입주/잔금",($F130-SUM($G130:AG130))*30%,IF(AG$121="입주/잔금",($F130-SUM($G130:AF130))*50%,IF(AF$121="입주/잔금",($F130-SUM($G130:AE130))*20%,IF(AH$121=0,0,IF(AH$121="2차중도금",$F130*30%-SUM($G130:AG130),IF(AH$121="3차중도금",$F130*40%-SUM($G130:AG130),IF(AH$121="4차중도금",$F130*50%-SUM($G130:AG130),$F130*10%)))))))+(IF(AH$121="5차중도금",$F130*60%-SUM($G130:AG130)-$F130*10%,IF(AH$121="6차중도금",$F130*70%-SUM($G130:AG130)-$F130*10%,0)))</f>
        <v>0</v>
      </c>
      <c r="AI130" s="605">
        <f>IF(AI$121="입주/잔금",($F130-SUM($G130:AH130))*30%,IF(AH$121="입주/잔금",($F130-SUM($G130:AG130))*50%,IF(AG$121="입주/잔금",($F130-SUM($G130:AF130))*20%,IF(AI$121=0,0,IF(AI$121="2차중도금",$F130*30%-SUM($G130:AH130),IF(AI$121="3차중도금",$F130*40%-SUM($G130:AH130),IF(AI$121="4차중도금",$F130*50%-SUM($G130:AH130),$F130*10%)))))))+(IF(AI$121="5차중도금",$F130*60%-SUM($G130:AH130)-$F130*10%,IF(AI$121="6차중도금",$F130*70%-SUM($G130:AH130)-$F130*10%,0)))</f>
        <v>0</v>
      </c>
      <c r="AJ130" s="605">
        <f>IF(AJ$121="입주/잔금",($F130-SUM($G130:AI130))*30%,IF(AI$121="입주/잔금",($F130-SUM($G130:AH130))*50%,IF(AH$121="입주/잔금",($F130-SUM($G130:AG130))*20%,IF(AJ$121=0,0,IF(AJ$121="2차중도금",$F130*30%-SUM($G130:AI130),IF(AJ$121="3차중도금",$F130*40%-SUM($G130:AI130),IF(AJ$121="4차중도금",$F130*50%-SUM($G130:AI130),$F130*10%)))))))+(IF(AJ$121="5차중도금",$F130*60%-SUM($G130:AI130)-$F130*10%,IF(AJ$121="6차중도금",$F130*70%-SUM($G130:AI130)-$F130*10%,0)))</f>
        <v>0</v>
      </c>
      <c r="AK130" s="605">
        <f>IF(AK$121="입주/잔금",($F130-SUM($G130:AJ130))*30%,IF(AJ$121="입주/잔금",($F130-SUM($G130:AI130))*50%,IF(AI$121="입주/잔금",($F130-SUM($G130:AH130))*20%,IF(AK$121=0,0,IF(AK$121="2차중도금",$F130*30%-SUM($G130:AJ130),IF(AK$121="3차중도금",$F130*40%-SUM($G130:AJ130),IF(AK$121="4차중도금",$F130*50%-SUM($G130:AJ130),$F130*10%)))))))+(IF(AK$121="5차중도금",$F130*60%-SUM($G130:AJ130)-$F130*10%,IF(AK$121="6차중도금",$F130*70%-SUM($G130:AJ130)-$F130*10%,0)))</f>
        <v>106424.84407619841</v>
      </c>
      <c r="AL130" s="605">
        <f>IF(AL$121="입주/잔금",($F130-SUM($G130:AK130))*30%,IF(AK$121="입주/잔금",($F130-SUM($G130:AJ130))*50%,IF(AJ$121="입주/잔금",($F130-SUM($G130:AI130))*20%,IF(AL$121=0,0,IF(AL$121="2차중도금",$F130*30%-SUM($G130:AK130),IF(AL$121="3차중도금",$F130*40%-SUM($G130:AK130),IF(AL$121="4차중도금",$F130*50%-SUM($G130:AK130),$F130*10%)))))))+(IF(AL$121="5차중도금",$F130*60%-SUM($G130:AK130)-$F130*10%,IF(AL$121="6차중도금",$F130*70%-SUM($G130:AK130)-$F130*10%,0)))</f>
        <v>0</v>
      </c>
      <c r="AM130" s="605">
        <f>IF(AM$121="입주/잔금",($F130-SUM($G130:AL130))*30%,IF(AL$121="입주/잔금",($F130-SUM($G130:AK130))*50%,IF(AK$121="입주/잔금",($F130-SUM($G130:AJ130))*20%,IF(AM$121=0,0,IF(AM$121="2차중도금",$F130*30%-SUM($G130:AL130),IF(AM$121="3차중도금",$F130*40%-SUM($G130:AL130),IF(AM$121="4차중도금",$F130*50%-SUM($G130:AL130),$F130*10%)))))))+(IF(AM$121="5차중도금",$F130*60%-SUM($G130:AL130)-$F130*10%,IF(AM$121="6차중도금",$F130*70%-SUM($G130:AL130)-$F130*10%,0)))</f>
        <v>0</v>
      </c>
      <c r="AN130" s="605">
        <f>IF(AN$121="입주/잔금",($F130-SUM($G130:AM130))*30%,IF(AM$121="입주/잔금",($F130-SUM($G130:AL130))*50%,IF(AL$121="입주/잔금",($F130-SUM($G130:AK130))*20%,IF(AN$121=0,0,IF(AN$121="2차중도금",$F130*30%-SUM($G130:AM130),IF(AN$121="3차중도금",$F130*40%-SUM($G130:AM130),IF(AN$121="4차중도금",$F130*50%-SUM($G130:AM130),$F130*10%)))))))+(IF(AN$121="5차중도금",$F130*60%-SUM($G130:AM130)-$F130*10%,IF(AN$121="6차중도금",$F130*70%-SUM($G130:AM130)-$F130*10%,0)))</f>
        <v>0</v>
      </c>
      <c r="AO130" s="605">
        <f>IF(AO$121="입주/잔금",($F130-SUM($G130:AN130))*30%,IF(AN$121="입주/잔금",($F130-SUM($G130:AM130))*50%,IF(AM$121="입주/잔금",($F130-SUM($G130:AL130))*20%,IF(AO$121=0,0,IF(AO$121="2차중도금",$F130*30%-SUM($G130:AN130),IF(AO$121="3차중도금",$F130*40%-SUM($G130:AN130),IF(AO$121="4차중도금",$F130*50%-SUM($G130:AN130),$F130*10%)))))))+(IF(AO$121="5차중도금",$F130*60%-SUM($G130:AN130)-$F130*10%,IF(AO$121="6차중도금",$F130*70%-SUM($G130:AN130)-$F130*10%,0)))</f>
        <v>0</v>
      </c>
      <c r="AP130" s="605">
        <f>IF(AP$121="입주/잔금",($F130-SUM($G130:AO130))*30%,IF(AO$121="입주/잔금",($F130-SUM($G130:AN130))*50%,IF(AN$121="입주/잔금",($F130-SUM($G130:AM130))*20%,IF(AP$121=0,0,IF(AP$121="2차중도금",$F130*30%-SUM($G130:AO130),IF(AP$121="3차중도금",$F130*40%-SUM($G130:AO130),IF(AP$121="4차중도금",$F130*50%-SUM($G130:AO130),$F130*10%)))))))+(IF(AP$121="5차중도금",$F130*60%-SUM($G130:AO130)-$F130*10%,IF(AP$121="6차중도금",$F130*70%-SUM($G130:AO130)-$F130*10%,0)))</f>
        <v>0</v>
      </c>
      <c r="AQ130" s="605">
        <f>IF(AQ$121="입주/잔금",($F130-SUM($G130:AP130))*30%,IF(AP$121="입주/잔금",($F130-SUM($G130:AO130))*50%,IF(AO$121="입주/잔금",($F130-SUM($G130:AN130))*20%,IF(AQ$121=0,0,IF(AQ$121="2차중도금",$F130*30%-SUM($G130:AP130),IF(AQ$121="3차중도금",$F130*40%-SUM($G130:AP130),IF(AQ$121="4차중도금",$F130*50%-SUM($G130:AP130),$F130*10%)))))))+(IF(AQ$121="5차중도금",$F130*60%-SUM($G130:AP130)-$F130*10%,IF(AQ$121="6차중도금",$F130*70%-SUM($G130:AP130)-$F130*10%,0)))</f>
        <v>0</v>
      </c>
      <c r="AR130" s="605">
        <f>IF(AR$121="입주/잔금",($F130-SUM($G130:AQ130))*30%,IF(AQ$121="입주/잔금",($F130-SUM($G130:AP130))*50%,IF(AP$121="입주/잔금",($F130-SUM($G130:AO130))*20%,IF(AR$121=0,0,IF(AR$121="2차중도금",$F130*30%-SUM($G130:AQ130),IF(AR$121="3차중도금",$F130*40%-SUM($G130:AQ130),IF(AR$121="4차중도금",$F130*50%-SUM($G130:AQ130),$F130*10%)))))))+(IF(AR$121="5차중도금",$F130*60%-SUM($G130:AQ130)-$F130*10%,IF(AR$121="6차중도금",$F130*70%-SUM($G130:AQ130)-$F130*10%,0)))</f>
        <v>159637.26611429761</v>
      </c>
      <c r="AS130" s="605">
        <f>IF(AS$121="입주/잔금",($F130-SUM($G130:AR130))*30%,IF(AR$121="입주/잔금",($F130-SUM($G130:AQ130))*50%,IF(AQ$121="입주/잔금",($F130-SUM($G130:AP130))*20%,IF(AS$121=0,0,IF(AS$121="2차중도금",$F130*30%-SUM($G130:AR130),IF(AS$121="3차중도금",$F130*40%-SUM($G130:AR130),IF(AS$121="4차중도금",$F130*50%-SUM($G130:AR130),$F130*10%)))))))+(IF(AS$121="5차중도금",$F130*60%-SUM($G130:AR130)-$F130*10%,IF(AS$121="6차중도금",$F130*70%-SUM($G130:AR130)-$F130*10%,0)))</f>
        <v>266062.11019049602</v>
      </c>
      <c r="AT130" s="605">
        <f>IF(AT$121="입주/잔금",($F130-SUM($G130:AS130))*30%,IF(AS$121="입주/잔금",($F130-SUM($G130:AR130))*50%,IF(AR$121="입주/잔금",($F130-SUM($G130:AQ130))*20%,IF(AT$121=0,0,IF(AT$121="2차중도금",$F130*30%-SUM($G130:AS130),IF(AT$121="3차중도금",$F130*40%-SUM($G130:AS130),IF(AT$121="4차중도금",$F130*50%-SUM($G130:AS130),$F130*10%)))))))+(IF(AT$121="5차중도금",$F130*60%-SUM($G130:AS130)-$F130*10%,IF(AT$121="6차중도금",$F130*70%-SUM($G130:AS130)-$F130*10%,0)))</f>
        <v>106424.84407619841</v>
      </c>
      <c r="AU130" s="605">
        <f>IF(AU$121="입주/잔금",($F130-SUM($G130:AT130))*30%,IF(AT$121="입주/잔금",($F130-SUM($G130:AS130))*50%,IF(AS$121="입주/잔금",($F130-SUM($G130:AR130))*20%,IF(AU$121=0,0,IF(AU$121="2차중도금",$F130*30%-SUM($G130:AT130),IF(AU$121="3차중도금",$F130*40%-SUM($G130:AT130),IF(AU$121="4차중도금",$F130*50%-SUM($G130:AT130),$F130*10%)))))))+(IF(AU$121="5차중도금",$F130*60%-SUM($G130:AT130)-$F130*10%,IF(AU$121="6차중도금",$F130*70%-SUM($G130:AT130)-$F130*10%,0)))</f>
        <v>0</v>
      </c>
      <c r="AV130" s="605">
        <f>IF(AV$121="입주/잔금",($F130-SUM($G130:AU130))*30%,IF(AU$121="입주/잔금",($F130-SUM($G130:AT130))*50%,IF(AT$121="입주/잔금",($F130-SUM($G130:AS130))*20%,IF(AV$121=0,0,IF(AV$121="2차중도금",$F130*30%-SUM($G130:AU130),IF(AV$121="3차중도금",$F130*40%-SUM($G130:AU130),IF(AV$121="4차중도금",$F130*50%-SUM($G130:AU130),$F130*10%)))))))+(IF(AV$121="5차중도금",$F130*60%-SUM($G130:AU130)-$F130*10%,IF(AV$121="6차중도금",$F130*70%-SUM($G130:AU130)-$F130*10%,0)))</f>
        <v>0</v>
      </c>
      <c r="AW130" s="605">
        <f>IF(AW$121="입주/잔금",($F130-SUM($G130:AV130))*30%,IF(AV$121="입주/잔금",($F130-SUM($G130:AU130))*50%,IF(AU$121="입주/잔금",($F130-SUM($G130:AT130))*20%,IF(AW$121=0,0,IF(AW$121="2차중도금",$F130*30%-SUM($G130:AV130),IF(AW$121="3차중도금",$F130*40%-SUM($G130:AV130),IF(AW$121="4차중도금",$F130*50%-SUM($G130:AV130),$F130*10%)))))))+(IF(AW$121="5차중도금",$F130*60%-SUM($G130:AV130)-$F130*10%,IF(AW$121="6차중도금",$F130*70%-SUM($G130:AV130)-$F130*10%,0)))</f>
        <v>0</v>
      </c>
      <c r="AX130" s="605">
        <f>IF(AX$121="입주/잔금",($F130-SUM($G130:AW130))*30%,IF(AW$121="입주/잔금",($F130-SUM($G130:AV130))*50%,IF(AV$121="입주/잔금",($F130-SUM($G130:AU130))*20%,IF(AX$121=0,0,IF(AX$121="2차중도금",$F130*30%-SUM($G130:AW130),IF(AX$121="3차중도금",$F130*40%-SUM($G130:AW130),IF(AX$121="4차중도금",$F130*50%-SUM($G130:AW130),$F130*10%)))))))+(IF(AX$121="5차중도금",$F130*60%-SUM($G130:AW130)-$F130*10%,IF(AX$121="6차중도금",$F130*70%-SUM($G130:AW130)-$F130*10%,0)))</f>
        <v>0</v>
      </c>
      <c r="AY130" s="605">
        <f>IF(AY$121="입주/잔금",($F130-SUM($G130:AX130))*30%,IF(AX$121="입주/잔금",($F130-SUM($G130:AW130))*50%,IF(AW$121="입주/잔금",($F130-SUM($G130:AV130))*20%,IF(AY$121=0,0,IF(AY$121="2차중도금",$F130*30%-SUM($G130:AX130),IF(AY$121="3차중도금",$F130*40%-SUM($G130:AX130),IF(AY$121="4차중도금",$F130*50%-SUM($G130:AX130),$F130*10%)))))))+(IF(AY$121="5차중도금",$F130*60%-SUM($G130:AX130)-$F130*10%,IF(AY$121="6차중도금",$F130*70%-SUM($G130:AX130)-$F130*10%,0)))</f>
        <v>0</v>
      </c>
      <c r="AZ130" s="605">
        <f>IF(AZ$121="입주/잔금",($F130-SUM($G130:AY130))*30%,IF(AY$121="입주/잔금",($F130-SUM($G130:AX130))*50%,IF(AX$121="입주/잔금",($F130-SUM($G130:AW130))*20%,IF(AZ$121=0,0,IF(AZ$121="2차중도금",$F130*30%-SUM($G130:AY130),IF(AZ$121="3차중도금",$F130*40%-SUM($G130:AY130),IF(AZ$121="4차중도금",$F130*50%-SUM($G130:AY130),$F130*10%)))))))+(IF(AZ$121="5차중도금",$F130*60%-SUM($G130:AY130)-$F130*10%,IF(AZ$121="6차중도금",$F130*70%-SUM($G130:AY130)-$F130*10%,0)))</f>
        <v>0</v>
      </c>
      <c r="BA130" s="605">
        <f>IF(BA$121="입주/잔금",($F130-SUM($G130:AZ130))*30%,IF(AZ$121="입주/잔금",($F130-SUM($G130:AY130))*50%,IF(AY$121="입주/잔금",($F130-SUM($G130:AX130))*20%,IF(BA$121=0,0,IF(BA$121="2차중도금",$F130*30%-SUM($G130:AZ130),IF(BA$121="3차중도금",$F130*40%-SUM($G130:AZ130),IF(BA$121="4차중도금",$F130*50%-SUM($G130:AZ130),$F130*10%)))))))+(IF(BA$121="5차중도금",$F130*60%-SUM($G130:AZ130)-$F130*10%,IF(BA$121="6차중도금",$F130*70%-SUM($G130:AZ130)-$F130*10%,0)))</f>
        <v>0</v>
      </c>
      <c r="BB130" s="605">
        <f>IF(BB$121="입주/잔금",($F130-SUM($G130:BA130))*30%,IF(BA$121="입주/잔금",($F130-SUM($G130:AZ130))*50%,IF(AZ$121="입주/잔금",($F130-SUM($G130:AY130))*20%,IF(BB$121=0,0,IF(BB$121="2차중도금",$F130*30%-SUM($G130:BA130),IF(BB$121="3차중도금",$F130*40%-SUM($G130:BA130),IF(BB$121="4차중도금",$F130*50%-SUM($G130:BA130),$F130*10%)))))))+(IF(BB$121="5차중도금",$F130*60%-SUM($G130:BA130)-$F130*10%,IF(BB$121="6차중도금",$F130*70%-SUM($G130:BA130)-$F130*10%,0)))</f>
        <v>0</v>
      </c>
      <c r="BC130" s="605">
        <f>IF(BC$121="입주/잔금",($F130-SUM($G130:BB130))*30%,IF(BB$121="입주/잔금",($F130-SUM($G130:BA130))*50%,IF(BA$121="입주/잔금",($F130-SUM($G130:AZ130))*20%,IF(BC$121=0,0,IF(BC$121="2차중도금",$F130*30%-SUM($G130:BB130),IF(BC$121="3차중도금",$F130*40%-SUM($G130:BB130),IF(BC$121="4차중도금",$F130*50%-SUM($G130:BB130),$F130*10%)))))))+(IF(BC$121="5차중도금",$F130*60%-SUM($G130:BB130)-$F130*10%,IF(BC$121="6차중도금",$F130*70%-SUM($G130:BB130)-$F130*10%,0)))</f>
        <v>0</v>
      </c>
      <c r="BD130" s="605">
        <f>IF(BD$121="입주/잔금",($F130-SUM($G130:BC130))*30%,IF(BC$121="입주/잔금",($F130-SUM($G130:BB130))*50%,IF(BB$121="입주/잔금",($F130-SUM($G130:BA130))*20%,IF(BD$121=0,0,IF(BD$121="2차중도금",$F130*30%-SUM($G130:BC130),IF(BD$121="3차중도금",$F130*40%-SUM($G130:BC130),IF(BD$121="4차중도금",$F130*50%-SUM($G130:BC130),$F130*10%)))))))+(IF(BD$121="5차중도금",$F130*60%-SUM($G130:BC130)-$F130*10%,IF(BD$121="6차중도금",$F130*70%-SUM($G130:BC130)-$F130*10%,0)))</f>
        <v>0</v>
      </c>
      <c r="BE130" s="605">
        <f>IF(BE$121="입주/잔금",($F130-SUM($G130:BD130))*30%,IF(BD$121="입주/잔금",($F130-SUM($G130:BC130))*50%,IF(BC$121="입주/잔금",($F130-SUM($G130:BB130))*20%,IF(BE$121=0,0,IF(BE$121="2차중도금",$F130*30%-SUM($G130:BD130),IF(BE$121="3차중도금",$F130*40%-SUM($G130:BD130),IF(BE$121="4차중도금",$F130*50%-SUM($G130:BD130),$F130*10%)))))))+(IF(BE$121="5차중도금",$F130*60%-SUM($G130:BD130)-$F130*10%,IF(BE$121="6차중도금",$F130*70%-SUM($G130:BD130)-$F130*10%,0)))</f>
        <v>0</v>
      </c>
      <c r="BF130" s="609">
        <f t="shared" si="43"/>
        <v>1064248.4407619843</v>
      </c>
      <c r="BG130" s="556">
        <f t="shared" si="45"/>
        <v>0</v>
      </c>
      <c r="BH130" s="610"/>
    </row>
    <row r="131" spans="1:60">
      <c r="A131" s="1867"/>
      <c r="B131" s="611">
        <f t="shared" si="46"/>
        <v>45108</v>
      </c>
      <c r="C131" s="605">
        <f t="shared" si="47"/>
        <v>21284968.815239683</v>
      </c>
      <c r="D131" s="1501">
        <f t="shared" si="47"/>
        <v>0.05</v>
      </c>
      <c r="E131" s="607">
        <f t="shared" si="48"/>
        <v>0.35</v>
      </c>
      <c r="F131" s="608">
        <f t="shared" si="44"/>
        <v>1064248.4407619841</v>
      </c>
      <c r="G131" s="605"/>
      <c r="H131" s="605"/>
      <c r="I131" s="605"/>
      <c r="J131" s="605"/>
      <c r="K131" s="605"/>
      <c r="L131" s="605"/>
      <c r="M131" s="605"/>
      <c r="N131" s="605"/>
      <c r="O131" s="605"/>
      <c r="P131" s="605">
        <f>$F131*10%</f>
        <v>106424.84407619841</v>
      </c>
      <c r="Q131" s="605">
        <f>IF(Q$121="입주/잔금",($F131-SUM($G131:P131))*30%,IF(P$121="입주/잔금",($F131-SUM($G131:O131))*50%,IF(O$121="입주/잔금",($F131-SUM($G131:N131))*20%,IF(Q$121=0,0,IF(Q$121="2차중도금",$F131*30%-SUM($G131:P131),IF(Q$121="3차중도금",$F131*40%-SUM($G131:P131),IF(Q$121="4차중도금",$F131*50%-SUM($G131:P131),$F131*10%)))))))+(IF(Q$121="5차중도금",$F131*60%-SUM($G131:P131)-$F131*10%,IF(Q$121="6차중도금",$F131*70%-SUM($G131:P131)-$F131*10%,0)))</f>
        <v>0</v>
      </c>
      <c r="R131" s="605">
        <f>IF(R$121="입주/잔금",($F131-SUM($G131:Q131))*30%,IF(Q$121="입주/잔금",($F131-SUM($G131:P131))*50%,IF(P$121="입주/잔금",($F131-SUM($G131:O131))*20%,IF(R$121=0,0,IF(R$121="2차중도금",$F131*30%-SUM($G131:Q131),IF(R$121="3차중도금",$F131*40%-SUM($G131:Q131),IF(R$121="4차중도금",$F131*50%-SUM($G131:Q131),$F131*10%)))))))+(IF(R$121="5차중도금",$F131*60%-SUM($G131:Q131)-$F131*10%,IF(R$121="6차중도금",$F131*70%-SUM($G131:Q131)-$F131*10%,0)))</f>
        <v>0</v>
      </c>
      <c r="S131" s="605">
        <f>IF(S$121="입주/잔금",($F131-SUM($G131:R131))*30%,IF(R$121="입주/잔금",($F131-SUM($G131:Q131))*50%,IF(Q$121="입주/잔금",($F131-SUM($G131:P131))*20%,IF(S$121=0,0,IF(S$121="2차중도금",$F131*30%-SUM($G131:R131),IF(S$121="3차중도금",$F131*40%-SUM($G131:R131),IF(S$121="4차중도금",$F131*50%-SUM($G131:R131),$F131*10%)))))))+(IF(S$121="5차중도금",$F131*60%-SUM($G131:R131)-$F131*10%,IF(S$121="6차중도금",$F131*70%-SUM($G131:R131)-$F131*10%,0)))</f>
        <v>106424.84407619841</v>
      </c>
      <c r="T131" s="605">
        <f>IF(T$121="입주/잔금",($F131-SUM($G131:S131))*30%,IF(S$121="입주/잔금",($F131-SUM($G131:R131))*50%,IF(R$121="입주/잔금",($F131-SUM($G131:Q131))*20%,IF(T$121=0,0,IF(T$121="2차중도금",$F131*30%-SUM($G131:S131),IF(T$121="3차중도금",$F131*40%-SUM($G131:S131),IF(T$121="4차중도금",$F131*50%-SUM($G131:S131),$F131*10%)))))))+(IF(T$121="5차중도금",$F131*60%-SUM($G131:S131)-$F131*10%,IF(T$121="6차중도금",$F131*70%-SUM($G131:S131)-$F131*10%,0)))</f>
        <v>0</v>
      </c>
      <c r="U131" s="605">
        <f>IF(U$121="입주/잔금",($F131-SUM($G131:T131))*30%,IF(T$121="입주/잔금",($F131-SUM($G131:S131))*50%,IF(S$121="입주/잔금",($F131-SUM($G131:R131))*20%,IF(U$121=0,0,IF(U$121="2차중도금",$F131*30%-SUM($G131:T131),IF(U$121="3차중도금",$F131*40%-SUM($G131:T131),IF(U$121="4차중도금",$F131*50%-SUM($G131:T131),$F131*10%)))))))+(IF(U$121="5차중도금",$F131*60%-SUM($G131:T131)-$F131*10%,IF(U$121="6차중도금",$F131*70%-SUM($G131:T131)-$F131*10%,0)))</f>
        <v>0</v>
      </c>
      <c r="V131" s="605">
        <f>IF(V$121="입주/잔금",($F131-SUM($G131:U131))*30%,IF(U$121="입주/잔금",($F131-SUM($G131:T131))*50%,IF(T$121="입주/잔금",($F131-SUM($G131:S131))*20%,IF(V$121=0,0,IF(V$121="2차중도금",$F131*30%-SUM($G131:U131),IF(V$121="3차중도금",$F131*40%-SUM($G131:U131),IF(V$121="4차중도금",$F131*50%-SUM($G131:U131),$F131*10%)))))))+(IF(V$121="5차중도금",$F131*60%-SUM($G131:U131)-$F131*10%,IF(V$121="6차중도금",$F131*70%-SUM($G131:U131)-$F131*10%,0)))</f>
        <v>0</v>
      </c>
      <c r="W131" s="605">
        <f>IF(W$121="입주/잔금",($F131-SUM($G131:V131))*30%,IF(V$121="입주/잔금",($F131-SUM($G131:U131))*50%,IF(U$121="입주/잔금",($F131-SUM($G131:T131))*20%,IF(W$121=0,0,IF(W$121="2차중도금",$F131*30%-SUM($G131:V131),IF(W$121="3차중도금",$F131*40%-SUM($G131:V131),IF(W$121="4차중도금",$F131*50%-SUM($G131:V131),$F131*10%)))))))+(IF(W$121="5차중도금",$F131*60%-SUM($G131:V131)-$F131*10%,IF(W$121="6차중도금",$F131*70%-SUM($G131:V131)-$F131*10%,0)))</f>
        <v>0</v>
      </c>
      <c r="X131" s="605">
        <f>IF(X$121="입주/잔금",($F131-SUM($G131:W131))*30%,IF(W$121="입주/잔금",($F131-SUM($G131:V131))*50%,IF(V$121="입주/잔금",($F131-SUM($G131:U131))*20%,IF(X$121=0,0,IF(X$121="2차중도금",$F131*30%-SUM($G131:W131),IF(X$121="3차중도금",$F131*40%-SUM($G131:W131),IF(X$121="4차중도금",$F131*50%-SUM($G131:W131),$F131*10%)))))))+(IF(X$121="5차중도금",$F131*60%-SUM($G131:W131)-$F131*10%,IF(X$121="6차중도금",$F131*70%-SUM($G131:W131)-$F131*10%,0)))</f>
        <v>0</v>
      </c>
      <c r="Y131" s="605">
        <f>IF(Y$121="입주/잔금",($F131-SUM($G131:X131))*30%,IF(X$121="입주/잔금",($F131-SUM($G131:W131))*50%,IF(W$121="입주/잔금",($F131-SUM($G131:V131))*20%,IF(Y$121=0,0,IF(Y$121="2차중도금",$F131*30%-SUM($G131:X131),IF(Y$121="3차중도금",$F131*40%-SUM($G131:X131),IF(Y$121="4차중도금",$F131*50%-SUM($G131:X131),$F131*10%)))))))+(IF(Y$121="5차중도금",$F131*60%-SUM($G131:X131)-$F131*10%,IF(Y$121="6차중도금",$F131*70%-SUM($G131:X131)-$F131*10%,0)))</f>
        <v>106424.84407619841</v>
      </c>
      <c r="Z131" s="605">
        <f>IF(Z$121="입주/잔금",($F131-SUM($G131:Y131))*30%,IF(Y$121="입주/잔금",($F131-SUM($G131:X131))*50%,IF(X$121="입주/잔금",($F131-SUM($G131:W131))*20%,IF(Z$121=0,0,IF(Z$121="2차중도금",$F131*30%-SUM($G131:Y131),IF(Z$121="3차중도금",$F131*40%-SUM($G131:Y131),IF(Z$121="4차중도금",$F131*50%-SUM($G131:Y131),$F131*10%)))))))+(IF(Z$121="5차중도금",$F131*60%-SUM($G131:Y131)-$F131*10%,IF(Z$121="6차중도금",$F131*70%-SUM($G131:Y131)-$F131*10%,0)))</f>
        <v>0</v>
      </c>
      <c r="AA131" s="605">
        <f>IF(AA$121="입주/잔금",($F131-SUM($G131:Z131))*30%,IF(Z$121="입주/잔금",($F131-SUM($G131:Y131))*50%,IF(Y$121="입주/잔금",($F131-SUM($G131:X131))*20%,IF(AA$121=0,0,IF(AA$121="2차중도금",$F131*30%-SUM($G131:Z131),IF(AA$121="3차중도금",$F131*40%-SUM($G131:Z131),IF(AA$121="4차중도금",$F131*50%-SUM($G131:Z131),$F131*10%)))))))+(IF(AA$121="5차중도금",$F131*60%-SUM($G131:Z131)-$F131*10%,IF(AA$121="6차중도금",$F131*70%-SUM($G131:Z131)-$F131*10%,0)))</f>
        <v>0</v>
      </c>
      <c r="AB131" s="605">
        <f>IF(AB$121="입주/잔금",($F131-SUM($G131:AA131))*30%,IF(AA$121="입주/잔금",($F131-SUM($G131:Z131))*50%,IF(Z$121="입주/잔금",($F131-SUM($G131:Y131))*20%,IF(AB$121=0,0,IF(AB$121="2차중도금",$F131*30%-SUM($G131:AA131),IF(AB$121="3차중도금",$F131*40%-SUM($G131:AA131),IF(AB$121="4차중도금",$F131*50%-SUM($G131:AA131),$F131*10%)))))))+(IF(AB$121="5차중도금",$F131*60%-SUM($G131:AA131)-$F131*10%,IF(AB$121="6차중도금",$F131*70%-SUM($G131:AA131)-$F131*10%,0)))</f>
        <v>0</v>
      </c>
      <c r="AC131" s="605">
        <f>IF(AC$121="입주/잔금",($F131-SUM($G131:AB131))*30%,IF(AB$121="입주/잔금",($F131-SUM($G131:AA131))*50%,IF(AA$121="입주/잔금",($F131-SUM($G131:Z131))*20%,IF(AC$121=0,0,IF(AC$121="2차중도금",$F131*30%-SUM($G131:AB131),IF(AC$121="3차중도금",$F131*40%-SUM($G131:AB131),IF(AC$121="4차중도금",$F131*50%-SUM($G131:AB131),$F131*10%)))))))+(IF(AC$121="5차중도금",$F131*60%-SUM($G131:AB131)-$F131*10%,IF(AC$121="6차중도금",$F131*70%-SUM($G131:AB131)-$F131*10%,0)))</f>
        <v>0</v>
      </c>
      <c r="AD131" s="605">
        <f>IF(AD$121="입주/잔금",($F131-SUM($G131:AC131))*30%,IF(AC$121="입주/잔금",($F131-SUM($G131:AB131))*50%,IF(AB$121="입주/잔금",($F131-SUM($G131:AA131))*20%,IF(AD$121=0,0,IF(AD$121="2차중도금",$F131*30%-SUM($G131:AC131),IF(AD$121="3차중도금",$F131*40%-SUM($G131:AC131),IF(AD$121="4차중도금",$F131*50%-SUM($G131:AC131),$F131*10%)))))))+(IF(AD$121="5차중도금",$F131*60%-SUM($G131:AC131)-$F131*10%,IF(AD$121="6차중도금",$F131*70%-SUM($G131:AC131)-$F131*10%,0)))</f>
        <v>0</v>
      </c>
      <c r="AE131" s="605">
        <f>IF(AE$121="입주/잔금",($F131-SUM($G131:AD131))*30%,IF(AD$121="입주/잔금",($F131-SUM($G131:AC131))*50%,IF(AC$121="입주/잔금",($F131-SUM($G131:AB131))*20%,IF(AE$121=0,0,IF(AE$121="2차중도금",$F131*30%-SUM($G131:AD131),IF(AE$121="3차중도금",$F131*40%-SUM($G131:AD131),IF(AE$121="4차중도금",$F131*50%-SUM($G131:AD131),$F131*10%)))))))+(IF(AE$121="5차중도금",$F131*60%-SUM($G131:AD131)-$F131*10%,IF(AE$121="6차중도금",$F131*70%-SUM($G131:AD131)-$F131*10%,0)))</f>
        <v>106424.84407619841</v>
      </c>
      <c r="AF131" s="605">
        <f>IF(AF$121="입주/잔금",($F131-SUM($G131:AE131))*30%,IF(AE$121="입주/잔금",($F131-SUM($G131:AD131))*50%,IF(AD$121="입주/잔금",($F131-SUM($G131:AC131))*20%,IF(AF$121=0,0,IF(AF$121="2차중도금",$F131*30%-SUM($G131:AE131),IF(AF$121="3차중도금",$F131*40%-SUM($G131:AE131),IF(AF$121="4차중도금",$F131*50%-SUM($G131:AE131),$F131*10%)))))))+(IF(AF$121="5차중도금",$F131*60%-SUM($G131:AE131)-$F131*10%,IF(AF$121="6차중도금",$F131*70%-SUM($G131:AE131)-$F131*10%,0)))</f>
        <v>0</v>
      </c>
      <c r="AG131" s="605">
        <f>IF(AG$121="입주/잔금",($F131-SUM($G131:AF131))*30%,IF(AF$121="입주/잔금",($F131-SUM($G131:AE131))*50%,IF(AE$121="입주/잔금",($F131-SUM($G131:AD131))*20%,IF(AG$121=0,0,IF(AG$121="2차중도금",$F131*30%-SUM($G131:AF131),IF(AG$121="3차중도금",$F131*40%-SUM($G131:AF131),IF(AG$121="4차중도금",$F131*50%-SUM($G131:AF131),$F131*10%)))))))+(IF(AG$121="5차중도금",$F131*60%-SUM($G131:AF131)-$F131*10%,IF(AG$121="6차중도금",$F131*70%-SUM($G131:AF131)-$F131*10%,0)))</f>
        <v>0</v>
      </c>
      <c r="AH131" s="605">
        <f>IF(AH$121="입주/잔금",($F131-SUM($G131:AG131))*30%,IF(AG$121="입주/잔금",($F131-SUM($G131:AF131))*50%,IF(AF$121="입주/잔금",($F131-SUM($G131:AE131))*20%,IF(AH$121=0,0,IF(AH$121="2차중도금",$F131*30%-SUM($G131:AG131),IF(AH$121="3차중도금",$F131*40%-SUM($G131:AG131),IF(AH$121="4차중도금",$F131*50%-SUM($G131:AG131),$F131*10%)))))))+(IF(AH$121="5차중도금",$F131*60%-SUM($G131:AG131)-$F131*10%,IF(AH$121="6차중도금",$F131*70%-SUM($G131:AG131)-$F131*10%,0)))</f>
        <v>0</v>
      </c>
      <c r="AI131" s="605">
        <f>IF(AI$121="입주/잔금",($F131-SUM($G131:AH131))*30%,IF(AH$121="입주/잔금",($F131-SUM($G131:AG131))*50%,IF(AG$121="입주/잔금",($F131-SUM($G131:AF131))*20%,IF(AI$121=0,0,IF(AI$121="2차중도금",$F131*30%-SUM($G131:AH131),IF(AI$121="3차중도금",$F131*40%-SUM($G131:AH131),IF(AI$121="4차중도금",$F131*50%-SUM($G131:AH131),$F131*10%)))))))+(IF(AI$121="5차중도금",$F131*60%-SUM($G131:AH131)-$F131*10%,IF(AI$121="6차중도금",$F131*70%-SUM($G131:AH131)-$F131*10%,0)))</f>
        <v>0</v>
      </c>
      <c r="AJ131" s="605">
        <f>IF(AJ$121="입주/잔금",($F131-SUM($G131:AI131))*30%,IF(AI$121="입주/잔금",($F131-SUM($G131:AH131))*50%,IF(AH$121="입주/잔금",($F131-SUM($G131:AG131))*20%,IF(AJ$121=0,0,IF(AJ$121="2차중도금",$F131*30%-SUM($G131:AI131),IF(AJ$121="3차중도금",$F131*40%-SUM($G131:AI131),IF(AJ$121="4차중도금",$F131*50%-SUM($G131:AI131),$F131*10%)))))))+(IF(AJ$121="5차중도금",$F131*60%-SUM($G131:AI131)-$F131*10%,IF(AJ$121="6차중도금",$F131*70%-SUM($G131:AI131)-$F131*10%,0)))</f>
        <v>0</v>
      </c>
      <c r="AK131" s="605">
        <f>IF(AK$121="입주/잔금",($F131-SUM($G131:AJ131))*30%,IF(AJ$121="입주/잔금",($F131-SUM($G131:AI131))*50%,IF(AI$121="입주/잔금",($F131-SUM($G131:AH131))*20%,IF(AK$121=0,0,IF(AK$121="2차중도금",$F131*30%-SUM($G131:AJ131),IF(AK$121="3차중도금",$F131*40%-SUM($G131:AJ131),IF(AK$121="4차중도금",$F131*50%-SUM($G131:AJ131),$F131*10%)))))))+(IF(AK$121="5차중도금",$F131*60%-SUM($G131:AJ131)-$F131*10%,IF(AK$121="6차중도금",$F131*70%-SUM($G131:AJ131)-$F131*10%,0)))</f>
        <v>106424.84407619841</v>
      </c>
      <c r="AL131" s="605">
        <f>IF(AL$121="입주/잔금",($F131-SUM($G131:AK131))*30%,IF(AK$121="입주/잔금",($F131-SUM($G131:AJ131))*50%,IF(AJ$121="입주/잔금",($F131-SUM($G131:AI131))*20%,IF(AL$121=0,0,IF(AL$121="2차중도금",$F131*30%-SUM($G131:AK131),IF(AL$121="3차중도금",$F131*40%-SUM($G131:AK131),IF(AL$121="4차중도금",$F131*50%-SUM($G131:AK131),$F131*10%)))))))+(IF(AL$121="5차중도금",$F131*60%-SUM($G131:AK131)-$F131*10%,IF(AL$121="6차중도금",$F131*70%-SUM($G131:AK131)-$F131*10%,0)))</f>
        <v>0</v>
      </c>
      <c r="AM131" s="605">
        <f>IF(AM$121="입주/잔금",($F131-SUM($G131:AL131))*30%,IF(AL$121="입주/잔금",($F131-SUM($G131:AK131))*50%,IF(AK$121="입주/잔금",($F131-SUM($G131:AJ131))*20%,IF(AM$121=0,0,IF(AM$121="2차중도금",$F131*30%-SUM($G131:AL131),IF(AM$121="3차중도금",$F131*40%-SUM($G131:AL131),IF(AM$121="4차중도금",$F131*50%-SUM($G131:AL131),$F131*10%)))))))+(IF(AM$121="5차중도금",$F131*60%-SUM($G131:AL131)-$F131*10%,IF(AM$121="6차중도금",$F131*70%-SUM($G131:AL131)-$F131*10%,0)))</f>
        <v>0</v>
      </c>
      <c r="AN131" s="605">
        <f>IF(AN$121="입주/잔금",($F131-SUM($G131:AM131))*30%,IF(AM$121="입주/잔금",($F131-SUM($G131:AL131))*50%,IF(AL$121="입주/잔금",($F131-SUM($G131:AK131))*20%,IF(AN$121=0,0,IF(AN$121="2차중도금",$F131*30%-SUM($G131:AM131),IF(AN$121="3차중도금",$F131*40%-SUM($G131:AM131),IF(AN$121="4차중도금",$F131*50%-SUM($G131:AM131),$F131*10%)))))))+(IF(AN$121="5차중도금",$F131*60%-SUM($G131:AM131)-$F131*10%,IF(AN$121="6차중도금",$F131*70%-SUM($G131:AM131)-$F131*10%,0)))</f>
        <v>0</v>
      </c>
      <c r="AO131" s="605">
        <f>IF(AO$121="입주/잔금",($F131-SUM($G131:AN131))*30%,IF(AN$121="입주/잔금",($F131-SUM($G131:AM131))*50%,IF(AM$121="입주/잔금",($F131-SUM($G131:AL131))*20%,IF(AO$121=0,0,IF(AO$121="2차중도금",$F131*30%-SUM($G131:AN131),IF(AO$121="3차중도금",$F131*40%-SUM($G131:AN131),IF(AO$121="4차중도금",$F131*50%-SUM($G131:AN131),$F131*10%)))))))+(IF(AO$121="5차중도금",$F131*60%-SUM($G131:AN131)-$F131*10%,IF(AO$121="6차중도금",$F131*70%-SUM($G131:AN131)-$F131*10%,0)))</f>
        <v>0</v>
      </c>
      <c r="AP131" s="605">
        <f>IF(AP$121="입주/잔금",($F131-SUM($G131:AO131))*30%,IF(AO$121="입주/잔금",($F131-SUM($G131:AN131))*50%,IF(AN$121="입주/잔금",($F131-SUM($G131:AM131))*20%,IF(AP$121=0,0,IF(AP$121="2차중도금",$F131*30%-SUM($G131:AO131),IF(AP$121="3차중도금",$F131*40%-SUM($G131:AO131),IF(AP$121="4차중도금",$F131*50%-SUM($G131:AO131),$F131*10%)))))))+(IF(AP$121="5차중도금",$F131*60%-SUM($G131:AO131)-$F131*10%,IF(AP$121="6차중도금",$F131*70%-SUM($G131:AO131)-$F131*10%,0)))</f>
        <v>0</v>
      </c>
      <c r="AQ131" s="605">
        <f>IF(AQ$121="입주/잔금",($F131-SUM($G131:AP131))*30%,IF(AP$121="입주/잔금",($F131-SUM($G131:AO131))*50%,IF(AO$121="입주/잔금",($F131-SUM($G131:AN131))*20%,IF(AQ$121=0,0,IF(AQ$121="2차중도금",$F131*30%-SUM($G131:AP131),IF(AQ$121="3차중도금",$F131*40%-SUM($G131:AP131),IF(AQ$121="4차중도금",$F131*50%-SUM($G131:AP131),$F131*10%)))))))+(IF(AQ$121="5차중도금",$F131*60%-SUM($G131:AP131)-$F131*10%,IF(AQ$121="6차중도금",$F131*70%-SUM($G131:AP131)-$F131*10%,0)))</f>
        <v>0</v>
      </c>
      <c r="AR131" s="605">
        <f>IF(AR$121="입주/잔금",($F131-SUM($G131:AQ131))*30%,IF(AQ$121="입주/잔금",($F131-SUM($G131:AP131))*50%,IF(AP$121="입주/잔금",($F131-SUM($G131:AO131))*20%,IF(AR$121=0,0,IF(AR$121="2차중도금",$F131*30%-SUM($G131:AQ131),IF(AR$121="3차중도금",$F131*40%-SUM($G131:AQ131),IF(AR$121="4차중도금",$F131*50%-SUM($G131:AQ131),$F131*10%)))))))+(IF(AR$121="5차중도금",$F131*60%-SUM($G131:AQ131)-$F131*10%,IF(AR$121="6차중도금",$F131*70%-SUM($G131:AQ131)-$F131*10%,0)))</f>
        <v>159637.26611429761</v>
      </c>
      <c r="AS131" s="605">
        <f>IF(AS$121="입주/잔금",($F131-SUM($G131:AR131))*30%,IF(AR$121="입주/잔금",($F131-SUM($G131:AQ131))*50%,IF(AQ$121="입주/잔금",($F131-SUM($G131:AP131))*20%,IF(AS$121=0,0,IF(AS$121="2차중도금",$F131*30%-SUM($G131:AR131),IF(AS$121="3차중도금",$F131*40%-SUM($G131:AR131),IF(AS$121="4차중도금",$F131*50%-SUM($G131:AR131),$F131*10%)))))))+(IF(AS$121="5차중도금",$F131*60%-SUM($G131:AR131)-$F131*10%,IF(AS$121="6차중도금",$F131*70%-SUM($G131:AR131)-$F131*10%,0)))</f>
        <v>266062.11019049602</v>
      </c>
      <c r="AT131" s="605">
        <f>IF(AT$121="입주/잔금",($F131-SUM($G131:AS131))*30%,IF(AS$121="입주/잔금",($F131-SUM($G131:AR131))*50%,IF(AR$121="입주/잔금",($F131-SUM($G131:AQ131))*20%,IF(AT$121=0,0,IF(AT$121="2차중도금",$F131*30%-SUM($G131:AS131),IF(AT$121="3차중도금",$F131*40%-SUM($G131:AS131),IF(AT$121="4차중도금",$F131*50%-SUM($G131:AS131),$F131*10%)))))))+(IF(AT$121="5차중도금",$F131*60%-SUM($G131:AS131)-$F131*10%,IF(AT$121="6차중도금",$F131*70%-SUM($G131:AS131)-$F131*10%,0)))</f>
        <v>106424.84407619841</v>
      </c>
      <c r="AU131" s="605">
        <f>IF(AU$121="입주/잔금",($F131-SUM($G131:AT131))*30%,IF(AT$121="입주/잔금",($F131-SUM($G131:AS131))*50%,IF(AS$121="입주/잔금",($F131-SUM($G131:AR131))*20%,IF(AU$121=0,0,IF(AU$121="2차중도금",$F131*30%-SUM($G131:AT131),IF(AU$121="3차중도금",$F131*40%-SUM($G131:AT131),IF(AU$121="4차중도금",$F131*50%-SUM($G131:AT131),$F131*10%)))))))+(IF(AU$121="5차중도금",$F131*60%-SUM($G131:AT131)-$F131*10%,IF(AU$121="6차중도금",$F131*70%-SUM($G131:AT131)-$F131*10%,0)))</f>
        <v>0</v>
      </c>
      <c r="AV131" s="605">
        <f>IF(AV$121="입주/잔금",($F131-SUM($G131:AU131))*30%,IF(AU$121="입주/잔금",($F131-SUM($G131:AT131))*50%,IF(AT$121="입주/잔금",($F131-SUM($G131:AS131))*20%,IF(AV$121=0,0,IF(AV$121="2차중도금",$F131*30%-SUM($G131:AU131),IF(AV$121="3차중도금",$F131*40%-SUM($G131:AU131),IF(AV$121="4차중도금",$F131*50%-SUM($G131:AU131),$F131*10%)))))))+(IF(AV$121="5차중도금",$F131*60%-SUM($G131:AU131)-$F131*10%,IF(AV$121="6차중도금",$F131*70%-SUM($G131:AU131)-$F131*10%,0)))</f>
        <v>0</v>
      </c>
      <c r="AW131" s="605">
        <f>IF(AW$121="입주/잔금",($F131-SUM($G131:AV131))*30%,IF(AV$121="입주/잔금",($F131-SUM($G131:AU131))*50%,IF(AU$121="입주/잔금",($F131-SUM($G131:AT131))*20%,IF(AW$121=0,0,IF(AW$121="2차중도금",$F131*30%-SUM($G131:AV131),IF(AW$121="3차중도금",$F131*40%-SUM($G131:AV131),IF(AW$121="4차중도금",$F131*50%-SUM($G131:AV131),$F131*10%)))))))+(IF(AW$121="5차중도금",$F131*60%-SUM($G131:AV131)-$F131*10%,IF(AW$121="6차중도금",$F131*70%-SUM($G131:AV131)-$F131*10%,0)))</f>
        <v>0</v>
      </c>
      <c r="AX131" s="605">
        <f>IF(AX$121="입주/잔금",($F131-SUM($G131:AW131))*30%,IF(AW$121="입주/잔금",($F131-SUM($G131:AV131))*50%,IF(AV$121="입주/잔금",($F131-SUM($G131:AU131))*20%,IF(AX$121=0,0,IF(AX$121="2차중도금",$F131*30%-SUM($G131:AW131),IF(AX$121="3차중도금",$F131*40%-SUM($G131:AW131),IF(AX$121="4차중도금",$F131*50%-SUM($G131:AW131),$F131*10%)))))))+(IF(AX$121="5차중도금",$F131*60%-SUM($G131:AW131)-$F131*10%,IF(AX$121="6차중도금",$F131*70%-SUM($G131:AW131)-$F131*10%,0)))</f>
        <v>0</v>
      </c>
      <c r="AY131" s="605">
        <f>IF(AY$121="입주/잔금",($F131-SUM($G131:AX131))*30%,IF(AX$121="입주/잔금",($F131-SUM($G131:AW131))*50%,IF(AW$121="입주/잔금",($F131-SUM($G131:AV131))*20%,IF(AY$121=0,0,IF(AY$121="2차중도금",$F131*30%-SUM($G131:AX131),IF(AY$121="3차중도금",$F131*40%-SUM($G131:AX131),IF(AY$121="4차중도금",$F131*50%-SUM($G131:AX131),$F131*10%)))))))+(IF(AY$121="5차중도금",$F131*60%-SUM($G131:AX131)-$F131*10%,IF(AY$121="6차중도금",$F131*70%-SUM($G131:AX131)-$F131*10%,0)))</f>
        <v>0</v>
      </c>
      <c r="AZ131" s="605">
        <f>IF(AZ$121="입주/잔금",($F131-SUM($G131:AY131))*30%,IF(AY$121="입주/잔금",($F131-SUM($G131:AX131))*50%,IF(AX$121="입주/잔금",($F131-SUM($G131:AW131))*20%,IF(AZ$121=0,0,IF(AZ$121="2차중도금",$F131*30%-SUM($G131:AY131),IF(AZ$121="3차중도금",$F131*40%-SUM($G131:AY131),IF(AZ$121="4차중도금",$F131*50%-SUM($G131:AY131),$F131*10%)))))))+(IF(AZ$121="5차중도금",$F131*60%-SUM($G131:AY131)-$F131*10%,IF(AZ$121="6차중도금",$F131*70%-SUM($G131:AY131)-$F131*10%,0)))</f>
        <v>0</v>
      </c>
      <c r="BA131" s="605">
        <f>IF(BA$121="입주/잔금",($F131-SUM($G131:AZ131))*30%,IF(AZ$121="입주/잔금",($F131-SUM($G131:AY131))*50%,IF(AY$121="입주/잔금",($F131-SUM($G131:AX131))*20%,IF(BA$121=0,0,IF(BA$121="2차중도금",$F131*30%-SUM($G131:AZ131),IF(BA$121="3차중도금",$F131*40%-SUM($G131:AZ131),IF(BA$121="4차중도금",$F131*50%-SUM($G131:AZ131),$F131*10%)))))))+(IF(BA$121="5차중도금",$F131*60%-SUM($G131:AZ131)-$F131*10%,IF(BA$121="6차중도금",$F131*70%-SUM($G131:AZ131)-$F131*10%,0)))</f>
        <v>0</v>
      </c>
      <c r="BB131" s="605">
        <f>IF(BB$121="입주/잔금",($F131-SUM($G131:BA131))*30%,IF(BA$121="입주/잔금",($F131-SUM($G131:AZ131))*50%,IF(AZ$121="입주/잔금",($F131-SUM($G131:AY131))*20%,IF(BB$121=0,0,IF(BB$121="2차중도금",$F131*30%-SUM($G131:BA131),IF(BB$121="3차중도금",$F131*40%-SUM($G131:BA131),IF(BB$121="4차중도금",$F131*50%-SUM($G131:BA131),$F131*10%)))))))+(IF(BB$121="5차중도금",$F131*60%-SUM($G131:BA131)-$F131*10%,IF(BB$121="6차중도금",$F131*70%-SUM($G131:BA131)-$F131*10%,0)))</f>
        <v>0</v>
      </c>
      <c r="BC131" s="605">
        <f>IF(BC$121="입주/잔금",($F131-SUM($G131:BB131))*30%,IF(BB$121="입주/잔금",($F131-SUM($G131:BA131))*50%,IF(BA$121="입주/잔금",($F131-SUM($G131:AZ131))*20%,IF(BC$121=0,0,IF(BC$121="2차중도금",$F131*30%-SUM($G131:BB131),IF(BC$121="3차중도금",$F131*40%-SUM($G131:BB131),IF(BC$121="4차중도금",$F131*50%-SUM($G131:BB131),$F131*10%)))))))+(IF(BC$121="5차중도금",$F131*60%-SUM($G131:BB131)-$F131*10%,IF(BC$121="6차중도금",$F131*70%-SUM($G131:BB131)-$F131*10%,0)))</f>
        <v>0</v>
      </c>
      <c r="BD131" s="605">
        <f>IF(BD$121="입주/잔금",($F131-SUM($G131:BC131))*30%,IF(BC$121="입주/잔금",($F131-SUM($G131:BB131))*50%,IF(BB$121="입주/잔금",($F131-SUM($G131:BA131))*20%,IF(BD$121=0,0,IF(BD$121="2차중도금",$F131*30%-SUM($G131:BC131),IF(BD$121="3차중도금",$F131*40%-SUM($G131:BC131),IF(BD$121="4차중도금",$F131*50%-SUM($G131:BC131),$F131*10%)))))))+(IF(BD$121="5차중도금",$F131*60%-SUM($G131:BC131)-$F131*10%,IF(BD$121="6차중도금",$F131*70%-SUM($G131:BC131)-$F131*10%,0)))</f>
        <v>0</v>
      </c>
      <c r="BE131" s="605">
        <f>IF(BE$121="입주/잔금",($F131-SUM($G131:BD131))*30%,IF(BD$121="입주/잔금",($F131-SUM($G131:BC131))*50%,IF(BC$121="입주/잔금",($F131-SUM($G131:BB131))*20%,IF(BE$121=0,0,IF(BE$121="2차중도금",$F131*30%-SUM($G131:BD131),IF(BE$121="3차중도금",$F131*40%-SUM($G131:BD131),IF(BE$121="4차중도금",$F131*50%-SUM($G131:BD131),$F131*10%)))))))+(IF(BE$121="5차중도금",$F131*60%-SUM($G131:BD131)-$F131*10%,IF(BE$121="6차중도금",$F131*70%-SUM($G131:BD131)-$F131*10%,0)))</f>
        <v>0</v>
      </c>
      <c r="BF131" s="609">
        <f t="shared" si="43"/>
        <v>1064248.4407619843</v>
      </c>
      <c r="BG131" s="556">
        <f t="shared" si="45"/>
        <v>0</v>
      </c>
      <c r="BH131" s="610"/>
    </row>
    <row r="132" spans="1:60">
      <c r="A132" s="1867"/>
      <c r="B132" s="611">
        <f t="shared" si="46"/>
        <v>45139</v>
      </c>
      <c r="C132" s="605">
        <f t="shared" si="47"/>
        <v>21284968.815239683</v>
      </c>
      <c r="D132" s="1501">
        <f t="shared" si="47"/>
        <v>0.05</v>
      </c>
      <c r="E132" s="607">
        <f t="shared" si="48"/>
        <v>0.39999999999999997</v>
      </c>
      <c r="F132" s="608">
        <f t="shared" si="44"/>
        <v>1064248.4407619841</v>
      </c>
      <c r="G132" s="605"/>
      <c r="H132" s="605"/>
      <c r="I132" s="605"/>
      <c r="J132" s="605"/>
      <c r="K132" s="605"/>
      <c r="L132" s="605"/>
      <c r="M132" s="605"/>
      <c r="N132" s="605"/>
      <c r="O132" s="605"/>
      <c r="P132" s="605"/>
      <c r="Q132" s="605">
        <f>$F132*10%</f>
        <v>106424.84407619841</v>
      </c>
      <c r="R132" s="605">
        <f>IF(R$121="입주/잔금",($F132-SUM($G132:Q132))*30%,IF(Q$121="입주/잔금",($F132-SUM($G132:P132))*50%,IF(P$121="입주/잔금",($F132-SUM($G132:O132))*20%,IF(R$121=0,0,IF(R$121="2차중도금",$F132*30%-SUM($G132:Q132),IF(R$121="3차중도금",$F132*40%-SUM($G132:Q132),IF(R$121="4차중도금",$F132*50%-SUM($G132:Q132),$F132*10%)))))))+(IF(R$121="5차중도금",$F132*60%-SUM($G132:Q132)-$F132*10%,IF(R$121="6차중도금",$F132*70%-SUM($G132:Q132)-$F132*10%,0)))</f>
        <v>0</v>
      </c>
      <c r="S132" s="605">
        <f>IF(S$121="입주/잔금",($F132-SUM($G132:R132))*30%,IF(R$121="입주/잔금",($F132-SUM($G132:Q132))*50%,IF(Q$121="입주/잔금",($F132-SUM($G132:P132))*20%,IF(S$121=0,0,IF(S$121="2차중도금",$F132*30%-SUM($G132:R132),IF(S$121="3차중도금",$F132*40%-SUM($G132:R132),IF(S$121="4차중도금",$F132*50%-SUM($G132:R132),$F132*10%)))))))+(IF(S$121="5차중도금",$F132*60%-SUM($G132:R132)-$F132*10%,IF(S$121="6차중도금",$F132*70%-SUM($G132:R132)-$F132*10%,0)))</f>
        <v>106424.84407619841</v>
      </c>
      <c r="T132" s="605">
        <f>IF(T$121="입주/잔금",($F132-SUM($G132:S132))*30%,IF(S$121="입주/잔금",($F132-SUM($G132:R132))*50%,IF(R$121="입주/잔금",($F132-SUM($G132:Q132))*20%,IF(T$121=0,0,IF(T$121="2차중도금",$F132*30%-SUM($G132:S132),IF(T$121="3차중도금",$F132*40%-SUM($G132:S132),IF(T$121="4차중도금",$F132*50%-SUM($G132:S132),$F132*10%)))))))+(IF(T$121="5차중도금",$F132*60%-SUM($G132:S132)-$F132*10%,IF(T$121="6차중도금",$F132*70%-SUM($G132:S132)-$F132*10%,0)))</f>
        <v>0</v>
      </c>
      <c r="U132" s="605">
        <f>IF(U$121="입주/잔금",($F132-SUM($G132:T132))*30%,IF(T$121="입주/잔금",($F132-SUM($G132:S132))*50%,IF(S$121="입주/잔금",($F132-SUM($G132:R132))*20%,IF(U$121=0,0,IF(U$121="2차중도금",$F132*30%-SUM($G132:T132),IF(U$121="3차중도금",$F132*40%-SUM($G132:T132),IF(U$121="4차중도금",$F132*50%-SUM($G132:T132),$F132*10%)))))))+(IF(U$121="5차중도금",$F132*60%-SUM($G132:T132)-$F132*10%,IF(U$121="6차중도금",$F132*70%-SUM($G132:T132)-$F132*10%,0)))</f>
        <v>0</v>
      </c>
      <c r="V132" s="605">
        <f>IF(V$121="입주/잔금",($F132-SUM($G132:U132))*30%,IF(U$121="입주/잔금",($F132-SUM($G132:T132))*50%,IF(T$121="입주/잔금",($F132-SUM($G132:S132))*20%,IF(V$121=0,0,IF(V$121="2차중도금",$F132*30%-SUM($G132:U132),IF(V$121="3차중도금",$F132*40%-SUM($G132:U132),IF(V$121="4차중도금",$F132*50%-SUM($G132:U132),$F132*10%)))))))+(IF(V$121="5차중도금",$F132*60%-SUM($G132:U132)-$F132*10%,IF(V$121="6차중도금",$F132*70%-SUM($G132:U132)-$F132*10%,0)))</f>
        <v>0</v>
      </c>
      <c r="W132" s="605">
        <f>IF(W$121="입주/잔금",($F132-SUM($G132:V132))*30%,IF(V$121="입주/잔금",($F132-SUM($G132:U132))*50%,IF(U$121="입주/잔금",($F132-SUM($G132:T132))*20%,IF(W$121=0,0,IF(W$121="2차중도금",$F132*30%-SUM($G132:V132),IF(W$121="3차중도금",$F132*40%-SUM($G132:V132),IF(W$121="4차중도금",$F132*50%-SUM($G132:V132),$F132*10%)))))))+(IF(W$121="5차중도금",$F132*60%-SUM($G132:V132)-$F132*10%,IF(W$121="6차중도금",$F132*70%-SUM($G132:V132)-$F132*10%,0)))</f>
        <v>0</v>
      </c>
      <c r="X132" s="605">
        <f>IF(X$121="입주/잔금",($F132-SUM($G132:W132))*30%,IF(W$121="입주/잔금",($F132-SUM($G132:V132))*50%,IF(V$121="입주/잔금",($F132-SUM($G132:U132))*20%,IF(X$121=0,0,IF(X$121="2차중도금",$F132*30%-SUM($G132:W132),IF(X$121="3차중도금",$F132*40%-SUM($G132:W132),IF(X$121="4차중도금",$F132*50%-SUM($G132:W132),$F132*10%)))))))+(IF(X$121="5차중도금",$F132*60%-SUM($G132:W132)-$F132*10%,IF(X$121="6차중도금",$F132*70%-SUM($G132:W132)-$F132*10%,0)))</f>
        <v>0</v>
      </c>
      <c r="Y132" s="605">
        <f>IF(Y$121="입주/잔금",($F132-SUM($G132:X132))*30%,IF(X$121="입주/잔금",($F132-SUM($G132:W132))*50%,IF(W$121="입주/잔금",($F132-SUM($G132:V132))*20%,IF(Y$121=0,0,IF(Y$121="2차중도금",$F132*30%-SUM($G132:X132),IF(Y$121="3차중도금",$F132*40%-SUM($G132:X132),IF(Y$121="4차중도금",$F132*50%-SUM($G132:X132),$F132*10%)))))))+(IF(Y$121="5차중도금",$F132*60%-SUM($G132:X132)-$F132*10%,IF(Y$121="6차중도금",$F132*70%-SUM($G132:X132)-$F132*10%,0)))</f>
        <v>106424.84407619841</v>
      </c>
      <c r="Z132" s="605">
        <f>IF(Z$121="입주/잔금",($F132-SUM($G132:Y132))*30%,IF(Y$121="입주/잔금",($F132-SUM($G132:X132))*50%,IF(X$121="입주/잔금",($F132-SUM($G132:W132))*20%,IF(Z$121=0,0,IF(Z$121="2차중도금",$F132*30%-SUM($G132:Y132),IF(Z$121="3차중도금",$F132*40%-SUM($G132:Y132),IF(Z$121="4차중도금",$F132*50%-SUM($G132:Y132),$F132*10%)))))))+(IF(Z$121="5차중도금",$F132*60%-SUM($G132:Y132)-$F132*10%,IF(Z$121="6차중도금",$F132*70%-SUM($G132:Y132)-$F132*10%,0)))</f>
        <v>0</v>
      </c>
      <c r="AA132" s="605">
        <f>IF(AA$121="입주/잔금",($F132-SUM($G132:Z132))*30%,IF(Z$121="입주/잔금",($F132-SUM($G132:Y132))*50%,IF(Y$121="입주/잔금",($F132-SUM($G132:X132))*20%,IF(AA$121=0,0,IF(AA$121="2차중도금",$F132*30%-SUM($G132:Z132),IF(AA$121="3차중도금",$F132*40%-SUM($G132:Z132),IF(AA$121="4차중도금",$F132*50%-SUM($G132:Z132),$F132*10%)))))))+(IF(AA$121="5차중도금",$F132*60%-SUM($G132:Z132)-$F132*10%,IF(AA$121="6차중도금",$F132*70%-SUM($G132:Z132)-$F132*10%,0)))</f>
        <v>0</v>
      </c>
      <c r="AB132" s="605">
        <f>IF(AB$121="입주/잔금",($F132-SUM($G132:AA132))*30%,IF(AA$121="입주/잔금",($F132-SUM($G132:Z132))*50%,IF(Z$121="입주/잔금",($F132-SUM($G132:Y132))*20%,IF(AB$121=0,0,IF(AB$121="2차중도금",$F132*30%-SUM($G132:AA132),IF(AB$121="3차중도금",$F132*40%-SUM($G132:AA132),IF(AB$121="4차중도금",$F132*50%-SUM($G132:AA132),$F132*10%)))))))+(IF(AB$121="5차중도금",$F132*60%-SUM($G132:AA132)-$F132*10%,IF(AB$121="6차중도금",$F132*70%-SUM($G132:AA132)-$F132*10%,0)))</f>
        <v>0</v>
      </c>
      <c r="AC132" s="605">
        <f>IF(AC$121="입주/잔금",($F132-SUM($G132:AB132))*30%,IF(AB$121="입주/잔금",($F132-SUM($G132:AA132))*50%,IF(AA$121="입주/잔금",($F132-SUM($G132:Z132))*20%,IF(AC$121=0,0,IF(AC$121="2차중도금",$F132*30%-SUM($G132:AB132),IF(AC$121="3차중도금",$F132*40%-SUM($G132:AB132),IF(AC$121="4차중도금",$F132*50%-SUM($G132:AB132),$F132*10%)))))))+(IF(AC$121="5차중도금",$F132*60%-SUM($G132:AB132)-$F132*10%,IF(AC$121="6차중도금",$F132*70%-SUM($G132:AB132)-$F132*10%,0)))</f>
        <v>0</v>
      </c>
      <c r="AD132" s="605">
        <f>IF(AD$121="입주/잔금",($F132-SUM($G132:AC132))*30%,IF(AC$121="입주/잔금",($F132-SUM($G132:AB132))*50%,IF(AB$121="입주/잔금",($F132-SUM($G132:AA132))*20%,IF(AD$121=0,0,IF(AD$121="2차중도금",$F132*30%-SUM($G132:AC132),IF(AD$121="3차중도금",$F132*40%-SUM($G132:AC132),IF(AD$121="4차중도금",$F132*50%-SUM($G132:AC132),$F132*10%)))))))+(IF(AD$121="5차중도금",$F132*60%-SUM($G132:AC132)-$F132*10%,IF(AD$121="6차중도금",$F132*70%-SUM($G132:AC132)-$F132*10%,0)))</f>
        <v>0</v>
      </c>
      <c r="AE132" s="605">
        <f>IF(AE$121="입주/잔금",($F132-SUM($G132:AD132))*30%,IF(AD$121="입주/잔금",($F132-SUM($G132:AC132))*50%,IF(AC$121="입주/잔금",($F132-SUM($G132:AB132))*20%,IF(AE$121=0,0,IF(AE$121="2차중도금",$F132*30%-SUM($G132:AD132),IF(AE$121="3차중도금",$F132*40%-SUM($G132:AD132),IF(AE$121="4차중도금",$F132*50%-SUM($G132:AD132),$F132*10%)))))))+(IF(AE$121="5차중도금",$F132*60%-SUM($G132:AD132)-$F132*10%,IF(AE$121="6차중도금",$F132*70%-SUM($G132:AD132)-$F132*10%,0)))</f>
        <v>106424.84407619841</v>
      </c>
      <c r="AF132" s="605">
        <f>IF(AF$121="입주/잔금",($F132-SUM($G132:AE132))*30%,IF(AE$121="입주/잔금",($F132-SUM($G132:AD132))*50%,IF(AD$121="입주/잔금",($F132-SUM($G132:AC132))*20%,IF(AF$121=0,0,IF(AF$121="2차중도금",$F132*30%-SUM($G132:AE132),IF(AF$121="3차중도금",$F132*40%-SUM($G132:AE132),IF(AF$121="4차중도금",$F132*50%-SUM($G132:AE132),$F132*10%)))))))+(IF(AF$121="5차중도금",$F132*60%-SUM($G132:AE132)-$F132*10%,IF(AF$121="6차중도금",$F132*70%-SUM($G132:AE132)-$F132*10%,0)))</f>
        <v>0</v>
      </c>
      <c r="AG132" s="605">
        <f>IF(AG$121="입주/잔금",($F132-SUM($G132:AF132))*30%,IF(AF$121="입주/잔금",($F132-SUM($G132:AE132))*50%,IF(AE$121="입주/잔금",($F132-SUM($G132:AD132))*20%,IF(AG$121=0,0,IF(AG$121="2차중도금",$F132*30%-SUM($G132:AF132),IF(AG$121="3차중도금",$F132*40%-SUM($G132:AF132),IF(AG$121="4차중도금",$F132*50%-SUM($G132:AF132),$F132*10%)))))))+(IF(AG$121="5차중도금",$F132*60%-SUM($G132:AF132)-$F132*10%,IF(AG$121="6차중도금",$F132*70%-SUM($G132:AF132)-$F132*10%,0)))</f>
        <v>0</v>
      </c>
      <c r="AH132" s="605">
        <f>IF(AH$121="입주/잔금",($F132-SUM($G132:AG132))*30%,IF(AG$121="입주/잔금",($F132-SUM($G132:AF132))*50%,IF(AF$121="입주/잔금",($F132-SUM($G132:AE132))*20%,IF(AH$121=0,0,IF(AH$121="2차중도금",$F132*30%-SUM($G132:AG132),IF(AH$121="3차중도금",$F132*40%-SUM($G132:AG132),IF(AH$121="4차중도금",$F132*50%-SUM($G132:AG132),$F132*10%)))))))+(IF(AH$121="5차중도금",$F132*60%-SUM($G132:AG132)-$F132*10%,IF(AH$121="6차중도금",$F132*70%-SUM($G132:AG132)-$F132*10%,0)))</f>
        <v>0</v>
      </c>
      <c r="AI132" s="605">
        <f>IF(AI$121="입주/잔금",($F132-SUM($G132:AH132))*30%,IF(AH$121="입주/잔금",($F132-SUM($G132:AG132))*50%,IF(AG$121="입주/잔금",($F132-SUM($G132:AF132))*20%,IF(AI$121=0,0,IF(AI$121="2차중도금",$F132*30%-SUM($G132:AH132),IF(AI$121="3차중도금",$F132*40%-SUM($G132:AH132),IF(AI$121="4차중도금",$F132*50%-SUM($G132:AH132),$F132*10%)))))))+(IF(AI$121="5차중도금",$F132*60%-SUM($G132:AH132)-$F132*10%,IF(AI$121="6차중도금",$F132*70%-SUM($G132:AH132)-$F132*10%,0)))</f>
        <v>0</v>
      </c>
      <c r="AJ132" s="605">
        <f>IF(AJ$121="입주/잔금",($F132-SUM($G132:AI132))*30%,IF(AI$121="입주/잔금",($F132-SUM($G132:AH132))*50%,IF(AH$121="입주/잔금",($F132-SUM($G132:AG132))*20%,IF(AJ$121=0,0,IF(AJ$121="2차중도금",$F132*30%-SUM($G132:AI132),IF(AJ$121="3차중도금",$F132*40%-SUM($G132:AI132),IF(AJ$121="4차중도금",$F132*50%-SUM($G132:AI132),$F132*10%)))))))+(IF(AJ$121="5차중도금",$F132*60%-SUM($G132:AI132)-$F132*10%,IF(AJ$121="6차중도금",$F132*70%-SUM($G132:AI132)-$F132*10%,0)))</f>
        <v>0</v>
      </c>
      <c r="AK132" s="605">
        <f>IF(AK$121="입주/잔금",($F132-SUM($G132:AJ132))*30%,IF(AJ$121="입주/잔금",($F132-SUM($G132:AI132))*50%,IF(AI$121="입주/잔금",($F132-SUM($G132:AH132))*20%,IF(AK$121=0,0,IF(AK$121="2차중도금",$F132*30%-SUM($G132:AJ132),IF(AK$121="3차중도금",$F132*40%-SUM($G132:AJ132),IF(AK$121="4차중도금",$F132*50%-SUM($G132:AJ132),$F132*10%)))))))+(IF(AK$121="5차중도금",$F132*60%-SUM($G132:AJ132)-$F132*10%,IF(AK$121="6차중도금",$F132*70%-SUM($G132:AJ132)-$F132*10%,0)))</f>
        <v>106424.84407619841</v>
      </c>
      <c r="AL132" s="605">
        <f>IF(AL$121="입주/잔금",($F132-SUM($G132:AK132))*30%,IF(AK$121="입주/잔금",($F132-SUM($G132:AJ132))*50%,IF(AJ$121="입주/잔금",($F132-SUM($G132:AI132))*20%,IF(AL$121=0,0,IF(AL$121="2차중도금",$F132*30%-SUM($G132:AK132),IF(AL$121="3차중도금",$F132*40%-SUM($G132:AK132),IF(AL$121="4차중도금",$F132*50%-SUM($G132:AK132),$F132*10%)))))))+(IF(AL$121="5차중도금",$F132*60%-SUM($G132:AK132)-$F132*10%,IF(AL$121="6차중도금",$F132*70%-SUM($G132:AK132)-$F132*10%,0)))</f>
        <v>0</v>
      </c>
      <c r="AM132" s="605">
        <f>IF(AM$121="입주/잔금",($F132-SUM($G132:AL132))*30%,IF(AL$121="입주/잔금",($F132-SUM($G132:AK132))*50%,IF(AK$121="입주/잔금",($F132-SUM($G132:AJ132))*20%,IF(AM$121=0,0,IF(AM$121="2차중도금",$F132*30%-SUM($G132:AL132),IF(AM$121="3차중도금",$F132*40%-SUM($G132:AL132),IF(AM$121="4차중도금",$F132*50%-SUM($G132:AL132),$F132*10%)))))))+(IF(AM$121="5차중도금",$F132*60%-SUM($G132:AL132)-$F132*10%,IF(AM$121="6차중도금",$F132*70%-SUM($G132:AL132)-$F132*10%,0)))</f>
        <v>0</v>
      </c>
      <c r="AN132" s="605">
        <f>IF(AN$121="입주/잔금",($F132-SUM($G132:AM132))*30%,IF(AM$121="입주/잔금",($F132-SUM($G132:AL132))*50%,IF(AL$121="입주/잔금",($F132-SUM($G132:AK132))*20%,IF(AN$121=0,0,IF(AN$121="2차중도금",$F132*30%-SUM($G132:AM132),IF(AN$121="3차중도금",$F132*40%-SUM($G132:AM132),IF(AN$121="4차중도금",$F132*50%-SUM($G132:AM132),$F132*10%)))))))+(IF(AN$121="5차중도금",$F132*60%-SUM($G132:AM132)-$F132*10%,IF(AN$121="6차중도금",$F132*70%-SUM($G132:AM132)-$F132*10%,0)))</f>
        <v>0</v>
      </c>
      <c r="AO132" s="605">
        <f>IF(AO$121="입주/잔금",($F132-SUM($G132:AN132))*30%,IF(AN$121="입주/잔금",($F132-SUM($G132:AM132))*50%,IF(AM$121="입주/잔금",($F132-SUM($G132:AL132))*20%,IF(AO$121=0,0,IF(AO$121="2차중도금",$F132*30%-SUM($G132:AN132),IF(AO$121="3차중도금",$F132*40%-SUM($G132:AN132),IF(AO$121="4차중도금",$F132*50%-SUM($G132:AN132),$F132*10%)))))))+(IF(AO$121="5차중도금",$F132*60%-SUM($G132:AN132)-$F132*10%,IF(AO$121="6차중도금",$F132*70%-SUM($G132:AN132)-$F132*10%,0)))</f>
        <v>0</v>
      </c>
      <c r="AP132" s="605">
        <f>IF(AP$121="입주/잔금",($F132-SUM($G132:AO132))*30%,IF(AO$121="입주/잔금",($F132-SUM($G132:AN132))*50%,IF(AN$121="입주/잔금",($F132-SUM($G132:AM132))*20%,IF(AP$121=0,0,IF(AP$121="2차중도금",$F132*30%-SUM($G132:AO132),IF(AP$121="3차중도금",$F132*40%-SUM($G132:AO132),IF(AP$121="4차중도금",$F132*50%-SUM($G132:AO132),$F132*10%)))))))+(IF(AP$121="5차중도금",$F132*60%-SUM($G132:AO132)-$F132*10%,IF(AP$121="6차중도금",$F132*70%-SUM($G132:AO132)-$F132*10%,0)))</f>
        <v>0</v>
      </c>
      <c r="AQ132" s="605">
        <f>IF(AQ$121="입주/잔금",($F132-SUM($G132:AP132))*30%,IF(AP$121="입주/잔금",($F132-SUM($G132:AO132))*50%,IF(AO$121="입주/잔금",($F132-SUM($G132:AN132))*20%,IF(AQ$121=0,0,IF(AQ$121="2차중도금",$F132*30%-SUM($G132:AP132),IF(AQ$121="3차중도금",$F132*40%-SUM($G132:AP132),IF(AQ$121="4차중도금",$F132*50%-SUM($G132:AP132),$F132*10%)))))))+(IF(AQ$121="5차중도금",$F132*60%-SUM($G132:AP132)-$F132*10%,IF(AQ$121="6차중도금",$F132*70%-SUM($G132:AP132)-$F132*10%,0)))</f>
        <v>0</v>
      </c>
      <c r="AR132" s="605">
        <f>IF(AR$121="입주/잔금",($F132-SUM($G132:AQ132))*30%,IF(AQ$121="입주/잔금",($F132-SUM($G132:AP132))*50%,IF(AP$121="입주/잔금",($F132-SUM($G132:AO132))*20%,IF(AR$121=0,0,IF(AR$121="2차중도금",$F132*30%-SUM($G132:AQ132),IF(AR$121="3차중도금",$F132*40%-SUM($G132:AQ132),IF(AR$121="4차중도금",$F132*50%-SUM($G132:AQ132),$F132*10%)))))))+(IF(AR$121="5차중도금",$F132*60%-SUM($G132:AQ132)-$F132*10%,IF(AR$121="6차중도금",$F132*70%-SUM($G132:AQ132)-$F132*10%,0)))</f>
        <v>159637.26611429761</v>
      </c>
      <c r="AS132" s="605">
        <f>IF(AS$121="입주/잔금",($F132-SUM($G132:AR132))*30%,IF(AR$121="입주/잔금",($F132-SUM($G132:AQ132))*50%,IF(AQ$121="입주/잔금",($F132-SUM($G132:AP132))*20%,IF(AS$121=0,0,IF(AS$121="2차중도금",$F132*30%-SUM($G132:AR132),IF(AS$121="3차중도금",$F132*40%-SUM($G132:AR132),IF(AS$121="4차중도금",$F132*50%-SUM($G132:AR132),$F132*10%)))))))+(IF(AS$121="5차중도금",$F132*60%-SUM($G132:AR132)-$F132*10%,IF(AS$121="6차중도금",$F132*70%-SUM($G132:AR132)-$F132*10%,0)))</f>
        <v>266062.11019049602</v>
      </c>
      <c r="AT132" s="605">
        <f>IF(AT$121="입주/잔금",($F132-SUM($G132:AS132))*30%,IF(AS$121="입주/잔금",($F132-SUM($G132:AR132))*50%,IF(AR$121="입주/잔금",($F132-SUM($G132:AQ132))*20%,IF(AT$121=0,0,IF(AT$121="2차중도금",$F132*30%-SUM($G132:AS132),IF(AT$121="3차중도금",$F132*40%-SUM($G132:AS132),IF(AT$121="4차중도금",$F132*50%-SUM($G132:AS132),$F132*10%)))))))+(IF(AT$121="5차중도금",$F132*60%-SUM($G132:AS132)-$F132*10%,IF(AT$121="6차중도금",$F132*70%-SUM($G132:AS132)-$F132*10%,0)))</f>
        <v>106424.84407619841</v>
      </c>
      <c r="AU132" s="605">
        <f>IF(AU$121="입주/잔금",($F132-SUM($G132:AT132))*30%,IF(AT$121="입주/잔금",($F132-SUM($G132:AS132))*50%,IF(AS$121="입주/잔금",($F132-SUM($G132:AR132))*20%,IF(AU$121=0,0,IF(AU$121="2차중도금",$F132*30%-SUM($G132:AT132),IF(AU$121="3차중도금",$F132*40%-SUM($G132:AT132),IF(AU$121="4차중도금",$F132*50%-SUM($G132:AT132),$F132*10%)))))))+(IF(AU$121="5차중도금",$F132*60%-SUM($G132:AT132)-$F132*10%,IF(AU$121="6차중도금",$F132*70%-SUM($G132:AT132)-$F132*10%,0)))</f>
        <v>0</v>
      </c>
      <c r="AV132" s="605">
        <f>IF(AV$121="입주/잔금",($F132-SUM($G132:AU132))*30%,IF(AU$121="입주/잔금",($F132-SUM($G132:AT132))*50%,IF(AT$121="입주/잔금",($F132-SUM($G132:AS132))*20%,IF(AV$121=0,0,IF(AV$121="2차중도금",$F132*30%-SUM($G132:AU132),IF(AV$121="3차중도금",$F132*40%-SUM($G132:AU132),IF(AV$121="4차중도금",$F132*50%-SUM($G132:AU132),$F132*10%)))))))+(IF(AV$121="5차중도금",$F132*60%-SUM($G132:AU132)-$F132*10%,IF(AV$121="6차중도금",$F132*70%-SUM($G132:AU132)-$F132*10%,0)))</f>
        <v>0</v>
      </c>
      <c r="AW132" s="605">
        <f>IF(AW$121="입주/잔금",($F132-SUM($G132:AV132))*30%,IF(AV$121="입주/잔금",($F132-SUM($G132:AU132))*50%,IF(AU$121="입주/잔금",($F132-SUM($G132:AT132))*20%,IF(AW$121=0,0,IF(AW$121="2차중도금",$F132*30%-SUM($G132:AV132),IF(AW$121="3차중도금",$F132*40%-SUM($G132:AV132),IF(AW$121="4차중도금",$F132*50%-SUM($G132:AV132),$F132*10%)))))))+(IF(AW$121="5차중도금",$F132*60%-SUM($G132:AV132)-$F132*10%,IF(AW$121="6차중도금",$F132*70%-SUM($G132:AV132)-$F132*10%,0)))</f>
        <v>0</v>
      </c>
      <c r="AX132" s="605">
        <f>IF(AX$121="입주/잔금",($F132-SUM($G132:AW132))*30%,IF(AW$121="입주/잔금",($F132-SUM($G132:AV132))*50%,IF(AV$121="입주/잔금",($F132-SUM($G132:AU132))*20%,IF(AX$121=0,0,IF(AX$121="2차중도금",$F132*30%-SUM($G132:AW132),IF(AX$121="3차중도금",$F132*40%-SUM($G132:AW132),IF(AX$121="4차중도금",$F132*50%-SUM($G132:AW132),$F132*10%)))))))+(IF(AX$121="5차중도금",$F132*60%-SUM($G132:AW132)-$F132*10%,IF(AX$121="6차중도금",$F132*70%-SUM($G132:AW132)-$F132*10%,0)))</f>
        <v>0</v>
      </c>
      <c r="AY132" s="605">
        <f>IF(AY$121="입주/잔금",($F132-SUM($G132:AX132))*30%,IF(AX$121="입주/잔금",($F132-SUM($G132:AW132))*50%,IF(AW$121="입주/잔금",($F132-SUM($G132:AV132))*20%,IF(AY$121=0,0,IF(AY$121="2차중도금",$F132*30%-SUM($G132:AX132),IF(AY$121="3차중도금",$F132*40%-SUM($G132:AX132),IF(AY$121="4차중도금",$F132*50%-SUM($G132:AX132),$F132*10%)))))))+(IF(AY$121="5차중도금",$F132*60%-SUM($G132:AX132)-$F132*10%,IF(AY$121="6차중도금",$F132*70%-SUM($G132:AX132)-$F132*10%,0)))</f>
        <v>0</v>
      </c>
      <c r="AZ132" s="605">
        <f>IF(AZ$121="입주/잔금",($F132-SUM($G132:AY132))*30%,IF(AY$121="입주/잔금",($F132-SUM($G132:AX132))*50%,IF(AX$121="입주/잔금",($F132-SUM($G132:AW132))*20%,IF(AZ$121=0,0,IF(AZ$121="2차중도금",$F132*30%-SUM($G132:AY132),IF(AZ$121="3차중도금",$F132*40%-SUM($G132:AY132),IF(AZ$121="4차중도금",$F132*50%-SUM($G132:AY132),$F132*10%)))))))+(IF(AZ$121="5차중도금",$F132*60%-SUM($G132:AY132)-$F132*10%,IF(AZ$121="6차중도금",$F132*70%-SUM($G132:AY132)-$F132*10%,0)))</f>
        <v>0</v>
      </c>
      <c r="BA132" s="605">
        <f>IF(BA$121="입주/잔금",($F132-SUM($G132:AZ132))*30%,IF(AZ$121="입주/잔금",($F132-SUM($G132:AY132))*50%,IF(AY$121="입주/잔금",($F132-SUM($G132:AX132))*20%,IF(BA$121=0,0,IF(BA$121="2차중도금",$F132*30%-SUM($G132:AZ132),IF(BA$121="3차중도금",$F132*40%-SUM($G132:AZ132),IF(BA$121="4차중도금",$F132*50%-SUM($G132:AZ132),$F132*10%)))))))+(IF(BA$121="5차중도금",$F132*60%-SUM($G132:AZ132)-$F132*10%,IF(BA$121="6차중도금",$F132*70%-SUM($G132:AZ132)-$F132*10%,0)))</f>
        <v>0</v>
      </c>
      <c r="BB132" s="605">
        <f>IF(BB$121="입주/잔금",($F132-SUM($G132:BA132))*30%,IF(BA$121="입주/잔금",($F132-SUM($G132:AZ132))*50%,IF(AZ$121="입주/잔금",($F132-SUM($G132:AY132))*20%,IF(BB$121=0,0,IF(BB$121="2차중도금",$F132*30%-SUM($G132:BA132),IF(BB$121="3차중도금",$F132*40%-SUM($G132:BA132),IF(BB$121="4차중도금",$F132*50%-SUM($G132:BA132),$F132*10%)))))))+(IF(BB$121="5차중도금",$F132*60%-SUM($G132:BA132)-$F132*10%,IF(BB$121="6차중도금",$F132*70%-SUM($G132:BA132)-$F132*10%,0)))</f>
        <v>0</v>
      </c>
      <c r="BC132" s="605">
        <f>IF(BC$121="입주/잔금",($F132-SUM($G132:BB132))*30%,IF(BB$121="입주/잔금",($F132-SUM($G132:BA132))*50%,IF(BA$121="입주/잔금",($F132-SUM($G132:AZ132))*20%,IF(BC$121=0,0,IF(BC$121="2차중도금",$F132*30%-SUM($G132:BB132),IF(BC$121="3차중도금",$F132*40%-SUM($G132:BB132),IF(BC$121="4차중도금",$F132*50%-SUM($G132:BB132),$F132*10%)))))))+(IF(BC$121="5차중도금",$F132*60%-SUM($G132:BB132)-$F132*10%,IF(BC$121="6차중도금",$F132*70%-SUM($G132:BB132)-$F132*10%,0)))</f>
        <v>0</v>
      </c>
      <c r="BD132" s="605">
        <f>IF(BD$121="입주/잔금",($F132-SUM($G132:BC132))*30%,IF(BC$121="입주/잔금",($F132-SUM($G132:BB132))*50%,IF(BB$121="입주/잔금",($F132-SUM($G132:BA132))*20%,IF(BD$121=0,0,IF(BD$121="2차중도금",$F132*30%-SUM($G132:BC132),IF(BD$121="3차중도금",$F132*40%-SUM($G132:BC132),IF(BD$121="4차중도금",$F132*50%-SUM($G132:BC132),$F132*10%)))))))+(IF(BD$121="5차중도금",$F132*60%-SUM($G132:BC132)-$F132*10%,IF(BD$121="6차중도금",$F132*70%-SUM($G132:BC132)-$F132*10%,0)))</f>
        <v>0</v>
      </c>
      <c r="BE132" s="605">
        <f>IF(BE$121="입주/잔금",($F132-SUM($G132:BD132))*30%,IF(BD$121="입주/잔금",($F132-SUM($G132:BC132))*50%,IF(BC$121="입주/잔금",($F132-SUM($G132:BB132))*20%,IF(BE$121=0,0,IF(BE$121="2차중도금",$F132*30%-SUM($G132:BD132),IF(BE$121="3차중도금",$F132*40%-SUM($G132:BD132),IF(BE$121="4차중도금",$F132*50%-SUM($G132:BD132),$F132*10%)))))))+(IF(BE$121="5차중도금",$F132*60%-SUM($G132:BD132)-$F132*10%,IF(BE$121="6차중도금",$F132*70%-SUM($G132:BD132)-$F132*10%,0)))</f>
        <v>0</v>
      </c>
      <c r="BF132" s="609">
        <f t="shared" si="43"/>
        <v>1064248.4407619843</v>
      </c>
      <c r="BG132" s="556">
        <f t="shared" si="45"/>
        <v>0</v>
      </c>
      <c r="BH132" s="610"/>
    </row>
    <row r="133" spans="1:60">
      <c r="A133" s="1867"/>
      <c r="B133" s="611">
        <f t="shared" si="46"/>
        <v>45170</v>
      </c>
      <c r="C133" s="605">
        <f t="shared" si="47"/>
        <v>21284968.815239683</v>
      </c>
      <c r="D133" s="1501">
        <f t="shared" si="47"/>
        <v>0.05</v>
      </c>
      <c r="E133" s="612">
        <f t="shared" si="48"/>
        <v>0.44999999999999996</v>
      </c>
      <c r="F133" s="608">
        <f t="shared" si="44"/>
        <v>1064248.4407619841</v>
      </c>
      <c r="G133" s="605"/>
      <c r="H133" s="605"/>
      <c r="I133" s="605"/>
      <c r="J133" s="605"/>
      <c r="K133" s="605"/>
      <c r="L133" s="605"/>
      <c r="M133" s="605"/>
      <c r="N133" s="605"/>
      <c r="O133" s="605"/>
      <c r="P133" s="605"/>
      <c r="Q133" s="605"/>
      <c r="R133" s="605">
        <f>$F133*10%</f>
        <v>106424.84407619841</v>
      </c>
      <c r="S133" s="605">
        <f>IF(S$121="입주/잔금",($F133-SUM($G133:R133))*30%,IF(R$121="입주/잔금",($F133-SUM($G133:Q133))*50%,IF(Q$121="입주/잔금",($F133-SUM($G133:P133))*20%,IF(S$121=0,0,IF(S$121="2차중도금",$F133*30%-SUM($G133:R133),IF(S$121="3차중도금",$F133*40%-SUM($G133:R133),IF(S$121="4차중도금",$F133*50%-SUM($G133:R133),$F133*10%)))))))+(IF(S$121="5차중도금",$F133*60%-SUM($G133:R133)-$F133*10%,IF(S$121="6차중도금",$F133*70%-SUM($G133:R133)-$F133*10%,0)))</f>
        <v>106424.84407619841</v>
      </c>
      <c r="T133" s="605">
        <f>IF(T$121="입주/잔금",($F133-SUM($G133:S133))*30%,IF(S$121="입주/잔금",($F133-SUM($G133:R133))*50%,IF(R$121="입주/잔금",($F133-SUM($G133:Q133))*20%,IF(T$121=0,0,IF(T$121="2차중도금",$F133*30%-SUM($G133:S133),IF(T$121="3차중도금",$F133*40%-SUM($G133:S133),IF(T$121="4차중도금",$F133*50%-SUM($G133:S133),$F133*10%)))))))+(IF(T$121="5차중도금",$F133*60%-SUM($G133:S133)-$F133*10%,IF(T$121="6차중도금",$F133*70%-SUM($G133:S133)-$F133*10%,0)))</f>
        <v>0</v>
      </c>
      <c r="U133" s="605">
        <f>IF(U$121="입주/잔금",($F133-SUM($G133:T133))*30%,IF(T$121="입주/잔금",($F133-SUM($G133:S133))*50%,IF(S$121="입주/잔금",($F133-SUM($G133:R133))*20%,IF(U$121=0,0,IF(U$121="2차중도금",$F133*30%-SUM($G133:T133),IF(U$121="3차중도금",$F133*40%-SUM($G133:T133),IF(U$121="4차중도금",$F133*50%-SUM($G133:T133),$F133*10%)))))))+(IF(U$121="5차중도금",$F133*60%-SUM($G133:T133)-$F133*10%,IF(U$121="6차중도금",$F133*70%-SUM($G133:T133)-$F133*10%,0)))</f>
        <v>0</v>
      </c>
      <c r="V133" s="605">
        <f>IF(V$121="입주/잔금",($F133-SUM($G133:U133))*30%,IF(U$121="입주/잔금",($F133-SUM($G133:T133))*50%,IF(T$121="입주/잔금",($F133-SUM($G133:S133))*20%,IF(V$121=0,0,IF(V$121="2차중도금",$F133*30%-SUM($G133:U133),IF(V$121="3차중도금",$F133*40%-SUM($G133:U133),IF(V$121="4차중도금",$F133*50%-SUM($G133:U133),$F133*10%)))))))+(IF(V$121="5차중도금",$F133*60%-SUM($G133:U133)-$F133*10%,IF(V$121="6차중도금",$F133*70%-SUM($G133:U133)-$F133*10%,0)))</f>
        <v>0</v>
      </c>
      <c r="W133" s="605">
        <f>IF(W$121="입주/잔금",($F133-SUM($G133:V133))*30%,IF(V$121="입주/잔금",($F133-SUM($G133:U133))*50%,IF(U$121="입주/잔금",($F133-SUM($G133:T133))*20%,IF(W$121=0,0,IF(W$121="2차중도금",$F133*30%-SUM($G133:V133),IF(W$121="3차중도금",$F133*40%-SUM($G133:V133),IF(W$121="4차중도금",$F133*50%-SUM($G133:V133),$F133*10%)))))))+(IF(W$121="5차중도금",$F133*60%-SUM($G133:V133)-$F133*10%,IF(W$121="6차중도금",$F133*70%-SUM($G133:V133)-$F133*10%,0)))</f>
        <v>0</v>
      </c>
      <c r="X133" s="605">
        <f>IF(X$121="입주/잔금",($F133-SUM($G133:W133))*30%,IF(W$121="입주/잔금",($F133-SUM($G133:V133))*50%,IF(V$121="입주/잔금",($F133-SUM($G133:U133))*20%,IF(X$121=0,0,IF(X$121="2차중도금",$F133*30%-SUM($G133:W133),IF(X$121="3차중도금",$F133*40%-SUM($G133:W133),IF(X$121="4차중도금",$F133*50%-SUM($G133:W133),$F133*10%)))))))+(IF(X$121="5차중도금",$F133*60%-SUM($G133:W133)-$F133*10%,IF(X$121="6차중도금",$F133*70%-SUM($G133:W133)-$F133*10%,0)))</f>
        <v>0</v>
      </c>
      <c r="Y133" s="605">
        <f>IF(Y$121="입주/잔금",($F133-SUM($G133:X133))*30%,IF(X$121="입주/잔금",($F133-SUM($G133:W133))*50%,IF(W$121="입주/잔금",($F133-SUM($G133:V133))*20%,IF(Y$121=0,0,IF(Y$121="2차중도금",$F133*30%-SUM($G133:X133),IF(Y$121="3차중도금",$F133*40%-SUM($G133:X133),IF(Y$121="4차중도금",$F133*50%-SUM($G133:X133),$F133*10%)))))))+(IF(Y$121="5차중도금",$F133*60%-SUM($G133:X133)-$F133*10%,IF(Y$121="6차중도금",$F133*70%-SUM($G133:X133)-$F133*10%,0)))</f>
        <v>106424.84407619841</v>
      </c>
      <c r="Z133" s="605">
        <f>IF(Z$121="입주/잔금",($F133-SUM($G133:Y133))*30%,IF(Y$121="입주/잔금",($F133-SUM($G133:X133))*50%,IF(X$121="입주/잔금",($F133-SUM($G133:W133))*20%,IF(Z$121=0,0,IF(Z$121="2차중도금",$F133*30%-SUM($G133:Y133),IF(Z$121="3차중도금",$F133*40%-SUM($G133:Y133),IF(Z$121="4차중도금",$F133*50%-SUM($G133:Y133),$F133*10%)))))))+(IF(Z$121="5차중도금",$F133*60%-SUM($G133:Y133)-$F133*10%,IF(Z$121="6차중도금",$F133*70%-SUM($G133:Y133)-$F133*10%,0)))</f>
        <v>0</v>
      </c>
      <c r="AA133" s="605">
        <f>IF(AA$121="입주/잔금",($F133-SUM($G133:Z133))*30%,IF(Z$121="입주/잔금",($F133-SUM($G133:Y133))*50%,IF(Y$121="입주/잔금",($F133-SUM($G133:X133))*20%,IF(AA$121=0,0,IF(AA$121="2차중도금",$F133*30%-SUM($G133:Z133),IF(AA$121="3차중도금",$F133*40%-SUM($G133:Z133),IF(AA$121="4차중도금",$F133*50%-SUM($G133:Z133),$F133*10%)))))))+(IF(AA$121="5차중도금",$F133*60%-SUM($G133:Z133)-$F133*10%,IF(AA$121="6차중도금",$F133*70%-SUM($G133:Z133)-$F133*10%,0)))</f>
        <v>0</v>
      </c>
      <c r="AB133" s="605">
        <f>IF(AB$121="입주/잔금",($F133-SUM($G133:AA133))*30%,IF(AA$121="입주/잔금",($F133-SUM($G133:Z133))*50%,IF(Z$121="입주/잔금",($F133-SUM($G133:Y133))*20%,IF(AB$121=0,0,IF(AB$121="2차중도금",$F133*30%-SUM($G133:AA133),IF(AB$121="3차중도금",$F133*40%-SUM($G133:AA133),IF(AB$121="4차중도금",$F133*50%-SUM($G133:AA133),$F133*10%)))))))+(IF(AB$121="5차중도금",$F133*60%-SUM($G133:AA133)-$F133*10%,IF(AB$121="6차중도금",$F133*70%-SUM($G133:AA133)-$F133*10%,0)))</f>
        <v>0</v>
      </c>
      <c r="AC133" s="605">
        <f>IF(AC$121="입주/잔금",($F133-SUM($G133:AB133))*30%,IF(AB$121="입주/잔금",($F133-SUM($G133:AA133))*50%,IF(AA$121="입주/잔금",($F133-SUM($G133:Z133))*20%,IF(AC$121=0,0,IF(AC$121="2차중도금",$F133*30%-SUM($G133:AB133),IF(AC$121="3차중도금",$F133*40%-SUM($G133:AB133),IF(AC$121="4차중도금",$F133*50%-SUM($G133:AB133),$F133*10%)))))))+(IF(AC$121="5차중도금",$F133*60%-SUM($G133:AB133)-$F133*10%,IF(AC$121="6차중도금",$F133*70%-SUM($G133:AB133)-$F133*10%,0)))</f>
        <v>0</v>
      </c>
      <c r="AD133" s="605">
        <f>IF(AD$121="입주/잔금",($F133-SUM($G133:AC133))*30%,IF(AC$121="입주/잔금",($F133-SUM($G133:AB133))*50%,IF(AB$121="입주/잔금",($F133-SUM($G133:AA133))*20%,IF(AD$121=0,0,IF(AD$121="2차중도금",$F133*30%-SUM($G133:AC133),IF(AD$121="3차중도금",$F133*40%-SUM($G133:AC133),IF(AD$121="4차중도금",$F133*50%-SUM($G133:AC133),$F133*10%)))))))+(IF(AD$121="5차중도금",$F133*60%-SUM($G133:AC133)-$F133*10%,IF(AD$121="6차중도금",$F133*70%-SUM($G133:AC133)-$F133*10%,0)))</f>
        <v>0</v>
      </c>
      <c r="AE133" s="605">
        <f>IF(AE$121="입주/잔금",($F133-SUM($G133:AD133))*30%,IF(AD$121="입주/잔금",($F133-SUM($G133:AC133))*50%,IF(AC$121="입주/잔금",($F133-SUM($G133:AB133))*20%,IF(AE$121=0,0,IF(AE$121="2차중도금",$F133*30%-SUM($G133:AD133),IF(AE$121="3차중도금",$F133*40%-SUM($G133:AD133),IF(AE$121="4차중도금",$F133*50%-SUM($G133:AD133),$F133*10%)))))))+(IF(AE$121="5차중도금",$F133*60%-SUM($G133:AD133)-$F133*10%,IF(AE$121="6차중도금",$F133*70%-SUM($G133:AD133)-$F133*10%,0)))</f>
        <v>106424.84407619841</v>
      </c>
      <c r="AF133" s="605">
        <f>IF(AF$121="입주/잔금",($F133-SUM($G133:AE133))*30%,IF(AE$121="입주/잔금",($F133-SUM($G133:AD133))*50%,IF(AD$121="입주/잔금",($F133-SUM($G133:AC133))*20%,IF(AF$121=0,0,IF(AF$121="2차중도금",$F133*30%-SUM($G133:AE133),IF(AF$121="3차중도금",$F133*40%-SUM($G133:AE133),IF(AF$121="4차중도금",$F133*50%-SUM($G133:AE133),$F133*10%)))))))+(IF(AF$121="5차중도금",$F133*60%-SUM($G133:AE133)-$F133*10%,IF(AF$121="6차중도금",$F133*70%-SUM($G133:AE133)-$F133*10%,0)))</f>
        <v>0</v>
      </c>
      <c r="AG133" s="605">
        <f>IF(AG$121="입주/잔금",($F133-SUM($G133:AF133))*30%,IF(AF$121="입주/잔금",($F133-SUM($G133:AE133))*50%,IF(AE$121="입주/잔금",($F133-SUM($G133:AD133))*20%,IF(AG$121=0,0,IF(AG$121="2차중도금",$F133*30%-SUM($G133:AF133),IF(AG$121="3차중도금",$F133*40%-SUM($G133:AF133),IF(AG$121="4차중도금",$F133*50%-SUM($G133:AF133),$F133*10%)))))))+(IF(AG$121="5차중도금",$F133*60%-SUM($G133:AF133)-$F133*10%,IF(AG$121="6차중도금",$F133*70%-SUM($G133:AF133)-$F133*10%,0)))</f>
        <v>0</v>
      </c>
      <c r="AH133" s="605">
        <f>IF(AH$121="입주/잔금",($F133-SUM($G133:AG133))*30%,IF(AG$121="입주/잔금",($F133-SUM($G133:AF133))*50%,IF(AF$121="입주/잔금",($F133-SUM($G133:AE133))*20%,IF(AH$121=0,0,IF(AH$121="2차중도금",$F133*30%-SUM($G133:AG133),IF(AH$121="3차중도금",$F133*40%-SUM($G133:AG133),IF(AH$121="4차중도금",$F133*50%-SUM($G133:AG133),$F133*10%)))))))+(IF(AH$121="5차중도금",$F133*60%-SUM($G133:AG133)-$F133*10%,IF(AH$121="6차중도금",$F133*70%-SUM($G133:AG133)-$F133*10%,0)))</f>
        <v>0</v>
      </c>
      <c r="AI133" s="605">
        <f>IF(AI$121="입주/잔금",($F133-SUM($G133:AH133))*30%,IF(AH$121="입주/잔금",($F133-SUM($G133:AG133))*50%,IF(AG$121="입주/잔금",($F133-SUM($G133:AF133))*20%,IF(AI$121=0,0,IF(AI$121="2차중도금",$F133*30%-SUM($G133:AH133),IF(AI$121="3차중도금",$F133*40%-SUM($G133:AH133),IF(AI$121="4차중도금",$F133*50%-SUM($G133:AH133),$F133*10%)))))))+(IF(AI$121="5차중도금",$F133*60%-SUM($G133:AH133)-$F133*10%,IF(AI$121="6차중도금",$F133*70%-SUM($G133:AH133)-$F133*10%,0)))</f>
        <v>0</v>
      </c>
      <c r="AJ133" s="605">
        <f>IF(AJ$121="입주/잔금",($F133-SUM($G133:AI133))*30%,IF(AI$121="입주/잔금",($F133-SUM($G133:AH133))*50%,IF(AH$121="입주/잔금",($F133-SUM($G133:AG133))*20%,IF(AJ$121=0,0,IF(AJ$121="2차중도금",$F133*30%-SUM($G133:AI133),IF(AJ$121="3차중도금",$F133*40%-SUM($G133:AI133),IF(AJ$121="4차중도금",$F133*50%-SUM($G133:AI133),$F133*10%)))))))+(IF(AJ$121="5차중도금",$F133*60%-SUM($G133:AI133)-$F133*10%,IF(AJ$121="6차중도금",$F133*70%-SUM($G133:AI133)-$F133*10%,0)))</f>
        <v>0</v>
      </c>
      <c r="AK133" s="605">
        <f>IF(AK$121="입주/잔금",($F133-SUM($G133:AJ133))*30%,IF(AJ$121="입주/잔금",($F133-SUM($G133:AI133))*50%,IF(AI$121="입주/잔금",($F133-SUM($G133:AH133))*20%,IF(AK$121=0,0,IF(AK$121="2차중도금",$F133*30%-SUM($G133:AJ133),IF(AK$121="3차중도금",$F133*40%-SUM($G133:AJ133),IF(AK$121="4차중도금",$F133*50%-SUM($G133:AJ133),$F133*10%)))))))+(IF(AK$121="5차중도금",$F133*60%-SUM($G133:AJ133)-$F133*10%,IF(AK$121="6차중도금",$F133*70%-SUM($G133:AJ133)-$F133*10%,0)))</f>
        <v>106424.84407619841</v>
      </c>
      <c r="AL133" s="605">
        <f>IF(AL$121="입주/잔금",($F133-SUM($G133:AK133))*30%,IF(AK$121="입주/잔금",($F133-SUM($G133:AJ133))*50%,IF(AJ$121="입주/잔금",($F133-SUM($G133:AI133))*20%,IF(AL$121=0,0,IF(AL$121="2차중도금",$F133*30%-SUM($G133:AK133),IF(AL$121="3차중도금",$F133*40%-SUM($G133:AK133),IF(AL$121="4차중도금",$F133*50%-SUM($G133:AK133),$F133*10%)))))))+(IF(AL$121="5차중도금",$F133*60%-SUM($G133:AK133)-$F133*10%,IF(AL$121="6차중도금",$F133*70%-SUM($G133:AK133)-$F133*10%,0)))</f>
        <v>0</v>
      </c>
      <c r="AM133" s="605">
        <f>IF(AM$121="입주/잔금",($F133-SUM($G133:AL133))*30%,IF(AL$121="입주/잔금",($F133-SUM($G133:AK133))*50%,IF(AK$121="입주/잔금",($F133-SUM($G133:AJ133))*20%,IF(AM$121=0,0,IF(AM$121="2차중도금",$F133*30%-SUM($G133:AL133),IF(AM$121="3차중도금",$F133*40%-SUM($G133:AL133),IF(AM$121="4차중도금",$F133*50%-SUM($G133:AL133),$F133*10%)))))))+(IF(AM$121="5차중도금",$F133*60%-SUM($G133:AL133)-$F133*10%,IF(AM$121="6차중도금",$F133*70%-SUM($G133:AL133)-$F133*10%,0)))</f>
        <v>0</v>
      </c>
      <c r="AN133" s="605">
        <f>IF(AN$121="입주/잔금",($F133-SUM($G133:AM133))*30%,IF(AM$121="입주/잔금",($F133-SUM($G133:AL133))*50%,IF(AL$121="입주/잔금",($F133-SUM($G133:AK133))*20%,IF(AN$121=0,0,IF(AN$121="2차중도금",$F133*30%-SUM($G133:AM133),IF(AN$121="3차중도금",$F133*40%-SUM($G133:AM133),IF(AN$121="4차중도금",$F133*50%-SUM($G133:AM133),$F133*10%)))))))+(IF(AN$121="5차중도금",$F133*60%-SUM($G133:AM133)-$F133*10%,IF(AN$121="6차중도금",$F133*70%-SUM($G133:AM133)-$F133*10%,0)))</f>
        <v>0</v>
      </c>
      <c r="AO133" s="605">
        <f>IF(AO$121="입주/잔금",($F133-SUM($G133:AN133))*30%,IF(AN$121="입주/잔금",($F133-SUM($G133:AM133))*50%,IF(AM$121="입주/잔금",($F133-SUM($G133:AL133))*20%,IF(AO$121=0,0,IF(AO$121="2차중도금",$F133*30%-SUM($G133:AN133),IF(AO$121="3차중도금",$F133*40%-SUM($G133:AN133),IF(AO$121="4차중도금",$F133*50%-SUM($G133:AN133),$F133*10%)))))))+(IF(AO$121="5차중도금",$F133*60%-SUM($G133:AN133)-$F133*10%,IF(AO$121="6차중도금",$F133*70%-SUM($G133:AN133)-$F133*10%,0)))</f>
        <v>0</v>
      </c>
      <c r="AP133" s="605">
        <f>IF(AP$121="입주/잔금",($F133-SUM($G133:AO133))*30%,IF(AO$121="입주/잔금",($F133-SUM($G133:AN133))*50%,IF(AN$121="입주/잔금",($F133-SUM($G133:AM133))*20%,IF(AP$121=0,0,IF(AP$121="2차중도금",$F133*30%-SUM($G133:AO133),IF(AP$121="3차중도금",$F133*40%-SUM($G133:AO133),IF(AP$121="4차중도금",$F133*50%-SUM($G133:AO133),$F133*10%)))))))+(IF(AP$121="5차중도금",$F133*60%-SUM($G133:AO133)-$F133*10%,IF(AP$121="6차중도금",$F133*70%-SUM($G133:AO133)-$F133*10%,0)))</f>
        <v>0</v>
      </c>
      <c r="AQ133" s="605">
        <f>IF(AQ$121="입주/잔금",($F133-SUM($G133:AP133))*30%,IF(AP$121="입주/잔금",($F133-SUM($G133:AO133))*50%,IF(AO$121="입주/잔금",($F133-SUM($G133:AN133))*20%,IF(AQ$121=0,0,IF(AQ$121="2차중도금",$F133*30%-SUM($G133:AP133),IF(AQ$121="3차중도금",$F133*40%-SUM($G133:AP133),IF(AQ$121="4차중도금",$F133*50%-SUM($G133:AP133),$F133*10%)))))))+(IF(AQ$121="5차중도금",$F133*60%-SUM($G133:AP133)-$F133*10%,IF(AQ$121="6차중도금",$F133*70%-SUM($G133:AP133)-$F133*10%,0)))</f>
        <v>0</v>
      </c>
      <c r="AR133" s="605">
        <f>IF(AR$121="입주/잔금",($F133-SUM($G133:AQ133))*30%,IF(AQ$121="입주/잔금",($F133-SUM($G133:AP133))*50%,IF(AP$121="입주/잔금",($F133-SUM($G133:AO133))*20%,IF(AR$121=0,0,IF(AR$121="2차중도금",$F133*30%-SUM($G133:AQ133),IF(AR$121="3차중도금",$F133*40%-SUM($G133:AQ133),IF(AR$121="4차중도금",$F133*50%-SUM($G133:AQ133),$F133*10%)))))))+(IF(AR$121="5차중도금",$F133*60%-SUM($G133:AQ133)-$F133*10%,IF(AR$121="6차중도금",$F133*70%-SUM($G133:AQ133)-$F133*10%,0)))</f>
        <v>159637.26611429761</v>
      </c>
      <c r="AS133" s="605">
        <f>IF(AS$121="입주/잔금",($F133-SUM($G133:AR133))*30%,IF(AR$121="입주/잔금",($F133-SUM($G133:AQ133))*50%,IF(AQ$121="입주/잔금",($F133-SUM($G133:AP133))*20%,IF(AS$121=0,0,IF(AS$121="2차중도금",$F133*30%-SUM($G133:AR133),IF(AS$121="3차중도금",$F133*40%-SUM($G133:AR133),IF(AS$121="4차중도금",$F133*50%-SUM($G133:AR133),$F133*10%)))))))+(IF(AS$121="5차중도금",$F133*60%-SUM($G133:AR133)-$F133*10%,IF(AS$121="6차중도금",$F133*70%-SUM($G133:AR133)-$F133*10%,0)))</f>
        <v>266062.11019049602</v>
      </c>
      <c r="AT133" s="605">
        <f>IF(AT$121="입주/잔금",($F133-SUM($G133:AS133))*30%,IF(AS$121="입주/잔금",($F133-SUM($G133:AR133))*50%,IF(AR$121="입주/잔금",($F133-SUM($G133:AQ133))*20%,IF(AT$121=0,0,IF(AT$121="2차중도금",$F133*30%-SUM($G133:AS133),IF(AT$121="3차중도금",$F133*40%-SUM($G133:AS133),IF(AT$121="4차중도금",$F133*50%-SUM($G133:AS133),$F133*10%)))))))+(IF(AT$121="5차중도금",$F133*60%-SUM($G133:AS133)-$F133*10%,IF(AT$121="6차중도금",$F133*70%-SUM($G133:AS133)-$F133*10%,0)))</f>
        <v>106424.84407619841</v>
      </c>
      <c r="AU133" s="605">
        <f>IF(AU$121="입주/잔금",($F133-SUM($G133:AT133))*30%,IF(AT$121="입주/잔금",($F133-SUM($G133:AS133))*50%,IF(AS$121="입주/잔금",($F133-SUM($G133:AR133))*20%,IF(AU$121=0,0,IF(AU$121="2차중도금",$F133*30%-SUM($G133:AT133),IF(AU$121="3차중도금",$F133*40%-SUM($G133:AT133),IF(AU$121="4차중도금",$F133*50%-SUM($G133:AT133),$F133*10%)))))))+(IF(AU$121="5차중도금",$F133*60%-SUM($G133:AT133)-$F133*10%,IF(AU$121="6차중도금",$F133*70%-SUM($G133:AT133)-$F133*10%,0)))</f>
        <v>0</v>
      </c>
      <c r="AV133" s="605">
        <f>IF(AV$121="입주/잔금",($F133-SUM($G133:AU133))*30%,IF(AU$121="입주/잔금",($F133-SUM($G133:AT133))*50%,IF(AT$121="입주/잔금",($F133-SUM($G133:AS133))*20%,IF(AV$121=0,0,IF(AV$121="2차중도금",$F133*30%-SUM($G133:AU133),IF(AV$121="3차중도금",$F133*40%-SUM($G133:AU133),IF(AV$121="4차중도금",$F133*50%-SUM($G133:AU133),$F133*10%)))))))+(IF(AV$121="5차중도금",$F133*60%-SUM($G133:AU133)-$F133*10%,IF(AV$121="6차중도금",$F133*70%-SUM($G133:AU133)-$F133*10%,0)))</f>
        <v>0</v>
      </c>
      <c r="AW133" s="605">
        <f>IF(AW$121="입주/잔금",($F133-SUM($G133:AV133))*30%,IF(AV$121="입주/잔금",($F133-SUM($G133:AU133))*50%,IF(AU$121="입주/잔금",($F133-SUM($G133:AT133))*20%,IF(AW$121=0,0,IF(AW$121="2차중도금",$F133*30%-SUM($G133:AV133),IF(AW$121="3차중도금",$F133*40%-SUM($G133:AV133),IF(AW$121="4차중도금",$F133*50%-SUM($G133:AV133),$F133*10%)))))))+(IF(AW$121="5차중도금",$F133*60%-SUM($G133:AV133)-$F133*10%,IF(AW$121="6차중도금",$F133*70%-SUM($G133:AV133)-$F133*10%,0)))</f>
        <v>0</v>
      </c>
      <c r="AX133" s="605">
        <f>IF(AX$121="입주/잔금",($F133-SUM($G133:AW133))*30%,IF(AW$121="입주/잔금",($F133-SUM($G133:AV133))*50%,IF(AV$121="입주/잔금",($F133-SUM($G133:AU133))*20%,IF(AX$121=0,0,IF(AX$121="2차중도금",$F133*30%-SUM($G133:AW133),IF(AX$121="3차중도금",$F133*40%-SUM($G133:AW133),IF(AX$121="4차중도금",$F133*50%-SUM($G133:AW133),$F133*10%)))))))+(IF(AX$121="5차중도금",$F133*60%-SUM($G133:AW133)-$F133*10%,IF(AX$121="6차중도금",$F133*70%-SUM($G133:AW133)-$F133*10%,0)))</f>
        <v>0</v>
      </c>
      <c r="AY133" s="605">
        <f>IF(AY$121="입주/잔금",($F133-SUM($G133:AX133))*30%,IF(AX$121="입주/잔금",($F133-SUM($G133:AW133))*50%,IF(AW$121="입주/잔금",($F133-SUM($G133:AV133))*20%,IF(AY$121=0,0,IF(AY$121="2차중도금",$F133*30%-SUM($G133:AX133),IF(AY$121="3차중도금",$F133*40%-SUM($G133:AX133),IF(AY$121="4차중도금",$F133*50%-SUM($G133:AX133),$F133*10%)))))))+(IF(AY$121="5차중도금",$F133*60%-SUM($G133:AX133)-$F133*10%,IF(AY$121="6차중도금",$F133*70%-SUM($G133:AX133)-$F133*10%,0)))</f>
        <v>0</v>
      </c>
      <c r="AZ133" s="605">
        <f>IF(AZ$121="입주/잔금",($F133-SUM($G133:AY133))*30%,IF(AY$121="입주/잔금",($F133-SUM($G133:AX133))*50%,IF(AX$121="입주/잔금",($F133-SUM($G133:AW133))*20%,IF(AZ$121=0,0,IF(AZ$121="2차중도금",$F133*30%-SUM($G133:AY133),IF(AZ$121="3차중도금",$F133*40%-SUM($G133:AY133),IF(AZ$121="4차중도금",$F133*50%-SUM($G133:AY133),$F133*10%)))))))+(IF(AZ$121="5차중도금",$F133*60%-SUM($G133:AY133)-$F133*10%,IF(AZ$121="6차중도금",$F133*70%-SUM($G133:AY133)-$F133*10%,0)))</f>
        <v>0</v>
      </c>
      <c r="BA133" s="605">
        <f>IF(BA$121="입주/잔금",($F133-SUM($G133:AZ133))*30%,IF(AZ$121="입주/잔금",($F133-SUM($G133:AY133))*50%,IF(AY$121="입주/잔금",($F133-SUM($G133:AX133))*20%,IF(BA$121=0,0,IF(BA$121="2차중도금",$F133*30%-SUM($G133:AZ133),IF(BA$121="3차중도금",$F133*40%-SUM($G133:AZ133),IF(BA$121="4차중도금",$F133*50%-SUM($G133:AZ133),$F133*10%)))))))+(IF(BA$121="5차중도금",$F133*60%-SUM($G133:AZ133)-$F133*10%,IF(BA$121="6차중도금",$F133*70%-SUM($G133:AZ133)-$F133*10%,0)))</f>
        <v>0</v>
      </c>
      <c r="BB133" s="605">
        <f>IF(BB$121="입주/잔금",($F133-SUM($G133:BA133))*30%,IF(BA$121="입주/잔금",($F133-SUM($G133:AZ133))*50%,IF(AZ$121="입주/잔금",($F133-SUM($G133:AY133))*20%,IF(BB$121=0,0,IF(BB$121="2차중도금",$F133*30%-SUM($G133:BA133),IF(BB$121="3차중도금",$F133*40%-SUM($G133:BA133),IF(BB$121="4차중도금",$F133*50%-SUM($G133:BA133),$F133*10%)))))))+(IF(BB$121="5차중도금",$F133*60%-SUM($G133:BA133)-$F133*10%,IF(BB$121="6차중도금",$F133*70%-SUM($G133:BA133)-$F133*10%,0)))</f>
        <v>0</v>
      </c>
      <c r="BC133" s="605">
        <f>IF(BC$121="입주/잔금",($F133-SUM($G133:BB133))*30%,IF(BB$121="입주/잔금",($F133-SUM($G133:BA133))*50%,IF(BA$121="입주/잔금",($F133-SUM($G133:AZ133))*20%,IF(BC$121=0,0,IF(BC$121="2차중도금",$F133*30%-SUM($G133:BB133),IF(BC$121="3차중도금",$F133*40%-SUM($G133:BB133),IF(BC$121="4차중도금",$F133*50%-SUM($G133:BB133),$F133*10%)))))))+(IF(BC$121="5차중도금",$F133*60%-SUM($G133:BB133)-$F133*10%,IF(BC$121="6차중도금",$F133*70%-SUM($G133:BB133)-$F133*10%,0)))</f>
        <v>0</v>
      </c>
      <c r="BD133" s="605">
        <f>IF(BD$121="입주/잔금",($F133-SUM($G133:BC133))*30%,IF(BC$121="입주/잔금",($F133-SUM($G133:BB133))*50%,IF(BB$121="입주/잔금",($F133-SUM($G133:BA133))*20%,IF(BD$121=0,0,IF(BD$121="2차중도금",$F133*30%-SUM($G133:BC133),IF(BD$121="3차중도금",$F133*40%-SUM($G133:BC133),IF(BD$121="4차중도금",$F133*50%-SUM($G133:BC133),$F133*10%)))))))+(IF(BD$121="5차중도금",$F133*60%-SUM($G133:BC133)-$F133*10%,IF(BD$121="6차중도금",$F133*70%-SUM($G133:BC133)-$F133*10%,0)))</f>
        <v>0</v>
      </c>
      <c r="BE133" s="605">
        <f>IF(BE$121="입주/잔금",($F133-SUM($G133:BD133))*30%,IF(BD$121="입주/잔금",($F133-SUM($G133:BC133))*50%,IF(BC$121="입주/잔금",($F133-SUM($G133:BB133))*20%,IF(BE$121=0,0,IF(BE$121="2차중도금",$F133*30%-SUM($G133:BD133),IF(BE$121="3차중도금",$F133*40%-SUM($G133:BD133),IF(BE$121="4차중도금",$F133*50%-SUM($G133:BD133),$F133*10%)))))))+(IF(BE$121="5차중도금",$F133*60%-SUM($G133:BD133)-$F133*10%,IF(BE$121="6차중도금",$F133*70%-SUM($G133:BD133)-$F133*10%,0)))</f>
        <v>0</v>
      </c>
      <c r="BF133" s="609">
        <f t="shared" si="43"/>
        <v>1064248.4407619843</v>
      </c>
      <c r="BG133" s="556">
        <f t="shared" si="45"/>
        <v>0</v>
      </c>
      <c r="BH133" s="610"/>
    </row>
    <row r="134" spans="1:60">
      <c r="A134" s="1867"/>
      <c r="B134" s="613">
        <f t="shared" si="46"/>
        <v>45200</v>
      </c>
      <c r="C134" s="605">
        <f t="shared" si="47"/>
        <v>21284968.815239683</v>
      </c>
      <c r="D134" s="1501">
        <f t="shared" si="47"/>
        <v>0.05</v>
      </c>
      <c r="E134" s="607">
        <f t="shared" si="48"/>
        <v>0.49999999999999994</v>
      </c>
      <c r="F134" s="608">
        <f t="shared" si="44"/>
        <v>1064248.4407619841</v>
      </c>
      <c r="G134" s="605"/>
      <c r="H134" s="605"/>
      <c r="I134" s="605"/>
      <c r="J134" s="605"/>
      <c r="K134" s="605"/>
      <c r="L134" s="605"/>
      <c r="M134" s="605"/>
      <c r="N134" s="605"/>
      <c r="O134" s="605"/>
      <c r="P134" s="605"/>
      <c r="Q134" s="605"/>
      <c r="R134" s="605"/>
      <c r="S134" s="605">
        <f>$F134*10%</f>
        <v>106424.84407619841</v>
      </c>
      <c r="T134" s="605">
        <f>IF(T$121="입주/잔금",($F134-SUM($G134:S134))*30%,IF(S$121="입주/잔금",($F134-SUM($G134:R134))*50%,IF(R$121="입주/잔금",($F134-SUM($G134:Q134))*20%,IF(T$121=0,0,IF(T$121="2차중도금",$F134*30%-SUM($G134:S134),IF(T$121="3차중도금",$F134*40%-SUM($G134:S134),IF(T$121="4차중도금",$F134*50%-SUM($G134:S134),$F134*10%)))))))+(IF(T$121="5차중도금",$F134*60%-SUM($G134:S134)-$F134*10%,IF(T$121="6차중도금",$F134*70%-SUM($G134:S134)-$F134*10%,0)))</f>
        <v>0</v>
      </c>
      <c r="U134" s="605">
        <f>IF(U$121="입주/잔금",($F134-SUM($G134:T134))*30%,IF(T$121="입주/잔금",($F134-SUM($G134:S134))*50%,IF(S$121="입주/잔금",($F134-SUM($G134:R134))*20%,IF(U$121=0,0,IF(U$121="2차중도금",$F134*30%-SUM($G134:T134),IF(U$121="3차중도금",$F134*40%-SUM($G134:T134),IF(U$121="4차중도금",$F134*50%-SUM($G134:T134),$F134*10%)))))))+(IF(U$121="5차중도금",$F134*60%-SUM($G134:T134)-$F134*10%,IF(U$121="6차중도금",$F134*70%-SUM($G134:T134)-$F134*10%,0)))</f>
        <v>0</v>
      </c>
      <c r="V134" s="605">
        <f>IF(V$121="입주/잔금",($F134-SUM($G134:U134))*30%,IF(U$121="입주/잔금",($F134-SUM($G134:T134))*50%,IF(T$121="입주/잔금",($F134-SUM($G134:S134))*20%,IF(V$121=0,0,IF(V$121="2차중도금",$F134*30%-SUM($G134:U134),IF(V$121="3차중도금",$F134*40%-SUM($G134:U134),IF(V$121="4차중도금",$F134*50%-SUM($G134:U134),$F134*10%)))))))+(IF(V$121="5차중도금",$F134*60%-SUM($G134:U134)-$F134*10%,IF(V$121="6차중도금",$F134*70%-SUM($G134:U134)-$F134*10%,0)))</f>
        <v>0</v>
      </c>
      <c r="W134" s="605">
        <f>IF(W$121="입주/잔금",($F134-SUM($G134:V134))*30%,IF(V$121="입주/잔금",($F134-SUM($G134:U134))*50%,IF(U$121="입주/잔금",($F134-SUM($G134:T134))*20%,IF(W$121=0,0,IF(W$121="2차중도금",$F134*30%-SUM($G134:V134),IF(W$121="3차중도금",$F134*40%-SUM($G134:V134),IF(W$121="4차중도금",$F134*50%-SUM($G134:V134),$F134*10%)))))))+(IF(W$121="5차중도금",$F134*60%-SUM($G134:V134)-$F134*10%,IF(W$121="6차중도금",$F134*70%-SUM($G134:V134)-$F134*10%,0)))</f>
        <v>0</v>
      </c>
      <c r="X134" s="605">
        <f>IF(X$121="입주/잔금",($F134-SUM($G134:W134))*30%,IF(W$121="입주/잔금",($F134-SUM($G134:V134))*50%,IF(V$121="입주/잔금",($F134-SUM($G134:U134))*20%,IF(X$121=0,0,IF(X$121="2차중도금",$F134*30%-SUM($G134:W134),IF(X$121="3차중도금",$F134*40%-SUM($G134:W134),IF(X$121="4차중도금",$F134*50%-SUM($G134:W134),$F134*10%)))))))+(IF(X$121="5차중도금",$F134*60%-SUM($G134:W134)-$F134*10%,IF(X$121="6차중도금",$F134*70%-SUM($G134:W134)-$F134*10%,0)))</f>
        <v>0</v>
      </c>
      <c r="Y134" s="605">
        <f>IF(Y$121="입주/잔금",($F134-SUM($G134:X134))*30%,IF(X$121="입주/잔금",($F134-SUM($G134:W134))*50%,IF(W$121="입주/잔금",($F134-SUM($G134:V134))*20%,IF(Y$121=0,0,IF(Y$121="2차중도금",$F134*30%-SUM($G134:X134),IF(Y$121="3차중도금",$F134*40%-SUM($G134:X134),IF(Y$121="4차중도금",$F134*50%-SUM($G134:X134),$F134*10%)))))))+(IF(Y$121="5차중도금",$F134*60%-SUM($G134:X134)-$F134*10%,IF(Y$121="6차중도금",$F134*70%-SUM($G134:X134)-$F134*10%,0)))</f>
        <v>212849.68815239682</v>
      </c>
      <c r="Z134" s="605">
        <f>IF(Z$121="입주/잔금",($F134-SUM($G134:Y134))*30%,IF(Y$121="입주/잔금",($F134-SUM($G134:X134))*50%,IF(X$121="입주/잔금",($F134-SUM($G134:W134))*20%,IF(Z$121=0,0,IF(Z$121="2차중도금",$F134*30%-SUM($G134:Y134),IF(Z$121="3차중도금",$F134*40%-SUM($G134:Y134),IF(Z$121="4차중도금",$F134*50%-SUM($G134:Y134),$F134*10%)))))))+(IF(Z$121="5차중도금",$F134*60%-SUM($G134:Y134)-$F134*10%,IF(Z$121="6차중도금",$F134*70%-SUM($G134:Y134)-$F134*10%,0)))</f>
        <v>0</v>
      </c>
      <c r="AA134" s="605">
        <f>IF(AA$121="입주/잔금",($F134-SUM($G134:Z134))*30%,IF(Z$121="입주/잔금",($F134-SUM($G134:Y134))*50%,IF(Y$121="입주/잔금",($F134-SUM($G134:X134))*20%,IF(AA$121=0,0,IF(AA$121="2차중도금",$F134*30%-SUM($G134:Z134),IF(AA$121="3차중도금",$F134*40%-SUM($G134:Z134),IF(AA$121="4차중도금",$F134*50%-SUM($G134:Z134),$F134*10%)))))))+(IF(AA$121="5차중도금",$F134*60%-SUM($G134:Z134)-$F134*10%,IF(AA$121="6차중도금",$F134*70%-SUM($G134:Z134)-$F134*10%,0)))</f>
        <v>0</v>
      </c>
      <c r="AB134" s="605">
        <f>IF(AB$121="입주/잔금",($F134-SUM($G134:AA134))*30%,IF(AA$121="입주/잔금",($F134-SUM($G134:Z134))*50%,IF(Z$121="입주/잔금",($F134-SUM($G134:Y134))*20%,IF(AB$121=0,0,IF(AB$121="2차중도금",$F134*30%-SUM($G134:AA134),IF(AB$121="3차중도금",$F134*40%-SUM($G134:AA134),IF(AB$121="4차중도금",$F134*50%-SUM($G134:AA134),$F134*10%)))))))+(IF(AB$121="5차중도금",$F134*60%-SUM($G134:AA134)-$F134*10%,IF(AB$121="6차중도금",$F134*70%-SUM($G134:AA134)-$F134*10%,0)))</f>
        <v>0</v>
      </c>
      <c r="AC134" s="605">
        <f>IF(AC$121="입주/잔금",($F134-SUM($G134:AB134))*30%,IF(AB$121="입주/잔금",($F134-SUM($G134:AA134))*50%,IF(AA$121="입주/잔금",($F134-SUM($G134:Z134))*20%,IF(AC$121=0,0,IF(AC$121="2차중도금",$F134*30%-SUM($G134:AB134),IF(AC$121="3차중도금",$F134*40%-SUM($G134:AB134),IF(AC$121="4차중도금",$F134*50%-SUM($G134:AB134),$F134*10%)))))))+(IF(AC$121="5차중도금",$F134*60%-SUM($G134:AB134)-$F134*10%,IF(AC$121="6차중도금",$F134*70%-SUM($G134:AB134)-$F134*10%,0)))</f>
        <v>0</v>
      </c>
      <c r="AD134" s="605">
        <f>IF(AD$121="입주/잔금",($F134-SUM($G134:AC134))*30%,IF(AC$121="입주/잔금",($F134-SUM($G134:AB134))*50%,IF(AB$121="입주/잔금",($F134-SUM($G134:AA134))*20%,IF(AD$121=0,0,IF(AD$121="2차중도금",$F134*30%-SUM($G134:AC134),IF(AD$121="3차중도금",$F134*40%-SUM($G134:AC134),IF(AD$121="4차중도금",$F134*50%-SUM($G134:AC134),$F134*10%)))))))+(IF(AD$121="5차중도금",$F134*60%-SUM($G134:AC134)-$F134*10%,IF(AD$121="6차중도금",$F134*70%-SUM($G134:AC134)-$F134*10%,0)))</f>
        <v>0</v>
      </c>
      <c r="AE134" s="605">
        <f>IF(AE$121="입주/잔금",($F134-SUM($G134:AD134))*30%,IF(AD$121="입주/잔금",($F134-SUM($G134:AC134))*50%,IF(AC$121="입주/잔금",($F134-SUM($G134:AB134))*20%,IF(AE$121=0,0,IF(AE$121="2차중도금",$F134*30%-SUM($G134:AD134),IF(AE$121="3차중도금",$F134*40%-SUM($G134:AD134),IF(AE$121="4차중도금",$F134*50%-SUM($G134:AD134),$F134*10%)))))))+(IF(AE$121="5차중도금",$F134*60%-SUM($G134:AD134)-$F134*10%,IF(AE$121="6차중도금",$F134*70%-SUM($G134:AD134)-$F134*10%,0)))</f>
        <v>106424.84407619841</v>
      </c>
      <c r="AF134" s="605">
        <f>IF(AF$121="입주/잔금",($F134-SUM($G134:AE134))*30%,IF(AE$121="입주/잔금",($F134-SUM($G134:AD134))*50%,IF(AD$121="입주/잔금",($F134-SUM($G134:AC134))*20%,IF(AF$121=0,0,IF(AF$121="2차중도금",$F134*30%-SUM($G134:AE134),IF(AF$121="3차중도금",$F134*40%-SUM($G134:AE134),IF(AF$121="4차중도금",$F134*50%-SUM($G134:AE134),$F134*10%)))))))+(IF(AF$121="5차중도금",$F134*60%-SUM($G134:AE134)-$F134*10%,IF(AF$121="6차중도금",$F134*70%-SUM($G134:AE134)-$F134*10%,0)))</f>
        <v>0</v>
      </c>
      <c r="AG134" s="605">
        <f>IF(AG$121="입주/잔금",($F134-SUM($G134:AF134))*30%,IF(AF$121="입주/잔금",($F134-SUM($G134:AE134))*50%,IF(AE$121="입주/잔금",($F134-SUM($G134:AD134))*20%,IF(AG$121=0,0,IF(AG$121="2차중도금",$F134*30%-SUM($G134:AF134),IF(AG$121="3차중도금",$F134*40%-SUM($G134:AF134),IF(AG$121="4차중도금",$F134*50%-SUM($G134:AF134),$F134*10%)))))))+(IF(AG$121="5차중도금",$F134*60%-SUM($G134:AF134)-$F134*10%,IF(AG$121="6차중도금",$F134*70%-SUM($G134:AF134)-$F134*10%,0)))</f>
        <v>0</v>
      </c>
      <c r="AH134" s="605">
        <f>IF(AH$121="입주/잔금",($F134-SUM($G134:AG134))*30%,IF(AG$121="입주/잔금",($F134-SUM($G134:AF134))*50%,IF(AF$121="입주/잔금",($F134-SUM($G134:AE134))*20%,IF(AH$121=0,0,IF(AH$121="2차중도금",$F134*30%-SUM($G134:AG134),IF(AH$121="3차중도금",$F134*40%-SUM($G134:AG134),IF(AH$121="4차중도금",$F134*50%-SUM($G134:AG134),$F134*10%)))))))+(IF(AH$121="5차중도금",$F134*60%-SUM($G134:AG134)-$F134*10%,IF(AH$121="6차중도금",$F134*70%-SUM($G134:AG134)-$F134*10%,0)))</f>
        <v>0</v>
      </c>
      <c r="AI134" s="605">
        <f>IF(AI$121="입주/잔금",($F134-SUM($G134:AH134))*30%,IF(AH$121="입주/잔금",($F134-SUM($G134:AG134))*50%,IF(AG$121="입주/잔금",($F134-SUM($G134:AF134))*20%,IF(AI$121=0,0,IF(AI$121="2차중도금",$F134*30%-SUM($G134:AH134),IF(AI$121="3차중도금",$F134*40%-SUM($G134:AH134),IF(AI$121="4차중도금",$F134*50%-SUM($G134:AH134),$F134*10%)))))))+(IF(AI$121="5차중도금",$F134*60%-SUM($G134:AH134)-$F134*10%,IF(AI$121="6차중도금",$F134*70%-SUM($G134:AH134)-$F134*10%,0)))</f>
        <v>0</v>
      </c>
      <c r="AJ134" s="605">
        <f>IF(AJ$121="입주/잔금",($F134-SUM($G134:AI134))*30%,IF(AI$121="입주/잔금",($F134-SUM($G134:AH134))*50%,IF(AH$121="입주/잔금",($F134-SUM($G134:AG134))*20%,IF(AJ$121=0,0,IF(AJ$121="2차중도금",$F134*30%-SUM($G134:AI134),IF(AJ$121="3차중도금",$F134*40%-SUM($G134:AI134),IF(AJ$121="4차중도금",$F134*50%-SUM($G134:AI134),$F134*10%)))))))+(IF(AJ$121="5차중도금",$F134*60%-SUM($G134:AI134)-$F134*10%,IF(AJ$121="6차중도금",$F134*70%-SUM($G134:AI134)-$F134*10%,0)))</f>
        <v>0</v>
      </c>
      <c r="AK134" s="605">
        <f>IF(AK$121="입주/잔금",($F134-SUM($G134:AJ134))*30%,IF(AJ$121="입주/잔금",($F134-SUM($G134:AI134))*50%,IF(AI$121="입주/잔금",($F134-SUM($G134:AH134))*20%,IF(AK$121=0,0,IF(AK$121="2차중도금",$F134*30%-SUM($G134:AJ134),IF(AK$121="3차중도금",$F134*40%-SUM($G134:AJ134),IF(AK$121="4차중도금",$F134*50%-SUM($G134:AJ134),$F134*10%)))))))+(IF(AK$121="5차중도금",$F134*60%-SUM($G134:AJ134)-$F134*10%,IF(AK$121="6차중도금",$F134*70%-SUM($G134:AJ134)-$F134*10%,0)))</f>
        <v>106424.84407619841</v>
      </c>
      <c r="AL134" s="605">
        <f>IF(AL$121="입주/잔금",($F134-SUM($G134:AK134))*30%,IF(AK$121="입주/잔금",($F134-SUM($G134:AJ134))*50%,IF(AJ$121="입주/잔금",($F134-SUM($G134:AI134))*20%,IF(AL$121=0,0,IF(AL$121="2차중도금",$F134*30%-SUM($G134:AK134),IF(AL$121="3차중도금",$F134*40%-SUM($G134:AK134),IF(AL$121="4차중도금",$F134*50%-SUM($G134:AK134),$F134*10%)))))))+(IF(AL$121="5차중도금",$F134*60%-SUM($G134:AK134)-$F134*10%,IF(AL$121="6차중도금",$F134*70%-SUM($G134:AK134)-$F134*10%,0)))</f>
        <v>0</v>
      </c>
      <c r="AM134" s="605">
        <f>IF(AM$121="입주/잔금",($F134-SUM($G134:AL134))*30%,IF(AL$121="입주/잔금",($F134-SUM($G134:AK134))*50%,IF(AK$121="입주/잔금",($F134-SUM($G134:AJ134))*20%,IF(AM$121=0,0,IF(AM$121="2차중도금",$F134*30%-SUM($G134:AL134),IF(AM$121="3차중도금",$F134*40%-SUM($G134:AL134),IF(AM$121="4차중도금",$F134*50%-SUM($G134:AL134),$F134*10%)))))))+(IF(AM$121="5차중도금",$F134*60%-SUM($G134:AL134)-$F134*10%,IF(AM$121="6차중도금",$F134*70%-SUM($G134:AL134)-$F134*10%,0)))</f>
        <v>0</v>
      </c>
      <c r="AN134" s="605">
        <f>IF(AN$121="입주/잔금",($F134-SUM($G134:AM134))*30%,IF(AM$121="입주/잔금",($F134-SUM($G134:AL134))*50%,IF(AL$121="입주/잔금",($F134-SUM($G134:AK134))*20%,IF(AN$121=0,0,IF(AN$121="2차중도금",$F134*30%-SUM($G134:AM134),IF(AN$121="3차중도금",$F134*40%-SUM($G134:AM134),IF(AN$121="4차중도금",$F134*50%-SUM($G134:AM134),$F134*10%)))))))+(IF(AN$121="5차중도금",$F134*60%-SUM($G134:AM134)-$F134*10%,IF(AN$121="6차중도금",$F134*70%-SUM($G134:AM134)-$F134*10%,0)))</f>
        <v>0</v>
      </c>
      <c r="AO134" s="605">
        <f>IF(AO$121="입주/잔금",($F134-SUM($G134:AN134))*30%,IF(AN$121="입주/잔금",($F134-SUM($G134:AM134))*50%,IF(AM$121="입주/잔금",($F134-SUM($G134:AL134))*20%,IF(AO$121=0,0,IF(AO$121="2차중도금",$F134*30%-SUM($G134:AN134),IF(AO$121="3차중도금",$F134*40%-SUM($G134:AN134),IF(AO$121="4차중도금",$F134*50%-SUM($G134:AN134),$F134*10%)))))))+(IF(AO$121="5차중도금",$F134*60%-SUM($G134:AN134)-$F134*10%,IF(AO$121="6차중도금",$F134*70%-SUM($G134:AN134)-$F134*10%,0)))</f>
        <v>0</v>
      </c>
      <c r="AP134" s="605">
        <f>IF(AP$121="입주/잔금",($F134-SUM($G134:AO134))*30%,IF(AO$121="입주/잔금",($F134-SUM($G134:AN134))*50%,IF(AN$121="입주/잔금",($F134-SUM($G134:AM134))*20%,IF(AP$121=0,0,IF(AP$121="2차중도금",$F134*30%-SUM($G134:AO134),IF(AP$121="3차중도금",$F134*40%-SUM($G134:AO134),IF(AP$121="4차중도금",$F134*50%-SUM($G134:AO134),$F134*10%)))))))+(IF(AP$121="5차중도금",$F134*60%-SUM($G134:AO134)-$F134*10%,IF(AP$121="6차중도금",$F134*70%-SUM($G134:AO134)-$F134*10%,0)))</f>
        <v>0</v>
      </c>
      <c r="AQ134" s="605">
        <f>IF(AQ$121="입주/잔금",($F134-SUM($G134:AP134))*30%,IF(AP$121="입주/잔금",($F134-SUM($G134:AO134))*50%,IF(AO$121="입주/잔금",($F134-SUM($G134:AN134))*20%,IF(AQ$121=0,0,IF(AQ$121="2차중도금",$F134*30%-SUM($G134:AP134),IF(AQ$121="3차중도금",$F134*40%-SUM($G134:AP134),IF(AQ$121="4차중도금",$F134*50%-SUM($G134:AP134),$F134*10%)))))))+(IF(AQ$121="5차중도금",$F134*60%-SUM($G134:AP134)-$F134*10%,IF(AQ$121="6차중도금",$F134*70%-SUM($G134:AP134)-$F134*10%,0)))</f>
        <v>0</v>
      </c>
      <c r="AR134" s="605">
        <f>IF(AR$121="입주/잔금",($F134-SUM($G134:AQ134))*30%,IF(AQ$121="입주/잔금",($F134-SUM($G134:AP134))*50%,IF(AP$121="입주/잔금",($F134-SUM($G134:AO134))*20%,IF(AR$121=0,0,IF(AR$121="2차중도금",$F134*30%-SUM($G134:AQ134),IF(AR$121="3차중도금",$F134*40%-SUM($G134:AQ134),IF(AR$121="4차중도금",$F134*50%-SUM($G134:AQ134),$F134*10%)))))))+(IF(AR$121="5차중도금",$F134*60%-SUM($G134:AQ134)-$F134*10%,IF(AR$121="6차중도금",$F134*70%-SUM($G134:AQ134)-$F134*10%,0)))</f>
        <v>159637.26611429761</v>
      </c>
      <c r="AS134" s="605">
        <f>IF(AS$121="입주/잔금",($F134-SUM($G134:AR134))*30%,IF(AR$121="입주/잔금",($F134-SUM($G134:AQ134))*50%,IF(AQ$121="입주/잔금",($F134-SUM($G134:AP134))*20%,IF(AS$121=0,0,IF(AS$121="2차중도금",$F134*30%-SUM($G134:AR134),IF(AS$121="3차중도금",$F134*40%-SUM($G134:AR134),IF(AS$121="4차중도금",$F134*50%-SUM($G134:AR134),$F134*10%)))))))+(IF(AS$121="5차중도금",$F134*60%-SUM($G134:AR134)-$F134*10%,IF(AS$121="6차중도금",$F134*70%-SUM($G134:AR134)-$F134*10%,0)))</f>
        <v>266062.11019049602</v>
      </c>
      <c r="AT134" s="605">
        <f>IF(AT$121="입주/잔금",($F134-SUM($G134:AS134))*30%,IF(AS$121="입주/잔금",($F134-SUM($G134:AR134))*50%,IF(AR$121="입주/잔금",($F134-SUM($G134:AQ134))*20%,IF(AT$121=0,0,IF(AT$121="2차중도금",$F134*30%-SUM($G134:AS134),IF(AT$121="3차중도금",$F134*40%-SUM($G134:AS134),IF(AT$121="4차중도금",$F134*50%-SUM($G134:AS134),$F134*10%)))))))+(IF(AT$121="5차중도금",$F134*60%-SUM($G134:AS134)-$F134*10%,IF(AT$121="6차중도금",$F134*70%-SUM($G134:AS134)-$F134*10%,0)))</f>
        <v>106424.84407619841</v>
      </c>
      <c r="AU134" s="605">
        <f>IF(AU$121="입주/잔금",($F134-SUM($G134:AT134))*30%,IF(AT$121="입주/잔금",($F134-SUM($G134:AS134))*50%,IF(AS$121="입주/잔금",($F134-SUM($G134:AR134))*20%,IF(AU$121=0,0,IF(AU$121="2차중도금",$F134*30%-SUM($G134:AT134),IF(AU$121="3차중도금",$F134*40%-SUM($G134:AT134),IF(AU$121="4차중도금",$F134*50%-SUM($G134:AT134),$F134*10%)))))))+(IF(AU$121="5차중도금",$F134*60%-SUM($G134:AT134)-$F134*10%,IF(AU$121="6차중도금",$F134*70%-SUM($G134:AT134)-$F134*10%,0)))</f>
        <v>0</v>
      </c>
      <c r="AV134" s="605">
        <f>IF(AV$121="입주/잔금",($F134-SUM($G134:AU134))*30%,IF(AU$121="입주/잔금",($F134-SUM($G134:AT134))*50%,IF(AT$121="입주/잔금",($F134-SUM($G134:AS134))*20%,IF(AV$121=0,0,IF(AV$121="2차중도금",$F134*30%-SUM($G134:AU134),IF(AV$121="3차중도금",$F134*40%-SUM($G134:AU134),IF(AV$121="4차중도금",$F134*50%-SUM($G134:AU134),$F134*10%)))))))+(IF(AV$121="5차중도금",$F134*60%-SUM($G134:AU134)-$F134*10%,IF(AV$121="6차중도금",$F134*70%-SUM($G134:AU134)-$F134*10%,0)))</f>
        <v>0</v>
      </c>
      <c r="AW134" s="605">
        <f>IF(AW$121="입주/잔금",($F134-SUM($G134:AV134))*30%,IF(AV$121="입주/잔금",($F134-SUM($G134:AU134))*50%,IF(AU$121="입주/잔금",($F134-SUM($G134:AT134))*20%,IF(AW$121=0,0,IF(AW$121="2차중도금",$F134*30%-SUM($G134:AV134),IF(AW$121="3차중도금",$F134*40%-SUM($G134:AV134),IF(AW$121="4차중도금",$F134*50%-SUM($G134:AV134),$F134*10%)))))))+(IF(AW$121="5차중도금",$F134*60%-SUM($G134:AV134)-$F134*10%,IF(AW$121="6차중도금",$F134*70%-SUM($G134:AV134)-$F134*10%,0)))</f>
        <v>0</v>
      </c>
      <c r="AX134" s="605">
        <f>IF(AX$121="입주/잔금",($F134-SUM($G134:AW134))*30%,IF(AW$121="입주/잔금",($F134-SUM($G134:AV134))*50%,IF(AV$121="입주/잔금",($F134-SUM($G134:AU134))*20%,IF(AX$121=0,0,IF(AX$121="2차중도금",$F134*30%-SUM($G134:AW134),IF(AX$121="3차중도금",$F134*40%-SUM($G134:AW134),IF(AX$121="4차중도금",$F134*50%-SUM($G134:AW134),$F134*10%)))))))+(IF(AX$121="5차중도금",$F134*60%-SUM($G134:AW134)-$F134*10%,IF(AX$121="6차중도금",$F134*70%-SUM($G134:AW134)-$F134*10%,0)))</f>
        <v>0</v>
      </c>
      <c r="AY134" s="605">
        <f>IF(AY$121="입주/잔금",($F134-SUM($G134:AX134))*30%,IF(AX$121="입주/잔금",($F134-SUM($G134:AW134))*50%,IF(AW$121="입주/잔금",($F134-SUM($G134:AV134))*20%,IF(AY$121=0,0,IF(AY$121="2차중도금",$F134*30%-SUM($G134:AX134),IF(AY$121="3차중도금",$F134*40%-SUM($G134:AX134),IF(AY$121="4차중도금",$F134*50%-SUM($G134:AX134),$F134*10%)))))))+(IF(AY$121="5차중도금",$F134*60%-SUM($G134:AX134)-$F134*10%,IF(AY$121="6차중도금",$F134*70%-SUM($G134:AX134)-$F134*10%,0)))</f>
        <v>0</v>
      </c>
      <c r="AZ134" s="605">
        <f>IF(AZ$121="입주/잔금",($F134-SUM($G134:AY134))*30%,IF(AY$121="입주/잔금",($F134-SUM($G134:AX134))*50%,IF(AX$121="입주/잔금",($F134-SUM($G134:AW134))*20%,IF(AZ$121=0,0,IF(AZ$121="2차중도금",$F134*30%-SUM($G134:AY134),IF(AZ$121="3차중도금",$F134*40%-SUM($G134:AY134),IF(AZ$121="4차중도금",$F134*50%-SUM($G134:AY134),$F134*10%)))))))+(IF(AZ$121="5차중도금",$F134*60%-SUM($G134:AY134)-$F134*10%,IF(AZ$121="6차중도금",$F134*70%-SUM($G134:AY134)-$F134*10%,0)))</f>
        <v>0</v>
      </c>
      <c r="BA134" s="605">
        <f>IF(BA$121="입주/잔금",($F134-SUM($G134:AZ134))*30%,IF(AZ$121="입주/잔금",($F134-SUM($G134:AY134))*50%,IF(AY$121="입주/잔금",($F134-SUM($G134:AX134))*20%,IF(BA$121=0,0,IF(BA$121="2차중도금",$F134*30%-SUM($G134:AZ134),IF(BA$121="3차중도금",$F134*40%-SUM($G134:AZ134),IF(BA$121="4차중도금",$F134*50%-SUM($G134:AZ134),$F134*10%)))))))+(IF(BA$121="5차중도금",$F134*60%-SUM($G134:AZ134)-$F134*10%,IF(BA$121="6차중도금",$F134*70%-SUM($G134:AZ134)-$F134*10%,0)))</f>
        <v>0</v>
      </c>
      <c r="BB134" s="605">
        <f>IF(BB$121="입주/잔금",($F134-SUM($G134:BA134))*30%,IF(BA$121="입주/잔금",($F134-SUM($G134:AZ134))*50%,IF(AZ$121="입주/잔금",($F134-SUM($G134:AY134))*20%,IF(BB$121=0,0,IF(BB$121="2차중도금",$F134*30%-SUM($G134:BA134),IF(BB$121="3차중도금",$F134*40%-SUM($G134:BA134),IF(BB$121="4차중도금",$F134*50%-SUM($G134:BA134),$F134*10%)))))))+(IF(BB$121="5차중도금",$F134*60%-SUM($G134:BA134)-$F134*10%,IF(BB$121="6차중도금",$F134*70%-SUM($G134:BA134)-$F134*10%,0)))</f>
        <v>0</v>
      </c>
      <c r="BC134" s="605">
        <f>IF(BC$121="입주/잔금",($F134-SUM($G134:BB134))*30%,IF(BB$121="입주/잔금",($F134-SUM($G134:BA134))*50%,IF(BA$121="입주/잔금",($F134-SUM($G134:AZ134))*20%,IF(BC$121=0,0,IF(BC$121="2차중도금",$F134*30%-SUM($G134:BB134),IF(BC$121="3차중도금",$F134*40%-SUM($G134:BB134),IF(BC$121="4차중도금",$F134*50%-SUM($G134:BB134),$F134*10%)))))))+(IF(BC$121="5차중도금",$F134*60%-SUM($G134:BB134)-$F134*10%,IF(BC$121="6차중도금",$F134*70%-SUM($G134:BB134)-$F134*10%,0)))</f>
        <v>0</v>
      </c>
      <c r="BD134" s="605">
        <f>IF(BD$121="입주/잔금",($F134-SUM($G134:BC134))*30%,IF(BC$121="입주/잔금",($F134-SUM($G134:BB134))*50%,IF(BB$121="입주/잔금",($F134-SUM($G134:BA134))*20%,IF(BD$121=0,0,IF(BD$121="2차중도금",$F134*30%-SUM($G134:BC134),IF(BD$121="3차중도금",$F134*40%-SUM($G134:BC134),IF(BD$121="4차중도금",$F134*50%-SUM($G134:BC134),$F134*10%)))))))+(IF(BD$121="5차중도금",$F134*60%-SUM($G134:BC134)-$F134*10%,IF(BD$121="6차중도금",$F134*70%-SUM($G134:BC134)-$F134*10%,0)))</f>
        <v>0</v>
      </c>
      <c r="BE134" s="605">
        <f>IF(BE$121="입주/잔금",($F134-SUM($G134:BD134))*30%,IF(BD$121="입주/잔금",($F134-SUM($G134:BC134))*50%,IF(BC$121="입주/잔금",($F134-SUM($G134:BB134))*20%,IF(BE$121=0,0,IF(BE$121="2차중도금",$F134*30%-SUM($G134:BD134),IF(BE$121="3차중도금",$F134*40%-SUM($G134:BD134),IF(BE$121="4차중도금",$F134*50%-SUM($G134:BD134),$F134*10%)))))))+(IF(BE$121="5차중도금",$F134*60%-SUM($G134:BD134)-$F134*10%,IF(BE$121="6차중도금",$F134*70%-SUM($G134:BD134)-$F134*10%,0)))</f>
        <v>0</v>
      </c>
      <c r="BF134" s="609">
        <f t="shared" si="43"/>
        <v>1064248.4407619843</v>
      </c>
      <c r="BG134" s="556">
        <f t="shared" si="45"/>
        <v>0</v>
      </c>
      <c r="BH134" s="610"/>
    </row>
    <row r="135" spans="1:60">
      <c r="A135" s="1867"/>
      <c r="B135" s="611">
        <f t="shared" si="46"/>
        <v>45231</v>
      </c>
      <c r="C135" s="605">
        <f t="shared" si="47"/>
        <v>21284968.815239683</v>
      </c>
      <c r="D135" s="1501">
        <f t="shared" si="47"/>
        <v>0.05</v>
      </c>
      <c r="E135" s="607">
        <f t="shared" si="48"/>
        <v>0.54999999999999993</v>
      </c>
      <c r="F135" s="608">
        <f t="shared" si="44"/>
        <v>1064248.4407619841</v>
      </c>
      <c r="G135" s="605"/>
      <c r="H135" s="605"/>
      <c r="I135" s="605"/>
      <c r="J135" s="605"/>
      <c r="K135" s="605"/>
      <c r="L135" s="605"/>
      <c r="M135" s="605"/>
      <c r="N135" s="605"/>
      <c r="O135" s="605"/>
      <c r="P135" s="605"/>
      <c r="Q135" s="605"/>
      <c r="R135" s="605"/>
      <c r="S135" s="605"/>
      <c r="T135" s="605">
        <f>$F135*10%</f>
        <v>106424.84407619841</v>
      </c>
      <c r="U135" s="605">
        <f>IF(U$121="입주/잔금",($F135-SUM($G135:T135))*30%,IF(T$121="입주/잔금",($F135-SUM($G135:S135))*50%,IF(S$121="입주/잔금",($F135-SUM($G135:R135))*20%,IF(U$121=0,0,IF(U$121="2차중도금",$F135*30%-SUM($G135:T135),IF(U$121="3차중도금",$F135*40%-SUM($G135:T135),IF(U$121="4차중도금",$F135*50%-SUM($G135:T135),$F135*10%)))))))+(IF(U$121="5차중도금",$F135*60%-SUM($G135:T135)-$F135*10%,IF(U$121="6차중도금",$F135*70%-SUM($G135:T135)-$F135*10%,0)))</f>
        <v>0</v>
      </c>
      <c r="V135" s="605">
        <f>IF(V$121="입주/잔금",($F135-SUM($G135:U135))*30%,IF(U$121="입주/잔금",($F135-SUM($G135:T135))*50%,IF(T$121="입주/잔금",($F135-SUM($G135:S135))*20%,IF(V$121=0,0,IF(V$121="2차중도금",$F135*30%-SUM($G135:U135),IF(V$121="3차중도금",$F135*40%-SUM($G135:U135),IF(V$121="4차중도금",$F135*50%-SUM($G135:U135),$F135*10%)))))))+(IF(V$121="5차중도금",$F135*60%-SUM($G135:U135)-$F135*10%,IF(V$121="6차중도금",$F135*70%-SUM($G135:U135)-$F135*10%,0)))</f>
        <v>0</v>
      </c>
      <c r="W135" s="605">
        <f>IF(W$121="입주/잔금",($F135-SUM($G135:V135))*30%,IF(V$121="입주/잔금",($F135-SUM($G135:U135))*50%,IF(U$121="입주/잔금",($F135-SUM($G135:T135))*20%,IF(W$121=0,0,IF(W$121="2차중도금",$F135*30%-SUM($G135:V135),IF(W$121="3차중도금",$F135*40%-SUM($G135:V135),IF(W$121="4차중도금",$F135*50%-SUM($G135:V135),$F135*10%)))))))+(IF(W$121="5차중도금",$F135*60%-SUM($G135:V135)-$F135*10%,IF(W$121="6차중도금",$F135*70%-SUM($G135:V135)-$F135*10%,0)))</f>
        <v>0</v>
      </c>
      <c r="X135" s="605">
        <f>IF(X$121="입주/잔금",($F135-SUM($G135:W135))*30%,IF(W$121="입주/잔금",($F135-SUM($G135:V135))*50%,IF(V$121="입주/잔금",($F135-SUM($G135:U135))*20%,IF(X$121=0,0,IF(X$121="2차중도금",$F135*30%-SUM($G135:W135),IF(X$121="3차중도금",$F135*40%-SUM($G135:W135),IF(X$121="4차중도금",$F135*50%-SUM($G135:W135),$F135*10%)))))))+(IF(X$121="5차중도금",$F135*60%-SUM($G135:W135)-$F135*10%,IF(X$121="6차중도금",$F135*70%-SUM($G135:W135)-$F135*10%,0)))</f>
        <v>0</v>
      </c>
      <c r="Y135" s="605">
        <f>IF(Y$121="입주/잔금",($F135-SUM($G135:X135))*30%,IF(X$121="입주/잔금",($F135-SUM($G135:W135))*50%,IF(W$121="입주/잔금",($F135-SUM($G135:V135))*20%,IF(Y$121=0,0,IF(Y$121="2차중도금",$F135*30%-SUM($G135:X135),IF(Y$121="3차중도금",$F135*40%-SUM($G135:X135),IF(Y$121="4차중도금",$F135*50%-SUM($G135:X135),$F135*10%)))))))+(IF(Y$121="5차중도금",$F135*60%-SUM($G135:X135)-$F135*10%,IF(Y$121="6차중도금",$F135*70%-SUM($G135:X135)-$F135*10%,0)))</f>
        <v>212849.68815239682</v>
      </c>
      <c r="Z135" s="605">
        <f>IF(Z$121="입주/잔금",($F135-SUM($G135:Y135))*30%,IF(Y$121="입주/잔금",($F135-SUM($G135:X135))*50%,IF(X$121="입주/잔금",($F135-SUM($G135:W135))*20%,IF(Z$121=0,0,IF(Z$121="2차중도금",$F135*30%-SUM($G135:Y135),IF(Z$121="3차중도금",$F135*40%-SUM($G135:Y135),IF(Z$121="4차중도금",$F135*50%-SUM($G135:Y135),$F135*10%)))))))+(IF(Z$121="5차중도금",$F135*60%-SUM($G135:Y135)-$F135*10%,IF(Z$121="6차중도금",$F135*70%-SUM($G135:Y135)-$F135*10%,0)))</f>
        <v>0</v>
      </c>
      <c r="AA135" s="605">
        <f>IF(AA$121="입주/잔금",($F135-SUM($G135:Z135))*30%,IF(Z$121="입주/잔금",($F135-SUM($G135:Y135))*50%,IF(Y$121="입주/잔금",($F135-SUM($G135:X135))*20%,IF(AA$121=0,0,IF(AA$121="2차중도금",$F135*30%-SUM($G135:Z135),IF(AA$121="3차중도금",$F135*40%-SUM($G135:Z135),IF(AA$121="4차중도금",$F135*50%-SUM($G135:Z135),$F135*10%)))))))+(IF(AA$121="5차중도금",$F135*60%-SUM($G135:Z135)-$F135*10%,IF(AA$121="6차중도금",$F135*70%-SUM($G135:Z135)-$F135*10%,0)))</f>
        <v>0</v>
      </c>
      <c r="AB135" s="605">
        <f>IF(AB$121="입주/잔금",($F135-SUM($G135:AA135))*30%,IF(AA$121="입주/잔금",($F135-SUM($G135:Z135))*50%,IF(Z$121="입주/잔금",($F135-SUM($G135:Y135))*20%,IF(AB$121=0,0,IF(AB$121="2차중도금",$F135*30%-SUM($G135:AA135),IF(AB$121="3차중도금",$F135*40%-SUM($G135:AA135),IF(AB$121="4차중도금",$F135*50%-SUM($G135:AA135),$F135*10%)))))))+(IF(AB$121="5차중도금",$F135*60%-SUM($G135:AA135)-$F135*10%,IF(AB$121="6차중도금",$F135*70%-SUM($G135:AA135)-$F135*10%,0)))</f>
        <v>0</v>
      </c>
      <c r="AC135" s="605">
        <f>IF(AC$121="입주/잔금",($F135-SUM($G135:AB135))*30%,IF(AB$121="입주/잔금",($F135-SUM($G135:AA135))*50%,IF(AA$121="입주/잔금",($F135-SUM($G135:Z135))*20%,IF(AC$121=0,0,IF(AC$121="2차중도금",$F135*30%-SUM($G135:AB135),IF(AC$121="3차중도금",$F135*40%-SUM($G135:AB135),IF(AC$121="4차중도금",$F135*50%-SUM($G135:AB135),$F135*10%)))))))+(IF(AC$121="5차중도금",$F135*60%-SUM($G135:AB135)-$F135*10%,IF(AC$121="6차중도금",$F135*70%-SUM($G135:AB135)-$F135*10%,0)))</f>
        <v>0</v>
      </c>
      <c r="AD135" s="605">
        <f>IF(AD$121="입주/잔금",($F135-SUM($G135:AC135))*30%,IF(AC$121="입주/잔금",($F135-SUM($G135:AB135))*50%,IF(AB$121="입주/잔금",($F135-SUM($G135:AA135))*20%,IF(AD$121=0,0,IF(AD$121="2차중도금",$F135*30%-SUM($G135:AC135),IF(AD$121="3차중도금",$F135*40%-SUM($G135:AC135),IF(AD$121="4차중도금",$F135*50%-SUM($G135:AC135),$F135*10%)))))))+(IF(AD$121="5차중도금",$F135*60%-SUM($G135:AC135)-$F135*10%,IF(AD$121="6차중도금",$F135*70%-SUM($G135:AC135)-$F135*10%,0)))</f>
        <v>0</v>
      </c>
      <c r="AE135" s="605">
        <f>IF(AE$121="입주/잔금",($F135-SUM($G135:AD135))*30%,IF(AD$121="입주/잔금",($F135-SUM($G135:AC135))*50%,IF(AC$121="입주/잔금",($F135-SUM($G135:AB135))*20%,IF(AE$121=0,0,IF(AE$121="2차중도금",$F135*30%-SUM($G135:AD135),IF(AE$121="3차중도금",$F135*40%-SUM($G135:AD135),IF(AE$121="4차중도금",$F135*50%-SUM($G135:AD135),$F135*10%)))))))+(IF(AE$121="5차중도금",$F135*60%-SUM($G135:AD135)-$F135*10%,IF(AE$121="6차중도금",$F135*70%-SUM($G135:AD135)-$F135*10%,0)))</f>
        <v>106424.84407619841</v>
      </c>
      <c r="AF135" s="605">
        <f>IF(AF$121="입주/잔금",($F135-SUM($G135:AE135))*30%,IF(AE$121="입주/잔금",($F135-SUM($G135:AD135))*50%,IF(AD$121="입주/잔금",($F135-SUM($G135:AC135))*20%,IF(AF$121=0,0,IF(AF$121="2차중도금",$F135*30%-SUM($G135:AE135),IF(AF$121="3차중도금",$F135*40%-SUM($G135:AE135),IF(AF$121="4차중도금",$F135*50%-SUM($G135:AE135),$F135*10%)))))))+(IF(AF$121="5차중도금",$F135*60%-SUM($G135:AE135)-$F135*10%,IF(AF$121="6차중도금",$F135*70%-SUM($G135:AE135)-$F135*10%,0)))</f>
        <v>0</v>
      </c>
      <c r="AG135" s="605">
        <f>IF(AG$121="입주/잔금",($F135-SUM($G135:AF135))*30%,IF(AF$121="입주/잔금",($F135-SUM($G135:AE135))*50%,IF(AE$121="입주/잔금",($F135-SUM($G135:AD135))*20%,IF(AG$121=0,0,IF(AG$121="2차중도금",$F135*30%-SUM($G135:AF135),IF(AG$121="3차중도금",$F135*40%-SUM($G135:AF135),IF(AG$121="4차중도금",$F135*50%-SUM($G135:AF135),$F135*10%)))))))+(IF(AG$121="5차중도금",$F135*60%-SUM($G135:AF135)-$F135*10%,IF(AG$121="6차중도금",$F135*70%-SUM($G135:AF135)-$F135*10%,0)))</f>
        <v>0</v>
      </c>
      <c r="AH135" s="605">
        <f>IF(AH$121="입주/잔금",($F135-SUM($G135:AG135))*30%,IF(AG$121="입주/잔금",($F135-SUM($G135:AF135))*50%,IF(AF$121="입주/잔금",($F135-SUM($G135:AE135))*20%,IF(AH$121=0,0,IF(AH$121="2차중도금",$F135*30%-SUM($G135:AG135),IF(AH$121="3차중도금",$F135*40%-SUM($G135:AG135),IF(AH$121="4차중도금",$F135*50%-SUM($G135:AG135),$F135*10%)))))))+(IF(AH$121="5차중도금",$F135*60%-SUM($G135:AG135)-$F135*10%,IF(AH$121="6차중도금",$F135*70%-SUM($G135:AG135)-$F135*10%,0)))</f>
        <v>0</v>
      </c>
      <c r="AI135" s="605">
        <f>IF(AI$121="입주/잔금",($F135-SUM($G135:AH135))*30%,IF(AH$121="입주/잔금",($F135-SUM($G135:AG135))*50%,IF(AG$121="입주/잔금",($F135-SUM($G135:AF135))*20%,IF(AI$121=0,0,IF(AI$121="2차중도금",$F135*30%-SUM($G135:AH135),IF(AI$121="3차중도금",$F135*40%-SUM($G135:AH135),IF(AI$121="4차중도금",$F135*50%-SUM($G135:AH135),$F135*10%)))))))+(IF(AI$121="5차중도금",$F135*60%-SUM($G135:AH135)-$F135*10%,IF(AI$121="6차중도금",$F135*70%-SUM($G135:AH135)-$F135*10%,0)))</f>
        <v>0</v>
      </c>
      <c r="AJ135" s="605">
        <f>IF(AJ$121="입주/잔금",($F135-SUM($G135:AI135))*30%,IF(AI$121="입주/잔금",($F135-SUM($G135:AH135))*50%,IF(AH$121="입주/잔금",($F135-SUM($G135:AG135))*20%,IF(AJ$121=0,0,IF(AJ$121="2차중도금",$F135*30%-SUM($G135:AI135),IF(AJ$121="3차중도금",$F135*40%-SUM($G135:AI135),IF(AJ$121="4차중도금",$F135*50%-SUM($G135:AI135),$F135*10%)))))))+(IF(AJ$121="5차중도금",$F135*60%-SUM($G135:AI135)-$F135*10%,IF(AJ$121="6차중도금",$F135*70%-SUM($G135:AI135)-$F135*10%,0)))</f>
        <v>0</v>
      </c>
      <c r="AK135" s="605">
        <f>IF(AK$121="입주/잔금",($F135-SUM($G135:AJ135))*30%,IF(AJ$121="입주/잔금",($F135-SUM($G135:AI135))*50%,IF(AI$121="입주/잔금",($F135-SUM($G135:AH135))*20%,IF(AK$121=0,0,IF(AK$121="2차중도금",$F135*30%-SUM($G135:AJ135),IF(AK$121="3차중도금",$F135*40%-SUM($G135:AJ135),IF(AK$121="4차중도금",$F135*50%-SUM($G135:AJ135),$F135*10%)))))))+(IF(AK$121="5차중도금",$F135*60%-SUM($G135:AJ135)-$F135*10%,IF(AK$121="6차중도금",$F135*70%-SUM($G135:AJ135)-$F135*10%,0)))</f>
        <v>106424.84407619841</v>
      </c>
      <c r="AL135" s="605">
        <f>IF(AL$121="입주/잔금",($F135-SUM($G135:AK135))*30%,IF(AK$121="입주/잔금",($F135-SUM($G135:AJ135))*50%,IF(AJ$121="입주/잔금",($F135-SUM($G135:AI135))*20%,IF(AL$121=0,0,IF(AL$121="2차중도금",$F135*30%-SUM($G135:AK135),IF(AL$121="3차중도금",$F135*40%-SUM($G135:AK135),IF(AL$121="4차중도금",$F135*50%-SUM($G135:AK135),$F135*10%)))))))+(IF(AL$121="5차중도금",$F135*60%-SUM($G135:AK135)-$F135*10%,IF(AL$121="6차중도금",$F135*70%-SUM($G135:AK135)-$F135*10%,0)))</f>
        <v>0</v>
      </c>
      <c r="AM135" s="605">
        <f>IF(AM$121="입주/잔금",($F135-SUM($G135:AL135))*30%,IF(AL$121="입주/잔금",($F135-SUM($G135:AK135))*50%,IF(AK$121="입주/잔금",($F135-SUM($G135:AJ135))*20%,IF(AM$121=0,0,IF(AM$121="2차중도금",$F135*30%-SUM($G135:AL135),IF(AM$121="3차중도금",$F135*40%-SUM($G135:AL135),IF(AM$121="4차중도금",$F135*50%-SUM($G135:AL135),$F135*10%)))))))+(IF(AM$121="5차중도금",$F135*60%-SUM($G135:AL135)-$F135*10%,IF(AM$121="6차중도금",$F135*70%-SUM($G135:AL135)-$F135*10%,0)))</f>
        <v>0</v>
      </c>
      <c r="AN135" s="605">
        <f>IF(AN$121="입주/잔금",($F135-SUM($G135:AM135))*30%,IF(AM$121="입주/잔금",($F135-SUM($G135:AL135))*50%,IF(AL$121="입주/잔금",($F135-SUM($G135:AK135))*20%,IF(AN$121=0,0,IF(AN$121="2차중도금",$F135*30%-SUM($G135:AM135),IF(AN$121="3차중도금",$F135*40%-SUM($G135:AM135),IF(AN$121="4차중도금",$F135*50%-SUM($G135:AM135),$F135*10%)))))))+(IF(AN$121="5차중도금",$F135*60%-SUM($G135:AM135)-$F135*10%,IF(AN$121="6차중도금",$F135*70%-SUM($G135:AM135)-$F135*10%,0)))</f>
        <v>0</v>
      </c>
      <c r="AO135" s="605">
        <f>IF(AO$121="입주/잔금",($F135-SUM($G135:AN135))*30%,IF(AN$121="입주/잔금",($F135-SUM($G135:AM135))*50%,IF(AM$121="입주/잔금",($F135-SUM($G135:AL135))*20%,IF(AO$121=0,0,IF(AO$121="2차중도금",$F135*30%-SUM($G135:AN135),IF(AO$121="3차중도금",$F135*40%-SUM($G135:AN135),IF(AO$121="4차중도금",$F135*50%-SUM($G135:AN135),$F135*10%)))))))+(IF(AO$121="5차중도금",$F135*60%-SUM($G135:AN135)-$F135*10%,IF(AO$121="6차중도금",$F135*70%-SUM($G135:AN135)-$F135*10%,0)))</f>
        <v>0</v>
      </c>
      <c r="AP135" s="605">
        <f>IF(AP$121="입주/잔금",($F135-SUM($G135:AO135))*30%,IF(AO$121="입주/잔금",($F135-SUM($G135:AN135))*50%,IF(AN$121="입주/잔금",($F135-SUM($G135:AM135))*20%,IF(AP$121=0,0,IF(AP$121="2차중도금",$F135*30%-SUM($G135:AO135),IF(AP$121="3차중도금",$F135*40%-SUM($G135:AO135),IF(AP$121="4차중도금",$F135*50%-SUM($G135:AO135),$F135*10%)))))))+(IF(AP$121="5차중도금",$F135*60%-SUM($G135:AO135)-$F135*10%,IF(AP$121="6차중도금",$F135*70%-SUM($G135:AO135)-$F135*10%,0)))</f>
        <v>0</v>
      </c>
      <c r="AQ135" s="605">
        <f>IF(AQ$121="입주/잔금",($F135-SUM($G135:AP135))*30%,IF(AP$121="입주/잔금",($F135-SUM($G135:AO135))*50%,IF(AO$121="입주/잔금",($F135-SUM($G135:AN135))*20%,IF(AQ$121=0,0,IF(AQ$121="2차중도금",$F135*30%-SUM($G135:AP135),IF(AQ$121="3차중도금",$F135*40%-SUM($G135:AP135),IF(AQ$121="4차중도금",$F135*50%-SUM($G135:AP135),$F135*10%)))))))+(IF(AQ$121="5차중도금",$F135*60%-SUM($G135:AP135)-$F135*10%,IF(AQ$121="6차중도금",$F135*70%-SUM($G135:AP135)-$F135*10%,0)))</f>
        <v>0</v>
      </c>
      <c r="AR135" s="605">
        <f>IF(AR$121="입주/잔금",($F135-SUM($G135:AQ135))*30%,IF(AQ$121="입주/잔금",($F135-SUM($G135:AP135))*50%,IF(AP$121="입주/잔금",($F135-SUM($G135:AO135))*20%,IF(AR$121=0,0,IF(AR$121="2차중도금",$F135*30%-SUM($G135:AQ135),IF(AR$121="3차중도금",$F135*40%-SUM($G135:AQ135),IF(AR$121="4차중도금",$F135*50%-SUM($G135:AQ135),$F135*10%)))))))+(IF(AR$121="5차중도금",$F135*60%-SUM($G135:AQ135)-$F135*10%,IF(AR$121="6차중도금",$F135*70%-SUM($G135:AQ135)-$F135*10%,0)))</f>
        <v>159637.26611429761</v>
      </c>
      <c r="AS135" s="605">
        <f>IF(AS$121="입주/잔금",($F135-SUM($G135:AR135))*30%,IF(AR$121="입주/잔금",($F135-SUM($G135:AQ135))*50%,IF(AQ$121="입주/잔금",($F135-SUM($G135:AP135))*20%,IF(AS$121=0,0,IF(AS$121="2차중도금",$F135*30%-SUM($G135:AR135),IF(AS$121="3차중도금",$F135*40%-SUM($G135:AR135),IF(AS$121="4차중도금",$F135*50%-SUM($G135:AR135),$F135*10%)))))))+(IF(AS$121="5차중도금",$F135*60%-SUM($G135:AR135)-$F135*10%,IF(AS$121="6차중도금",$F135*70%-SUM($G135:AR135)-$F135*10%,0)))</f>
        <v>266062.11019049602</v>
      </c>
      <c r="AT135" s="605">
        <f>IF(AT$121="입주/잔금",($F135-SUM($G135:AS135))*30%,IF(AS$121="입주/잔금",($F135-SUM($G135:AR135))*50%,IF(AR$121="입주/잔금",($F135-SUM($G135:AQ135))*20%,IF(AT$121=0,0,IF(AT$121="2차중도금",$F135*30%-SUM($G135:AS135),IF(AT$121="3차중도금",$F135*40%-SUM($G135:AS135),IF(AT$121="4차중도금",$F135*50%-SUM($G135:AS135),$F135*10%)))))))+(IF(AT$121="5차중도금",$F135*60%-SUM($G135:AS135)-$F135*10%,IF(AT$121="6차중도금",$F135*70%-SUM($G135:AS135)-$F135*10%,0)))</f>
        <v>106424.84407619841</v>
      </c>
      <c r="AU135" s="605">
        <f>IF(AU$121="입주/잔금",($F135-SUM($G135:AT135))*30%,IF(AT$121="입주/잔금",($F135-SUM($G135:AS135))*50%,IF(AS$121="입주/잔금",($F135-SUM($G135:AR135))*20%,IF(AU$121=0,0,IF(AU$121="2차중도금",$F135*30%-SUM($G135:AT135),IF(AU$121="3차중도금",$F135*40%-SUM($G135:AT135),IF(AU$121="4차중도금",$F135*50%-SUM($G135:AT135),$F135*10%)))))))+(IF(AU$121="5차중도금",$F135*60%-SUM($G135:AT135)-$F135*10%,IF(AU$121="6차중도금",$F135*70%-SUM($G135:AT135)-$F135*10%,0)))</f>
        <v>0</v>
      </c>
      <c r="AV135" s="605">
        <f>IF(AV$121="입주/잔금",($F135-SUM($G135:AU135))*30%,IF(AU$121="입주/잔금",($F135-SUM($G135:AT135))*50%,IF(AT$121="입주/잔금",($F135-SUM($G135:AS135))*20%,IF(AV$121=0,0,IF(AV$121="2차중도금",$F135*30%-SUM($G135:AU135),IF(AV$121="3차중도금",$F135*40%-SUM($G135:AU135),IF(AV$121="4차중도금",$F135*50%-SUM($G135:AU135),$F135*10%)))))))+(IF(AV$121="5차중도금",$F135*60%-SUM($G135:AU135)-$F135*10%,IF(AV$121="6차중도금",$F135*70%-SUM($G135:AU135)-$F135*10%,0)))</f>
        <v>0</v>
      </c>
      <c r="AW135" s="605">
        <f>IF(AW$121="입주/잔금",($F135-SUM($G135:AV135))*30%,IF(AV$121="입주/잔금",($F135-SUM($G135:AU135))*50%,IF(AU$121="입주/잔금",($F135-SUM($G135:AT135))*20%,IF(AW$121=0,0,IF(AW$121="2차중도금",$F135*30%-SUM($G135:AV135),IF(AW$121="3차중도금",$F135*40%-SUM($G135:AV135),IF(AW$121="4차중도금",$F135*50%-SUM($G135:AV135),$F135*10%)))))))+(IF(AW$121="5차중도금",$F135*60%-SUM($G135:AV135)-$F135*10%,IF(AW$121="6차중도금",$F135*70%-SUM($G135:AV135)-$F135*10%,0)))</f>
        <v>0</v>
      </c>
      <c r="AX135" s="605">
        <f>IF(AX$121="입주/잔금",($F135-SUM($G135:AW135))*30%,IF(AW$121="입주/잔금",($F135-SUM($G135:AV135))*50%,IF(AV$121="입주/잔금",($F135-SUM($G135:AU135))*20%,IF(AX$121=0,0,IF(AX$121="2차중도금",$F135*30%-SUM($G135:AW135),IF(AX$121="3차중도금",$F135*40%-SUM($G135:AW135),IF(AX$121="4차중도금",$F135*50%-SUM($G135:AW135),$F135*10%)))))))+(IF(AX$121="5차중도금",$F135*60%-SUM($G135:AW135)-$F135*10%,IF(AX$121="6차중도금",$F135*70%-SUM($G135:AW135)-$F135*10%,0)))</f>
        <v>0</v>
      </c>
      <c r="AY135" s="605">
        <f>IF(AY$121="입주/잔금",($F135-SUM($G135:AX135))*30%,IF(AX$121="입주/잔금",($F135-SUM($G135:AW135))*50%,IF(AW$121="입주/잔금",($F135-SUM($G135:AV135))*20%,IF(AY$121=0,0,IF(AY$121="2차중도금",$F135*30%-SUM($G135:AX135),IF(AY$121="3차중도금",$F135*40%-SUM($G135:AX135),IF(AY$121="4차중도금",$F135*50%-SUM($G135:AX135),$F135*10%)))))))+(IF(AY$121="5차중도금",$F135*60%-SUM($G135:AX135)-$F135*10%,IF(AY$121="6차중도금",$F135*70%-SUM($G135:AX135)-$F135*10%,0)))</f>
        <v>0</v>
      </c>
      <c r="AZ135" s="605">
        <f>IF(AZ$121="입주/잔금",($F135-SUM($G135:AY135))*30%,IF(AY$121="입주/잔금",($F135-SUM($G135:AX135))*50%,IF(AX$121="입주/잔금",($F135-SUM($G135:AW135))*20%,IF(AZ$121=0,0,IF(AZ$121="2차중도금",$F135*30%-SUM($G135:AY135),IF(AZ$121="3차중도금",$F135*40%-SUM($G135:AY135),IF(AZ$121="4차중도금",$F135*50%-SUM($G135:AY135),$F135*10%)))))))+(IF(AZ$121="5차중도금",$F135*60%-SUM($G135:AY135)-$F135*10%,IF(AZ$121="6차중도금",$F135*70%-SUM($G135:AY135)-$F135*10%,0)))</f>
        <v>0</v>
      </c>
      <c r="BA135" s="605">
        <f>IF(BA$121="입주/잔금",($F135-SUM($G135:AZ135))*30%,IF(AZ$121="입주/잔금",($F135-SUM($G135:AY135))*50%,IF(AY$121="입주/잔금",($F135-SUM($G135:AX135))*20%,IF(BA$121=0,0,IF(BA$121="2차중도금",$F135*30%-SUM($G135:AZ135),IF(BA$121="3차중도금",$F135*40%-SUM($G135:AZ135),IF(BA$121="4차중도금",$F135*50%-SUM($G135:AZ135),$F135*10%)))))))+(IF(BA$121="5차중도금",$F135*60%-SUM($G135:AZ135)-$F135*10%,IF(BA$121="6차중도금",$F135*70%-SUM($G135:AZ135)-$F135*10%,0)))</f>
        <v>0</v>
      </c>
      <c r="BB135" s="605">
        <f>IF(BB$121="입주/잔금",($F135-SUM($G135:BA135))*30%,IF(BA$121="입주/잔금",($F135-SUM($G135:AZ135))*50%,IF(AZ$121="입주/잔금",($F135-SUM($G135:AY135))*20%,IF(BB$121=0,0,IF(BB$121="2차중도금",$F135*30%-SUM($G135:BA135),IF(BB$121="3차중도금",$F135*40%-SUM($G135:BA135),IF(BB$121="4차중도금",$F135*50%-SUM($G135:BA135),$F135*10%)))))))+(IF(BB$121="5차중도금",$F135*60%-SUM($G135:BA135)-$F135*10%,IF(BB$121="6차중도금",$F135*70%-SUM($G135:BA135)-$F135*10%,0)))</f>
        <v>0</v>
      </c>
      <c r="BC135" s="605">
        <f>IF(BC$121="입주/잔금",($F135-SUM($G135:BB135))*30%,IF(BB$121="입주/잔금",($F135-SUM($G135:BA135))*50%,IF(BA$121="입주/잔금",($F135-SUM($G135:AZ135))*20%,IF(BC$121=0,0,IF(BC$121="2차중도금",$F135*30%-SUM($G135:BB135),IF(BC$121="3차중도금",$F135*40%-SUM($G135:BB135),IF(BC$121="4차중도금",$F135*50%-SUM($G135:BB135),$F135*10%)))))))+(IF(BC$121="5차중도금",$F135*60%-SUM($G135:BB135)-$F135*10%,IF(BC$121="6차중도금",$F135*70%-SUM($G135:BB135)-$F135*10%,0)))</f>
        <v>0</v>
      </c>
      <c r="BD135" s="605">
        <f>IF(BD$121="입주/잔금",($F135-SUM($G135:BC135))*30%,IF(BC$121="입주/잔금",($F135-SUM($G135:BB135))*50%,IF(BB$121="입주/잔금",($F135-SUM($G135:BA135))*20%,IF(BD$121=0,0,IF(BD$121="2차중도금",$F135*30%-SUM($G135:BC135),IF(BD$121="3차중도금",$F135*40%-SUM($G135:BC135),IF(BD$121="4차중도금",$F135*50%-SUM($G135:BC135),$F135*10%)))))))+(IF(BD$121="5차중도금",$F135*60%-SUM($G135:BC135)-$F135*10%,IF(BD$121="6차중도금",$F135*70%-SUM($G135:BC135)-$F135*10%,0)))</f>
        <v>0</v>
      </c>
      <c r="BE135" s="605">
        <f>IF(BE$121="입주/잔금",($F135-SUM($G135:BD135))*30%,IF(BD$121="입주/잔금",($F135-SUM($G135:BC135))*50%,IF(BC$121="입주/잔금",($F135-SUM($G135:BB135))*20%,IF(BE$121=0,0,IF(BE$121="2차중도금",$F135*30%-SUM($G135:BD135),IF(BE$121="3차중도금",$F135*40%-SUM($G135:BD135),IF(BE$121="4차중도금",$F135*50%-SUM($G135:BD135),$F135*10%)))))))+(IF(BE$121="5차중도금",$F135*60%-SUM($G135:BD135)-$F135*10%,IF(BE$121="6차중도금",$F135*70%-SUM($G135:BD135)-$F135*10%,0)))</f>
        <v>0</v>
      </c>
      <c r="BF135" s="609">
        <f t="shared" si="43"/>
        <v>1064248.4407619843</v>
      </c>
      <c r="BG135" s="556">
        <f t="shared" si="45"/>
        <v>0</v>
      </c>
      <c r="BH135" s="610"/>
    </row>
    <row r="136" spans="1:60">
      <c r="A136" s="1867"/>
      <c r="B136" s="611">
        <f t="shared" si="46"/>
        <v>45261</v>
      </c>
      <c r="C136" s="605">
        <f t="shared" si="47"/>
        <v>21284968.815239683</v>
      </c>
      <c r="D136" s="1501">
        <f t="shared" si="47"/>
        <v>0.05</v>
      </c>
      <c r="E136" s="607">
        <f t="shared" si="48"/>
        <v>0.6</v>
      </c>
      <c r="F136" s="608">
        <f t="shared" si="44"/>
        <v>1064248.4407619841</v>
      </c>
      <c r="G136" s="605"/>
      <c r="H136" s="605"/>
      <c r="I136" s="605"/>
      <c r="J136" s="605"/>
      <c r="K136" s="605"/>
      <c r="L136" s="605"/>
      <c r="M136" s="605"/>
      <c r="N136" s="605"/>
      <c r="O136" s="605"/>
      <c r="P136" s="605"/>
      <c r="Q136" s="605"/>
      <c r="R136" s="605"/>
      <c r="S136" s="605"/>
      <c r="T136" s="605"/>
      <c r="U136" s="605">
        <f>$F136*10%</f>
        <v>106424.84407619841</v>
      </c>
      <c r="V136" s="605">
        <f>IF(V$121="입주/잔금",($F136-SUM($G136:U136))*30%,IF(U$121="입주/잔금",($F136-SUM($G136:T136))*50%,IF(T$121="입주/잔금",($F136-SUM($G136:S136))*20%,IF(V$121=0,0,IF(V$121="2차중도금",$F136*30%-SUM($G136:U136),IF(V$121="3차중도금",$F136*40%-SUM($G136:U136),IF(V$121="4차중도금",$F136*50%-SUM($G136:U136),$F136*10%)))))))+(IF(V$121="5차중도금",$F136*60%-SUM($G136:U136)-$F136*10%,IF(V$121="6차중도금",$F136*70%-SUM($G136:U136)-$F136*10%,0)))</f>
        <v>0</v>
      </c>
      <c r="W136" s="605">
        <f>IF(W$121="입주/잔금",($F136-SUM($G136:V136))*30%,IF(V$121="입주/잔금",($F136-SUM($G136:U136))*50%,IF(U$121="입주/잔금",($F136-SUM($G136:T136))*20%,IF(W$121=0,0,IF(W$121="2차중도금",$F136*30%-SUM($G136:V136),IF(W$121="3차중도금",$F136*40%-SUM($G136:V136),IF(W$121="4차중도금",$F136*50%-SUM($G136:V136),$F136*10%)))))))+(IF(W$121="5차중도금",$F136*60%-SUM($G136:V136)-$F136*10%,IF(W$121="6차중도금",$F136*70%-SUM($G136:V136)-$F136*10%,0)))</f>
        <v>0</v>
      </c>
      <c r="X136" s="605">
        <f>IF(X$121="입주/잔금",($F136-SUM($G136:W136))*30%,IF(W$121="입주/잔금",($F136-SUM($G136:V136))*50%,IF(V$121="입주/잔금",($F136-SUM($G136:U136))*20%,IF(X$121=0,0,IF(X$121="2차중도금",$F136*30%-SUM($G136:W136),IF(X$121="3차중도금",$F136*40%-SUM($G136:W136),IF(X$121="4차중도금",$F136*50%-SUM($G136:W136),$F136*10%)))))))+(IF(X$121="5차중도금",$F136*60%-SUM($G136:W136)-$F136*10%,IF(X$121="6차중도금",$F136*70%-SUM($G136:W136)-$F136*10%,0)))</f>
        <v>0</v>
      </c>
      <c r="Y136" s="605">
        <f>IF(Y$121="입주/잔금",($F136-SUM($G136:X136))*30%,IF(X$121="입주/잔금",($F136-SUM($G136:W136))*50%,IF(W$121="입주/잔금",($F136-SUM($G136:V136))*20%,IF(Y$121=0,0,IF(Y$121="2차중도금",$F136*30%-SUM($G136:X136),IF(Y$121="3차중도금",$F136*40%-SUM($G136:X136),IF(Y$121="4차중도금",$F136*50%-SUM($G136:X136),$F136*10%)))))))+(IF(Y$121="5차중도금",$F136*60%-SUM($G136:X136)-$F136*10%,IF(Y$121="6차중도금",$F136*70%-SUM($G136:X136)-$F136*10%,0)))</f>
        <v>212849.68815239682</v>
      </c>
      <c r="Z136" s="605">
        <f>IF(Z$121="입주/잔금",($F136-SUM($G136:Y136))*30%,IF(Y$121="입주/잔금",($F136-SUM($G136:X136))*50%,IF(X$121="입주/잔금",($F136-SUM($G136:W136))*20%,IF(Z$121=0,0,IF(Z$121="2차중도금",$F136*30%-SUM($G136:Y136),IF(Z$121="3차중도금",$F136*40%-SUM($G136:Y136),IF(Z$121="4차중도금",$F136*50%-SUM($G136:Y136),$F136*10%)))))))+(IF(Z$121="5차중도금",$F136*60%-SUM($G136:Y136)-$F136*10%,IF(Z$121="6차중도금",$F136*70%-SUM($G136:Y136)-$F136*10%,0)))</f>
        <v>0</v>
      </c>
      <c r="AA136" s="605">
        <f>IF(AA$121="입주/잔금",($F136-SUM($G136:Z136))*30%,IF(Z$121="입주/잔금",($F136-SUM($G136:Y136))*50%,IF(Y$121="입주/잔금",($F136-SUM($G136:X136))*20%,IF(AA$121=0,0,IF(AA$121="2차중도금",$F136*30%-SUM($G136:Z136),IF(AA$121="3차중도금",$F136*40%-SUM($G136:Z136),IF(AA$121="4차중도금",$F136*50%-SUM($G136:Z136),$F136*10%)))))))+(IF(AA$121="5차중도금",$F136*60%-SUM($G136:Z136)-$F136*10%,IF(AA$121="6차중도금",$F136*70%-SUM($G136:Z136)-$F136*10%,0)))</f>
        <v>0</v>
      </c>
      <c r="AB136" s="605">
        <f>IF(AB$121="입주/잔금",($F136-SUM($G136:AA136))*30%,IF(AA$121="입주/잔금",($F136-SUM($G136:Z136))*50%,IF(Z$121="입주/잔금",($F136-SUM($G136:Y136))*20%,IF(AB$121=0,0,IF(AB$121="2차중도금",$F136*30%-SUM($G136:AA136),IF(AB$121="3차중도금",$F136*40%-SUM($G136:AA136),IF(AB$121="4차중도금",$F136*50%-SUM($G136:AA136),$F136*10%)))))))+(IF(AB$121="5차중도금",$F136*60%-SUM($G136:AA136)-$F136*10%,IF(AB$121="6차중도금",$F136*70%-SUM($G136:AA136)-$F136*10%,0)))</f>
        <v>0</v>
      </c>
      <c r="AC136" s="605">
        <f>IF(AC$121="입주/잔금",($F136-SUM($G136:AB136))*30%,IF(AB$121="입주/잔금",($F136-SUM($G136:AA136))*50%,IF(AA$121="입주/잔금",($F136-SUM($G136:Z136))*20%,IF(AC$121=0,0,IF(AC$121="2차중도금",$F136*30%-SUM($G136:AB136),IF(AC$121="3차중도금",$F136*40%-SUM($G136:AB136),IF(AC$121="4차중도금",$F136*50%-SUM($G136:AB136),$F136*10%)))))))+(IF(AC$121="5차중도금",$F136*60%-SUM($G136:AB136)-$F136*10%,IF(AC$121="6차중도금",$F136*70%-SUM($G136:AB136)-$F136*10%,0)))</f>
        <v>0</v>
      </c>
      <c r="AD136" s="605">
        <f>IF(AD$121="입주/잔금",($F136-SUM($G136:AC136))*30%,IF(AC$121="입주/잔금",($F136-SUM($G136:AB136))*50%,IF(AB$121="입주/잔금",($F136-SUM($G136:AA136))*20%,IF(AD$121=0,0,IF(AD$121="2차중도금",$F136*30%-SUM($G136:AC136),IF(AD$121="3차중도금",$F136*40%-SUM($G136:AC136),IF(AD$121="4차중도금",$F136*50%-SUM($G136:AC136),$F136*10%)))))))+(IF(AD$121="5차중도금",$F136*60%-SUM($G136:AC136)-$F136*10%,IF(AD$121="6차중도금",$F136*70%-SUM($G136:AC136)-$F136*10%,0)))</f>
        <v>0</v>
      </c>
      <c r="AE136" s="605">
        <f>IF(AE$121="입주/잔금",($F136-SUM($G136:AD136))*30%,IF(AD$121="입주/잔금",($F136-SUM($G136:AC136))*50%,IF(AC$121="입주/잔금",($F136-SUM($G136:AB136))*20%,IF(AE$121=0,0,IF(AE$121="2차중도금",$F136*30%-SUM($G136:AD136),IF(AE$121="3차중도금",$F136*40%-SUM($G136:AD136),IF(AE$121="4차중도금",$F136*50%-SUM($G136:AD136),$F136*10%)))))))+(IF(AE$121="5차중도금",$F136*60%-SUM($G136:AD136)-$F136*10%,IF(AE$121="6차중도금",$F136*70%-SUM($G136:AD136)-$F136*10%,0)))</f>
        <v>106424.84407619841</v>
      </c>
      <c r="AF136" s="605">
        <f>IF(AF$121="입주/잔금",($F136-SUM($G136:AE136))*30%,IF(AE$121="입주/잔금",($F136-SUM($G136:AD136))*50%,IF(AD$121="입주/잔금",($F136-SUM($G136:AC136))*20%,IF(AF$121=0,0,IF(AF$121="2차중도금",$F136*30%-SUM($G136:AE136),IF(AF$121="3차중도금",$F136*40%-SUM($G136:AE136),IF(AF$121="4차중도금",$F136*50%-SUM($G136:AE136),$F136*10%)))))))+(IF(AF$121="5차중도금",$F136*60%-SUM($G136:AE136)-$F136*10%,IF(AF$121="6차중도금",$F136*70%-SUM($G136:AE136)-$F136*10%,0)))</f>
        <v>0</v>
      </c>
      <c r="AG136" s="605">
        <f>IF(AG$121="입주/잔금",($F136-SUM($G136:AF136))*30%,IF(AF$121="입주/잔금",($F136-SUM($G136:AE136))*50%,IF(AE$121="입주/잔금",($F136-SUM($G136:AD136))*20%,IF(AG$121=0,0,IF(AG$121="2차중도금",$F136*30%-SUM($G136:AF136),IF(AG$121="3차중도금",$F136*40%-SUM($G136:AF136),IF(AG$121="4차중도금",$F136*50%-SUM($G136:AF136),$F136*10%)))))))+(IF(AG$121="5차중도금",$F136*60%-SUM($G136:AF136)-$F136*10%,IF(AG$121="6차중도금",$F136*70%-SUM($G136:AF136)-$F136*10%,0)))</f>
        <v>0</v>
      </c>
      <c r="AH136" s="605">
        <f>IF(AH$121="입주/잔금",($F136-SUM($G136:AG136))*30%,IF(AG$121="입주/잔금",($F136-SUM($G136:AF136))*50%,IF(AF$121="입주/잔금",($F136-SUM($G136:AE136))*20%,IF(AH$121=0,0,IF(AH$121="2차중도금",$F136*30%-SUM($G136:AG136),IF(AH$121="3차중도금",$F136*40%-SUM($G136:AG136),IF(AH$121="4차중도금",$F136*50%-SUM($G136:AG136),$F136*10%)))))))+(IF(AH$121="5차중도금",$F136*60%-SUM($G136:AG136)-$F136*10%,IF(AH$121="6차중도금",$F136*70%-SUM($G136:AG136)-$F136*10%,0)))</f>
        <v>0</v>
      </c>
      <c r="AI136" s="605">
        <f>IF(AI$121="입주/잔금",($F136-SUM($G136:AH136))*30%,IF(AH$121="입주/잔금",($F136-SUM($G136:AG136))*50%,IF(AG$121="입주/잔금",($F136-SUM($G136:AF136))*20%,IF(AI$121=0,0,IF(AI$121="2차중도금",$F136*30%-SUM($G136:AH136),IF(AI$121="3차중도금",$F136*40%-SUM($G136:AH136),IF(AI$121="4차중도금",$F136*50%-SUM($G136:AH136),$F136*10%)))))))+(IF(AI$121="5차중도금",$F136*60%-SUM($G136:AH136)-$F136*10%,IF(AI$121="6차중도금",$F136*70%-SUM($G136:AH136)-$F136*10%,0)))</f>
        <v>0</v>
      </c>
      <c r="AJ136" s="605">
        <f>IF(AJ$121="입주/잔금",($F136-SUM($G136:AI136))*30%,IF(AI$121="입주/잔금",($F136-SUM($G136:AH136))*50%,IF(AH$121="입주/잔금",($F136-SUM($G136:AG136))*20%,IF(AJ$121=0,0,IF(AJ$121="2차중도금",$F136*30%-SUM($G136:AI136),IF(AJ$121="3차중도금",$F136*40%-SUM($G136:AI136),IF(AJ$121="4차중도금",$F136*50%-SUM($G136:AI136),$F136*10%)))))))+(IF(AJ$121="5차중도금",$F136*60%-SUM($G136:AI136)-$F136*10%,IF(AJ$121="6차중도금",$F136*70%-SUM($G136:AI136)-$F136*10%,0)))</f>
        <v>0</v>
      </c>
      <c r="AK136" s="605">
        <f>IF(AK$121="입주/잔금",($F136-SUM($G136:AJ136))*30%,IF(AJ$121="입주/잔금",($F136-SUM($G136:AI136))*50%,IF(AI$121="입주/잔금",($F136-SUM($G136:AH136))*20%,IF(AK$121=0,0,IF(AK$121="2차중도금",$F136*30%-SUM($G136:AJ136),IF(AK$121="3차중도금",$F136*40%-SUM($G136:AJ136),IF(AK$121="4차중도금",$F136*50%-SUM($G136:AJ136),$F136*10%)))))))+(IF(AK$121="5차중도금",$F136*60%-SUM($G136:AJ136)-$F136*10%,IF(AK$121="6차중도금",$F136*70%-SUM($G136:AJ136)-$F136*10%,0)))</f>
        <v>106424.84407619841</v>
      </c>
      <c r="AL136" s="605">
        <f>IF(AL$121="입주/잔금",($F136-SUM($G136:AK136))*30%,IF(AK$121="입주/잔금",($F136-SUM($G136:AJ136))*50%,IF(AJ$121="입주/잔금",($F136-SUM($G136:AI136))*20%,IF(AL$121=0,0,IF(AL$121="2차중도금",$F136*30%-SUM($G136:AK136),IF(AL$121="3차중도금",$F136*40%-SUM($G136:AK136),IF(AL$121="4차중도금",$F136*50%-SUM($G136:AK136),$F136*10%)))))))+(IF(AL$121="5차중도금",$F136*60%-SUM($G136:AK136)-$F136*10%,IF(AL$121="6차중도금",$F136*70%-SUM($G136:AK136)-$F136*10%,0)))</f>
        <v>0</v>
      </c>
      <c r="AM136" s="605">
        <f>IF(AM$121="입주/잔금",($F136-SUM($G136:AL136))*30%,IF(AL$121="입주/잔금",($F136-SUM($G136:AK136))*50%,IF(AK$121="입주/잔금",($F136-SUM($G136:AJ136))*20%,IF(AM$121=0,0,IF(AM$121="2차중도금",$F136*30%-SUM($G136:AL136),IF(AM$121="3차중도금",$F136*40%-SUM($G136:AL136),IF(AM$121="4차중도금",$F136*50%-SUM($G136:AL136),$F136*10%)))))))+(IF(AM$121="5차중도금",$F136*60%-SUM($G136:AL136)-$F136*10%,IF(AM$121="6차중도금",$F136*70%-SUM($G136:AL136)-$F136*10%,0)))</f>
        <v>0</v>
      </c>
      <c r="AN136" s="605">
        <f>IF(AN$121="입주/잔금",($F136-SUM($G136:AM136))*30%,IF(AM$121="입주/잔금",($F136-SUM($G136:AL136))*50%,IF(AL$121="입주/잔금",($F136-SUM($G136:AK136))*20%,IF(AN$121=0,0,IF(AN$121="2차중도금",$F136*30%-SUM($G136:AM136),IF(AN$121="3차중도금",$F136*40%-SUM($G136:AM136),IF(AN$121="4차중도금",$F136*50%-SUM($G136:AM136),$F136*10%)))))))+(IF(AN$121="5차중도금",$F136*60%-SUM($G136:AM136)-$F136*10%,IF(AN$121="6차중도금",$F136*70%-SUM($G136:AM136)-$F136*10%,0)))</f>
        <v>0</v>
      </c>
      <c r="AO136" s="605">
        <f>IF(AO$121="입주/잔금",($F136-SUM($G136:AN136))*30%,IF(AN$121="입주/잔금",($F136-SUM($G136:AM136))*50%,IF(AM$121="입주/잔금",($F136-SUM($G136:AL136))*20%,IF(AO$121=0,0,IF(AO$121="2차중도금",$F136*30%-SUM($G136:AN136),IF(AO$121="3차중도금",$F136*40%-SUM($G136:AN136),IF(AO$121="4차중도금",$F136*50%-SUM($G136:AN136),$F136*10%)))))))+(IF(AO$121="5차중도금",$F136*60%-SUM($G136:AN136)-$F136*10%,IF(AO$121="6차중도금",$F136*70%-SUM($G136:AN136)-$F136*10%,0)))</f>
        <v>0</v>
      </c>
      <c r="AP136" s="605">
        <f>IF(AP$121="입주/잔금",($F136-SUM($G136:AO136))*30%,IF(AO$121="입주/잔금",($F136-SUM($G136:AN136))*50%,IF(AN$121="입주/잔금",($F136-SUM($G136:AM136))*20%,IF(AP$121=0,0,IF(AP$121="2차중도금",$F136*30%-SUM($G136:AO136),IF(AP$121="3차중도금",$F136*40%-SUM($G136:AO136),IF(AP$121="4차중도금",$F136*50%-SUM($G136:AO136),$F136*10%)))))))+(IF(AP$121="5차중도금",$F136*60%-SUM($G136:AO136)-$F136*10%,IF(AP$121="6차중도금",$F136*70%-SUM($G136:AO136)-$F136*10%,0)))</f>
        <v>0</v>
      </c>
      <c r="AQ136" s="605">
        <f>IF(AQ$121="입주/잔금",($F136-SUM($G136:AP136))*30%,IF(AP$121="입주/잔금",($F136-SUM($G136:AO136))*50%,IF(AO$121="입주/잔금",($F136-SUM($G136:AN136))*20%,IF(AQ$121=0,0,IF(AQ$121="2차중도금",$F136*30%-SUM($G136:AP136),IF(AQ$121="3차중도금",$F136*40%-SUM($G136:AP136),IF(AQ$121="4차중도금",$F136*50%-SUM($G136:AP136),$F136*10%)))))))+(IF(AQ$121="5차중도금",$F136*60%-SUM($G136:AP136)-$F136*10%,IF(AQ$121="6차중도금",$F136*70%-SUM($G136:AP136)-$F136*10%,0)))</f>
        <v>0</v>
      </c>
      <c r="AR136" s="605">
        <f>IF(AR$121="입주/잔금",($F136-SUM($G136:AQ136))*30%,IF(AQ$121="입주/잔금",($F136-SUM($G136:AP136))*50%,IF(AP$121="입주/잔금",($F136-SUM($G136:AO136))*20%,IF(AR$121=0,0,IF(AR$121="2차중도금",$F136*30%-SUM($G136:AQ136),IF(AR$121="3차중도금",$F136*40%-SUM($G136:AQ136),IF(AR$121="4차중도금",$F136*50%-SUM($G136:AQ136),$F136*10%)))))))+(IF(AR$121="5차중도금",$F136*60%-SUM($G136:AQ136)-$F136*10%,IF(AR$121="6차중도금",$F136*70%-SUM($G136:AQ136)-$F136*10%,0)))</f>
        <v>159637.26611429761</v>
      </c>
      <c r="AS136" s="605">
        <f>IF(AS$121="입주/잔금",($F136-SUM($G136:AR136))*30%,IF(AR$121="입주/잔금",($F136-SUM($G136:AQ136))*50%,IF(AQ$121="입주/잔금",($F136-SUM($G136:AP136))*20%,IF(AS$121=0,0,IF(AS$121="2차중도금",$F136*30%-SUM($G136:AR136),IF(AS$121="3차중도금",$F136*40%-SUM($G136:AR136),IF(AS$121="4차중도금",$F136*50%-SUM($G136:AR136),$F136*10%)))))))+(IF(AS$121="5차중도금",$F136*60%-SUM($G136:AR136)-$F136*10%,IF(AS$121="6차중도금",$F136*70%-SUM($G136:AR136)-$F136*10%,0)))</f>
        <v>266062.11019049602</v>
      </c>
      <c r="AT136" s="605">
        <f>IF(AT$121="입주/잔금",($F136-SUM($G136:AS136))*30%,IF(AS$121="입주/잔금",($F136-SUM($G136:AR136))*50%,IF(AR$121="입주/잔금",($F136-SUM($G136:AQ136))*20%,IF(AT$121=0,0,IF(AT$121="2차중도금",$F136*30%-SUM($G136:AS136),IF(AT$121="3차중도금",$F136*40%-SUM($G136:AS136),IF(AT$121="4차중도금",$F136*50%-SUM($G136:AS136),$F136*10%)))))))+(IF(AT$121="5차중도금",$F136*60%-SUM($G136:AS136)-$F136*10%,IF(AT$121="6차중도금",$F136*70%-SUM($G136:AS136)-$F136*10%,0)))</f>
        <v>106424.84407619841</v>
      </c>
      <c r="AU136" s="605">
        <f>IF(AU$121="입주/잔금",($F136-SUM($G136:AT136))*30%,IF(AT$121="입주/잔금",($F136-SUM($G136:AS136))*50%,IF(AS$121="입주/잔금",($F136-SUM($G136:AR136))*20%,IF(AU$121=0,0,IF(AU$121="2차중도금",$F136*30%-SUM($G136:AT136),IF(AU$121="3차중도금",$F136*40%-SUM($G136:AT136),IF(AU$121="4차중도금",$F136*50%-SUM($G136:AT136),$F136*10%)))))))+(IF(AU$121="5차중도금",$F136*60%-SUM($G136:AT136)-$F136*10%,IF(AU$121="6차중도금",$F136*70%-SUM($G136:AT136)-$F136*10%,0)))</f>
        <v>0</v>
      </c>
      <c r="AV136" s="605">
        <f>IF(AV$121="입주/잔금",($F136-SUM($G136:AU136))*30%,IF(AU$121="입주/잔금",($F136-SUM($G136:AT136))*50%,IF(AT$121="입주/잔금",($F136-SUM($G136:AS136))*20%,IF(AV$121=0,0,IF(AV$121="2차중도금",$F136*30%-SUM($G136:AU136),IF(AV$121="3차중도금",$F136*40%-SUM($G136:AU136),IF(AV$121="4차중도금",$F136*50%-SUM($G136:AU136),$F136*10%)))))))+(IF(AV$121="5차중도금",$F136*60%-SUM($G136:AU136)-$F136*10%,IF(AV$121="6차중도금",$F136*70%-SUM($G136:AU136)-$F136*10%,0)))</f>
        <v>0</v>
      </c>
      <c r="AW136" s="605">
        <f>IF(AW$121="입주/잔금",($F136-SUM($G136:AV136))*30%,IF(AV$121="입주/잔금",($F136-SUM($G136:AU136))*50%,IF(AU$121="입주/잔금",($F136-SUM($G136:AT136))*20%,IF(AW$121=0,0,IF(AW$121="2차중도금",$F136*30%-SUM($G136:AV136),IF(AW$121="3차중도금",$F136*40%-SUM($G136:AV136),IF(AW$121="4차중도금",$F136*50%-SUM($G136:AV136),$F136*10%)))))))+(IF(AW$121="5차중도금",$F136*60%-SUM($G136:AV136)-$F136*10%,IF(AW$121="6차중도금",$F136*70%-SUM($G136:AV136)-$F136*10%,0)))</f>
        <v>0</v>
      </c>
      <c r="AX136" s="605">
        <f>IF(AX$121="입주/잔금",($F136-SUM($G136:AW136))*30%,IF(AW$121="입주/잔금",($F136-SUM($G136:AV136))*50%,IF(AV$121="입주/잔금",($F136-SUM($G136:AU136))*20%,IF(AX$121=0,0,IF(AX$121="2차중도금",$F136*30%-SUM($G136:AW136),IF(AX$121="3차중도금",$F136*40%-SUM($G136:AW136),IF(AX$121="4차중도금",$F136*50%-SUM($G136:AW136),$F136*10%)))))))+(IF(AX$121="5차중도금",$F136*60%-SUM($G136:AW136)-$F136*10%,IF(AX$121="6차중도금",$F136*70%-SUM($G136:AW136)-$F136*10%,0)))</f>
        <v>0</v>
      </c>
      <c r="AY136" s="605">
        <f>IF(AY$121="입주/잔금",($F136-SUM($G136:AX136))*30%,IF(AX$121="입주/잔금",($F136-SUM($G136:AW136))*50%,IF(AW$121="입주/잔금",($F136-SUM($G136:AV136))*20%,IF(AY$121=0,0,IF(AY$121="2차중도금",$F136*30%-SUM($G136:AX136),IF(AY$121="3차중도금",$F136*40%-SUM($G136:AX136),IF(AY$121="4차중도금",$F136*50%-SUM($G136:AX136),$F136*10%)))))))+(IF(AY$121="5차중도금",$F136*60%-SUM($G136:AX136)-$F136*10%,IF(AY$121="6차중도금",$F136*70%-SUM($G136:AX136)-$F136*10%,0)))</f>
        <v>0</v>
      </c>
      <c r="AZ136" s="605">
        <f>IF(AZ$121="입주/잔금",($F136-SUM($G136:AY136))*30%,IF(AY$121="입주/잔금",($F136-SUM($G136:AX136))*50%,IF(AX$121="입주/잔금",($F136-SUM($G136:AW136))*20%,IF(AZ$121=0,0,IF(AZ$121="2차중도금",$F136*30%-SUM($G136:AY136),IF(AZ$121="3차중도금",$F136*40%-SUM($G136:AY136),IF(AZ$121="4차중도금",$F136*50%-SUM($G136:AY136),$F136*10%)))))))+(IF(AZ$121="5차중도금",$F136*60%-SUM($G136:AY136)-$F136*10%,IF(AZ$121="6차중도금",$F136*70%-SUM($G136:AY136)-$F136*10%,0)))</f>
        <v>0</v>
      </c>
      <c r="BA136" s="605">
        <f>IF(BA$121="입주/잔금",($F136-SUM($G136:AZ136))*30%,IF(AZ$121="입주/잔금",($F136-SUM($G136:AY136))*50%,IF(AY$121="입주/잔금",($F136-SUM($G136:AX136))*20%,IF(BA$121=0,0,IF(BA$121="2차중도금",$F136*30%-SUM($G136:AZ136),IF(BA$121="3차중도금",$F136*40%-SUM($G136:AZ136),IF(BA$121="4차중도금",$F136*50%-SUM($G136:AZ136),$F136*10%)))))))+(IF(BA$121="5차중도금",$F136*60%-SUM($G136:AZ136)-$F136*10%,IF(BA$121="6차중도금",$F136*70%-SUM($G136:AZ136)-$F136*10%,0)))</f>
        <v>0</v>
      </c>
      <c r="BB136" s="605">
        <f>IF(BB$121="입주/잔금",($F136-SUM($G136:BA136))*30%,IF(BA$121="입주/잔금",($F136-SUM($G136:AZ136))*50%,IF(AZ$121="입주/잔금",($F136-SUM($G136:AY136))*20%,IF(BB$121=0,0,IF(BB$121="2차중도금",$F136*30%-SUM($G136:BA136),IF(BB$121="3차중도금",$F136*40%-SUM($G136:BA136),IF(BB$121="4차중도금",$F136*50%-SUM($G136:BA136),$F136*10%)))))))+(IF(BB$121="5차중도금",$F136*60%-SUM($G136:BA136)-$F136*10%,IF(BB$121="6차중도금",$F136*70%-SUM($G136:BA136)-$F136*10%,0)))</f>
        <v>0</v>
      </c>
      <c r="BC136" s="605">
        <f>IF(BC$121="입주/잔금",($F136-SUM($G136:BB136))*30%,IF(BB$121="입주/잔금",($F136-SUM($G136:BA136))*50%,IF(BA$121="입주/잔금",($F136-SUM($G136:AZ136))*20%,IF(BC$121=0,0,IF(BC$121="2차중도금",$F136*30%-SUM($G136:BB136),IF(BC$121="3차중도금",$F136*40%-SUM($G136:BB136),IF(BC$121="4차중도금",$F136*50%-SUM($G136:BB136),$F136*10%)))))))+(IF(BC$121="5차중도금",$F136*60%-SUM($G136:BB136)-$F136*10%,IF(BC$121="6차중도금",$F136*70%-SUM($G136:BB136)-$F136*10%,0)))</f>
        <v>0</v>
      </c>
      <c r="BD136" s="605">
        <f>IF(BD$121="입주/잔금",($F136-SUM($G136:BC136))*30%,IF(BC$121="입주/잔금",($F136-SUM($G136:BB136))*50%,IF(BB$121="입주/잔금",($F136-SUM($G136:BA136))*20%,IF(BD$121=0,0,IF(BD$121="2차중도금",$F136*30%-SUM($G136:BC136),IF(BD$121="3차중도금",$F136*40%-SUM($G136:BC136),IF(BD$121="4차중도금",$F136*50%-SUM($G136:BC136),$F136*10%)))))))+(IF(BD$121="5차중도금",$F136*60%-SUM($G136:BC136)-$F136*10%,IF(BD$121="6차중도금",$F136*70%-SUM($G136:BC136)-$F136*10%,0)))</f>
        <v>0</v>
      </c>
      <c r="BE136" s="605">
        <f>IF(BE$121="입주/잔금",($F136-SUM($G136:BD136))*30%,IF(BD$121="입주/잔금",($F136-SUM($G136:BC136))*50%,IF(BC$121="입주/잔금",($F136-SUM($G136:BB136))*20%,IF(BE$121=0,0,IF(BE$121="2차중도금",$F136*30%-SUM($G136:BD136),IF(BE$121="3차중도금",$F136*40%-SUM($G136:BD136),IF(BE$121="4차중도금",$F136*50%-SUM($G136:BD136),$F136*10%)))))))+(IF(BE$121="5차중도금",$F136*60%-SUM($G136:BD136)-$F136*10%,IF(BE$121="6차중도금",$F136*70%-SUM($G136:BD136)-$F136*10%,0)))</f>
        <v>0</v>
      </c>
      <c r="BF136" s="609">
        <f t="shared" si="43"/>
        <v>1064248.4407619843</v>
      </c>
      <c r="BG136" s="556">
        <f t="shared" si="45"/>
        <v>0</v>
      </c>
      <c r="BH136" s="610"/>
    </row>
    <row r="137" spans="1:60">
      <c r="A137" s="1867"/>
      <c r="B137" s="611">
        <f t="shared" si="46"/>
        <v>45292</v>
      </c>
      <c r="C137" s="605">
        <f t="shared" si="47"/>
        <v>21284968.815239683</v>
      </c>
      <c r="D137" s="1501">
        <f t="shared" si="47"/>
        <v>0.05</v>
      </c>
      <c r="E137" s="607">
        <f t="shared" si="48"/>
        <v>0.65</v>
      </c>
      <c r="F137" s="608">
        <f t="shared" si="44"/>
        <v>1064248.4407619841</v>
      </c>
      <c r="G137" s="605"/>
      <c r="H137" s="605"/>
      <c r="I137" s="605"/>
      <c r="J137" s="605"/>
      <c r="K137" s="605"/>
      <c r="L137" s="605"/>
      <c r="M137" s="605"/>
      <c r="N137" s="605"/>
      <c r="O137" s="605"/>
      <c r="P137" s="605"/>
      <c r="Q137" s="605"/>
      <c r="R137" s="605"/>
      <c r="S137" s="605"/>
      <c r="T137" s="605"/>
      <c r="U137" s="605"/>
      <c r="V137" s="605">
        <f>$F137*10%</f>
        <v>106424.84407619841</v>
      </c>
      <c r="W137" s="605">
        <f>IF(W$121="입주/잔금",($F137-SUM($G137:V137))*30%,IF(V$121="입주/잔금",($F137-SUM($G137:U137))*50%,IF(U$121="입주/잔금",($F137-SUM($G137:T137))*20%,IF(W$121=0,0,IF(W$121="2차중도금",$F137*30%-SUM($G137:V137),IF(W$121="3차중도금",$F137*40%-SUM($G137:V137),IF(W$121="4차중도금",$F137*50%-SUM($G137:V137),$F137*10%)))))))+(IF(W$121="5차중도금",$F137*60%-SUM($G137:V137)-$F137*10%,IF(W$121="6차중도금",$F137*70%-SUM($G137:V137)-$F137*10%,0)))</f>
        <v>0</v>
      </c>
      <c r="X137" s="605">
        <f>IF(X$121="입주/잔금",($F137-SUM($G137:W137))*30%,IF(W$121="입주/잔금",($F137-SUM($G137:V137))*50%,IF(V$121="입주/잔금",($F137-SUM($G137:U137))*20%,IF(X$121=0,0,IF(X$121="2차중도금",$F137*30%-SUM($G137:W137),IF(X$121="3차중도금",$F137*40%-SUM($G137:W137),IF(X$121="4차중도금",$F137*50%-SUM($G137:W137),$F137*10%)))))))+(IF(X$121="5차중도금",$F137*60%-SUM($G137:W137)-$F137*10%,IF(X$121="6차중도금",$F137*70%-SUM($G137:W137)-$F137*10%,0)))</f>
        <v>0</v>
      </c>
      <c r="Y137" s="605">
        <f>IF(Y$121="입주/잔금",($F137-SUM($G137:X137))*30%,IF(X$121="입주/잔금",($F137-SUM($G137:W137))*50%,IF(W$121="입주/잔금",($F137-SUM($G137:V137))*20%,IF(Y$121=0,0,IF(Y$121="2차중도금",$F137*30%-SUM($G137:X137),IF(Y$121="3차중도금",$F137*40%-SUM($G137:X137),IF(Y$121="4차중도금",$F137*50%-SUM($G137:X137),$F137*10%)))))))+(IF(Y$121="5차중도금",$F137*60%-SUM($G137:X137)-$F137*10%,IF(Y$121="6차중도금",$F137*70%-SUM($G137:X137)-$F137*10%,0)))</f>
        <v>212849.68815239682</v>
      </c>
      <c r="Z137" s="605">
        <f>IF(Z$121="입주/잔금",($F137-SUM($G137:Y137))*30%,IF(Y$121="입주/잔금",($F137-SUM($G137:X137))*50%,IF(X$121="입주/잔금",($F137-SUM($G137:W137))*20%,IF(Z$121=0,0,IF(Z$121="2차중도금",$F137*30%-SUM($G137:Y137),IF(Z$121="3차중도금",$F137*40%-SUM($G137:Y137),IF(Z$121="4차중도금",$F137*50%-SUM($G137:Y137),$F137*10%)))))))+(IF(Z$121="5차중도금",$F137*60%-SUM($G137:Y137)-$F137*10%,IF(Z$121="6차중도금",$F137*70%-SUM($G137:Y137)-$F137*10%,0)))</f>
        <v>0</v>
      </c>
      <c r="AA137" s="605">
        <f>IF(AA$121="입주/잔금",($F137-SUM($G137:Z137))*30%,IF(Z$121="입주/잔금",($F137-SUM($G137:Y137))*50%,IF(Y$121="입주/잔금",($F137-SUM($G137:X137))*20%,IF(AA$121=0,0,IF(AA$121="2차중도금",$F137*30%-SUM($G137:Z137),IF(AA$121="3차중도금",$F137*40%-SUM($G137:Z137),IF(AA$121="4차중도금",$F137*50%-SUM($G137:Z137),$F137*10%)))))))+(IF(AA$121="5차중도금",$F137*60%-SUM($G137:Z137)-$F137*10%,IF(AA$121="6차중도금",$F137*70%-SUM($G137:Z137)-$F137*10%,0)))</f>
        <v>0</v>
      </c>
      <c r="AB137" s="605">
        <f>IF(AB$121="입주/잔금",($F137-SUM($G137:AA137))*30%,IF(AA$121="입주/잔금",($F137-SUM($G137:Z137))*50%,IF(Z$121="입주/잔금",($F137-SUM($G137:Y137))*20%,IF(AB$121=0,0,IF(AB$121="2차중도금",$F137*30%-SUM($G137:AA137),IF(AB$121="3차중도금",$F137*40%-SUM($G137:AA137),IF(AB$121="4차중도금",$F137*50%-SUM($G137:AA137),$F137*10%)))))))+(IF(AB$121="5차중도금",$F137*60%-SUM($G137:AA137)-$F137*10%,IF(AB$121="6차중도금",$F137*70%-SUM($G137:AA137)-$F137*10%,0)))</f>
        <v>0</v>
      </c>
      <c r="AC137" s="605">
        <f>IF(AC$121="입주/잔금",($F137-SUM($G137:AB137))*30%,IF(AB$121="입주/잔금",($F137-SUM($G137:AA137))*50%,IF(AA$121="입주/잔금",($F137-SUM($G137:Z137))*20%,IF(AC$121=0,0,IF(AC$121="2차중도금",$F137*30%-SUM($G137:AB137),IF(AC$121="3차중도금",$F137*40%-SUM($G137:AB137),IF(AC$121="4차중도금",$F137*50%-SUM($G137:AB137),$F137*10%)))))))+(IF(AC$121="5차중도금",$F137*60%-SUM($G137:AB137)-$F137*10%,IF(AC$121="6차중도금",$F137*70%-SUM($G137:AB137)-$F137*10%,0)))</f>
        <v>0</v>
      </c>
      <c r="AD137" s="605">
        <f>IF(AD$121="입주/잔금",($F137-SUM($G137:AC137))*30%,IF(AC$121="입주/잔금",($F137-SUM($G137:AB137))*50%,IF(AB$121="입주/잔금",($F137-SUM($G137:AA137))*20%,IF(AD$121=0,0,IF(AD$121="2차중도금",$F137*30%-SUM($G137:AC137),IF(AD$121="3차중도금",$F137*40%-SUM($G137:AC137),IF(AD$121="4차중도금",$F137*50%-SUM($G137:AC137),$F137*10%)))))))+(IF(AD$121="5차중도금",$F137*60%-SUM($G137:AC137)-$F137*10%,IF(AD$121="6차중도금",$F137*70%-SUM($G137:AC137)-$F137*10%,0)))</f>
        <v>0</v>
      </c>
      <c r="AE137" s="605">
        <f>IF(AE$121="입주/잔금",($F137-SUM($G137:AD137))*30%,IF(AD$121="입주/잔금",($F137-SUM($G137:AC137))*50%,IF(AC$121="입주/잔금",($F137-SUM($G137:AB137))*20%,IF(AE$121=0,0,IF(AE$121="2차중도금",$F137*30%-SUM($G137:AD137),IF(AE$121="3차중도금",$F137*40%-SUM($G137:AD137),IF(AE$121="4차중도금",$F137*50%-SUM($G137:AD137),$F137*10%)))))))+(IF(AE$121="5차중도금",$F137*60%-SUM($G137:AD137)-$F137*10%,IF(AE$121="6차중도금",$F137*70%-SUM($G137:AD137)-$F137*10%,0)))</f>
        <v>106424.84407619841</v>
      </c>
      <c r="AF137" s="605">
        <f>IF(AF$121="입주/잔금",($F137-SUM($G137:AE137))*30%,IF(AE$121="입주/잔금",($F137-SUM($G137:AD137))*50%,IF(AD$121="입주/잔금",($F137-SUM($G137:AC137))*20%,IF(AF$121=0,0,IF(AF$121="2차중도금",$F137*30%-SUM($G137:AE137),IF(AF$121="3차중도금",$F137*40%-SUM($G137:AE137),IF(AF$121="4차중도금",$F137*50%-SUM($G137:AE137),$F137*10%)))))))+(IF(AF$121="5차중도금",$F137*60%-SUM($G137:AE137)-$F137*10%,IF(AF$121="6차중도금",$F137*70%-SUM($G137:AE137)-$F137*10%,0)))</f>
        <v>0</v>
      </c>
      <c r="AG137" s="605">
        <f>IF(AG$121="입주/잔금",($F137-SUM($G137:AF137))*30%,IF(AF$121="입주/잔금",($F137-SUM($G137:AE137))*50%,IF(AE$121="입주/잔금",($F137-SUM($G137:AD137))*20%,IF(AG$121=0,0,IF(AG$121="2차중도금",$F137*30%-SUM($G137:AF137),IF(AG$121="3차중도금",$F137*40%-SUM($G137:AF137),IF(AG$121="4차중도금",$F137*50%-SUM($G137:AF137),$F137*10%)))))))+(IF(AG$121="5차중도금",$F137*60%-SUM($G137:AF137)-$F137*10%,IF(AG$121="6차중도금",$F137*70%-SUM($G137:AF137)-$F137*10%,0)))</f>
        <v>0</v>
      </c>
      <c r="AH137" s="605">
        <f>IF(AH$121="입주/잔금",($F137-SUM($G137:AG137))*30%,IF(AG$121="입주/잔금",($F137-SUM($G137:AF137))*50%,IF(AF$121="입주/잔금",($F137-SUM($G137:AE137))*20%,IF(AH$121=0,0,IF(AH$121="2차중도금",$F137*30%-SUM($G137:AG137),IF(AH$121="3차중도금",$F137*40%-SUM($G137:AG137),IF(AH$121="4차중도금",$F137*50%-SUM($G137:AG137),$F137*10%)))))))+(IF(AH$121="5차중도금",$F137*60%-SUM($G137:AG137)-$F137*10%,IF(AH$121="6차중도금",$F137*70%-SUM($G137:AG137)-$F137*10%,0)))</f>
        <v>0</v>
      </c>
      <c r="AI137" s="605">
        <f>IF(AI$121="입주/잔금",($F137-SUM($G137:AH137))*30%,IF(AH$121="입주/잔금",($F137-SUM($G137:AG137))*50%,IF(AG$121="입주/잔금",($F137-SUM($G137:AF137))*20%,IF(AI$121=0,0,IF(AI$121="2차중도금",$F137*30%-SUM($G137:AH137),IF(AI$121="3차중도금",$F137*40%-SUM($G137:AH137),IF(AI$121="4차중도금",$F137*50%-SUM($G137:AH137),$F137*10%)))))))+(IF(AI$121="5차중도금",$F137*60%-SUM($G137:AH137)-$F137*10%,IF(AI$121="6차중도금",$F137*70%-SUM($G137:AH137)-$F137*10%,0)))</f>
        <v>0</v>
      </c>
      <c r="AJ137" s="605">
        <f>IF(AJ$121="입주/잔금",($F137-SUM($G137:AI137))*30%,IF(AI$121="입주/잔금",($F137-SUM($G137:AH137))*50%,IF(AH$121="입주/잔금",($F137-SUM($G137:AG137))*20%,IF(AJ$121=0,0,IF(AJ$121="2차중도금",$F137*30%-SUM($G137:AI137),IF(AJ$121="3차중도금",$F137*40%-SUM($G137:AI137),IF(AJ$121="4차중도금",$F137*50%-SUM($G137:AI137),$F137*10%)))))))+(IF(AJ$121="5차중도금",$F137*60%-SUM($G137:AI137)-$F137*10%,IF(AJ$121="6차중도금",$F137*70%-SUM($G137:AI137)-$F137*10%,0)))</f>
        <v>0</v>
      </c>
      <c r="AK137" s="605">
        <f>IF(AK$121="입주/잔금",($F137-SUM($G137:AJ137))*30%,IF(AJ$121="입주/잔금",($F137-SUM($G137:AI137))*50%,IF(AI$121="입주/잔금",($F137-SUM($G137:AH137))*20%,IF(AK$121=0,0,IF(AK$121="2차중도금",$F137*30%-SUM($G137:AJ137),IF(AK$121="3차중도금",$F137*40%-SUM($G137:AJ137),IF(AK$121="4차중도금",$F137*50%-SUM($G137:AJ137),$F137*10%)))))))+(IF(AK$121="5차중도금",$F137*60%-SUM($G137:AJ137)-$F137*10%,IF(AK$121="6차중도금",$F137*70%-SUM($G137:AJ137)-$F137*10%,0)))</f>
        <v>106424.84407619841</v>
      </c>
      <c r="AL137" s="605">
        <f>IF(AL$121="입주/잔금",($F137-SUM($G137:AK137))*30%,IF(AK$121="입주/잔금",($F137-SUM($G137:AJ137))*50%,IF(AJ$121="입주/잔금",($F137-SUM($G137:AI137))*20%,IF(AL$121=0,0,IF(AL$121="2차중도금",$F137*30%-SUM($G137:AK137),IF(AL$121="3차중도금",$F137*40%-SUM($G137:AK137),IF(AL$121="4차중도금",$F137*50%-SUM($G137:AK137),$F137*10%)))))))+(IF(AL$121="5차중도금",$F137*60%-SUM($G137:AK137)-$F137*10%,IF(AL$121="6차중도금",$F137*70%-SUM($G137:AK137)-$F137*10%,0)))</f>
        <v>0</v>
      </c>
      <c r="AM137" s="605">
        <f>IF(AM$121="입주/잔금",($F137-SUM($G137:AL137))*30%,IF(AL$121="입주/잔금",($F137-SUM($G137:AK137))*50%,IF(AK$121="입주/잔금",($F137-SUM($G137:AJ137))*20%,IF(AM$121=0,0,IF(AM$121="2차중도금",$F137*30%-SUM($G137:AL137),IF(AM$121="3차중도금",$F137*40%-SUM($G137:AL137),IF(AM$121="4차중도금",$F137*50%-SUM($G137:AL137),$F137*10%)))))))+(IF(AM$121="5차중도금",$F137*60%-SUM($G137:AL137)-$F137*10%,IF(AM$121="6차중도금",$F137*70%-SUM($G137:AL137)-$F137*10%,0)))</f>
        <v>0</v>
      </c>
      <c r="AN137" s="605">
        <f>IF(AN$121="입주/잔금",($F137-SUM($G137:AM137))*30%,IF(AM$121="입주/잔금",($F137-SUM($G137:AL137))*50%,IF(AL$121="입주/잔금",($F137-SUM($G137:AK137))*20%,IF(AN$121=0,0,IF(AN$121="2차중도금",$F137*30%-SUM($G137:AM137),IF(AN$121="3차중도금",$F137*40%-SUM($G137:AM137),IF(AN$121="4차중도금",$F137*50%-SUM($G137:AM137),$F137*10%)))))))+(IF(AN$121="5차중도금",$F137*60%-SUM($G137:AM137)-$F137*10%,IF(AN$121="6차중도금",$F137*70%-SUM($G137:AM137)-$F137*10%,0)))</f>
        <v>0</v>
      </c>
      <c r="AO137" s="605">
        <f>IF(AO$121="입주/잔금",($F137-SUM($G137:AN137))*30%,IF(AN$121="입주/잔금",($F137-SUM($G137:AM137))*50%,IF(AM$121="입주/잔금",($F137-SUM($G137:AL137))*20%,IF(AO$121=0,0,IF(AO$121="2차중도금",$F137*30%-SUM($G137:AN137),IF(AO$121="3차중도금",$F137*40%-SUM($G137:AN137),IF(AO$121="4차중도금",$F137*50%-SUM($G137:AN137),$F137*10%)))))))+(IF(AO$121="5차중도금",$F137*60%-SUM($G137:AN137)-$F137*10%,IF(AO$121="6차중도금",$F137*70%-SUM($G137:AN137)-$F137*10%,0)))</f>
        <v>0</v>
      </c>
      <c r="AP137" s="605">
        <f>IF(AP$121="입주/잔금",($F137-SUM($G137:AO137))*30%,IF(AO$121="입주/잔금",($F137-SUM($G137:AN137))*50%,IF(AN$121="입주/잔금",($F137-SUM($G137:AM137))*20%,IF(AP$121=0,0,IF(AP$121="2차중도금",$F137*30%-SUM($G137:AO137),IF(AP$121="3차중도금",$F137*40%-SUM($G137:AO137),IF(AP$121="4차중도금",$F137*50%-SUM($G137:AO137),$F137*10%)))))))+(IF(AP$121="5차중도금",$F137*60%-SUM($G137:AO137)-$F137*10%,IF(AP$121="6차중도금",$F137*70%-SUM($G137:AO137)-$F137*10%,0)))</f>
        <v>0</v>
      </c>
      <c r="AQ137" s="605">
        <f>IF(AQ$121="입주/잔금",($F137-SUM($G137:AP137))*30%,IF(AP$121="입주/잔금",($F137-SUM($G137:AO137))*50%,IF(AO$121="입주/잔금",($F137-SUM($G137:AN137))*20%,IF(AQ$121=0,0,IF(AQ$121="2차중도금",$F137*30%-SUM($G137:AP137),IF(AQ$121="3차중도금",$F137*40%-SUM($G137:AP137),IF(AQ$121="4차중도금",$F137*50%-SUM($G137:AP137),$F137*10%)))))))+(IF(AQ$121="5차중도금",$F137*60%-SUM($G137:AP137)-$F137*10%,IF(AQ$121="6차중도금",$F137*70%-SUM($G137:AP137)-$F137*10%,0)))</f>
        <v>0</v>
      </c>
      <c r="AR137" s="605">
        <f>IF(AR$121="입주/잔금",($F137-SUM($G137:AQ137))*30%,IF(AQ$121="입주/잔금",($F137-SUM($G137:AP137))*50%,IF(AP$121="입주/잔금",($F137-SUM($G137:AO137))*20%,IF(AR$121=0,0,IF(AR$121="2차중도금",$F137*30%-SUM($G137:AQ137),IF(AR$121="3차중도금",$F137*40%-SUM($G137:AQ137),IF(AR$121="4차중도금",$F137*50%-SUM($G137:AQ137),$F137*10%)))))))+(IF(AR$121="5차중도금",$F137*60%-SUM($G137:AQ137)-$F137*10%,IF(AR$121="6차중도금",$F137*70%-SUM($G137:AQ137)-$F137*10%,0)))</f>
        <v>159637.26611429761</v>
      </c>
      <c r="AS137" s="605">
        <f>IF(AS$121="입주/잔금",($F137-SUM($G137:AR137))*30%,IF(AR$121="입주/잔금",($F137-SUM($G137:AQ137))*50%,IF(AQ$121="입주/잔금",($F137-SUM($G137:AP137))*20%,IF(AS$121=0,0,IF(AS$121="2차중도금",$F137*30%-SUM($G137:AR137),IF(AS$121="3차중도금",$F137*40%-SUM($G137:AR137),IF(AS$121="4차중도금",$F137*50%-SUM($G137:AR137),$F137*10%)))))))+(IF(AS$121="5차중도금",$F137*60%-SUM($G137:AR137)-$F137*10%,IF(AS$121="6차중도금",$F137*70%-SUM($G137:AR137)-$F137*10%,0)))</f>
        <v>266062.11019049602</v>
      </c>
      <c r="AT137" s="605">
        <f>IF(AT$121="입주/잔금",($F137-SUM($G137:AS137))*30%,IF(AS$121="입주/잔금",($F137-SUM($G137:AR137))*50%,IF(AR$121="입주/잔금",($F137-SUM($G137:AQ137))*20%,IF(AT$121=0,0,IF(AT$121="2차중도금",$F137*30%-SUM($G137:AS137),IF(AT$121="3차중도금",$F137*40%-SUM($G137:AS137),IF(AT$121="4차중도금",$F137*50%-SUM($G137:AS137),$F137*10%)))))))+(IF(AT$121="5차중도금",$F137*60%-SUM($G137:AS137)-$F137*10%,IF(AT$121="6차중도금",$F137*70%-SUM($G137:AS137)-$F137*10%,0)))</f>
        <v>106424.84407619841</v>
      </c>
      <c r="AU137" s="605">
        <f>IF(AU$121="입주/잔금",($F137-SUM($G137:AT137))*30%,IF(AT$121="입주/잔금",($F137-SUM($G137:AS137))*50%,IF(AS$121="입주/잔금",($F137-SUM($G137:AR137))*20%,IF(AU$121=0,0,IF(AU$121="2차중도금",$F137*30%-SUM($G137:AT137),IF(AU$121="3차중도금",$F137*40%-SUM($G137:AT137),IF(AU$121="4차중도금",$F137*50%-SUM($G137:AT137),$F137*10%)))))))+(IF(AU$121="5차중도금",$F137*60%-SUM($G137:AT137)-$F137*10%,IF(AU$121="6차중도금",$F137*70%-SUM($G137:AT137)-$F137*10%,0)))</f>
        <v>0</v>
      </c>
      <c r="AV137" s="605">
        <f>IF(AV$121="입주/잔금",($F137-SUM($G137:AU137))*30%,IF(AU$121="입주/잔금",($F137-SUM($G137:AT137))*50%,IF(AT$121="입주/잔금",($F137-SUM($G137:AS137))*20%,IF(AV$121=0,0,IF(AV$121="2차중도금",$F137*30%-SUM($G137:AU137),IF(AV$121="3차중도금",$F137*40%-SUM($G137:AU137),IF(AV$121="4차중도금",$F137*50%-SUM($G137:AU137),$F137*10%)))))))+(IF(AV$121="5차중도금",$F137*60%-SUM($G137:AU137)-$F137*10%,IF(AV$121="6차중도금",$F137*70%-SUM($G137:AU137)-$F137*10%,0)))</f>
        <v>0</v>
      </c>
      <c r="AW137" s="605">
        <f>IF(AW$121="입주/잔금",($F137-SUM($G137:AV137))*30%,IF(AV$121="입주/잔금",($F137-SUM($G137:AU137))*50%,IF(AU$121="입주/잔금",($F137-SUM($G137:AT137))*20%,IF(AW$121=0,0,IF(AW$121="2차중도금",$F137*30%-SUM($G137:AV137),IF(AW$121="3차중도금",$F137*40%-SUM($G137:AV137),IF(AW$121="4차중도금",$F137*50%-SUM($G137:AV137),$F137*10%)))))))+(IF(AW$121="5차중도금",$F137*60%-SUM($G137:AV137)-$F137*10%,IF(AW$121="6차중도금",$F137*70%-SUM($G137:AV137)-$F137*10%,0)))</f>
        <v>0</v>
      </c>
      <c r="AX137" s="605">
        <f>IF(AX$121="입주/잔금",($F137-SUM($G137:AW137))*30%,IF(AW$121="입주/잔금",($F137-SUM($G137:AV137))*50%,IF(AV$121="입주/잔금",($F137-SUM($G137:AU137))*20%,IF(AX$121=0,0,IF(AX$121="2차중도금",$F137*30%-SUM($G137:AW137),IF(AX$121="3차중도금",$F137*40%-SUM($G137:AW137),IF(AX$121="4차중도금",$F137*50%-SUM($G137:AW137),$F137*10%)))))))+(IF(AX$121="5차중도금",$F137*60%-SUM($G137:AW137)-$F137*10%,IF(AX$121="6차중도금",$F137*70%-SUM($G137:AW137)-$F137*10%,0)))</f>
        <v>0</v>
      </c>
      <c r="AY137" s="605">
        <f>IF(AY$121="입주/잔금",($F137-SUM($G137:AX137))*30%,IF(AX$121="입주/잔금",($F137-SUM($G137:AW137))*50%,IF(AW$121="입주/잔금",($F137-SUM($G137:AV137))*20%,IF(AY$121=0,0,IF(AY$121="2차중도금",$F137*30%-SUM($G137:AX137),IF(AY$121="3차중도금",$F137*40%-SUM($G137:AX137),IF(AY$121="4차중도금",$F137*50%-SUM($G137:AX137),$F137*10%)))))))+(IF(AY$121="5차중도금",$F137*60%-SUM($G137:AX137)-$F137*10%,IF(AY$121="6차중도금",$F137*70%-SUM($G137:AX137)-$F137*10%,0)))</f>
        <v>0</v>
      </c>
      <c r="AZ137" s="605">
        <f>IF(AZ$121="입주/잔금",($F137-SUM($G137:AY137))*30%,IF(AY$121="입주/잔금",($F137-SUM($G137:AX137))*50%,IF(AX$121="입주/잔금",($F137-SUM($G137:AW137))*20%,IF(AZ$121=0,0,IF(AZ$121="2차중도금",$F137*30%-SUM($G137:AY137),IF(AZ$121="3차중도금",$F137*40%-SUM($G137:AY137),IF(AZ$121="4차중도금",$F137*50%-SUM($G137:AY137),$F137*10%)))))))+(IF(AZ$121="5차중도금",$F137*60%-SUM($G137:AY137)-$F137*10%,IF(AZ$121="6차중도금",$F137*70%-SUM($G137:AY137)-$F137*10%,0)))</f>
        <v>0</v>
      </c>
      <c r="BA137" s="605">
        <f>IF(BA$121="입주/잔금",($F137-SUM($G137:AZ137))*30%,IF(AZ$121="입주/잔금",($F137-SUM($G137:AY137))*50%,IF(AY$121="입주/잔금",($F137-SUM($G137:AX137))*20%,IF(BA$121=0,0,IF(BA$121="2차중도금",$F137*30%-SUM($G137:AZ137),IF(BA$121="3차중도금",$F137*40%-SUM($G137:AZ137),IF(BA$121="4차중도금",$F137*50%-SUM($G137:AZ137),$F137*10%)))))))+(IF(BA$121="5차중도금",$F137*60%-SUM($G137:AZ137)-$F137*10%,IF(BA$121="6차중도금",$F137*70%-SUM($G137:AZ137)-$F137*10%,0)))</f>
        <v>0</v>
      </c>
      <c r="BB137" s="605">
        <f>IF(BB$121="입주/잔금",($F137-SUM($G137:BA137))*30%,IF(BA$121="입주/잔금",($F137-SUM($G137:AZ137))*50%,IF(AZ$121="입주/잔금",($F137-SUM($G137:AY137))*20%,IF(BB$121=0,0,IF(BB$121="2차중도금",$F137*30%-SUM($G137:BA137),IF(BB$121="3차중도금",$F137*40%-SUM($G137:BA137),IF(BB$121="4차중도금",$F137*50%-SUM($G137:BA137),$F137*10%)))))))+(IF(BB$121="5차중도금",$F137*60%-SUM($G137:BA137)-$F137*10%,IF(BB$121="6차중도금",$F137*70%-SUM($G137:BA137)-$F137*10%,0)))</f>
        <v>0</v>
      </c>
      <c r="BC137" s="605">
        <f>IF(BC$121="입주/잔금",($F137-SUM($G137:BB137))*30%,IF(BB$121="입주/잔금",($F137-SUM($G137:BA137))*50%,IF(BA$121="입주/잔금",($F137-SUM($G137:AZ137))*20%,IF(BC$121=0,0,IF(BC$121="2차중도금",$F137*30%-SUM($G137:BB137),IF(BC$121="3차중도금",$F137*40%-SUM($G137:BB137),IF(BC$121="4차중도금",$F137*50%-SUM($G137:BB137),$F137*10%)))))))+(IF(BC$121="5차중도금",$F137*60%-SUM($G137:BB137)-$F137*10%,IF(BC$121="6차중도금",$F137*70%-SUM($G137:BB137)-$F137*10%,0)))</f>
        <v>0</v>
      </c>
      <c r="BD137" s="605">
        <f>IF(BD$121="입주/잔금",($F137-SUM($G137:BC137))*30%,IF(BC$121="입주/잔금",($F137-SUM($G137:BB137))*50%,IF(BB$121="입주/잔금",($F137-SUM($G137:BA137))*20%,IF(BD$121=0,0,IF(BD$121="2차중도금",$F137*30%-SUM($G137:BC137),IF(BD$121="3차중도금",$F137*40%-SUM($G137:BC137),IF(BD$121="4차중도금",$F137*50%-SUM($G137:BC137),$F137*10%)))))))+(IF(BD$121="5차중도금",$F137*60%-SUM($G137:BC137)-$F137*10%,IF(BD$121="6차중도금",$F137*70%-SUM($G137:BC137)-$F137*10%,0)))</f>
        <v>0</v>
      </c>
      <c r="BE137" s="605">
        <f>IF(BE$121="입주/잔금",($F137-SUM($G137:BD137))*30%,IF(BD$121="입주/잔금",($F137-SUM($G137:BC137))*50%,IF(BC$121="입주/잔금",($F137-SUM($G137:BB137))*20%,IF(BE$121=0,0,IF(BE$121="2차중도금",$F137*30%-SUM($G137:BD137),IF(BE$121="3차중도금",$F137*40%-SUM($G137:BD137),IF(BE$121="4차중도금",$F137*50%-SUM($G137:BD137),$F137*10%)))))))+(IF(BE$121="5차중도금",$F137*60%-SUM($G137:BD137)-$F137*10%,IF(BE$121="6차중도금",$F137*70%-SUM($G137:BD137)-$F137*10%,0)))</f>
        <v>0</v>
      </c>
      <c r="BF137" s="609">
        <f t="shared" si="43"/>
        <v>1064248.4407619843</v>
      </c>
      <c r="BG137" s="556">
        <f t="shared" si="45"/>
        <v>0</v>
      </c>
      <c r="BH137" s="610"/>
    </row>
    <row r="138" spans="1:60">
      <c r="A138" s="1867"/>
      <c r="B138" s="611">
        <f t="shared" si="46"/>
        <v>45323</v>
      </c>
      <c r="C138" s="605">
        <f t="shared" si="47"/>
        <v>21284968.815239683</v>
      </c>
      <c r="D138" s="1501">
        <v>0.03</v>
      </c>
      <c r="E138" s="607">
        <f t="shared" si="48"/>
        <v>0.68</v>
      </c>
      <c r="F138" s="608">
        <f t="shared" si="44"/>
        <v>638549.06445719046</v>
      </c>
      <c r="G138" s="605"/>
      <c r="H138" s="605"/>
      <c r="I138" s="605"/>
      <c r="J138" s="605"/>
      <c r="K138" s="605"/>
      <c r="L138" s="605"/>
      <c r="M138" s="605"/>
      <c r="N138" s="605"/>
      <c r="O138" s="605"/>
      <c r="P138" s="605"/>
      <c r="Q138" s="605"/>
      <c r="R138" s="605"/>
      <c r="S138" s="605"/>
      <c r="T138" s="605"/>
      <c r="U138" s="605"/>
      <c r="V138" s="605"/>
      <c r="W138" s="605">
        <f>$F138*10%</f>
        <v>63854.906445719047</v>
      </c>
      <c r="X138" s="605">
        <f>IF(X$121="입주/잔금",($F138-SUM($G138:W138))*30%,IF(W$121="입주/잔금",($F138-SUM($G138:V138))*50%,IF(V$121="입주/잔금",($F138-SUM($G138:U138))*20%,IF(X$121=0,0,IF(X$121="2차중도금",$F138*30%-SUM($G138:W138),IF(X$121="3차중도금",$F138*40%-SUM($G138:W138),IF(X$121="4차중도금",$F138*50%-SUM($G138:W138),$F138*10%)))))))+(IF(X$121="5차중도금",$F138*60%-SUM($G138:W138)-$F138*10%,IF(X$121="6차중도금",$F138*70%-SUM($G138:W138)-$F138*10%,0)))</f>
        <v>0</v>
      </c>
      <c r="Y138" s="605">
        <f>IF(Y$121="입주/잔금",($F138-SUM($G138:X138))*30%,IF(X$121="입주/잔금",($F138-SUM($G138:W138))*50%,IF(W$121="입주/잔금",($F138-SUM($G138:V138))*20%,IF(Y$121=0,0,IF(Y$121="2차중도금",$F138*30%-SUM($G138:X138),IF(Y$121="3차중도금",$F138*40%-SUM($G138:X138),IF(Y$121="4차중도금",$F138*50%-SUM($G138:X138),$F138*10%)))))))+(IF(Y$121="5차중도금",$F138*60%-SUM($G138:X138)-$F138*10%,IF(Y$121="6차중도금",$F138*70%-SUM($G138:X138)-$F138*10%,0)))</f>
        <v>127709.81289143808</v>
      </c>
      <c r="Z138" s="605">
        <f>IF(Z$121="입주/잔금",($F138-SUM($G138:Y138))*30%,IF(Y$121="입주/잔금",($F138-SUM($G138:X138))*50%,IF(X$121="입주/잔금",($F138-SUM($G138:W138))*20%,IF(Z$121=0,0,IF(Z$121="2차중도금",$F138*30%-SUM($G138:Y138),IF(Z$121="3차중도금",$F138*40%-SUM($G138:Y138),IF(Z$121="4차중도금",$F138*50%-SUM($G138:Y138),$F138*10%)))))))+(IF(Z$121="5차중도금",$F138*60%-SUM($G138:Y138)-$F138*10%,IF(Z$121="6차중도금",$F138*70%-SUM($G138:Y138)-$F138*10%,0)))</f>
        <v>0</v>
      </c>
      <c r="AA138" s="605">
        <f>IF(AA$121="입주/잔금",($F138-SUM($G138:Z138))*30%,IF(Z$121="입주/잔금",($F138-SUM($G138:Y138))*50%,IF(Y$121="입주/잔금",($F138-SUM($G138:X138))*20%,IF(AA$121=0,0,IF(AA$121="2차중도금",$F138*30%-SUM($G138:Z138),IF(AA$121="3차중도금",$F138*40%-SUM($G138:Z138),IF(AA$121="4차중도금",$F138*50%-SUM($G138:Z138),$F138*10%)))))))+(IF(AA$121="5차중도금",$F138*60%-SUM($G138:Z138)-$F138*10%,IF(AA$121="6차중도금",$F138*70%-SUM($G138:Z138)-$F138*10%,0)))</f>
        <v>0</v>
      </c>
      <c r="AB138" s="605">
        <f>IF(AB$121="입주/잔금",($F138-SUM($G138:AA138))*30%,IF(AA$121="입주/잔금",($F138-SUM($G138:Z138))*50%,IF(Z$121="입주/잔금",($F138-SUM($G138:Y138))*20%,IF(AB$121=0,0,IF(AB$121="2차중도금",$F138*30%-SUM($G138:AA138),IF(AB$121="3차중도금",$F138*40%-SUM($G138:AA138),IF(AB$121="4차중도금",$F138*50%-SUM($G138:AA138),$F138*10%)))))))+(IF(AB$121="5차중도금",$F138*60%-SUM($G138:AA138)-$F138*10%,IF(AB$121="6차중도금",$F138*70%-SUM($G138:AA138)-$F138*10%,0)))</f>
        <v>0</v>
      </c>
      <c r="AC138" s="605">
        <f>IF(AC$121="입주/잔금",($F138-SUM($G138:AB138))*30%,IF(AB$121="입주/잔금",($F138-SUM($G138:AA138))*50%,IF(AA$121="입주/잔금",($F138-SUM($G138:Z138))*20%,IF(AC$121=0,0,IF(AC$121="2차중도금",$F138*30%-SUM($G138:AB138),IF(AC$121="3차중도금",$F138*40%-SUM($G138:AB138),IF(AC$121="4차중도금",$F138*50%-SUM($G138:AB138),$F138*10%)))))))+(IF(AC$121="5차중도금",$F138*60%-SUM($G138:AB138)-$F138*10%,IF(AC$121="6차중도금",$F138*70%-SUM($G138:AB138)-$F138*10%,0)))</f>
        <v>0</v>
      </c>
      <c r="AD138" s="605">
        <f>IF(AD$121="입주/잔금",($F138-SUM($G138:AC138))*30%,IF(AC$121="입주/잔금",($F138-SUM($G138:AB138))*50%,IF(AB$121="입주/잔금",($F138-SUM($G138:AA138))*20%,IF(AD$121=0,0,IF(AD$121="2차중도금",$F138*30%-SUM($G138:AC138),IF(AD$121="3차중도금",$F138*40%-SUM($G138:AC138),IF(AD$121="4차중도금",$F138*50%-SUM($G138:AC138),$F138*10%)))))))+(IF(AD$121="5차중도금",$F138*60%-SUM($G138:AC138)-$F138*10%,IF(AD$121="6차중도금",$F138*70%-SUM($G138:AC138)-$F138*10%,0)))</f>
        <v>0</v>
      </c>
      <c r="AE138" s="605">
        <f>IF(AE$121="입주/잔금",($F138-SUM($G138:AD138))*30%,IF(AD$121="입주/잔금",($F138-SUM($G138:AC138))*50%,IF(AC$121="입주/잔금",($F138-SUM($G138:AB138))*20%,IF(AE$121=0,0,IF(AE$121="2차중도금",$F138*30%-SUM($G138:AD138),IF(AE$121="3차중도금",$F138*40%-SUM($G138:AD138),IF(AE$121="4차중도금",$F138*50%-SUM($G138:AD138),$F138*10%)))))))+(IF(AE$121="5차중도금",$F138*60%-SUM($G138:AD138)-$F138*10%,IF(AE$121="6차중도금",$F138*70%-SUM($G138:AD138)-$F138*10%,0)))</f>
        <v>63854.906445719069</v>
      </c>
      <c r="AF138" s="605">
        <f>IF(AF$121="입주/잔금",($F138-SUM($G138:AE138))*30%,IF(AE$121="입주/잔금",($F138-SUM($G138:AD138))*50%,IF(AD$121="입주/잔금",($F138-SUM($G138:AC138))*20%,IF(AF$121=0,0,IF(AF$121="2차중도금",$F138*30%-SUM($G138:AE138),IF(AF$121="3차중도금",$F138*40%-SUM($G138:AE138),IF(AF$121="4차중도금",$F138*50%-SUM($G138:AE138),$F138*10%)))))))+(IF(AF$121="5차중도금",$F138*60%-SUM($G138:AE138)-$F138*10%,IF(AF$121="6차중도금",$F138*70%-SUM($G138:AE138)-$F138*10%,0)))</f>
        <v>0</v>
      </c>
      <c r="AG138" s="605">
        <f>IF(AG$121="입주/잔금",($F138-SUM($G138:AF138))*30%,IF(AF$121="입주/잔금",($F138-SUM($G138:AE138))*50%,IF(AE$121="입주/잔금",($F138-SUM($G138:AD138))*20%,IF(AG$121=0,0,IF(AG$121="2차중도금",$F138*30%-SUM($G138:AF138),IF(AG$121="3차중도금",$F138*40%-SUM($G138:AF138),IF(AG$121="4차중도금",$F138*50%-SUM($G138:AF138),$F138*10%)))))))+(IF(AG$121="5차중도금",$F138*60%-SUM($G138:AF138)-$F138*10%,IF(AG$121="6차중도금",$F138*70%-SUM($G138:AF138)-$F138*10%,0)))</f>
        <v>0</v>
      </c>
      <c r="AH138" s="605">
        <f>IF(AH$121="입주/잔금",($F138-SUM($G138:AG138))*30%,IF(AG$121="입주/잔금",($F138-SUM($G138:AF138))*50%,IF(AF$121="입주/잔금",($F138-SUM($G138:AE138))*20%,IF(AH$121=0,0,IF(AH$121="2차중도금",$F138*30%-SUM($G138:AG138),IF(AH$121="3차중도금",$F138*40%-SUM($G138:AG138),IF(AH$121="4차중도금",$F138*50%-SUM($G138:AG138),$F138*10%)))))))+(IF(AH$121="5차중도금",$F138*60%-SUM($G138:AG138)-$F138*10%,IF(AH$121="6차중도금",$F138*70%-SUM($G138:AG138)-$F138*10%,0)))</f>
        <v>0</v>
      </c>
      <c r="AI138" s="605">
        <f>IF(AI$121="입주/잔금",($F138-SUM($G138:AH138))*30%,IF(AH$121="입주/잔금",($F138-SUM($G138:AG138))*50%,IF(AG$121="입주/잔금",($F138-SUM($G138:AF138))*20%,IF(AI$121=0,0,IF(AI$121="2차중도금",$F138*30%-SUM($G138:AH138),IF(AI$121="3차중도금",$F138*40%-SUM($G138:AH138),IF(AI$121="4차중도금",$F138*50%-SUM($G138:AH138),$F138*10%)))))))+(IF(AI$121="5차중도금",$F138*60%-SUM($G138:AH138)-$F138*10%,IF(AI$121="6차중도금",$F138*70%-SUM($G138:AH138)-$F138*10%,0)))</f>
        <v>0</v>
      </c>
      <c r="AJ138" s="605">
        <f>IF(AJ$121="입주/잔금",($F138-SUM($G138:AI138))*30%,IF(AI$121="입주/잔금",($F138-SUM($G138:AH138))*50%,IF(AH$121="입주/잔금",($F138-SUM($G138:AG138))*20%,IF(AJ$121=0,0,IF(AJ$121="2차중도금",$F138*30%-SUM($G138:AI138),IF(AJ$121="3차중도금",$F138*40%-SUM($G138:AI138),IF(AJ$121="4차중도금",$F138*50%-SUM($G138:AI138),$F138*10%)))))))+(IF(AJ$121="5차중도금",$F138*60%-SUM($G138:AI138)-$F138*10%,IF(AJ$121="6차중도금",$F138*70%-SUM($G138:AI138)-$F138*10%,0)))</f>
        <v>0</v>
      </c>
      <c r="AK138" s="605">
        <f>IF(AK$121="입주/잔금",($F138-SUM($G138:AJ138))*30%,IF(AJ$121="입주/잔금",($F138-SUM($G138:AI138))*50%,IF(AI$121="입주/잔금",($F138-SUM($G138:AH138))*20%,IF(AK$121=0,0,IF(AK$121="2차중도금",$F138*30%-SUM($G138:AJ138),IF(AK$121="3차중도금",$F138*40%-SUM($G138:AJ138),IF(AK$121="4차중도금",$F138*50%-SUM($G138:AJ138),$F138*10%)))))))+(IF(AK$121="5차중도금",$F138*60%-SUM($G138:AJ138)-$F138*10%,IF(AK$121="6차중도금",$F138*70%-SUM($G138:AJ138)-$F138*10%,0)))</f>
        <v>63854.90644571904</v>
      </c>
      <c r="AL138" s="605">
        <f>IF(AL$121="입주/잔금",($F138-SUM($G138:AK138))*30%,IF(AK$121="입주/잔금",($F138-SUM($G138:AJ138))*50%,IF(AJ$121="입주/잔금",($F138-SUM($G138:AI138))*20%,IF(AL$121=0,0,IF(AL$121="2차중도금",$F138*30%-SUM($G138:AK138),IF(AL$121="3차중도금",$F138*40%-SUM($G138:AK138),IF(AL$121="4차중도금",$F138*50%-SUM($G138:AK138),$F138*10%)))))))+(IF(AL$121="5차중도금",$F138*60%-SUM($G138:AK138)-$F138*10%,IF(AL$121="6차중도금",$F138*70%-SUM($G138:AK138)-$F138*10%,0)))</f>
        <v>0</v>
      </c>
      <c r="AM138" s="605">
        <f>IF(AM$121="입주/잔금",($F138-SUM($G138:AL138))*30%,IF(AL$121="입주/잔금",($F138-SUM($G138:AK138))*50%,IF(AK$121="입주/잔금",($F138-SUM($G138:AJ138))*20%,IF(AM$121=0,0,IF(AM$121="2차중도금",$F138*30%-SUM($G138:AL138),IF(AM$121="3차중도금",$F138*40%-SUM($G138:AL138),IF(AM$121="4차중도금",$F138*50%-SUM($G138:AL138),$F138*10%)))))))+(IF(AM$121="5차중도금",$F138*60%-SUM($G138:AL138)-$F138*10%,IF(AM$121="6차중도금",$F138*70%-SUM($G138:AL138)-$F138*10%,0)))</f>
        <v>0</v>
      </c>
      <c r="AN138" s="605">
        <f>IF(AN$121="입주/잔금",($F138-SUM($G138:AM138))*30%,IF(AM$121="입주/잔금",($F138-SUM($G138:AL138))*50%,IF(AL$121="입주/잔금",($F138-SUM($G138:AK138))*20%,IF(AN$121=0,0,IF(AN$121="2차중도금",$F138*30%-SUM($G138:AM138),IF(AN$121="3차중도금",$F138*40%-SUM($G138:AM138),IF(AN$121="4차중도금",$F138*50%-SUM($G138:AM138),$F138*10%)))))))+(IF(AN$121="5차중도금",$F138*60%-SUM($G138:AM138)-$F138*10%,IF(AN$121="6차중도금",$F138*70%-SUM($G138:AM138)-$F138*10%,0)))</f>
        <v>0</v>
      </c>
      <c r="AO138" s="605">
        <f>IF(AO$121="입주/잔금",($F138-SUM($G138:AN138))*30%,IF(AN$121="입주/잔금",($F138-SUM($G138:AM138))*50%,IF(AM$121="입주/잔금",($F138-SUM($G138:AL138))*20%,IF(AO$121=0,0,IF(AO$121="2차중도금",$F138*30%-SUM($G138:AN138),IF(AO$121="3차중도금",$F138*40%-SUM($G138:AN138),IF(AO$121="4차중도금",$F138*50%-SUM($G138:AN138),$F138*10%)))))))+(IF(AO$121="5차중도금",$F138*60%-SUM($G138:AN138)-$F138*10%,IF(AO$121="6차중도금",$F138*70%-SUM($G138:AN138)-$F138*10%,0)))</f>
        <v>0</v>
      </c>
      <c r="AP138" s="605">
        <f>IF(AP$121="입주/잔금",($F138-SUM($G138:AO138))*30%,IF(AO$121="입주/잔금",($F138-SUM($G138:AN138))*50%,IF(AN$121="입주/잔금",($F138-SUM($G138:AM138))*20%,IF(AP$121=0,0,IF(AP$121="2차중도금",$F138*30%-SUM($G138:AO138),IF(AP$121="3차중도금",$F138*40%-SUM($G138:AO138),IF(AP$121="4차중도금",$F138*50%-SUM($G138:AO138),$F138*10%)))))))+(IF(AP$121="5차중도금",$F138*60%-SUM($G138:AO138)-$F138*10%,IF(AP$121="6차중도금",$F138*70%-SUM($G138:AO138)-$F138*10%,0)))</f>
        <v>0</v>
      </c>
      <c r="AQ138" s="605">
        <f>IF(AQ$121="입주/잔금",($F138-SUM($G138:AP138))*30%,IF(AP$121="입주/잔금",($F138-SUM($G138:AO138))*50%,IF(AO$121="입주/잔금",($F138-SUM($G138:AN138))*20%,IF(AQ$121=0,0,IF(AQ$121="2차중도금",$F138*30%-SUM($G138:AP138),IF(AQ$121="3차중도금",$F138*40%-SUM($G138:AP138),IF(AQ$121="4차중도금",$F138*50%-SUM($G138:AP138),$F138*10%)))))))+(IF(AQ$121="5차중도금",$F138*60%-SUM($G138:AP138)-$F138*10%,IF(AQ$121="6차중도금",$F138*70%-SUM($G138:AP138)-$F138*10%,0)))</f>
        <v>0</v>
      </c>
      <c r="AR138" s="605">
        <f>IF(AR$121="입주/잔금",($F138-SUM($G138:AQ138))*30%,IF(AQ$121="입주/잔금",($F138-SUM($G138:AP138))*50%,IF(AP$121="입주/잔금",($F138-SUM($G138:AO138))*20%,IF(AR$121=0,0,IF(AR$121="2차중도금",$F138*30%-SUM($G138:AQ138),IF(AR$121="3차중도금",$F138*40%-SUM($G138:AQ138),IF(AR$121="4차중도금",$F138*50%-SUM($G138:AQ138),$F138*10%)))))))+(IF(AR$121="5차중도금",$F138*60%-SUM($G138:AQ138)-$F138*10%,IF(AR$121="6차중도금",$F138*70%-SUM($G138:AQ138)-$F138*10%,0)))</f>
        <v>95782.35966857856</v>
      </c>
      <c r="AS138" s="605">
        <f>IF(AS$121="입주/잔금",($F138-SUM($G138:AR138))*30%,IF(AR$121="입주/잔금",($F138-SUM($G138:AQ138))*50%,IF(AQ$121="입주/잔금",($F138-SUM($G138:AP138))*20%,IF(AS$121=0,0,IF(AS$121="2차중도금",$F138*30%-SUM($G138:AR138),IF(AS$121="3차중도금",$F138*40%-SUM($G138:AR138),IF(AS$121="4차중도금",$F138*50%-SUM($G138:AR138),$F138*10%)))))))+(IF(AS$121="5차중도금",$F138*60%-SUM($G138:AR138)-$F138*10%,IF(AS$121="6차중도금",$F138*70%-SUM($G138:AR138)-$F138*10%,0)))</f>
        <v>159637.26611429761</v>
      </c>
      <c r="AT138" s="605">
        <f>IF(AT$121="입주/잔금",($F138-SUM($G138:AS138))*30%,IF(AS$121="입주/잔금",($F138-SUM($G138:AR138))*50%,IF(AR$121="입주/잔금",($F138-SUM($G138:AQ138))*20%,IF(AT$121=0,0,IF(AT$121="2차중도금",$F138*30%-SUM($G138:AS138),IF(AT$121="3차중도금",$F138*40%-SUM($G138:AS138),IF(AT$121="4차중도금",$F138*50%-SUM($G138:AS138),$F138*10%)))))))+(IF(AT$121="5차중도금",$F138*60%-SUM($G138:AS138)-$F138*10%,IF(AT$121="6차중도금",$F138*70%-SUM($G138:AS138)-$F138*10%,0)))</f>
        <v>63854.906445719047</v>
      </c>
      <c r="AU138" s="605">
        <f>IF(AU$121="입주/잔금",($F138-SUM($G138:AT138))*30%,IF(AT$121="입주/잔금",($F138-SUM($G138:AS138))*50%,IF(AS$121="입주/잔금",($F138-SUM($G138:AR138))*20%,IF(AU$121=0,0,IF(AU$121="2차중도금",$F138*30%-SUM($G138:AT138),IF(AU$121="3차중도금",$F138*40%-SUM($G138:AT138),IF(AU$121="4차중도금",$F138*50%-SUM($G138:AT138),$F138*10%)))))))+(IF(AU$121="5차중도금",$F138*60%-SUM($G138:AT138)-$F138*10%,IF(AU$121="6차중도금",$F138*70%-SUM($G138:AT138)-$F138*10%,0)))</f>
        <v>0</v>
      </c>
      <c r="AV138" s="605">
        <f>IF(AV$121="입주/잔금",($F138-SUM($G138:AU138))*30%,IF(AU$121="입주/잔금",($F138-SUM($G138:AT138))*50%,IF(AT$121="입주/잔금",($F138-SUM($G138:AS138))*20%,IF(AV$121=0,0,IF(AV$121="2차중도금",$F138*30%-SUM($G138:AU138),IF(AV$121="3차중도금",$F138*40%-SUM($G138:AU138),IF(AV$121="4차중도금",$F138*50%-SUM($G138:AU138),$F138*10%)))))))+(IF(AV$121="5차중도금",$F138*60%-SUM($G138:AU138)-$F138*10%,IF(AV$121="6차중도금",$F138*70%-SUM($G138:AU138)-$F138*10%,0)))</f>
        <v>0</v>
      </c>
      <c r="AW138" s="605">
        <f>IF(AW$121="입주/잔금",($F138-SUM($G138:AV138))*30%,IF(AV$121="입주/잔금",($F138-SUM($G138:AU138))*50%,IF(AU$121="입주/잔금",($F138-SUM($G138:AT138))*20%,IF(AW$121=0,0,IF(AW$121="2차중도금",$F138*30%-SUM($G138:AV138),IF(AW$121="3차중도금",$F138*40%-SUM($G138:AV138),IF(AW$121="4차중도금",$F138*50%-SUM($G138:AV138),$F138*10%)))))))+(IF(AW$121="5차중도금",$F138*60%-SUM($G138:AV138)-$F138*10%,IF(AW$121="6차중도금",$F138*70%-SUM($G138:AV138)-$F138*10%,0)))</f>
        <v>0</v>
      </c>
      <c r="AX138" s="605">
        <f>IF(AX$121="입주/잔금",($F138-SUM($G138:AW138))*30%,IF(AW$121="입주/잔금",($F138-SUM($G138:AV138))*50%,IF(AV$121="입주/잔금",($F138-SUM($G138:AU138))*20%,IF(AX$121=0,0,IF(AX$121="2차중도금",$F138*30%-SUM($G138:AW138),IF(AX$121="3차중도금",$F138*40%-SUM($G138:AW138),IF(AX$121="4차중도금",$F138*50%-SUM($G138:AW138),$F138*10%)))))))+(IF(AX$121="5차중도금",$F138*60%-SUM($G138:AW138)-$F138*10%,IF(AX$121="6차중도금",$F138*70%-SUM($G138:AW138)-$F138*10%,0)))</f>
        <v>0</v>
      </c>
      <c r="AY138" s="605">
        <f>IF(AY$121="입주/잔금",($F138-SUM($G138:AX138))*30%,IF(AX$121="입주/잔금",($F138-SUM($G138:AW138))*50%,IF(AW$121="입주/잔금",($F138-SUM($G138:AV138))*20%,IF(AY$121=0,0,IF(AY$121="2차중도금",$F138*30%-SUM($G138:AX138),IF(AY$121="3차중도금",$F138*40%-SUM($G138:AX138),IF(AY$121="4차중도금",$F138*50%-SUM($G138:AX138),$F138*10%)))))))+(IF(AY$121="5차중도금",$F138*60%-SUM($G138:AX138)-$F138*10%,IF(AY$121="6차중도금",$F138*70%-SUM($G138:AX138)-$F138*10%,0)))</f>
        <v>0</v>
      </c>
      <c r="AZ138" s="605">
        <f>IF(AZ$121="입주/잔금",($F138-SUM($G138:AY138))*30%,IF(AY$121="입주/잔금",($F138-SUM($G138:AX138))*50%,IF(AX$121="입주/잔금",($F138-SUM($G138:AW138))*20%,IF(AZ$121=0,0,IF(AZ$121="2차중도금",$F138*30%-SUM($G138:AY138),IF(AZ$121="3차중도금",$F138*40%-SUM($G138:AY138),IF(AZ$121="4차중도금",$F138*50%-SUM($G138:AY138),$F138*10%)))))))+(IF(AZ$121="5차중도금",$F138*60%-SUM($G138:AY138)-$F138*10%,IF(AZ$121="6차중도금",$F138*70%-SUM($G138:AY138)-$F138*10%,0)))</f>
        <v>0</v>
      </c>
      <c r="BA138" s="605">
        <f>IF(BA$121="입주/잔금",($F138-SUM($G138:AZ138))*30%,IF(AZ$121="입주/잔금",($F138-SUM($G138:AY138))*50%,IF(AY$121="입주/잔금",($F138-SUM($G138:AX138))*20%,IF(BA$121=0,0,IF(BA$121="2차중도금",$F138*30%-SUM($G138:AZ138),IF(BA$121="3차중도금",$F138*40%-SUM($G138:AZ138),IF(BA$121="4차중도금",$F138*50%-SUM($G138:AZ138),$F138*10%)))))))+(IF(BA$121="5차중도금",$F138*60%-SUM($G138:AZ138)-$F138*10%,IF(BA$121="6차중도금",$F138*70%-SUM($G138:AZ138)-$F138*10%,0)))</f>
        <v>0</v>
      </c>
      <c r="BB138" s="605">
        <f>IF(BB$121="입주/잔금",($F138-SUM($G138:BA138))*30%,IF(BA$121="입주/잔금",($F138-SUM($G138:AZ138))*50%,IF(AZ$121="입주/잔금",($F138-SUM($G138:AY138))*20%,IF(BB$121=0,0,IF(BB$121="2차중도금",$F138*30%-SUM($G138:BA138),IF(BB$121="3차중도금",$F138*40%-SUM($G138:BA138),IF(BB$121="4차중도금",$F138*50%-SUM($G138:BA138),$F138*10%)))))))+(IF(BB$121="5차중도금",$F138*60%-SUM($G138:BA138)-$F138*10%,IF(BB$121="6차중도금",$F138*70%-SUM($G138:BA138)-$F138*10%,0)))</f>
        <v>0</v>
      </c>
      <c r="BC138" s="605">
        <f>IF(BC$121="입주/잔금",($F138-SUM($G138:BB138))*30%,IF(BB$121="입주/잔금",($F138-SUM($G138:BA138))*50%,IF(BA$121="입주/잔금",($F138-SUM($G138:AZ138))*20%,IF(BC$121=0,0,IF(BC$121="2차중도금",$F138*30%-SUM($G138:BB138),IF(BC$121="3차중도금",$F138*40%-SUM($G138:BB138),IF(BC$121="4차중도금",$F138*50%-SUM($G138:BB138),$F138*10%)))))))+(IF(BC$121="5차중도금",$F138*60%-SUM($G138:BB138)-$F138*10%,IF(BC$121="6차중도금",$F138*70%-SUM($G138:BB138)-$F138*10%,0)))</f>
        <v>0</v>
      </c>
      <c r="BD138" s="605">
        <f>IF(BD$121="입주/잔금",($F138-SUM($G138:BC138))*30%,IF(BC$121="입주/잔금",($F138-SUM($G138:BB138))*50%,IF(BB$121="입주/잔금",($F138-SUM($G138:BA138))*20%,IF(BD$121=0,0,IF(BD$121="2차중도금",$F138*30%-SUM($G138:BC138),IF(BD$121="3차중도금",$F138*40%-SUM($G138:BC138),IF(BD$121="4차중도금",$F138*50%-SUM($G138:BC138),$F138*10%)))))))+(IF(BD$121="5차중도금",$F138*60%-SUM($G138:BC138)-$F138*10%,IF(BD$121="6차중도금",$F138*70%-SUM($G138:BC138)-$F138*10%,0)))</f>
        <v>0</v>
      </c>
      <c r="BE138" s="605">
        <f>IF(BE$121="입주/잔금",($F138-SUM($G138:BD138))*30%,IF(BD$121="입주/잔금",($F138-SUM($G138:BC138))*50%,IF(BC$121="입주/잔금",($F138-SUM($G138:BB138))*20%,IF(BE$121=0,0,IF(BE$121="2차중도금",$F138*30%-SUM($G138:BD138),IF(BE$121="3차중도금",$F138*40%-SUM($G138:BD138),IF(BE$121="4차중도금",$F138*50%-SUM($G138:BD138),$F138*10%)))))))+(IF(BE$121="5차중도금",$F138*60%-SUM($G138:BD138)-$F138*10%,IF(BE$121="6차중도금",$F138*70%-SUM($G138:BD138)-$F138*10%,0)))</f>
        <v>0</v>
      </c>
      <c r="BF138" s="609">
        <f t="shared" si="43"/>
        <v>638549.06445719046</v>
      </c>
      <c r="BG138" s="556">
        <f t="shared" si="45"/>
        <v>0</v>
      </c>
      <c r="BH138" s="610"/>
    </row>
    <row r="139" spans="1:60">
      <c r="A139" s="1867"/>
      <c r="B139" s="611">
        <f t="shared" si="46"/>
        <v>45352</v>
      </c>
      <c r="C139" s="605">
        <f t="shared" ref="C139:C145" si="49">C138</f>
        <v>21284968.815239683</v>
      </c>
      <c r="D139" s="1501">
        <v>0.02</v>
      </c>
      <c r="E139" s="614">
        <f t="shared" si="48"/>
        <v>0.70000000000000007</v>
      </c>
      <c r="F139" s="608">
        <f t="shared" si="44"/>
        <v>425699.37630479364</v>
      </c>
      <c r="G139" s="605"/>
      <c r="H139" s="605"/>
      <c r="I139" s="605"/>
      <c r="J139" s="605"/>
      <c r="K139" s="605"/>
      <c r="L139" s="605"/>
      <c r="M139" s="605"/>
      <c r="N139" s="605"/>
      <c r="O139" s="605"/>
      <c r="P139" s="605"/>
      <c r="Q139" s="605"/>
      <c r="R139" s="605"/>
      <c r="S139" s="605"/>
      <c r="T139" s="605"/>
      <c r="U139" s="605"/>
      <c r="V139" s="605"/>
      <c r="W139" s="605"/>
      <c r="X139" s="605">
        <f>$F139*10%</f>
        <v>42569.93763047937</v>
      </c>
      <c r="Y139" s="605">
        <f>IF(Y$121="입주/잔금",($F139-SUM($G139:X139))*30%,IF(X$121="입주/잔금",($F139-SUM($G139:W139))*50%,IF(W$121="입주/잔금",($F139-SUM($G139:V139))*20%,IF(Y$121=0,0,IF(Y$121="2차중도금",$F139*30%-SUM($G139:X139),IF(Y$121="3차중도금",$F139*40%-SUM($G139:X139),IF(Y$121="4차중도금",$F139*50%-SUM($G139:X139),$F139*10%)))))))+(IF(Y$121="5차중도금",$F139*60%-SUM($G139:X139)-$F139*10%,IF(Y$121="6차중도금",$F139*70%-SUM($G139:X139)-$F139*10%,0)))</f>
        <v>85139.87526095871</v>
      </c>
      <c r="Z139" s="605">
        <f>IF(Z$121="입주/잔금",($F139-SUM($G139:Y139))*30%,IF(Y$121="입주/잔금",($F139-SUM($G139:X139))*50%,IF(X$121="입주/잔금",($F139-SUM($G139:W139))*20%,IF(Z$121=0,0,IF(Z$121="2차중도금",$F139*30%-SUM($G139:Y139),IF(Z$121="3차중도금",$F139*40%-SUM($G139:Y139),IF(Z$121="4차중도금",$F139*50%-SUM($G139:Y139),$F139*10%)))))))+(IF(Z$121="5차중도금",$F139*60%-SUM($G139:Y139)-$F139*10%,IF(Z$121="6차중도금",$F139*70%-SUM($G139:Y139)-$F139*10%,0)))</f>
        <v>0</v>
      </c>
      <c r="AA139" s="605">
        <f>IF(AA$121="입주/잔금",($F139-SUM($G139:Z139))*30%,IF(Z$121="입주/잔금",($F139-SUM($G139:Y139))*50%,IF(Y$121="입주/잔금",($F139-SUM($G139:X139))*20%,IF(AA$121=0,0,IF(AA$121="2차중도금",$F139*30%-SUM($G139:Z139),IF(AA$121="3차중도금",$F139*40%-SUM($G139:Z139),IF(AA$121="4차중도금",$F139*50%-SUM($G139:Z139),$F139*10%)))))))+(IF(AA$121="5차중도금",$F139*60%-SUM($G139:Z139)-$F139*10%,IF(AA$121="6차중도금",$F139*70%-SUM($G139:Z139)-$F139*10%,0)))</f>
        <v>0</v>
      </c>
      <c r="AB139" s="605">
        <f>IF(AB$121="입주/잔금",($F139-SUM($G139:AA139))*30%,IF(AA$121="입주/잔금",($F139-SUM($G139:Z139))*50%,IF(Z$121="입주/잔금",($F139-SUM($G139:Y139))*20%,IF(AB$121=0,0,IF(AB$121="2차중도금",$F139*30%-SUM($G139:AA139),IF(AB$121="3차중도금",$F139*40%-SUM($G139:AA139),IF(AB$121="4차중도금",$F139*50%-SUM($G139:AA139),$F139*10%)))))))+(IF(AB$121="5차중도금",$F139*60%-SUM($G139:AA139)-$F139*10%,IF(AB$121="6차중도금",$F139*70%-SUM($G139:AA139)-$F139*10%,0)))</f>
        <v>0</v>
      </c>
      <c r="AC139" s="605">
        <f>IF(AC$121="입주/잔금",($F139-SUM($G139:AB139))*30%,IF(AB$121="입주/잔금",($F139-SUM($G139:AA139))*50%,IF(AA$121="입주/잔금",($F139-SUM($G139:Z139))*20%,IF(AC$121=0,0,IF(AC$121="2차중도금",$F139*30%-SUM($G139:AB139),IF(AC$121="3차중도금",$F139*40%-SUM($G139:AB139),IF(AC$121="4차중도금",$F139*50%-SUM($G139:AB139),$F139*10%)))))))+(IF(AC$121="5차중도금",$F139*60%-SUM($G139:AB139)-$F139*10%,IF(AC$121="6차중도금",$F139*70%-SUM($G139:AB139)-$F139*10%,0)))</f>
        <v>0</v>
      </c>
      <c r="AD139" s="605">
        <f>IF(AD$121="입주/잔금",($F139-SUM($G139:AC139))*30%,IF(AC$121="입주/잔금",($F139-SUM($G139:AB139))*50%,IF(AB$121="입주/잔금",($F139-SUM($G139:AA139))*20%,IF(AD$121=0,0,IF(AD$121="2차중도금",$F139*30%-SUM($G139:AC139),IF(AD$121="3차중도금",$F139*40%-SUM($G139:AC139),IF(AD$121="4차중도금",$F139*50%-SUM($G139:AC139),$F139*10%)))))))+(IF(AD$121="5차중도금",$F139*60%-SUM($G139:AC139)-$F139*10%,IF(AD$121="6차중도금",$F139*70%-SUM($G139:AC139)-$F139*10%,0)))</f>
        <v>0</v>
      </c>
      <c r="AE139" s="605">
        <f>IF(AE$121="입주/잔금",($F139-SUM($G139:AD139))*30%,IF(AD$121="입주/잔금",($F139-SUM($G139:AC139))*50%,IF(AC$121="입주/잔금",($F139-SUM($G139:AB139))*20%,IF(AE$121=0,0,IF(AE$121="2차중도금",$F139*30%-SUM($G139:AD139),IF(AE$121="3차중도금",$F139*40%-SUM($G139:AD139),IF(AE$121="4차중도금",$F139*50%-SUM($G139:AD139),$F139*10%)))))))+(IF(AE$121="5차중도금",$F139*60%-SUM($G139:AD139)-$F139*10%,IF(AE$121="6차중도금",$F139*70%-SUM($G139:AD139)-$F139*10%,0)))</f>
        <v>42569.937630479399</v>
      </c>
      <c r="AF139" s="605">
        <f>IF(AF$121="입주/잔금",($F139-SUM($G139:AE139))*30%,IF(AE$121="입주/잔금",($F139-SUM($G139:AD139))*50%,IF(AD$121="입주/잔금",($F139-SUM($G139:AC139))*20%,IF(AF$121=0,0,IF(AF$121="2차중도금",$F139*30%-SUM($G139:AE139),IF(AF$121="3차중도금",$F139*40%-SUM($G139:AE139),IF(AF$121="4차중도금",$F139*50%-SUM($G139:AE139),$F139*10%)))))))+(IF(AF$121="5차중도금",$F139*60%-SUM($G139:AE139)-$F139*10%,IF(AF$121="6차중도금",$F139*70%-SUM($G139:AE139)-$F139*10%,0)))</f>
        <v>0</v>
      </c>
      <c r="AG139" s="605">
        <f>IF(AG$121="입주/잔금",($F139-SUM($G139:AF139))*30%,IF(AF$121="입주/잔금",($F139-SUM($G139:AE139))*50%,IF(AE$121="입주/잔금",($F139-SUM($G139:AD139))*20%,IF(AG$121=0,0,IF(AG$121="2차중도금",$F139*30%-SUM($G139:AF139),IF(AG$121="3차중도금",$F139*40%-SUM($G139:AF139),IF(AG$121="4차중도금",$F139*50%-SUM($G139:AF139),$F139*10%)))))))+(IF(AG$121="5차중도금",$F139*60%-SUM($G139:AF139)-$F139*10%,IF(AG$121="6차중도금",$F139*70%-SUM($G139:AF139)-$F139*10%,0)))</f>
        <v>0</v>
      </c>
      <c r="AH139" s="605">
        <f>IF(AH$121="입주/잔금",($F139-SUM($G139:AG139))*30%,IF(AG$121="입주/잔금",($F139-SUM($G139:AF139))*50%,IF(AF$121="입주/잔금",($F139-SUM($G139:AE139))*20%,IF(AH$121=0,0,IF(AH$121="2차중도금",$F139*30%-SUM($G139:AG139),IF(AH$121="3차중도금",$F139*40%-SUM($G139:AG139),IF(AH$121="4차중도금",$F139*50%-SUM($G139:AG139),$F139*10%)))))))+(IF(AH$121="5차중도금",$F139*60%-SUM($G139:AG139)-$F139*10%,IF(AH$121="6차중도금",$F139*70%-SUM($G139:AG139)-$F139*10%,0)))</f>
        <v>0</v>
      </c>
      <c r="AI139" s="605">
        <f>IF(AI$121="입주/잔금",($F139-SUM($G139:AH139))*30%,IF(AH$121="입주/잔금",($F139-SUM($G139:AG139))*50%,IF(AG$121="입주/잔금",($F139-SUM($G139:AF139))*20%,IF(AI$121=0,0,IF(AI$121="2차중도금",$F139*30%-SUM($G139:AH139),IF(AI$121="3차중도금",$F139*40%-SUM($G139:AH139),IF(AI$121="4차중도금",$F139*50%-SUM($G139:AH139),$F139*10%)))))))+(IF(AI$121="5차중도금",$F139*60%-SUM($G139:AH139)-$F139*10%,IF(AI$121="6차중도금",$F139*70%-SUM($G139:AH139)-$F139*10%,0)))</f>
        <v>0</v>
      </c>
      <c r="AJ139" s="605">
        <f>IF(AJ$121="입주/잔금",($F139-SUM($G139:AI139))*30%,IF(AI$121="입주/잔금",($F139-SUM($G139:AH139))*50%,IF(AH$121="입주/잔금",($F139-SUM($G139:AG139))*20%,IF(AJ$121=0,0,IF(AJ$121="2차중도금",$F139*30%-SUM($G139:AI139),IF(AJ$121="3차중도금",$F139*40%-SUM($G139:AI139),IF(AJ$121="4차중도금",$F139*50%-SUM($G139:AI139),$F139*10%)))))))+(IF(AJ$121="5차중도금",$F139*60%-SUM($G139:AI139)-$F139*10%,IF(AJ$121="6차중도금",$F139*70%-SUM($G139:AI139)-$F139*10%,0)))</f>
        <v>0</v>
      </c>
      <c r="AK139" s="605">
        <f>IF(AK$121="입주/잔금",($F139-SUM($G139:AJ139))*30%,IF(AJ$121="입주/잔금",($F139-SUM($G139:AI139))*50%,IF(AI$121="입주/잔금",($F139-SUM($G139:AH139))*20%,IF(AK$121=0,0,IF(AK$121="2차중도금",$F139*30%-SUM($G139:AJ139),IF(AK$121="3차중도금",$F139*40%-SUM($G139:AJ139),IF(AK$121="4차중도금",$F139*50%-SUM($G139:AJ139),$F139*10%)))))))+(IF(AK$121="5차중도금",$F139*60%-SUM($G139:AJ139)-$F139*10%,IF(AK$121="6차중도금",$F139*70%-SUM($G139:AJ139)-$F139*10%,0)))</f>
        <v>42569.93763047934</v>
      </c>
      <c r="AL139" s="605">
        <f>IF(AL$121="입주/잔금",($F139-SUM($G139:AK139))*30%,IF(AK$121="입주/잔금",($F139-SUM($G139:AJ139))*50%,IF(AJ$121="입주/잔금",($F139-SUM($G139:AI139))*20%,IF(AL$121=0,0,IF(AL$121="2차중도금",$F139*30%-SUM($G139:AK139),IF(AL$121="3차중도금",$F139*40%-SUM($G139:AK139),IF(AL$121="4차중도금",$F139*50%-SUM($G139:AK139),$F139*10%)))))))+(IF(AL$121="5차중도금",$F139*60%-SUM($G139:AK139)-$F139*10%,IF(AL$121="6차중도금",$F139*70%-SUM($G139:AK139)-$F139*10%,0)))</f>
        <v>0</v>
      </c>
      <c r="AM139" s="605">
        <f>IF(AM$121="입주/잔금",($F139-SUM($G139:AL139))*30%,IF(AL$121="입주/잔금",($F139-SUM($G139:AK139))*50%,IF(AK$121="입주/잔금",($F139-SUM($G139:AJ139))*20%,IF(AM$121=0,0,IF(AM$121="2차중도금",$F139*30%-SUM($G139:AL139),IF(AM$121="3차중도금",$F139*40%-SUM($G139:AL139),IF(AM$121="4차중도금",$F139*50%-SUM($G139:AL139),$F139*10%)))))))+(IF(AM$121="5차중도금",$F139*60%-SUM($G139:AL139)-$F139*10%,IF(AM$121="6차중도금",$F139*70%-SUM($G139:AL139)-$F139*10%,0)))</f>
        <v>0</v>
      </c>
      <c r="AN139" s="605">
        <f>IF(AN$121="입주/잔금",($F139-SUM($G139:AM139))*30%,IF(AM$121="입주/잔금",($F139-SUM($G139:AL139))*50%,IF(AL$121="입주/잔금",($F139-SUM($G139:AK139))*20%,IF(AN$121=0,0,IF(AN$121="2차중도금",$F139*30%-SUM($G139:AM139),IF(AN$121="3차중도금",$F139*40%-SUM($G139:AM139),IF(AN$121="4차중도금",$F139*50%-SUM($G139:AM139),$F139*10%)))))))+(IF(AN$121="5차중도금",$F139*60%-SUM($G139:AM139)-$F139*10%,IF(AN$121="6차중도금",$F139*70%-SUM($G139:AM139)-$F139*10%,0)))</f>
        <v>0</v>
      </c>
      <c r="AO139" s="605">
        <f>IF(AO$121="입주/잔금",($F139-SUM($G139:AN139))*30%,IF(AN$121="입주/잔금",($F139-SUM($G139:AM139))*50%,IF(AM$121="입주/잔금",($F139-SUM($G139:AL139))*20%,IF(AO$121=0,0,IF(AO$121="2차중도금",$F139*30%-SUM($G139:AN139),IF(AO$121="3차중도금",$F139*40%-SUM($G139:AN139),IF(AO$121="4차중도금",$F139*50%-SUM($G139:AN139),$F139*10%)))))))+(IF(AO$121="5차중도금",$F139*60%-SUM($G139:AN139)-$F139*10%,IF(AO$121="6차중도금",$F139*70%-SUM($G139:AN139)-$F139*10%,0)))</f>
        <v>0</v>
      </c>
      <c r="AP139" s="605">
        <f>IF(AP$121="입주/잔금",($F139-SUM($G139:AO139))*30%,IF(AO$121="입주/잔금",($F139-SUM($G139:AN139))*50%,IF(AN$121="입주/잔금",($F139-SUM($G139:AM139))*20%,IF(AP$121=0,0,IF(AP$121="2차중도금",$F139*30%-SUM($G139:AO139),IF(AP$121="3차중도금",$F139*40%-SUM($G139:AO139),IF(AP$121="4차중도금",$F139*50%-SUM($G139:AO139),$F139*10%)))))))+(IF(AP$121="5차중도금",$F139*60%-SUM($G139:AO139)-$F139*10%,IF(AP$121="6차중도금",$F139*70%-SUM($G139:AO139)-$F139*10%,0)))</f>
        <v>0</v>
      </c>
      <c r="AQ139" s="605">
        <f>IF(AQ$121="입주/잔금",($F139-SUM($G139:AP139))*30%,IF(AP$121="입주/잔금",($F139-SUM($G139:AO139))*50%,IF(AO$121="입주/잔금",($F139-SUM($G139:AN139))*20%,IF(AQ$121=0,0,IF(AQ$121="2차중도금",$F139*30%-SUM($G139:AP139),IF(AQ$121="3차중도금",$F139*40%-SUM($G139:AP139),IF(AQ$121="4차중도금",$F139*50%-SUM($G139:AP139),$F139*10%)))))))+(IF(AQ$121="5차중도금",$F139*60%-SUM($G139:AP139)-$F139*10%,IF(AQ$121="6차중도금",$F139*70%-SUM($G139:AP139)-$F139*10%,0)))</f>
        <v>0</v>
      </c>
      <c r="AR139" s="605">
        <f>IF(AR$121="입주/잔금",($F139-SUM($G139:AQ139))*30%,IF(AQ$121="입주/잔금",($F139-SUM($G139:AP139))*50%,IF(AP$121="입주/잔금",($F139-SUM($G139:AO139))*20%,IF(AR$121=0,0,IF(AR$121="2차중도금",$F139*30%-SUM($G139:AQ139),IF(AR$121="3차중도금",$F139*40%-SUM($G139:AQ139),IF(AR$121="4차중도금",$F139*50%-SUM($G139:AQ139),$F139*10%)))))))+(IF(AR$121="5차중도금",$F139*60%-SUM($G139:AQ139)-$F139*10%,IF(AR$121="6차중도금",$F139*70%-SUM($G139:AQ139)-$F139*10%,0)))</f>
        <v>63854.90644571904</v>
      </c>
      <c r="AS139" s="605">
        <f>IF(AS$121="입주/잔금",($F139-SUM($G139:AR139))*30%,IF(AR$121="입주/잔금",($F139-SUM($G139:AQ139))*50%,IF(AQ$121="입주/잔금",($F139-SUM($G139:AP139))*20%,IF(AS$121=0,0,IF(AS$121="2차중도금",$F139*30%-SUM($G139:AR139),IF(AS$121="3차중도금",$F139*40%-SUM($G139:AR139),IF(AS$121="4차중도금",$F139*50%-SUM($G139:AR139),$F139*10%)))))))+(IF(AS$121="5차중도금",$F139*60%-SUM($G139:AR139)-$F139*10%,IF(AS$121="6차중도금",$F139*70%-SUM($G139:AR139)-$F139*10%,0)))</f>
        <v>106424.84407619841</v>
      </c>
      <c r="AT139" s="605">
        <f>IF(AT$121="입주/잔금",($F139-SUM($G139:AS139))*30%,IF(AS$121="입주/잔금",($F139-SUM($G139:AR139))*50%,IF(AR$121="입주/잔금",($F139-SUM($G139:AQ139))*20%,IF(AT$121=0,0,IF(AT$121="2차중도금",$F139*30%-SUM($G139:AS139),IF(AT$121="3차중도금",$F139*40%-SUM($G139:AS139),IF(AT$121="4차중도금",$F139*50%-SUM($G139:AS139),$F139*10%)))))))+(IF(AT$121="5차중도금",$F139*60%-SUM($G139:AS139)-$F139*10%,IF(AT$121="6차중도금",$F139*70%-SUM($G139:AS139)-$F139*10%,0)))</f>
        <v>42569.93763047937</v>
      </c>
      <c r="AU139" s="605">
        <f>IF(AU$121="입주/잔금",($F139-SUM($G139:AT139))*30%,IF(AT$121="입주/잔금",($F139-SUM($G139:AS139))*50%,IF(AS$121="입주/잔금",($F139-SUM($G139:AR139))*20%,IF(AU$121=0,0,IF(AU$121="2차중도금",$F139*30%-SUM($G139:AT139),IF(AU$121="3차중도금",$F139*40%-SUM($G139:AT139),IF(AU$121="4차중도금",$F139*50%-SUM($G139:AT139),$F139*10%)))))))+(IF(AU$121="5차중도금",$F139*60%-SUM($G139:AT139)-$F139*10%,IF(AU$121="6차중도금",$F139*70%-SUM($G139:AT139)-$F139*10%,0)))</f>
        <v>0</v>
      </c>
      <c r="AV139" s="605">
        <f>IF(AV$121="입주/잔금",($F139-SUM($G139:AU139))*30%,IF(AU$121="입주/잔금",($F139-SUM($G139:AT139))*50%,IF(AT$121="입주/잔금",($F139-SUM($G139:AS139))*20%,IF(AV$121=0,0,IF(AV$121="2차중도금",$F139*30%-SUM($G139:AU139),IF(AV$121="3차중도금",$F139*40%-SUM($G139:AU139),IF(AV$121="4차중도금",$F139*50%-SUM($G139:AU139),$F139*10%)))))))+(IF(AV$121="5차중도금",$F139*60%-SUM($G139:AU139)-$F139*10%,IF(AV$121="6차중도금",$F139*70%-SUM($G139:AU139)-$F139*10%,0)))</f>
        <v>0</v>
      </c>
      <c r="AW139" s="605">
        <f>IF(AW$121="입주/잔금",($F139-SUM($G139:AV139))*30%,IF(AV$121="입주/잔금",($F139-SUM($G139:AU139))*50%,IF(AU$121="입주/잔금",($F139-SUM($G139:AT139))*20%,IF(AW$121=0,0,IF(AW$121="2차중도금",$F139*30%-SUM($G139:AV139),IF(AW$121="3차중도금",$F139*40%-SUM($G139:AV139),IF(AW$121="4차중도금",$F139*50%-SUM($G139:AV139),$F139*10%)))))))+(IF(AW$121="5차중도금",$F139*60%-SUM($G139:AV139)-$F139*10%,IF(AW$121="6차중도금",$F139*70%-SUM($G139:AV139)-$F139*10%,0)))</f>
        <v>0</v>
      </c>
      <c r="AX139" s="605">
        <f>IF(AX$121="입주/잔금",($F139-SUM($G139:AW139))*30%,IF(AW$121="입주/잔금",($F139-SUM($G139:AV139))*50%,IF(AV$121="입주/잔금",($F139-SUM($G139:AU139))*20%,IF(AX$121=0,0,IF(AX$121="2차중도금",$F139*30%-SUM($G139:AW139),IF(AX$121="3차중도금",$F139*40%-SUM($G139:AW139),IF(AX$121="4차중도금",$F139*50%-SUM($G139:AW139),$F139*10%)))))))+(IF(AX$121="5차중도금",$F139*60%-SUM($G139:AW139)-$F139*10%,IF(AX$121="6차중도금",$F139*70%-SUM($G139:AW139)-$F139*10%,0)))</f>
        <v>0</v>
      </c>
      <c r="AY139" s="605">
        <f>IF(AY$121="입주/잔금",($F139-SUM($G139:AX139))*30%,IF(AX$121="입주/잔금",($F139-SUM($G139:AW139))*50%,IF(AW$121="입주/잔금",($F139-SUM($G139:AV139))*20%,IF(AY$121=0,0,IF(AY$121="2차중도금",$F139*30%-SUM($G139:AX139),IF(AY$121="3차중도금",$F139*40%-SUM($G139:AX139),IF(AY$121="4차중도금",$F139*50%-SUM($G139:AX139),$F139*10%)))))))+(IF(AY$121="5차중도금",$F139*60%-SUM($G139:AX139)-$F139*10%,IF(AY$121="6차중도금",$F139*70%-SUM($G139:AX139)-$F139*10%,0)))</f>
        <v>0</v>
      </c>
      <c r="AZ139" s="605">
        <f>IF(AZ$121="입주/잔금",($F139-SUM($G139:AY139))*30%,IF(AY$121="입주/잔금",($F139-SUM($G139:AX139))*50%,IF(AX$121="입주/잔금",($F139-SUM($G139:AW139))*20%,IF(AZ$121=0,0,IF(AZ$121="2차중도금",$F139*30%-SUM($G139:AY139),IF(AZ$121="3차중도금",$F139*40%-SUM($G139:AY139),IF(AZ$121="4차중도금",$F139*50%-SUM($G139:AY139),$F139*10%)))))))+(IF(AZ$121="5차중도금",$F139*60%-SUM($G139:AY139)-$F139*10%,IF(AZ$121="6차중도금",$F139*70%-SUM($G139:AY139)-$F139*10%,0)))</f>
        <v>0</v>
      </c>
      <c r="BA139" s="605">
        <f>IF(BA$121="입주/잔금",($F139-SUM($G139:AZ139))*30%,IF(AZ$121="입주/잔금",($F139-SUM($G139:AY139))*50%,IF(AY$121="입주/잔금",($F139-SUM($G139:AX139))*20%,IF(BA$121=0,0,IF(BA$121="2차중도금",$F139*30%-SUM($G139:AZ139),IF(BA$121="3차중도금",$F139*40%-SUM($G139:AZ139),IF(BA$121="4차중도금",$F139*50%-SUM($G139:AZ139),$F139*10%)))))))+(IF(BA$121="5차중도금",$F139*60%-SUM($G139:AZ139)-$F139*10%,IF(BA$121="6차중도금",$F139*70%-SUM($G139:AZ139)-$F139*10%,0)))</f>
        <v>0</v>
      </c>
      <c r="BB139" s="605">
        <f>IF(BB$121="입주/잔금",($F139-SUM($G139:BA139))*30%,IF(BA$121="입주/잔금",($F139-SUM($G139:AZ139))*50%,IF(AZ$121="입주/잔금",($F139-SUM($G139:AY139))*20%,IF(BB$121=0,0,IF(BB$121="2차중도금",$F139*30%-SUM($G139:BA139),IF(BB$121="3차중도금",$F139*40%-SUM($G139:BA139),IF(BB$121="4차중도금",$F139*50%-SUM($G139:BA139),$F139*10%)))))))+(IF(BB$121="5차중도금",$F139*60%-SUM($G139:BA139)-$F139*10%,IF(BB$121="6차중도금",$F139*70%-SUM($G139:BA139)-$F139*10%,0)))</f>
        <v>0</v>
      </c>
      <c r="BC139" s="605">
        <f>IF(BC$121="입주/잔금",($F139-SUM($G139:BB139))*30%,IF(BB$121="입주/잔금",($F139-SUM($G139:BA139))*50%,IF(BA$121="입주/잔금",($F139-SUM($G139:AZ139))*20%,IF(BC$121=0,0,IF(BC$121="2차중도금",$F139*30%-SUM($G139:BB139),IF(BC$121="3차중도금",$F139*40%-SUM($G139:BB139),IF(BC$121="4차중도금",$F139*50%-SUM($G139:BB139),$F139*10%)))))))+(IF(BC$121="5차중도금",$F139*60%-SUM($G139:BB139)-$F139*10%,IF(BC$121="6차중도금",$F139*70%-SUM($G139:BB139)-$F139*10%,0)))</f>
        <v>0</v>
      </c>
      <c r="BD139" s="605">
        <f>IF(BD$121="입주/잔금",($F139-SUM($G139:BC139))*30%,IF(BC$121="입주/잔금",($F139-SUM($G139:BB139))*50%,IF(BB$121="입주/잔금",($F139-SUM($G139:BA139))*20%,IF(BD$121=0,0,IF(BD$121="2차중도금",$F139*30%-SUM($G139:BC139),IF(BD$121="3차중도금",$F139*40%-SUM($G139:BC139),IF(BD$121="4차중도금",$F139*50%-SUM($G139:BC139),$F139*10%)))))))+(IF(BD$121="5차중도금",$F139*60%-SUM($G139:BC139)-$F139*10%,IF(BD$121="6차중도금",$F139*70%-SUM($G139:BC139)-$F139*10%,0)))</f>
        <v>0</v>
      </c>
      <c r="BE139" s="605">
        <f>IF(BE$121="입주/잔금",($F139-SUM($G139:BD139))*30%,IF(BD$121="입주/잔금",($F139-SUM($G139:BC139))*50%,IF(BC$121="입주/잔금",($F139-SUM($G139:BB139))*20%,IF(BE$121=0,0,IF(BE$121="2차중도금",$F139*30%-SUM($G139:BD139),IF(BE$121="3차중도금",$F139*40%-SUM($G139:BD139),IF(BE$121="4차중도금",$F139*50%-SUM($G139:BD139),$F139*10%)))))))+(IF(BE$121="5차중도금",$F139*60%-SUM($G139:BD139)-$F139*10%,IF(BE$121="6차중도금",$F139*70%-SUM($G139:BD139)-$F139*10%,0)))</f>
        <v>0</v>
      </c>
      <c r="BF139" s="609">
        <f t="shared" si="43"/>
        <v>425699.37630479364</v>
      </c>
      <c r="BG139" s="556">
        <f t="shared" si="45"/>
        <v>0</v>
      </c>
      <c r="BH139" s="610"/>
    </row>
    <row r="140" spans="1:60">
      <c r="A140" s="1867"/>
      <c r="B140" s="613">
        <f t="shared" si="46"/>
        <v>45383</v>
      </c>
      <c r="C140" s="605">
        <f t="shared" si="49"/>
        <v>21284968.815239683</v>
      </c>
      <c r="D140" s="1501"/>
      <c r="E140" s="607">
        <f t="shared" si="48"/>
        <v>0.70000000000000007</v>
      </c>
      <c r="F140" s="608">
        <f t="shared" si="44"/>
        <v>0</v>
      </c>
      <c r="G140" s="605"/>
      <c r="H140" s="605"/>
      <c r="I140" s="605"/>
      <c r="J140" s="605"/>
      <c r="K140" s="605"/>
      <c r="L140" s="605"/>
      <c r="M140" s="605"/>
      <c r="N140" s="605"/>
      <c r="O140" s="605"/>
      <c r="P140" s="605"/>
      <c r="Q140" s="605"/>
      <c r="R140" s="605"/>
      <c r="S140" s="605"/>
      <c r="T140" s="605"/>
      <c r="U140" s="605"/>
      <c r="V140" s="605"/>
      <c r="W140" s="605"/>
      <c r="X140" s="605"/>
      <c r="Y140" s="605">
        <f>$F140*10%</f>
        <v>0</v>
      </c>
      <c r="Z140" s="605">
        <f>IF(Z$121="입주/잔금",($F140-SUM($G140:Y140))*30%,IF(Y$121="입주/잔금",($F140-SUM($G140:X140))*50%,IF(X$121="입주/잔금",($F140-SUM($G140:W140))*20%,IF(Z$121=0,0,IF(Z$121="2차중도금",$F140*30%-SUM($G140:Y140),IF(Z$121="3차중도금",$F140*40%-SUM($G140:Y140),IF(Z$121="4차중도금",$F140*50%-SUM($G140:Y140),$F140*10%)))))))+(IF(Z$121="5차중도금",$F140*60%-SUM($G140:Y140)-$F140*10%,IF(Z$121="6차중도금",$F140*70%-SUM($G140:Y140)-$F140*10%,0)))</f>
        <v>0</v>
      </c>
      <c r="AA140" s="605">
        <f>IF(AA$121="입주/잔금",($F140-SUM($G140:Z140))*30%,IF(Z$121="입주/잔금",($F140-SUM($G140:Y140))*50%,IF(Y$121="입주/잔금",($F140-SUM($G140:X140))*20%,IF(AA$121=0,0,IF(AA$121="2차중도금",$F140*30%-SUM($G140:Z140),IF(AA$121="3차중도금",$F140*40%-SUM($G140:Z140),IF(AA$121="4차중도금",$F140*50%-SUM($G140:Z140),$F140*10%)))))))+(IF(AA$121="5차중도금",$F140*60%-SUM($G140:Z140)-$F140*10%,IF(AA$121="6차중도금",$F140*70%-SUM($G140:Z140)-$F140*10%,0)))</f>
        <v>0</v>
      </c>
      <c r="AB140" s="605">
        <f>IF(AB$121="입주/잔금",($F140-SUM($G140:AA140))*30%,IF(AA$121="입주/잔금",($F140-SUM($G140:Z140))*50%,IF(Z$121="입주/잔금",($F140-SUM($G140:Y140))*20%,IF(AB$121=0,0,IF(AB$121="2차중도금",$F140*30%-SUM($G140:AA140),IF(AB$121="3차중도금",$F140*40%-SUM($G140:AA140),IF(AB$121="4차중도금",$F140*50%-SUM($G140:AA140),$F140*10%)))))))+(IF(AB$121="5차중도금",$F140*60%-SUM($G140:AA140)-$F140*10%,IF(AB$121="6차중도금",$F140*70%-SUM($G140:AA140)-$F140*10%,0)))</f>
        <v>0</v>
      </c>
      <c r="AC140" s="605">
        <f>IF(AC$121="입주/잔금",($F140-SUM($G140:AB140))*30%,IF(AB$121="입주/잔금",($F140-SUM($G140:AA140))*50%,IF(AA$121="입주/잔금",($F140-SUM($G140:Z140))*20%,IF(AC$121=0,0,IF(AC$121="2차중도금",$F140*30%-SUM($G140:AB140),IF(AC$121="3차중도금",$F140*40%-SUM($G140:AB140),IF(AC$121="4차중도금",$F140*50%-SUM($G140:AB140),$F140*10%)))))))+(IF(AC$121="5차중도금",$F140*60%-SUM($G140:AB140)-$F140*10%,IF(AC$121="6차중도금",$F140*70%-SUM($G140:AB140)-$F140*10%,0)))</f>
        <v>0</v>
      </c>
      <c r="AD140" s="605">
        <f>IF(AD$121="입주/잔금",($F140-SUM($G140:AC140))*30%,IF(AC$121="입주/잔금",($F140-SUM($G140:AB140))*50%,IF(AB$121="입주/잔금",($F140-SUM($G140:AA140))*20%,IF(AD$121=0,0,IF(AD$121="2차중도금",$F140*30%-SUM($G140:AC140),IF(AD$121="3차중도금",$F140*40%-SUM($G140:AC140),IF(AD$121="4차중도금",$F140*50%-SUM($G140:AC140),$F140*10%)))))))+(IF(AD$121="5차중도금",$F140*60%-SUM($G140:AC140)-$F140*10%,IF(AD$121="6차중도금",$F140*70%-SUM($G140:AC140)-$F140*10%,0)))</f>
        <v>0</v>
      </c>
      <c r="AE140" s="605">
        <f>IF(AE$121="입주/잔금",($F140-SUM($G140:AD140))*30%,IF(AD$121="입주/잔금",($F140-SUM($G140:AC140))*50%,IF(AC$121="입주/잔금",($F140-SUM($G140:AB140))*20%,IF(AE$121=0,0,IF(AE$121="2차중도금",$F140*30%-SUM($G140:AD140),IF(AE$121="3차중도금",$F140*40%-SUM($G140:AD140),IF(AE$121="4차중도금",$F140*50%-SUM($G140:AD140),$F140*10%)))))))+(IF(AE$121="5차중도금",$F140*60%-SUM($G140:AD140)-$F140*10%,IF(AE$121="6차중도금",$F140*70%-SUM($G140:AD140)-$F140*10%,0)))</f>
        <v>0</v>
      </c>
      <c r="AF140" s="605">
        <f>IF(AF$121="입주/잔금",($F140-SUM($G140:AE140))*30%,IF(AE$121="입주/잔금",($F140-SUM($G140:AD140))*50%,IF(AD$121="입주/잔금",($F140-SUM($G140:AC140))*20%,IF(AF$121=0,0,IF(AF$121="2차중도금",$F140*30%-SUM($G140:AE140),IF(AF$121="3차중도금",$F140*40%-SUM($G140:AE140),IF(AF$121="4차중도금",$F140*50%-SUM($G140:AE140),$F140*10%)))))))+(IF(AF$121="5차중도금",$F140*60%-SUM($G140:AE140)-$F140*10%,IF(AF$121="6차중도금",$F140*70%-SUM($G140:AE140)-$F140*10%,0)))</f>
        <v>0</v>
      </c>
      <c r="AG140" s="605">
        <f>IF(AG$121="입주/잔금",($F140-SUM($G140:AF140))*30%,IF(AF$121="입주/잔금",($F140-SUM($G140:AE140))*50%,IF(AE$121="입주/잔금",($F140-SUM($G140:AD140))*20%,IF(AG$121=0,0,IF(AG$121="2차중도금",$F140*30%-SUM($G140:AF140),IF(AG$121="3차중도금",$F140*40%-SUM($G140:AF140),IF(AG$121="4차중도금",$F140*50%-SUM($G140:AF140),$F140*10%)))))))+(IF(AG$121="5차중도금",$F140*60%-SUM($G140:AF140)-$F140*10%,IF(AG$121="6차중도금",$F140*70%-SUM($G140:AF140)-$F140*10%,0)))</f>
        <v>0</v>
      </c>
      <c r="AH140" s="605">
        <f>IF(AH$121="입주/잔금",($F140-SUM($G140:AG140))*30%,IF(AG$121="입주/잔금",($F140-SUM($G140:AF140))*50%,IF(AF$121="입주/잔금",($F140-SUM($G140:AE140))*20%,IF(AH$121=0,0,IF(AH$121="2차중도금",$F140*30%-SUM($G140:AG140),IF(AH$121="3차중도금",$F140*40%-SUM($G140:AG140),IF(AH$121="4차중도금",$F140*50%-SUM($G140:AG140),$F140*10%)))))))+(IF(AH$121="5차중도금",$F140*60%-SUM($G140:AG140)-$F140*10%,IF(AH$121="6차중도금",$F140*70%-SUM($G140:AG140)-$F140*10%,0)))</f>
        <v>0</v>
      </c>
      <c r="AI140" s="605">
        <f>IF(AI$121="입주/잔금",($F140-SUM($G140:AH140))*30%,IF(AH$121="입주/잔금",($F140-SUM($G140:AG140))*50%,IF(AG$121="입주/잔금",($F140-SUM($G140:AF140))*20%,IF(AI$121=0,0,IF(AI$121="2차중도금",$F140*30%-SUM($G140:AH140),IF(AI$121="3차중도금",$F140*40%-SUM($G140:AH140),IF(AI$121="4차중도금",$F140*50%-SUM($G140:AH140),$F140*10%)))))))+(IF(AI$121="5차중도금",$F140*60%-SUM($G140:AH140)-$F140*10%,IF(AI$121="6차중도금",$F140*70%-SUM($G140:AH140)-$F140*10%,0)))</f>
        <v>0</v>
      </c>
      <c r="AJ140" s="605">
        <f>IF(AJ$121="입주/잔금",($F140-SUM($G140:AI140))*30%,IF(AI$121="입주/잔금",($F140-SUM($G140:AH140))*50%,IF(AH$121="입주/잔금",($F140-SUM($G140:AG140))*20%,IF(AJ$121=0,0,IF(AJ$121="2차중도금",$F140*30%-SUM($G140:AI140),IF(AJ$121="3차중도금",$F140*40%-SUM($G140:AI140),IF(AJ$121="4차중도금",$F140*50%-SUM($G140:AI140),$F140*10%)))))))+(IF(AJ$121="5차중도금",$F140*60%-SUM($G140:AI140)-$F140*10%,IF(AJ$121="6차중도금",$F140*70%-SUM($G140:AI140)-$F140*10%,0)))</f>
        <v>0</v>
      </c>
      <c r="AK140" s="605">
        <f>IF(AK$121="입주/잔금",($F140-SUM($G140:AJ140))*30%,IF(AJ$121="입주/잔금",($F140-SUM($G140:AI140))*50%,IF(AI$121="입주/잔금",($F140-SUM($G140:AH140))*20%,IF(AK$121=0,0,IF(AK$121="2차중도금",$F140*30%-SUM($G140:AJ140),IF(AK$121="3차중도금",$F140*40%-SUM($G140:AJ140),IF(AK$121="4차중도금",$F140*50%-SUM($G140:AJ140),$F140*10%)))))))+(IF(AK$121="5차중도금",$F140*60%-SUM($G140:AJ140)-$F140*10%,IF(AK$121="6차중도금",$F140*70%-SUM($G140:AJ140)-$F140*10%,0)))</f>
        <v>0</v>
      </c>
      <c r="AL140" s="605">
        <f>IF(AL$121="입주/잔금",($F140-SUM($G140:AK140))*30%,IF(AK$121="입주/잔금",($F140-SUM($G140:AJ140))*50%,IF(AJ$121="입주/잔금",($F140-SUM($G140:AI140))*20%,IF(AL$121=0,0,IF(AL$121="2차중도금",$F140*30%-SUM($G140:AK140),IF(AL$121="3차중도금",$F140*40%-SUM($G140:AK140),IF(AL$121="4차중도금",$F140*50%-SUM($G140:AK140),$F140*10%)))))))+(IF(AL$121="5차중도금",$F140*60%-SUM($G140:AK140)-$F140*10%,IF(AL$121="6차중도금",$F140*70%-SUM($G140:AK140)-$F140*10%,0)))</f>
        <v>0</v>
      </c>
      <c r="AM140" s="605">
        <f>IF(AM$121="입주/잔금",($F140-SUM($G140:AL140))*30%,IF(AL$121="입주/잔금",($F140-SUM($G140:AK140))*50%,IF(AK$121="입주/잔금",($F140-SUM($G140:AJ140))*20%,IF(AM$121=0,0,IF(AM$121="2차중도금",$F140*30%-SUM($G140:AL140),IF(AM$121="3차중도금",$F140*40%-SUM($G140:AL140),IF(AM$121="4차중도금",$F140*50%-SUM($G140:AL140),$F140*10%)))))))+(IF(AM$121="5차중도금",$F140*60%-SUM($G140:AL140)-$F140*10%,IF(AM$121="6차중도금",$F140*70%-SUM($G140:AL140)-$F140*10%,0)))</f>
        <v>0</v>
      </c>
      <c r="AN140" s="605">
        <f>IF(AN$121="입주/잔금",($F140-SUM($G140:AM140))*30%,IF(AM$121="입주/잔금",($F140-SUM($G140:AL140))*50%,IF(AL$121="입주/잔금",($F140-SUM($G140:AK140))*20%,IF(AN$121=0,0,IF(AN$121="2차중도금",$F140*30%-SUM($G140:AM140),IF(AN$121="3차중도금",$F140*40%-SUM($G140:AM140),IF(AN$121="4차중도금",$F140*50%-SUM($G140:AM140),$F140*10%)))))))+(IF(AN$121="5차중도금",$F140*60%-SUM($G140:AM140)-$F140*10%,IF(AN$121="6차중도금",$F140*70%-SUM($G140:AM140)-$F140*10%,0)))</f>
        <v>0</v>
      </c>
      <c r="AO140" s="605">
        <f>IF(AO$121="입주/잔금",($F140-SUM($G140:AN140))*30%,IF(AN$121="입주/잔금",($F140-SUM($G140:AM140))*50%,IF(AM$121="입주/잔금",($F140-SUM($G140:AL140))*20%,IF(AO$121=0,0,IF(AO$121="2차중도금",$F140*30%-SUM($G140:AN140),IF(AO$121="3차중도금",$F140*40%-SUM($G140:AN140),IF(AO$121="4차중도금",$F140*50%-SUM($G140:AN140),$F140*10%)))))))+(IF(AO$121="5차중도금",$F140*60%-SUM($G140:AN140)-$F140*10%,IF(AO$121="6차중도금",$F140*70%-SUM($G140:AN140)-$F140*10%,0)))</f>
        <v>0</v>
      </c>
      <c r="AP140" s="605">
        <f>IF(AP$121="입주/잔금",($F140-SUM($G140:AO140))*30%,IF(AO$121="입주/잔금",($F140-SUM($G140:AN140))*50%,IF(AN$121="입주/잔금",($F140-SUM($G140:AM140))*20%,IF(AP$121=0,0,IF(AP$121="2차중도금",$F140*30%-SUM($G140:AO140),IF(AP$121="3차중도금",$F140*40%-SUM($G140:AO140),IF(AP$121="4차중도금",$F140*50%-SUM($G140:AO140),$F140*10%)))))))+(IF(AP$121="5차중도금",$F140*60%-SUM($G140:AO140)-$F140*10%,IF(AP$121="6차중도금",$F140*70%-SUM($G140:AO140)-$F140*10%,0)))</f>
        <v>0</v>
      </c>
      <c r="AQ140" s="605">
        <f>IF(AQ$121="입주/잔금",($F140-SUM($G140:AP140))*30%,IF(AP$121="입주/잔금",($F140-SUM($G140:AO140))*50%,IF(AO$121="입주/잔금",($F140-SUM($G140:AN140))*20%,IF(AQ$121=0,0,IF(AQ$121="2차중도금",$F140*30%-SUM($G140:AP140),IF(AQ$121="3차중도금",$F140*40%-SUM($G140:AP140),IF(AQ$121="4차중도금",$F140*50%-SUM($G140:AP140),$F140*10%)))))))+(IF(AQ$121="5차중도금",$F140*60%-SUM($G140:AP140)-$F140*10%,IF(AQ$121="6차중도금",$F140*70%-SUM($G140:AP140)-$F140*10%,0)))</f>
        <v>0</v>
      </c>
      <c r="AR140" s="605">
        <f>IF(AR$121="입주/잔금",($F140-SUM($G140:AQ140))*30%,IF(AQ$121="입주/잔금",($F140-SUM($G140:AP140))*50%,IF(AP$121="입주/잔금",($F140-SUM($G140:AO140))*20%,IF(AR$121=0,0,IF(AR$121="2차중도금",$F140*30%-SUM($G140:AQ140),IF(AR$121="3차중도금",$F140*40%-SUM($G140:AQ140),IF(AR$121="4차중도금",$F140*50%-SUM($G140:AQ140),$F140*10%)))))))+(IF(AR$121="5차중도금",$F140*60%-SUM($G140:AQ140)-$F140*10%,IF(AR$121="6차중도금",$F140*70%-SUM($G140:AQ140)-$F140*10%,0)))</f>
        <v>0</v>
      </c>
      <c r="AS140" s="605">
        <f>IF(AS$121="입주/잔금",($F140-SUM($G140:AR140))*30%,IF(AR$121="입주/잔금",($F140-SUM($G140:AQ140))*50%,IF(AQ$121="입주/잔금",($F140-SUM($G140:AP140))*20%,IF(AS$121=0,0,IF(AS$121="2차중도금",$F140*30%-SUM($G140:AR140),IF(AS$121="3차중도금",$F140*40%-SUM($G140:AR140),IF(AS$121="4차중도금",$F140*50%-SUM($G140:AR140),$F140*10%)))))))+(IF(AS$121="5차중도금",$F140*60%-SUM($G140:AR140)-$F140*10%,IF(AS$121="6차중도금",$F140*70%-SUM($G140:AR140)-$F140*10%,0)))</f>
        <v>0</v>
      </c>
      <c r="AT140" s="605">
        <f>IF(AT$121="입주/잔금",($F140-SUM($G140:AS140))*30%,IF(AS$121="입주/잔금",($F140-SUM($G140:AR140))*50%,IF(AR$121="입주/잔금",($F140-SUM($G140:AQ140))*20%,IF(AT$121=0,0,IF(AT$121="2차중도금",$F140*30%-SUM($G140:AS140),IF(AT$121="3차중도금",$F140*40%-SUM($G140:AS140),IF(AT$121="4차중도금",$F140*50%-SUM($G140:AS140),$F140*10%)))))))+(IF(AT$121="5차중도금",$F140*60%-SUM($G140:AS140)-$F140*10%,IF(AT$121="6차중도금",$F140*70%-SUM($G140:AS140)-$F140*10%,0)))</f>
        <v>0</v>
      </c>
      <c r="AU140" s="605">
        <f>IF(AU$121="입주/잔금",($F140-SUM($G140:AT140))*30%,IF(AT$121="입주/잔금",($F140-SUM($G140:AS140))*50%,IF(AS$121="입주/잔금",($F140-SUM($G140:AR140))*20%,IF(AU$121=0,0,IF(AU$121="2차중도금",$F140*30%-SUM($G140:AT140),IF(AU$121="3차중도금",$F140*40%-SUM($G140:AT140),IF(AU$121="4차중도금",$F140*50%-SUM($G140:AT140),$F140*10%)))))))+(IF(AU$121="5차중도금",$F140*60%-SUM($G140:AT140)-$F140*10%,IF(AU$121="6차중도금",$F140*70%-SUM($G140:AT140)-$F140*10%,0)))</f>
        <v>0</v>
      </c>
      <c r="AV140" s="605">
        <f>IF(AV$121="입주/잔금",($F140-SUM($G140:AU140))*30%,IF(AU$121="입주/잔금",($F140-SUM($G140:AT140))*50%,IF(AT$121="입주/잔금",($F140-SUM($G140:AS140))*20%,IF(AV$121=0,0,IF(AV$121="2차중도금",$F140*30%-SUM($G140:AU140),IF(AV$121="3차중도금",$F140*40%-SUM($G140:AU140),IF(AV$121="4차중도금",$F140*50%-SUM($G140:AU140),$F140*10%)))))))+(IF(AV$121="5차중도금",$F140*60%-SUM($G140:AU140)-$F140*10%,IF(AV$121="6차중도금",$F140*70%-SUM($G140:AU140)-$F140*10%,0)))</f>
        <v>0</v>
      </c>
      <c r="AW140" s="605">
        <f>IF(AW$121="입주/잔금",($F140-SUM($G140:AV140))*30%,IF(AV$121="입주/잔금",($F140-SUM($G140:AU140))*50%,IF(AU$121="입주/잔금",($F140-SUM($G140:AT140))*20%,IF(AW$121=0,0,IF(AW$121="2차중도금",$F140*30%-SUM($G140:AV140),IF(AW$121="3차중도금",$F140*40%-SUM($G140:AV140),IF(AW$121="4차중도금",$F140*50%-SUM($G140:AV140),$F140*10%)))))))+(IF(AW$121="5차중도금",$F140*60%-SUM($G140:AV140)-$F140*10%,IF(AW$121="6차중도금",$F140*70%-SUM($G140:AV140)-$F140*10%,0)))</f>
        <v>0</v>
      </c>
      <c r="AX140" s="605">
        <f>IF(AX$121="입주/잔금",($F140-SUM($G140:AW140))*30%,IF(AW$121="입주/잔금",($F140-SUM($G140:AV140))*50%,IF(AV$121="입주/잔금",($F140-SUM($G140:AU140))*20%,IF(AX$121=0,0,IF(AX$121="2차중도금",$F140*30%-SUM($G140:AW140),IF(AX$121="3차중도금",$F140*40%-SUM($G140:AW140),IF(AX$121="4차중도금",$F140*50%-SUM($G140:AW140),$F140*10%)))))))+(IF(AX$121="5차중도금",$F140*60%-SUM($G140:AW140)-$F140*10%,IF(AX$121="6차중도금",$F140*70%-SUM($G140:AW140)-$F140*10%,0)))</f>
        <v>0</v>
      </c>
      <c r="AY140" s="605">
        <f>IF(AY$121="입주/잔금",($F140-SUM($G140:AX140))*30%,IF(AX$121="입주/잔금",($F140-SUM($G140:AW140))*50%,IF(AW$121="입주/잔금",($F140-SUM($G140:AV140))*20%,IF(AY$121=0,0,IF(AY$121="2차중도금",$F140*30%-SUM($G140:AX140),IF(AY$121="3차중도금",$F140*40%-SUM($G140:AX140),IF(AY$121="4차중도금",$F140*50%-SUM($G140:AX140),$F140*10%)))))))+(IF(AY$121="5차중도금",$F140*60%-SUM($G140:AX140)-$F140*10%,IF(AY$121="6차중도금",$F140*70%-SUM($G140:AX140)-$F140*10%,0)))</f>
        <v>0</v>
      </c>
      <c r="AZ140" s="605">
        <f>IF(AZ$121="입주/잔금",($F140-SUM($G140:AY140))*30%,IF(AY$121="입주/잔금",($F140-SUM($G140:AX140))*50%,IF(AX$121="입주/잔금",($F140-SUM($G140:AW140))*20%,IF(AZ$121=0,0,IF(AZ$121="2차중도금",$F140*30%-SUM($G140:AY140),IF(AZ$121="3차중도금",$F140*40%-SUM($G140:AY140),IF(AZ$121="4차중도금",$F140*50%-SUM($G140:AY140),$F140*10%)))))))+(IF(AZ$121="5차중도금",$F140*60%-SUM($G140:AY140)-$F140*10%,IF(AZ$121="6차중도금",$F140*70%-SUM($G140:AY140)-$F140*10%,0)))</f>
        <v>0</v>
      </c>
      <c r="BA140" s="605">
        <f>IF(BA$121="입주/잔금",($F140-SUM($G140:AZ140))*30%,IF(AZ$121="입주/잔금",($F140-SUM($G140:AY140))*50%,IF(AY$121="입주/잔금",($F140-SUM($G140:AX140))*20%,IF(BA$121=0,0,IF(BA$121="2차중도금",$F140*30%-SUM($G140:AZ140),IF(BA$121="3차중도금",$F140*40%-SUM($G140:AZ140),IF(BA$121="4차중도금",$F140*50%-SUM($G140:AZ140),$F140*10%)))))))+(IF(BA$121="5차중도금",$F140*60%-SUM($G140:AZ140)-$F140*10%,IF(BA$121="6차중도금",$F140*70%-SUM($G140:AZ140)-$F140*10%,0)))</f>
        <v>0</v>
      </c>
      <c r="BB140" s="605">
        <f>IF(BB$121="입주/잔금",($F140-SUM($G140:BA140))*30%,IF(BA$121="입주/잔금",($F140-SUM($G140:AZ140))*50%,IF(AZ$121="입주/잔금",($F140-SUM($G140:AY140))*20%,IF(BB$121=0,0,IF(BB$121="2차중도금",$F140*30%-SUM($G140:BA140),IF(BB$121="3차중도금",$F140*40%-SUM($G140:BA140),IF(BB$121="4차중도금",$F140*50%-SUM($G140:BA140),$F140*10%)))))))+(IF(BB$121="5차중도금",$F140*60%-SUM($G140:BA140)-$F140*10%,IF(BB$121="6차중도금",$F140*70%-SUM($G140:BA140)-$F140*10%,0)))</f>
        <v>0</v>
      </c>
      <c r="BC140" s="605">
        <f>IF(BC$121="입주/잔금",($F140-SUM($G140:BB140))*30%,IF(BB$121="입주/잔금",($F140-SUM($G140:BA140))*50%,IF(BA$121="입주/잔금",($F140-SUM($G140:AZ140))*20%,IF(BC$121=0,0,IF(BC$121="2차중도금",$F140*30%-SUM($G140:BB140),IF(BC$121="3차중도금",$F140*40%-SUM($G140:BB140),IF(BC$121="4차중도금",$F140*50%-SUM($G140:BB140),$F140*10%)))))))+(IF(BC$121="5차중도금",$F140*60%-SUM($G140:BB140)-$F140*10%,IF(BC$121="6차중도금",$F140*70%-SUM($G140:BB140)-$F140*10%,0)))</f>
        <v>0</v>
      </c>
      <c r="BD140" s="605">
        <f>IF(BD$121="입주/잔금",($F140-SUM($G140:BC140))*30%,IF(BC$121="입주/잔금",($F140-SUM($G140:BB140))*50%,IF(BB$121="입주/잔금",($F140-SUM($G140:BA140))*20%,IF(BD$121=0,0,IF(BD$121="2차중도금",$F140*30%-SUM($G140:BC140),IF(BD$121="3차중도금",$F140*40%-SUM($G140:BC140),IF(BD$121="4차중도금",$F140*50%-SUM($G140:BC140),$F140*10%)))))))+(IF(BD$121="5차중도금",$F140*60%-SUM($G140:BC140)-$F140*10%,IF(BD$121="6차중도금",$F140*70%-SUM($G140:BC140)-$F140*10%,0)))</f>
        <v>0</v>
      </c>
      <c r="BE140" s="605">
        <f>IF(BE$121="입주/잔금",($F140-SUM($G140:BD140))*30%,IF(BD$121="입주/잔금",($F140-SUM($G140:BC140))*50%,IF(BC$121="입주/잔금",($F140-SUM($G140:BB140))*20%,IF(BE$121=0,0,IF(BE$121="2차중도금",$F140*30%-SUM($G140:BD140),IF(BE$121="3차중도금",$F140*40%-SUM($G140:BD140),IF(BE$121="4차중도금",$F140*50%-SUM($G140:BD140),$F140*10%)))))))+(IF(BE$121="5차중도금",$F140*60%-SUM($G140:BD140)-$F140*10%,IF(BE$121="6차중도금",$F140*70%-SUM($G140:BD140)-$F140*10%,0)))</f>
        <v>0</v>
      </c>
      <c r="BF140" s="609">
        <f t="shared" si="43"/>
        <v>0</v>
      </c>
      <c r="BG140" s="556">
        <f t="shared" si="45"/>
        <v>0</v>
      </c>
      <c r="BH140" s="610"/>
    </row>
    <row r="141" spans="1:60">
      <c r="A141" s="1867"/>
      <c r="B141" s="611">
        <f t="shared" si="46"/>
        <v>45413</v>
      </c>
      <c r="C141" s="605">
        <f t="shared" si="49"/>
        <v>21284968.815239683</v>
      </c>
      <c r="D141" s="1501"/>
      <c r="E141" s="607">
        <f t="shared" si="48"/>
        <v>0.70000000000000007</v>
      </c>
      <c r="F141" s="608">
        <f t="shared" si="44"/>
        <v>0</v>
      </c>
      <c r="G141" s="605"/>
      <c r="H141" s="605"/>
      <c r="I141" s="605"/>
      <c r="J141" s="605"/>
      <c r="K141" s="605"/>
      <c r="L141" s="605"/>
      <c r="M141" s="605"/>
      <c r="N141" s="605"/>
      <c r="O141" s="605"/>
      <c r="P141" s="605"/>
      <c r="Q141" s="605"/>
      <c r="R141" s="605"/>
      <c r="S141" s="605"/>
      <c r="T141" s="605"/>
      <c r="U141" s="605"/>
      <c r="V141" s="605"/>
      <c r="W141" s="605"/>
      <c r="X141" s="605"/>
      <c r="Y141" s="605"/>
      <c r="Z141" s="605">
        <f>$F141*10%</f>
        <v>0</v>
      </c>
      <c r="AA141" s="605">
        <f>IF(AA$121="입주/잔금",($F141-SUM($G141:Z141))*30%,IF(Z$121="입주/잔금",($F141-SUM($G141:Y141))*50%,IF(Y$121="입주/잔금",($F141-SUM($G141:X141))*20%,IF(AA$121=0,0,IF(AA$121="2차중도금",$F141*30%-SUM($G141:Z141),IF(AA$121="3차중도금",$F141*40%-SUM($G141:Z141),IF(AA$121="4차중도금",$F141*50%-SUM($G141:Z141),$F141*10%)))))))+(IF(AA$121="5차중도금",$F141*60%-SUM($G141:Z141)-$F141*10%,IF(AA$121="6차중도금",$F141*70%-SUM($G141:Z141)-$F141*10%,0)))</f>
        <v>0</v>
      </c>
      <c r="AB141" s="605">
        <f>IF(AB$121="입주/잔금",($F141-SUM($G141:AA141))*30%,IF(AA$121="입주/잔금",($F141-SUM($G141:Z141))*50%,IF(Z$121="입주/잔금",($F141-SUM($G141:Y141))*20%,IF(AB$121=0,0,IF(AB$121="2차중도금",$F141*30%-SUM($G141:AA141),IF(AB$121="3차중도금",$F141*40%-SUM($G141:AA141),IF(AB$121="4차중도금",$F141*50%-SUM($G141:AA141),$F141*10%)))))))+(IF(AB$121="5차중도금",$F141*60%-SUM($G141:AA141)-$F141*10%,IF(AB$121="6차중도금",$F141*70%-SUM($G141:AA141)-$F141*10%,0)))</f>
        <v>0</v>
      </c>
      <c r="AC141" s="605">
        <f>IF(AC$121="입주/잔금",($F141-SUM($G141:AB141))*30%,IF(AB$121="입주/잔금",($F141-SUM($G141:AA141))*50%,IF(AA$121="입주/잔금",($F141-SUM($G141:Z141))*20%,IF(AC$121=0,0,IF(AC$121="2차중도금",$F141*30%-SUM($G141:AB141),IF(AC$121="3차중도금",$F141*40%-SUM($G141:AB141),IF(AC$121="4차중도금",$F141*50%-SUM($G141:AB141),$F141*10%)))))))+(IF(AC$121="5차중도금",$F141*60%-SUM($G141:AB141)-$F141*10%,IF(AC$121="6차중도금",$F141*70%-SUM($G141:AB141)-$F141*10%,0)))</f>
        <v>0</v>
      </c>
      <c r="AD141" s="605">
        <f>IF(AD$121="입주/잔금",($F141-SUM($G141:AC141))*30%,IF(AC$121="입주/잔금",($F141-SUM($G141:AB141))*50%,IF(AB$121="입주/잔금",($F141-SUM($G141:AA141))*20%,IF(AD$121=0,0,IF(AD$121="2차중도금",$F141*30%-SUM($G141:AC141),IF(AD$121="3차중도금",$F141*40%-SUM($G141:AC141),IF(AD$121="4차중도금",$F141*50%-SUM($G141:AC141),$F141*10%)))))))+(IF(AD$121="5차중도금",$F141*60%-SUM($G141:AC141)-$F141*10%,IF(AD$121="6차중도금",$F141*70%-SUM($G141:AC141)-$F141*10%,0)))</f>
        <v>0</v>
      </c>
      <c r="AE141" s="605">
        <f>IF(AE$121="입주/잔금",($F141-SUM($G141:AD141))*30%,IF(AD$121="입주/잔금",($F141-SUM($G141:AC141))*50%,IF(AC$121="입주/잔금",($F141-SUM($G141:AB141))*20%,IF(AE$121=0,0,IF(AE$121="2차중도금",$F141*30%-SUM($G141:AD141),IF(AE$121="3차중도금",$F141*40%-SUM($G141:AD141),IF(AE$121="4차중도금",$F141*50%-SUM($G141:AD141),$F141*10%)))))))+(IF(AE$121="5차중도금",$F141*60%-SUM($G141:AD141)-$F141*10%,IF(AE$121="6차중도금",$F141*70%-SUM($G141:AD141)-$F141*10%,0)))</f>
        <v>0</v>
      </c>
      <c r="AF141" s="605">
        <f>IF(AF$121="입주/잔금",($F141-SUM($G141:AE141))*30%,IF(AE$121="입주/잔금",($F141-SUM($G141:AD141))*50%,IF(AD$121="입주/잔금",($F141-SUM($G141:AC141))*20%,IF(AF$121=0,0,IF(AF$121="2차중도금",$F141*30%-SUM($G141:AE141),IF(AF$121="3차중도금",$F141*40%-SUM($G141:AE141),IF(AF$121="4차중도금",$F141*50%-SUM($G141:AE141),$F141*10%)))))))+(IF(AF$121="5차중도금",$F141*60%-SUM($G141:AE141)-$F141*10%,IF(AF$121="6차중도금",$F141*70%-SUM($G141:AE141)-$F141*10%,0)))</f>
        <v>0</v>
      </c>
      <c r="AG141" s="605">
        <f>IF(AG$121="입주/잔금",($F141-SUM($G141:AF141))*30%,IF(AF$121="입주/잔금",($F141-SUM($G141:AE141))*50%,IF(AE$121="입주/잔금",($F141-SUM($G141:AD141))*20%,IF(AG$121=0,0,IF(AG$121="2차중도금",$F141*30%-SUM($G141:AF141),IF(AG$121="3차중도금",$F141*40%-SUM($G141:AF141),IF(AG$121="4차중도금",$F141*50%-SUM($G141:AF141),$F141*10%)))))))+(IF(AG$121="5차중도금",$F141*60%-SUM($G141:AF141)-$F141*10%,IF(AG$121="6차중도금",$F141*70%-SUM($G141:AF141)-$F141*10%,0)))</f>
        <v>0</v>
      </c>
      <c r="AH141" s="605">
        <f>IF(AH$121="입주/잔금",($F141-SUM($G141:AG141))*30%,IF(AG$121="입주/잔금",($F141-SUM($G141:AF141))*50%,IF(AF$121="입주/잔금",($F141-SUM($G141:AE141))*20%,IF(AH$121=0,0,IF(AH$121="2차중도금",$F141*30%-SUM($G141:AG141),IF(AH$121="3차중도금",$F141*40%-SUM($G141:AG141),IF(AH$121="4차중도금",$F141*50%-SUM($G141:AG141),$F141*10%)))))))+(IF(AH$121="5차중도금",$F141*60%-SUM($G141:AG141)-$F141*10%,IF(AH$121="6차중도금",$F141*70%-SUM($G141:AG141)-$F141*10%,0)))</f>
        <v>0</v>
      </c>
      <c r="AI141" s="605">
        <f>IF(AI$121="입주/잔금",($F141-SUM($G141:AH141))*30%,IF(AH$121="입주/잔금",($F141-SUM($G141:AG141))*50%,IF(AG$121="입주/잔금",($F141-SUM($G141:AF141))*20%,IF(AI$121=0,0,IF(AI$121="2차중도금",$F141*30%-SUM($G141:AH141),IF(AI$121="3차중도금",$F141*40%-SUM($G141:AH141),IF(AI$121="4차중도금",$F141*50%-SUM($G141:AH141),$F141*10%)))))))+(IF(AI$121="5차중도금",$F141*60%-SUM($G141:AH141)-$F141*10%,IF(AI$121="6차중도금",$F141*70%-SUM($G141:AH141)-$F141*10%,0)))</f>
        <v>0</v>
      </c>
      <c r="AJ141" s="605">
        <f>IF(AJ$121="입주/잔금",($F141-SUM($G141:AI141))*30%,IF(AI$121="입주/잔금",($F141-SUM($G141:AH141))*50%,IF(AH$121="입주/잔금",($F141-SUM($G141:AG141))*20%,IF(AJ$121=0,0,IF(AJ$121="2차중도금",$F141*30%-SUM($G141:AI141),IF(AJ$121="3차중도금",$F141*40%-SUM($G141:AI141),IF(AJ$121="4차중도금",$F141*50%-SUM($G141:AI141),$F141*10%)))))))+(IF(AJ$121="5차중도금",$F141*60%-SUM($G141:AI141)-$F141*10%,IF(AJ$121="6차중도금",$F141*70%-SUM($G141:AI141)-$F141*10%,0)))</f>
        <v>0</v>
      </c>
      <c r="AK141" s="605">
        <f>IF(AK$121="입주/잔금",($F141-SUM($G141:AJ141))*30%,IF(AJ$121="입주/잔금",($F141-SUM($G141:AI141))*50%,IF(AI$121="입주/잔금",($F141-SUM($G141:AH141))*20%,IF(AK$121=0,0,IF(AK$121="2차중도금",$F141*30%-SUM($G141:AJ141),IF(AK$121="3차중도금",$F141*40%-SUM($G141:AJ141),IF(AK$121="4차중도금",$F141*50%-SUM($G141:AJ141),$F141*10%)))))))+(IF(AK$121="5차중도금",$F141*60%-SUM($G141:AJ141)-$F141*10%,IF(AK$121="6차중도금",$F141*70%-SUM($G141:AJ141)-$F141*10%,0)))</f>
        <v>0</v>
      </c>
      <c r="AL141" s="605">
        <f>IF(AL$121="입주/잔금",($F141-SUM($G141:AK141))*30%,IF(AK$121="입주/잔금",($F141-SUM($G141:AJ141))*50%,IF(AJ$121="입주/잔금",($F141-SUM($G141:AI141))*20%,IF(AL$121=0,0,IF(AL$121="2차중도금",$F141*30%-SUM($G141:AK141),IF(AL$121="3차중도금",$F141*40%-SUM($G141:AK141),IF(AL$121="4차중도금",$F141*50%-SUM($G141:AK141),$F141*10%)))))))+(IF(AL$121="5차중도금",$F141*60%-SUM($G141:AK141)-$F141*10%,IF(AL$121="6차중도금",$F141*70%-SUM($G141:AK141)-$F141*10%,0)))</f>
        <v>0</v>
      </c>
      <c r="AM141" s="605">
        <f>IF(AM$121="입주/잔금",($F141-SUM($G141:AL141))*30%,IF(AL$121="입주/잔금",($F141-SUM($G141:AK141))*50%,IF(AK$121="입주/잔금",($F141-SUM($G141:AJ141))*20%,IF(AM$121=0,0,IF(AM$121="2차중도금",$F141*30%-SUM($G141:AL141),IF(AM$121="3차중도금",$F141*40%-SUM($G141:AL141),IF(AM$121="4차중도금",$F141*50%-SUM($G141:AL141),$F141*10%)))))))+(IF(AM$121="5차중도금",$F141*60%-SUM($G141:AL141)-$F141*10%,IF(AM$121="6차중도금",$F141*70%-SUM($G141:AL141)-$F141*10%,0)))</f>
        <v>0</v>
      </c>
      <c r="AN141" s="605">
        <f>IF(AN$121="입주/잔금",($F141-SUM($G141:AM141))*30%,IF(AM$121="입주/잔금",($F141-SUM($G141:AL141))*50%,IF(AL$121="입주/잔금",($F141-SUM($G141:AK141))*20%,IF(AN$121=0,0,IF(AN$121="2차중도금",$F141*30%-SUM($G141:AM141),IF(AN$121="3차중도금",$F141*40%-SUM($G141:AM141),IF(AN$121="4차중도금",$F141*50%-SUM($G141:AM141),$F141*10%)))))))+(IF(AN$121="5차중도금",$F141*60%-SUM($G141:AM141)-$F141*10%,IF(AN$121="6차중도금",$F141*70%-SUM($G141:AM141)-$F141*10%,0)))</f>
        <v>0</v>
      </c>
      <c r="AO141" s="605">
        <f>IF(AO$121="입주/잔금",($F141-SUM($G141:AN141))*30%,IF(AN$121="입주/잔금",($F141-SUM($G141:AM141))*50%,IF(AM$121="입주/잔금",($F141-SUM($G141:AL141))*20%,IF(AO$121=0,0,IF(AO$121="2차중도금",$F141*30%-SUM($G141:AN141),IF(AO$121="3차중도금",$F141*40%-SUM($G141:AN141),IF(AO$121="4차중도금",$F141*50%-SUM($G141:AN141),$F141*10%)))))))+(IF(AO$121="5차중도금",$F141*60%-SUM($G141:AN141)-$F141*10%,IF(AO$121="6차중도금",$F141*70%-SUM($G141:AN141)-$F141*10%,0)))</f>
        <v>0</v>
      </c>
      <c r="AP141" s="605">
        <f>IF(AP$121="입주/잔금",($F141-SUM($G141:AO141))*30%,IF(AO$121="입주/잔금",($F141-SUM($G141:AN141))*50%,IF(AN$121="입주/잔금",($F141-SUM($G141:AM141))*20%,IF(AP$121=0,0,IF(AP$121="2차중도금",$F141*30%-SUM($G141:AO141),IF(AP$121="3차중도금",$F141*40%-SUM($G141:AO141),IF(AP$121="4차중도금",$F141*50%-SUM($G141:AO141),$F141*10%)))))))+(IF(AP$121="5차중도금",$F141*60%-SUM($G141:AO141)-$F141*10%,IF(AP$121="6차중도금",$F141*70%-SUM($G141:AO141)-$F141*10%,0)))</f>
        <v>0</v>
      </c>
      <c r="AQ141" s="605">
        <f>IF(AQ$121="입주/잔금",($F141-SUM($G141:AP141))*30%,IF(AP$121="입주/잔금",($F141-SUM($G141:AO141))*50%,IF(AO$121="입주/잔금",($F141-SUM($G141:AN141))*20%,IF(AQ$121=0,0,IF(AQ$121="2차중도금",$F141*30%-SUM($G141:AP141),IF(AQ$121="3차중도금",$F141*40%-SUM($G141:AP141),IF(AQ$121="4차중도금",$F141*50%-SUM($G141:AP141),$F141*10%)))))))+(IF(AQ$121="5차중도금",$F141*60%-SUM($G141:AP141)-$F141*10%,IF(AQ$121="6차중도금",$F141*70%-SUM($G141:AP141)-$F141*10%,0)))</f>
        <v>0</v>
      </c>
      <c r="AR141" s="605">
        <f>IF(AR$121="입주/잔금",($F141-SUM($G141:AQ141))*30%,IF(AQ$121="입주/잔금",($F141-SUM($G141:AP141))*50%,IF(AP$121="입주/잔금",($F141-SUM($G141:AO141))*20%,IF(AR$121=0,0,IF(AR$121="2차중도금",$F141*30%-SUM($G141:AQ141),IF(AR$121="3차중도금",$F141*40%-SUM($G141:AQ141),IF(AR$121="4차중도금",$F141*50%-SUM($G141:AQ141),$F141*10%)))))))+(IF(AR$121="5차중도금",$F141*60%-SUM($G141:AQ141)-$F141*10%,IF(AR$121="6차중도금",$F141*70%-SUM($G141:AQ141)-$F141*10%,0)))</f>
        <v>0</v>
      </c>
      <c r="AS141" s="605">
        <f>IF(AS$121="입주/잔금",($F141-SUM($G141:AR141))*30%,IF(AR$121="입주/잔금",($F141-SUM($G141:AQ141))*50%,IF(AQ$121="입주/잔금",($F141-SUM($G141:AP141))*20%,IF(AS$121=0,0,IF(AS$121="2차중도금",$F141*30%-SUM($G141:AR141),IF(AS$121="3차중도금",$F141*40%-SUM($G141:AR141),IF(AS$121="4차중도금",$F141*50%-SUM($G141:AR141),$F141*10%)))))))+(IF(AS$121="5차중도금",$F141*60%-SUM($G141:AR141)-$F141*10%,IF(AS$121="6차중도금",$F141*70%-SUM($G141:AR141)-$F141*10%,0)))</f>
        <v>0</v>
      </c>
      <c r="AT141" s="605">
        <f>IF(AT$121="입주/잔금",($F141-SUM($G141:AS141))*30%,IF(AS$121="입주/잔금",($F141-SUM($G141:AR141))*50%,IF(AR$121="입주/잔금",($F141-SUM($G141:AQ141))*20%,IF(AT$121=0,0,IF(AT$121="2차중도금",$F141*30%-SUM($G141:AS141),IF(AT$121="3차중도금",$F141*40%-SUM($G141:AS141),IF(AT$121="4차중도금",$F141*50%-SUM($G141:AS141),$F141*10%)))))))+(IF(AT$121="5차중도금",$F141*60%-SUM($G141:AS141)-$F141*10%,IF(AT$121="6차중도금",$F141*70%-SUM($G141:AS141)-$F141*10%,0)))</f>
        <v>0</v>
      </c>
      <c r="AU141" s="605">
        <f>IF(AU$121="입주/잔금",($F141-SUM($G141:AT141))*30%,IF(AT$121="입주/잔금",($F141-SUM($G141:AS141))*50%,IF(AS$121="입주/잔금",($F141-SUM($G141:AR141))*20%,IF(AU$121=0,0,IF(AU$121="2차중도금",$F141*30%-SUM($G141:AT141),IF(AU$121="3차중도금",$F141*40%-SUM($G141:AT141),IF(AU$121="4차중도금",$F141*50%-SUM($G141:AT141),$F141*10%)))))))+(IF(AU$121="5차중도금",$F141*60%-SUM($G141:AT141)-$F141*10%,IF(AU$121="6차중도금",$F141*70%-SUM($G141:AT141)-$F141*10%,0)))</f>
        <v>0</v>
      </c>
      <c r="AV141" s="605">
        <f>IF(AV$121="입주/잔금",($F141-SUM($G141:AU141))*30%,IF(AU$121="입주/잔금",($F141-SUM($G141:AT141))*50%,IF(AT$121="입주/잔금",($F141-SUM($G141:AS141))*20%,IF(AV$121=0,0,IF(AV$121="2차중도금",$F141*30%-SUM($G141:AU141),IF(AV$121="3차중도금",$F141*40%-SUM($G141:AU141),IF(AV$121="4차중도금",$F141*50%-SUM($G141:AU141),$F141*10%)))))))+(IF(AV$121="5차중도금",$F141*60%-SUM($G141:AU141)-$F141*10%,IF(AV$121="6차중도금",$F141*70%-SUM($G141:AU141)-$F141*10%,0)))</f>
        <v>0</v>
      </c>
      <c r="AW141" s="605">
        <f>IF(AW$121="입주/잔금",($F141-SUM($G141:AV141))*30%,IF(AV$121="입주/잔금",($F141-SUM($G141:AU141))*50%,IF(AU$121="입주/잔금",($F141-SUM($G141:AT141))*20%,IF(AW$121=0,0,IF(AW$121="2차중도금",$F141*30%-SUM($G141:AV141),IF(AW$121="3차중도금",$F141*40%-SUM($G141:AV141),IF(AW$121="4차중도금",$F141*50%-SUM($G141:AV141),$F141*10%)))))))+(IF(AW$121="5차중도금",$F141*60%-SUM($G141:AV141)-$F141*10%,IF(AW$121="6차중도금",$F141*70%-SUM($G141:AV141)-$F141*10%,0)))</f>
        <v>0</v>
      </c>
      <c r="AX141" s="605">
        <f>IF(AX$121="입주/잔금",($F141-SUM($G141:AW141))*30%,IF(AW$121="입주/잔금",($F141-SUM($G141:AV141))*50%,IF(AV$121="입주/잔금",($F141-SUM($G141:AU141))*20%,IF(AX$121=0,0,IF(AX$121="2차중도금",$F141*30%-SUM($G141:AW141),IF(AX$121="3차중도금",$F141*40%-SUM($G141:AW141),IF(AX$121="4차중도금",$F141*50%-SUM($G141:AW141),$F141*10%)))))))+(IF(AX$121="5차중도금",$F141*60%-SUM($G141:AW141)-$F141*10%,IF(AX$121="6차중도금",$F141*70%-SUM($G141:AW141)-$F141*10%,0)))</f>
        <v>0</v>
      </c>
      <c r="AY141" s="605">
        <f>IF(AY$121="입주/잔금",($F141-SUM($G141:AX141))*30%,IF(AX$121="입주/잔금",($F141-SUM($G141:AW141))*50%,IF(AW$121="입주/잔금",($F141-SUM($G141:AV141))*20%,IF(AY$121=0,0,IF(AY$121="2차중도금",$F141*30%-SUM($G141:AX141),IF(AY$121="3차중도금",$F141*40%-SUM($G141:AX141),IF(AY$121="4차중도금",$F141*50%-SUM($G141:AX141),$F141*10%)))))))+(IF(AY$121="5차중도금",$F141*60%-SUM($G141:AX141)-$F141*10%,IF(AY$121="6차중도금",$F141*70%-SUM($G141:AX141)-$F141*10%,0)))</f>
        <v>0</v>
      </c>
      <c r="AZ141" s="605">
        <f>IF(AZ$121="입주/잔금",($F141-SUM($G141:AY141))*30%,IF(AY$121="입주/잔금",($F141-SUM($G141:AX141))*50%,IF(AX$121="입주/잔금",($F141-SUM($G141:AW141))*20%,IF(AZ$121=0,0,IF(AZ$121="2차중도금",$F141*30%-SUM($G141:AY141),IF(AZ$121="3차중도금",$F141*40%-SUM($G141:AY141),IF(AZ$121="4차중도금",$F141*50%-SUM($G141:AY141),$F141*10%)))))))+(IF(AZ$121="5차중도금",$F141*60%-SUM($G141:AY141)-$F141*10%,IF(AZ$121="6차중도금",$F141*70%-SUM($G141:AY141)-$F141*10%,0)))</f>
        <v>0</v>
      </c>
      <c r="BA141" s="605">
        <f>IF(BA$121="입주/잔금",($F141-SUM($G141:AZ141))*30%,IF(AZ$121="입주/잔금",($F141-SUM($G141:AY141))*50%,IF(AY$121="입주/잔금",($F141-SUM($G141:AX141))*20%,IF(BA$121=0,0,IF(BA$121="2차중도금",$F141*30%-SUM($G141:AZ141),IF(BA$121="3차중도금",$F141*40%-SUM($G141:AZ141),IF(BA$121="4차중도금",$F141*50%-SUM($G141:AZ141),$F141*10%)))))))+(IF(BA$121="5차중도금",$F141*60%-SUM($G141:AZ141)-$F141*10%,IF(BA$121="6차중도금",$F141*70%-SUM($G141:AZ141)-$F141*10%,0)))</f>
        <v>0</v>
      </c>
      <c r="BB141" s="605">
        <f>IF(BB$121="입주/잔금",($F141-SUM($G141:BA141))*30%,IF(BA$121="입주/잔금",($F141-SUM($G141:AZ141))*50%,IF(AZ$121="입주/잔금",($F141-SUM($G141:AY141))*20%,IF(BB$121=0,0,IF(BB$121="2차중도금",$F141*30%-SUM($G141:BA141),IF(BB$121="3차중도금",$F141*40%-SUM($G141:BA141),IF(BB$121="4차중도금",$F141*50%-SUM($G141:BA141),$F141*10%)))))))+(IF(BB$121="5차중도금",$F141*60%-SUM($G141:BA141)-$F141*10%,IF(BB$121="6차중도금",$F141*70%-SUM($G141:BA141)-$F141*10%,0)))</f>
        <v>0</v>
      </c>
      <c r="BC141" s="605">
        <f>IF(BC$121="입주/잔금",($F141-SUM($G141:BB141))*30%,IF(BB$121="입주/잔금",($F141-SUM($G141:BA141))*50%,IF(BA$121="입주/잔금",($F141-SUM($G141:AZ141))*20%,IF(BC$121=0,0,IF(BC$121="2차중도금",$F141*30%-SUM($G141:BB141),IF(BC$121="3차중도금",$F141*40%-SUM($G141:BB141),IF(BC$121="4차중도금",$F141*50%-SUM($G141:BB141),$F141*10%)))))))+(IF(BC$121="5차중도금",$F141*60%-SUM($G141:BB141)-$F141*10%,IF(BC$121="6차중도금",$F141*70%-SUM($G141:BB141)-$F141*10%,0)))</f>
        <v>0</v>
      </c>
      <c r="BD141" s="605">
        <f>IF(BD$121="입주/잔금",($F141-SUM($G141:BC141))*30%,IF(BC$121="입주/잔금",($F141-SUM($G141:BB141))*50%,IF(BB$121="입주/잔금",($F141-SUM($G141:BA141))*20%,IF(BD$121=0,0,IF(BD$121="2차중도금",$F141*30%-SUM($G141:BC141),IF(BD$121="3차중도금",$F141*40%-SUM($G141:BC141),IF(BD$121="4차중도금",$F141*50%-SUM($G141:BC141),$F141*10%)))))))+(IF(BD$121="5차중도금",$F141*60%-SUM($G141:BC141)-$F141*10%,IF(BD$121="6차중도금",$F141*70%-SUM($G141:BC141)-$F141*10%,0)))</f>
        <v>0</v>
      </c>
      <c r="BE141" s="605">
        <f>IF(BE$121="입주/잔금",($F141-SUM($G141:BD141))*30%,IF(BD$121="입주/잔금",($F141-SUM($G141:BC141))*50%,IF(BC$121="입주/잔금",($F141-SUM($G141:BB141))*20%,IF(BE$121=0,0,IF(BE$121="2차중도금",$F141*30%-SUM($G141:BD141),IF(BE$121="3차중도금",$F141*40%-SUM($G141:BD141),IF(BE$121="4차중도금",$F141*50%-SUM($G141:BD141),$F141*10%)))))))+(IF(BE$121="5차중도금",$F141*60%-SUM($G141:BD141)-$F141*10%,IF(BE$121="6차중도금",$F141*70%-SUM($G141:BD141)-$F141*10%,0)))</f>
        <v>0</v>
      </c>
      <c r="BF141" s="609">
        <f t="shared" si="43"/>
        <v>0</v>
      </c>
      <c r="BG141" s="556">
        <f t="shared" si="45"/>
        <v>0</v>
      </c>
      <c r="BH141" s="610"/>
    </row>
    <row r="142" spans="1:60">
      <c r="A142" s="1867"/>
      <c r="B142" s="611">
        <f t="shared" si="46"/>
        <v>45444</v>
      </c>
      <c r="C142" s="605">
        <f t="shared" si="49"/>
        <v>21284968.815239683</v>
      </c>
      <c r="D142" s="1501"/>
      <c r="E142" s="607">
        <f t="shared" si="48"/>
        <v>0.70000000000000007</v>
      </c>
      <c r="F142" s="608">
        <f t="shared" si="44"/>
        <v>0</v>
      </c>
      <c r="G142" s="605"/>
      <c r="H142" s="605"/>
      <c r="I142" s="605"/>
      <c r="J142" s="605"/>
      <c r="K142" s="605"/>
      <c r="L142" s="605"/>
      <c r="M142" s="605"/>
      <c r="N142" s="605"/>
      <c r="O142" s="605"/>
      <c r="P142" s="605"/>
      <c r="Q142" s="605"/>
      <c r="R142" s="605"/>
      <c r="S142" s="605"/>
      <c r="T142" s="605"/>
      <c r="U142" s="605"/>
      <c r="V142" s="605"/>
      <c r="W142" s="605"/>
      <c r="X142" s="605"/>
      <c r="Y142" s="605"/>
      <c r="Z142" s="605"/>
      <c r="AA142" s="605">
        <f>$F142*10%</f>
        <v>0</v>
      </c>
      <c r="AB142" s="605">
        <f>IF(AB$121="입주/잔금",($F142-SUM($G142:AA142))*30%,IF(AA$121="입주/잔금",($F142-SUM($G142:Z142))*50%,IF(Z$121="입주/잔금",($F142-SUM($G142:Y142))*20%,IF(AB$121=0,0,IF(AB$121="2차중도금",$F142*30%-SUM($G142:AA142),IF(AB$121="3차중도금",$F142*40%-SUM($G142:AA142),IF(AB$121="4차중도금",$F142*50%-SUM($G142:AA142),$F142*10%)))))))+(IF(AB$121="5차중도금",$F142*60%-SUM($G142:AA142)-$F142*10%,IF(AB$121="6차중도금",$F142*70%-SUM($G142:AA142)-$F142*10%,0)))</f>
        <v>0</v>
      </c>
      <c r="AC142" s="605">
        <f>IF(AC$121="입주/잔금",($F142-SUM($G142:AB142))*30%,IF(AB$121="입주/잔금",($F142-SUM($G142:AA142))*50%,IF(AA$121="입주/잔금",($F142-SUM($G142:Z142))*20%,IF(AC$121=0,0,IF(AC$121="2차중도금",$F142*30%-SUM($G142:AB142),IF(AC$121="3차중도금",$F142*40%-SUM($G142:AB142),IF(AC$121="4차중도금",$F142*50%-SUM($G142:AB142),$F142*10%)))))))+(IF(AC$121="5차중도금",$F142*60%-SUM($G142:AB142)-$F142*10%,IF(AC$121="6차중도금",$F142*70%-SUM($G142:AB142)-$F142*10%,0)))</f>
        <v>0</v>
      </c>
      <c r="AD142" s="605">
        <f>IF(AD$121="입주/잔금",($F142-SUM($G142:AC142))*30%,IF(AC$121="입주/잔금",($F142-SUM($G142:AB142))*50%,IF(AB$121="입주/잔금",($F142-SUM($G142:AA142))*20%,IF(AD$121=0,0,IF(AD$121="2차중도금",$F142*30%-SUM($G142:AC142),IF(AD$121="3차중도금",$F142*40%-SUM($G142:AC142),IF(AD$121="4차중도금",$F142*50%-SUM($G142:AC142),$F142*10%)))))))+(IF(AD$121="5차중도금",$F142*60%-SUM($G142:AC142)-$F142*10%,IF(AD$121="6차중도금",$F142*70%-SUM($G142:AC142)-$F142*10%,0)))</f>
        <v>0</v>
      </c>
      <c r="AE142" s="605">
        <f>IF(AE$121="입주/잔금",($F142-SUM($G142:AD142))*30%,IF(AD$121="입주/잔금",($F142-SUM($G142:AC142))*50%,IF(AC$121="입주/잔금",($F142-SUM($G142:AB142))*20%,IF(AE$121=0,0,IF(AE$121="2차중도금",$F142*30%-SUM($G142:AD142),IF(AE$121="3차중도금",$F142*40%-SUM($G142:AD142),IF(AE$121="4차중도금",$F142*50%-SUM($G142:AD142),$F142*10%)))))))+(IF(AE$121="5차중도금",$F142*60%-SUM($G142:AD142)-$F142*10%,IF(AE$121="6차중도금",$F142*70%-SUM($G142:AD142)-$F142*10%,0)))</f>
        <v>0</v>
      </c>
      <c r="AF142" s="605">
        <f>IF(AF$121="입주/잔금",($F142-SUM($G142:AE142))*30%,IF(AE$121="입주/잔금",($F142-SUM($G142:AD142))*50%,IF(AD$121="입주/잔금",($F142-SUM($G142:AC142))*20%,IF(AF$121=0,0,IF(AF$121="2차중도금",$F142*30%-SUM($G142:AE142),IF(AF$121="3차중도금",$F142*40%-SUM($G142:AE142),IF(AF$121="4차중도금",$F142*50%-SUM($G142:AE142),$F142*10%)))))))+(IF(AF$121="5차중도금",$F142*60%-SUM($G142:AE142)-$F142*10%,IF(AF$121="6차중도금",$F142*70%-SUM($G142:AE142)-$F142*10%,0)))</f>
        <v>0</v>
      </c>
      <c r="AG142" s="605">
        <f>IF(AG$121="입주/잔금",($F142-SUM($G142:AF142))*30%,IF(AF$121="입주/잔금",($F142-SUM($G142:AE142))*50%,IF(AE$121="입주/잔금",($F142-SUM($G142:AD142))*20%,IF(AG$121=0,0,IF(AG$121="2차중도금",$F142*30%-SUM($G142:AF142),IF(AG$121="3차중도금",$F142*40%-SUM($G142:AF142),IF(AG$121="4차중도금",$F142*50%-SUM($G142:AF142),$F142*10%)))))))+(IF(AG$121="5차중도금",$F142*60%-SUM($G142:AF142)-$F142*10%,IF(AG$121="6차중도금",$F142*70%-SUM($G142:AF142)-$F142*10%,0)))</f>
        <v>0</v>
      </c>
      <c r="AH142" s="605">
        <f>IF(AH$121="입주/잔금",($F142-SUM($G142:AG142))*30%,IF(AG$121="입주/잔금",($F142-SUM($G142:AF142))*50%,IF(AF$121="입주/잔금",($F142-SUM($G142:AE142))*20%,IF(AH$121=0,0,IF(AH$121="2차중도금",$F142*30%-SUM($G142:AG142),IF(AH$121="3차중도금",$F142*40%-SUM($G142:AG142),IF(AH$121="4차중도금",$F142*50%-SUM($G142:AG142),$F142*10%)))))))+(IF(AH$121="5차중도금",$F142*60%-SUM($G142:AG142)-$F142*10%,IF(AH$121="6차중도금",$F142*70%-SUM($G142:AG142)-$F142*10%,0)))</f>
        <v>0</v>
      </c>
      <c r="AI142" s="605">
        <f>IF(AI$121="입주/잔금",($F142-SUM($G142:AH142))*30%,IF(AH$121="입주/잔금",($F142-SUM($G142:AG142))*50%,IF(AG$121="입주/잔금",($F142-SUM($G142:AF142))*20%,IF(AI$121=0,0,IF(AI$121="2차중도금",$F142*30%-SUM($G142:AH142),IF(AI$121="3차중도금",$F142*40%-SUM($G142:AH142),IF(AI$121="4차중도금",$F142*50%-SUM($G142:AH142),$F142*10%)))))))+(IF(AI$121="5차중도금",$F142*60%-SUM($G142:AH142)-$F142*10%,IF(AI$121="6차중도금",$F142*70%-SUM($G142:AH142)-$F142*10%,0)))</f>
        <v>0</v>
      </c>
      <c r="AJ142" s="605">
        <f>IF(AJ$121="입주/잔금",($F142-SUM($G142:AI142))*30%,IF(AI$121="입주/잔금",($F142-SUM($G142:AH142))*50%,IF(AH$121="입주/잔금",($F142-SUM($G142:AG142))*20%,IF(AJ$121=0,0,IF(AJ$121="2차중도금",$F142*30%-SUM($G142:AI142),IF(AJ$121="3차중도금",$F142*40%-SUM($G142:AI142),IF(AJ$121="4차중도금",$F142*50%-SUM($G142:AI142),$F142*10%)))))))+(IF(AJ$121="5차중도금",$F142*60%-SUM($G142:AI142)-$F142*10%,IF(AJ$121="6차중도금",$F142*70%-SUM($G142:AI142)-$F142*10%,0)))</f>
        <v>0</v>
      </c>
      <c r="AK142" s="605">
        <f>IF(AK$121="입주/잔금",($F142-SUM($G142:AJ142))*30%,IF(AJ$121="입주/잔금",($F142-SUM($G142:AI142))*50%,IF(AI$121="입주/잔금",($F142-SUM($G142:AH142))*20%,IF(AK$121=0,0,IF(AK$121="2차중도금",$F142*30%-SUM($G142:AJ142),IF(AK$121="3차중도금",$F142*40%-SUM($G142:AJ142),IF(AK$121="4차중도금",$F142*50%-SUM($G142:AJ142),$F142*10%)))))))+(IF(AK$121="5차중도금",$F142*60%-SUM($G142:AJ142)-$F142*10%,IF(AK$121="6차중도금",$F142*70%-SUM($G142:AJ142)-$F142*10%,0)))</f>
        <v>0</v>
      </c>
      <c r="AL142" s="605">
        <f>IF(AL$121="입주/잔금",($F142-SUM($G142:AK142))*30%,IF(AK$121="입주/잔금",($F142-SUM($G142:AJ142))*50%,IF(AJ$121="입주/잔금",($F142-SUM($G142:AI142))*20%,IF(AL$121=0,0,IF(AL$121="2차중도금",$F142*30%-SUM($G142:AK142),IF(AL$121="3차중도금",$F142*40%-SUM($G142:AK142),IF(AL$121="4차중도금",$F142*50%-SUM($G142:AK142),$F142*10%)))))))+(IF(AL$121="5차중도금",$F142*60%-SUM($G142:AK142)-$F142*10%,IF(AL$121="6차중도금",$F142*70%-SUM($G142:AK142)-$F142*10%,0)))</f>
        <v>0</v>
      </c>
      <c r="AM142" s="605">
        <f>IF(AM$121="입주/잔금",($F142-SUM($G142:AL142))*30%,IF(AL$121="입주/잔금",($F142-SUM($G142:AK142))*50%,IF(AK$121="입주/잔금",($F142-SUM($G142:AJ142))*20%,IF(AM$121=0,0,IF(AM$121="2차중도금",$F142*30%-SUM($G142:AL142),IF(AM$121="3차중도금",$F142*40%-SUM($G142:AL142),IF(AM$121="4차중도금",$F142*50%-SUM($G142:AL142),$F142*10%)))))))+(IF(AM$121="5차중도금",$F142*60%-SUM($G142:AL142)-$F142*10%,IF(AM$121="6차중도금",$F142*70%-SUM($G142:AL142)-$F142*10%,0)))</f>
        <v>0</v>
      </c>
      <c r="AN142" s="605">
        <f>IF(AN$121="입주/잔금",($F142-SUM($G142:AM142))*30%,IF(AM$121="입주/잔금",($F142-SUM($G142:AL142))*50%,IF(AL$121="입주/잔금",($F142-SUM($G142:AK142))*20%,IF(AN$121=0,0,IF(AN$121="2차중도금",$F142*30%-SUM($G142:AM142),IF(AN$121="3차중도금",$F142*40%-SUM($G142:AM142),IF(AN$121="4차중도금",$F142*50%-SUM($G142:AM142),$F142*10%)))))))+(IF(AN$121="5차중도금",$F142*60%-SUM($G142:AM142)-$F142*10%,IF(AN$121="6차중도금",$F142*70%-SUM($G142:AM142)-$F142*10%,0)))</f>
        <v>0</v>
      </c>
      <c r="AO142" s="605">
        <f>IF(AO$121="입주/잔금",($F142-SUM($G142:AN142))*30%,IF(AN$121="입주/잔금",($F142-SUM($G142:AM142))*50%,IF(AM$121="입주/잔금",($F142-SUM($G142:AL142))*20%,IF(AO$121=0,0,IF(AO$121="2차중도금",$F142*30%-SUM($G142:AN142),IF(AO$121="3차중도금",$F142*40%-SUM($G142:AN142),IF(AO$121="4차중도금",$F142*50%-SUM($G142:AN142),$F142*10%)))))))+(IF(AO$121="5차중도금",$F142*60%-SUM($G142:AN142)-$F142*10%,IF(AO$121="6차중도금",$F142*70%-SUM($G142:AN142)-$F142*10%,0)))</f>
        <v>0</v>
      </c>
      <c r="AP142" s="605">
        <f>IF(AP$121="입주/잔금",($F142-SUM($G142:AO142))*30%,IF(AO$121="입주/잔금",($F142-SUM($G142:AN142))*50%,IF(AN$121="입주/잔금",($F142-SUM($G142:AM142))*20%,IF(AP$121=0,0,IF(AP$121="2차중도금",$F142*30%-SUM($G142:AO142),IF(AP$121="3차중도금",$F142*40%-SUM($G142:AO142),IF(AP$121="4차중도금",$F142*50%-SUM($G142:AO142),$F142*10%)))))))+(IF(AP$121="5차중도금",$F142*60%-SUM($G142:AO142)-$F142*10%,IF(AP$121="6차중도금",$F142*70%-SUM($G142:AO142)-$F142*10%,0)))</f>
        <v>0</v>
      </c>
      <c r="AQ142" s="605">
        <f>IF(AQ$121="입주/잔금",($F142-SUM($G142:AP142))*30%,IF(AP$121="입주/잔금",($F142-SUM($G142:AO142))*50%,IF(AO$121="입주/잔금",($F142-SUM($G142:AN142))*20%,IF(AQ$121=0,0,IF(AQ$121="2차중도금",$F142*30%-SUM($G142:AP142),IF(AQ$121="3차중도금",$F142*40%-SUM($G142:AP142),IF(AQ$121="4차중도금",$F142*50%-SUM($G142:AP142),$F142*10%)))))))+(IF(AQ$121="5차중도금",$F142*60%-SUM($G142:AP142)-$F142*10%,IF(AQ$121="6차중도금",$F142*70%-SUM($G142:AP142)-$F142*10%,0)))</f>
        <v>0</v>
      </c>
      <c r="AR142" s="605">
        <f>IF(AR$121="입주/잔금",($F142-SUM($G142:AQ142))*30%,IF(AQ$121="입주/잔금",($F142-SUM($G142:AP142))*50%,IF(AP$121="입주/잔금",($F142-SUM($G142:AO142))*20%,IF(AR$121=0,0,IF(AR$121="2차중도금",$F142*30%-SUM($G142:AQ142),IF(AR$121="3차중도금",$F142*40%-SUM($G142:AQ142),IF(AR$121="4차중도금",$F142*50%-SUM($G142:AQ142),$F142*10%)))))))+(IF(AR$121="5차중도금",$F142*60%-SUM($G142:AQ142)-$F142*10%,IF(AR$121="6차중도금",$F142*70%-SUM($G142:AQ142)-$F142*10%,0)))</f>
        <v>0</v>
      </c>
      <c r="AS142" s="605">
        <f>IF(AS$121="입주/잔금",($F142-SUM($G142:AR142))*30%,IF(AR$121="입주/잔금",($F142-SUM($G142:AQ142))*50%,IF(AQ$121="입주/잔금",($F142-SUM($G142:AP142))*20%,IF(AS$121=0,0,IF(AS$121="2차중도금",$F142*30%-SUM($G142:AR142),IF(AS$121="3차중도금",$F142*40%-SUM($G142:AR142),IF(AS$121="4차중도금",$F142*50%-SUM($G142:AR142),$F142*10%)))))))+(IF(AS$121="5차중도금",$F142*60%-SUM($G142:AR142)-$F142*10%,IF(AS$121="6차중도금",$F142*70%-SUM($G142:AR142)-$F142*10%,0)))</f>
        <v>0</v>
      </c>
      <c r="AT142" s="605">
        <f>IF(AT$121="입주/잔금",($F142-SUM($G142:AS142))*30%,IF(AS$121="입주/잔금",($F142-SUM($G142:AR142))*50%,IF(AR$121="입주/잔금",($F142-SUM($G142:AQ142))*20%,IF(AT$121=0,0,IF(AT$121="2차중도금",$F142*30%-SUM($G142:AS142),IF(AT$121="3차중도금",$F142*40%-SUM($G142:AS142),IF(AT$121="4차중도금",$F142*50%-SUM($G142:AS142),$F142*10%)))))))+(IF(AT$121="5차중도금",$F142*60%-SUM($G142:AS142)-$F142*10%,IF(AT$121="6차중도금",$F142*70%-SUM($G142:AS142)-$F142*10%,0)))</f>
        <v>0</v>
      </c>
      <c r="AU142" s="605">
        <f>IF(AU$121="입주/잔금",($F142-SUM($G142:AT142))*30%,IF(AT$121="입주/잔금",($F142-SUM($G142:AS142))*50%,IF(AS$121="입주/잔금",($F142-SUM($G142:AR142))*20%,IF(AU$121=0,0,IF(AU$121="2차중도금",$F142*30%-SUM($G142:AT142),IF(AU$121="3차중도금",$F142*40%-SUM($G142:AT142),IF(AU$121="4차중도금",$F142*50%-SUM($G142:AT142),$F142*10%)))))))+(IF(AU$121="5차중도금",$F142*60%-SUM($G142:AT142)-$F142*10%,IF(AU$121="6차중도금",$F142*70%-SUM($G142:AT142)-$F142*10%,0)))</f>
        <v>0</v>
      </c>
      <c r="AV142" s="605">
        <f>IF(AV$121="입주/잔금",($F142-SUM($G142:AU142))*30%,IF(AU$121="입주/잔금",($F142-SUM($G142:AT142))*50%,IF(AT$121="입주/잔금",($F142-SUM($G142:AS142))*20%,IF(AV$121=0,0,IF(AV$121="2차중도금",$F142*30%-SUM($G142:AU142),IF(AV$121="3차중도금",$F142*40%-SUM($G142:AU142),IF(AV$121="4차중도금",$F142*50%-SUM($G142:AU142),$F142*10%)))))))+(IF(AV$121="5차중도금",$F142*60%-SUM($G142:AU142)-$F142*10%,IF(AV$121="6차중도금",$F142*70%-SUM($G142:AU142)-$F142*10%,0)))</f>
        <v>0</v>
      </c>
      <c r="AW142" s="605">
        <f>IF(AW$121="입주/잔금",($F142-SUM($G142:AV142))*30%,IF(AV$121="입주/잔금",($F142-SUM($G142:AU142))*50%,IF(AU$121="입주/잔금",($F142-SUM($G142:AT142))*20%,IF(AW$121=0,0,IF(AW$121="2차중도금",$F142*30%-SUM($G142:AV142),IF(AW$121="3차중도금",$F142*40%-SUM($G142:AV142),IF(AW$121="4차중도금",$F142*50%-SUM($G142:AV142),$F142*10%)))))))+(IF(AW$121="5차중도금",$F142*60%-SUM($G142:AV142)-$F142*10%,IF(AW$121="6차중도금",$F142*70%-SUM($G142:AV142)-$F142*10%,0)))</f>
        <v>0</v>
      </c>
      <c r="AX142" s="605">
        <f>IF(AX$121="입주/잔금",($F142-SUM($G142:AW142))*30%,IF(AW$121="입주/잔금",($F142-SUM($G142:AV142))*50%,IF(AV$121="입주/잔금",($F142-SUM($G142:AU142))*20%,IF(AX$121=0,0,IF(AX$121="2차중도금",$F142*30%-SUM($G142:AW142),IF(AX$121="3차중도금",$F142*40%-SUM($G142:AW142),IF(AX$121="4차중도금",$F142*50%-SUM($G142:AW142),$F142*10%)))))))+(IF(AX$121="5차중도금",$F142*60%-SUM($G142:AW142)-$F142*10%,IF(AX$121="6차중도금",$F142*70%-SUM($G142:AW142)-$F142*10%,0)))</f>
        <v>0</v>
      </c>
      <c r="AY142" s="605">
        <f>IF(AY$121="입주/잔금",($F142-SUM($G142:AX142))*30%,IF(AX$121="입주/잔금",($F142-SUM($G142:AW142))*50%,IF(AW$121="입주/잔금",($F142-SUM($G142:AV142))*20%,IF(AY$121=0,0,IF(AY$121="2차중도금",$F142*30%-SUM($G142:AX142),IF(AY$121="3차중도금",$F142*40%-SUM($G142:AX142),IF(AY$121="4차중도금",$F142*50%-SUM($G142:AX142),$F142*10%)))))))+(IF(AY$121="5차중도금",$F142*60%-SUM($G142:AX142)-$F142*10%,IF(AY$121="6차중도금",$F142*70%-SUM($G142:AX142)-$F142*10%,0)))</f>
        <v>0</v>
      </c>
      <c r="AZ142" s="605">
        <f>IF(AZ$121="입주/잔금",($F142-SUM($G142:AY142))*30%,IF(AY$121="입주/잔금",($F142-SUM($G142:AX142))*50%,IF(AX$121="입주/잔금",($F142-SUM($G142:AW142))*20%,IF(AZ$121=0,0,IF(AZ$121="2차중도금",$F142*30%-SUM($G142:AY142),IF(AZ$121="3차중도금",$F142*40%-SUM($G142:AY142),IF(AZ$121="4차중도금",$F142*50%-SUM($G142:AY142),$F142*10%)))))))+(IF(AZ$121="5차중도금",$F142*60%-SUM($G142:AY142)-$F142*10%,IF(AZ$121="6차중도금",$F142*70%-SUM($G142:AY142)-$F142*10%,0)))</f>
        <v>0</v>
      </c>
      <c r="BA142" s="605">
        <f>IF(BA$121="입주/잔금",($F142-SUM($G142:AZ142))*30%,IF(AZ$121="입주/잔금",($F142-SUM($G142:AY142))*50%,IF(AY$121="입주/잔금",($F142-SUM($G142:AX142))*20%,IF(BA$121=0,0,IF(BA$121="2차중도금",$F142*30%-SUM($G142:AZ142),IF(BA$121="3차중도금",$F142*40%-SUM($G142:AZ142),IF(BA$121="4차중도금",$F142*50%-SUM($G142:AZ142),$F142*10%)))))))+(IF(BA$121="5차중도금",$F142*60%-SUM($G142:AZ142)-$F142*10%,IF(BA$121="6차중도금",$F142*70%-SUM($G142:AZ142)-$F142*10%,0)))</f>
        <v>0</v>
      </c>
      <c r="BB142" s="605">
        <f>IF(BB$121="입주/잔금",($F142-SUM($G142:BA142))*30%,IF(BA$121="입주/잔금",($F142-SUM($G142:AZ142))*50%,IF(AZ$121="입주/잔금",($F142-SUM($G142:AY142))*20%,IF(BB$121=0,0,IF(BB$121="2차중도금",$F142*30%-SUM($G142:BA142),IF(BB$121="3차중도금",$F142*40%-SUM($G142:BA142),IF(BB$121="4차중도금",$F142*50%-SUM($G142:BA142),$F142*10%)))))))+(IF(BB$121="5차중도금",$F142*60%-SUM($G142:BA142)-$F142*10%,IF(BB$121="6차중도금",$F142*70%-SUM($G142:BA142)-$F142*10%,0)))</f>
        <v>0</v>
      </c>
      <c r="BC142" s="605">
        <f>IF(BC$121="입주/잔금",($F142-SUM($G142:BB142))*30%,IF(BB$121="입주/잔금",($F142-SUM($G142:BA142))*50%,IF(BA$121="입주/잔금",($F142-SUM($G142:AZ142))*20%,IF(BC$121=0,0,IF(BC$121="2차중도금",$F142*30%-SUM($G142:BB142),IF(BC$121="3차중도금",$F142*40%-SUM($G142:BB142),IF(BC$121="4차중도금",$F142*50%-SUM($G142:BB142),$F142*10%)))))))+(IF(BC$121="5차중도금",$F142*60%-SUM($G142:BB142)-$F142*10%,IF(BC$121="6차중도금",$F142*70%-SUM($G142:BB142)-$F142*10%,0)))</f>
        <v>0</v>
      </c>
      <c r="BD142" s="605">
        <f>IF(BD$121="입주/잔금",($F142-SUM($G142:BC142))*30%,IF(BC$121="입주/잔금",($F142-SUM($G142:BB142))*50%,IF(BB$121="입주/잔금",($F142-SUM($G142:BA142))*20%,IF(BD$121=0,0,IF(BD$121="2차중도금",$F142*30%-SUM($G142:BC142),IF(BD$121="3차중도금",$F142*40%-SUM($G142:BC142),IF(BD$121="4차중도금",$F142*50%-SUM($G142:BC142),$F142*10%)))))))+(IF(BD$121="5차중도금",$F142*60%-SUM($G142:BC142)-$F142*10%,IF(BD$121="6차중도금",$F142*70%-SUM($G142:BC142)-$F142*10%,0)))</f>
        <v>0</v>
      </c>
      <c r="BE142" s="605">
        <f>IF(BE$121="입주/잔금",($F142-SUM($G142:BD142))*30%,IF(BD$121="입주/잔금",($F142-SUM($G142:BC142))*50%,IF(BC$121="입주/잔금",($F142-SUM($G142:BB142))*20%,IF(BE$121=0,0,IF(BE$121="2차중도금",$F142*30%-SUM($G142:BD142),IF(BE$121="3차중도금",$F142*40%-SUM($G142:BD142),IF(BE$121="4차중도금",$F142*50%-SUM($G142:BD142),$F142*10%)))))))+(IF(BE$121="5차중도금",$F142*60%-SUM($G142:BD142)-$F142*10%,IF(BE$121="6차중도금",$F142*70%-SUM($G142:BD142)-$F142*10%,0)))</f>
        <v>0</v>
      </c>
      <c r="BF142" s="609">
        <f t="shared" si="43"/>
        <v>0</v>
      </c>
      <c r="BG142" s="556">
        <f t="shared" si="45"/>
        <v>0</v>
      </c>
      <c r="BH142" s="610"/>
    </row>
    <row r="143" spans="1:60">
      <c r="A143" s="1867"/>
      <c r="B143" s="611">
        <f t="shared" si="46"/>
        <v>45474</v>
      </c>
      <c r="C143" s="605">
        <f t="shared" si="49"/>
        <v>21284968.815239683</v>
      </c>
      <c r="D143" s="1501"/>
      <c r="E143" s="607">
        <f t="shared" si="48"/>
        <v>0.70000000000000007</v>
      </c>
      <c r="F143" s="608">
        <f t="shared" si="44"/>
        <v>0</v>
      </c>
      <c r="G143" s="605"/>
      <c r="H143" s="605"/>
      <c r="I143" s="605"/>
      <c r="J143" s="605"/>
      <c r="K143" s="605"/>
      <c r="L143" s="605"/>
      <c r="M143" s="605"/>
      <c r="N143" s="605"/>
      <c r="O143" s="605"/>
      <c r="P143" s="605"/>
      <c r="Q143" s="605"/>
      <c r="R143" s="605"/>
      <c r="S143" s="605"/>
      <c r="T143" s="605"/>
      <c r="U143" s="605"/>
      <c r="V143" s="605"/>
      <c r="W143" s="605"/>
      <c r="X143" s="605"/>
      <c r="Y143" s="605"/>
      <c r="Z143" s="605"/>
      <c r="AA143" s="605"/>
      <c r="AB143" s="605">
        <f>$F143*10%</f>
        <v>0</v>
      </c>
      <c r="AC143" s="605">
        <f>IF(AC$121="입주/잔금",($F143-SUM($G143:AB143))*30%,IF(AB$121="입주/잔금",($F143-SUM($G143:AA143))*50%,IF(AA$121="입주/잔금",($F143-SUM($G143:Z143))*20%,IF(AC$121=0,0,IF(AC$121="2차중도금",$F143*30%-SUM($G143:AB143),IF(AC$121="3차중도금",$F143*40%-SUM($G143:AB143),IF(AC$121="4차중도금",$F143*50%-SUM($G143:AB143),$F143*10%)))))))+(IF(AC$121="5차중도금",$F143*60%-SUM($G143:AB143)-$F143*10%,IF(AC$121="6차중도금",$F143*70%-SUM($G143:AB143)-$F143*10%,0)))</f>
        <v>0</v>
      </c>
      <c r="AD143" s="605">
        <f>IF(AD$121="입주/잔금",($F143-SUM($G143:AC143))*30%,IF(AC$121="입주/잔금",($F143-SUM($G143:AB143))*50%,IF(AB$121="입주/잔금",($F143-SUM($G143:AA143))*20%,IF(AD$121=0,0,IF(AD$121="2차중도금",$F143*30%-SUM($G143:AC143),IF(AD$121="3차중도금",$F143*40%-SUM($G143:AC143),IF(AD$121="4차중도금",$F143*50%-SUM($G143:AC143),$F143*10%)))))))+(IF(AD$121="5차중도금",$F143*60%-SUM($G143:AC143)-$F143*10%,IF(AD$121="6차중도금",$F143*70%-SUM($G143:AC143)-$F143*10%,0)))</f>
        <v>0</v>
      </c>
      <c r="AE143" s="605">
        <f>IF(AE$121="입주/잔금",($F143-SUM($G143:AD143))*30%,IF(AD$121="입주/잔금",($F143-SUM($G143:AC143))*50%,IF(AC$121="입주/잔금",($F143-SUM($G143:AB143))*20%,IF(AE$121=0,0,IF(AE$121="2차중도금",$F143*30%-SUM($G143:AD143),IF(AE$121="3차중도금",$F143*40%-SUM($G143:AD143),IF(AE$121="4차중도금",$F143*50%-SUM($G143:AD143),$F143*10%)))))))+(IF(AE$121="5차중도금",$F143*60%-SUM($G143:AD143)-$F143*10%,IF(AE$121="6차중도금",$F143*70%-SUM($G143:AD143)-$F143*10%,0)))</f>
        <v>0</v>
      </c>
      <c r="AF143" s="605">
        <f>IF(AF$121="입주/잔금",($F143-SUM($G143:AE143))*30%,IF(AE$121="입주/잔금",($F143-SUM($G143:AD143))*50%,IF(AD$121="입주/잔금",($F143-SUM($G143:AC143))*20%,IF(AF$121=0,0,IF(AF$121="2차중도금",$F143*30%-SUM($G143:AE143),IF(AF$121="3차중도금",$F143*40%-SUM($G143:AE143),IF(AF$121="4차중도금",$F143*50%-SUM($G143:AE143),$F143*10%)))))))+(IF(AF$121="5차중도금",$F143*60%-SUM($G143:AE143)-$F143*10%,IF(AF$121="6차중도금",$F143*70%-SUM($G143:AE143)-$F143*10%,0)))</f>
        <v>0</v>
      </c>
      <c r="AG143" s="605">
        <f>IF(AG$121="입주/잔금",($F143-SUM($G143:AF143))*30%,IF(AF$121="입주/잔금",($F143-SUM($G143:AE143))*50%,IF(AE$121="입주/잔금",($F143-SUM($G143:AD143))*20%,IF(AG$121=0,0,IF(AG$121="2차중도금",$F143*30%-SUM($G143:AF143),IF(AG$121="3차중도금",$F143*40%-SUM($G143:AF143),IF(AG$121="4차중도금",$F143*50%-SUM($G143:AF143),$F143*10%)))))))+(IF(AG$121="5차중도금",$F143*60%-SUM($G143:AF143)-$F143*10%,IF(AG$121="6차중도금",$F143*70%-SUM($G143:AF143)-$F143*10%,0)))</f>
        <v>0</v>
      </c>
      <c r="AH143" s="605">
        <f>IF(AH$121="입주/잔금",($F143-SUM($G143:AG143))*30%,IF(AG$121="입주/잔금",($F143-SUM($G143:AF143))*50%,IF(AF$121="입주/잔금",($F143-SUM($G143:AE143))*20%,IF(AH$121=0,0,IF(AH$121="2차중도금",$F143*30%-SUM($G143:AG143),IF(AH$121="3차중도금",$F143*40%-SUM($G143:AG143),IF(AH$121="4차중도금",$F143*50%-SUM($G143:AG143),$F143*10%)))))))+(IF(AH$121="5차중도금",$F143*60%-SUM($G143:AG143)-$F143*10%,IF(AH$121="6차중도금",$F143*70%-SUM($G143:AG143)-$F143*10%,0)))</f>
        <v>0</v>
      </c>
      <c r="AI143" s="605">
        <f>IF(AI$121="입주/잔금",($F143-SUM($G143:AH143))*30%,IF(AH$121="입주/잔금",($F143-SUM($G143:AG143))*50%,IF(AG$121="입주/잔금",($F143-SUM($G143:AF143))*20%,IF(AI$121=0,0,IF(AI$121="2차중도금",$F143*30%-SUM($G143:AH143),IF(AI$121="3차중도금",$F143*40%-SUM($G143:AH143),IF(AI$121="4차중도금",$F143*50%-SUM($G143:AH143),$F143*10%)))))))+(IF(AI$121="5차중도금",$F143*60%-SUM($G143:AH143)-$F143*10%,IF(AI$121="6차중도금",$F143*70%-SUM($G143:AH143)-$F143*10%,0)))</f>
        <v>0</v>
      </c>
      <c r="AJ143" s="605">
        <f>IF(AJ$121="입주/잔금",($F143-SUM($G143:AI143))*30%,IF(AI$121="입주/잔금",($F143-SUM($G143:AH143))*50%,IF(AH$121="입주/잔금",($F143-SUM($G143:AG143))*20%,IF(AJ$121=0,0,IF(AJ$121="2차중도금",$F143*30%-SUM($G143:AI143),IF(AJ$121="3차중도금",$F143*40%-SUM($G143:AI143),IF(AJ$121="4차중도금",$F143*50%-SUM($G143:AI143),$F143*10%)))))))+(IF(AJ$121="5차중도금",$F143*60%-SUM($G143:AI143)-$F143*10%,IF(AJ$121="6차중도금",$F143*70%-SUM($G143:AI143)-$F143*10%,0)))</f>
        <v>0</v>
      </c>
      <c r="AK143" s="605">
        <f>IF(AK$121="입주/잔금",($F143-SUM($G143:AJ143))*30%,IF(AJ$121="입주/잔금",($F143-SUM($G143:AI143))*50%,IF(AI$121="입주/잔금",($F143-SUM($G143:AH143))*20%,IF(AK$121=0,0,IF(AK$121="2차중도금",$F143*30%-SUM($G143:AJ143),IF(AK$121="3차중도금",$F143*40%-SUM($G143:AJ143),IF(AK$121="4차중도금",$F143*50%-SUM($G143:AJ143),$F143*10%)))))))+(IF(AK$121="5차중도금",$F143*60%-SUM($G143:AJ143)-$F143*10%,IF(AK$121="6차중도금",$F143*70%-SUM($G143:AJ143)-$F143*10%,0)))</f>
        <v>0</v>
      </c>
      <c r="AL143" s="605">
        <f>IF(AL$121="입주/잔금",($F143-SUM($G143:AK143))*30%,IF(AK$121="입주/잔금",($F143-SUM($G143:AJ143))*50%,IF(AJ$121="입주/잔금",($F143-SUM($G143:AI143))*20%,IF(AL$121=0,0,IF(AL$121="2차중도금",$F143*30%-SUM($G143:AK143),IF(AL$121="3차중도금",$F143*40%-SUM($G143:AK143),IF(AL$121="4차중도금",$F143*50%-SUM($G143:AK143),$F143*10%)))))))+(IF(AL$121="5차중도금",$F143*60%-SUM($G143:AK143)-$F143*10%,IF(AL$121="6차중도금",$F143*70%-SUM($G143:AK143)-$F143*10%,0)))</f>
        <v>0</v>
      </c>
      <c r="AM143" s="605">
        <f>IF(AM$121="입주/잔금",($F143-SUM($G143:AL143))*30%,IF(AL$121="입주/잔금",($F143-SUM($G143:AK143))*50%,IF(AK$121="입주/잔금",($F143-SUM($G143:AJ143))*20%,IF(AM$121=0,0,IF(AM$121="2차중도금",$F143*30%-SUM($G143:AL143),IF(AM$121="3차중도금",$F143*40%-SUM($G143:AL143),IF(AM$121="4차중도금",$F143*50%-SUM($G143:AL143),$F143*10%)))))))+(IF(AM$121="5차중도금",$F143*60%-SUM($G143:AL143)-$F143*10%,IF(AM$121="6차중도금",$F143*70%-SUM($G143:AL143)-$F143*10%,0)))</f>
        <v>0</v>
      </c>
      <c r="AN143" s="605">
        <f>IF(AN$121="입주/잔금",($F143-SUM($G143:AM143))*30%,IF(AM$121="입주/잔금",($F143-SUM($G143:AL143))*50%,IF(AL$121="입주/잔금",($F143-SUM($G143:AK143))*20%,IF(AN$121=0,0,IF(AN$121="2차중도금",$F143*30%-SUM($G143:AM143),IF(AN$121="3차중도금",$F143*40%-SUM($G143:AM143),IF(AN$121="4차중도금",$F143*50%-SUM($G143:AM143),$F143*10%)))))))+(IF(AN$121="5차중도금",$F143*60%-SUM($G143:AM143)-$F143*10%,IF(AN$121="6차중도금",$F143*70%-SUM($G143:AM143)-$F143*10%,0)))</f>
        <v>0</v>
      </c>
      <c r="AO143" s="605">
        <f>IF(AO$121="입주/잔금",($F143-SUM($G143:AN143))*30%,IF(AN$121="입주/잔금",($F143-SUM($G143:AM143))*50%,IF(AM$121="입주/잔금",($F143-SUM($G143:AL143))*20%,IF(AO$121=0,0,IF(AO$121="2차중도금",$F143*30%-SUM($G143:AN143),IF(AO$121="3차중도금",$F143*40%-SUM($G143:AN143),IF(AO$121="4차중도금",$F143*50%-SUM($G143:AN143),$F143*10%)))))))+(IF(AO$121="5차중도금",$F143*60%-SUM($G143:AN143)-$F143*10%,IF(AO$121="6차중도금",$F143*70%-SUM($G143:AN143)-$F143*10%,0)))</f>
        <v>0</v>
      </c>
      <c r="AP143" s="605">
        <f>IF(AP$121="입주/잔금",($F143-SUM($G143:AO143))*30%,IF(AO$121="입주/잔금",($F143-SUM($G143:AN143))*50%,IF(AN$121="입주/잔금",($F143-SUM($G143:AM143))*20%,IF(AP$121=0,0,IF(AP$121="2차중도금",$F143*30%-SUM($G143:AO143),IF(AP$121="3차중도금",$F143*40%-SUM($G143:AO143),IF(AP$121="4차중도금",$F143*50%-SUM($G143:AO143),$F143*10%)))))))+(IF(AP$121="5차중도금",$F143*60%-SUM($G143:AO143)-$F143*10%,IF(AP$121="6차중도금",$F143*70%-SUM($G143:AO143)-$F143*10%,0)))</f>
        <v>0</v>
      </c>
      <c r="AQ143" s="605">
        <f>IF(AQ$121="입주/잔금",($F143-SUM($G143:AP143))*30%,IF(AP$121="입주/잔금",($F143-SUM($G143:AO143))*50%,IF(AO$121="입주/잔금",($F143-SUM($G143:AN143))*20%,IF(AQ$121=0,0,IF(AQ$121="2차중도금",$F143*30%-SUM($G143:AP143),IF(AQ$121="3차중도금",$F143*40%-SUM($G143:AP143),IF(AQ$121="4차중도금",$F143*50%-SUM($G143:AP143),$F143*10%)))))))+(IF(AQ$121="5차중도금",$F143*60%-SUM($G143:AP143)-$F143*10%,IF(AQ$121="6차중도금",$F143*70%-SUM($G143:AP143)-$F143*10%,0)))</f>
        <v>0</v>
      </c>
      <c r="AR143" s="605">
        <f>IF(AR$121="입주/잔금",($F143-SUM($G143:AQ143))*30%,IF(AQ$121="입주/잔금",($F143-SUM($G143:AP143))*50%,IF(AP$121="입주/잔금",($F143-SUM($G143:AO143))*20%,IF(AR$121=0,0,IF(AR$121="2차중도금",$F143*30%-SUM($G143:AQ143),IF(AR$121="3차중도금",$F143*40%-SUM($G143:AQ143),IF(AR$121="4차중도금",$F143*50%-SUM($G143:AQ143),$F143*10%)))))))+(IF(AR$121="5차중도금",$F143*60%-SUM($G143:AQ143)-$F143*10%,IF(AR$121="6차중도금",$F143*70%-SUM($G143:AQ143)-$F143*10%,0)))</f>
        <v>0</v>
      </c>
      <c r="AS143" s="605">
        <f>IF(AS$121="입주/잔금",($F143-SUM($G143:AR143))*30%,IF(AR$121="입주/잔금",($F143-SUM($G143:AQ143))*50%,IF(AQ$121="입주/잔금",($F143-SUM($G143:AP143))*20%,IF(AS$121=0,0,IF(AS$121="2차중도금",$F143*30%-SUM($G143:AR143),IF(AS$121="3차중도금",$F143*40%-SUM($G143:AR143),IF(AS$121="4차중도금",$F143*50%-SUM($G143:AR143),$F143*10%)))))))+(IF(AS$121="5차중도금",$F143*60%-SUM($G143:AR143)-$F143*10%,IF(AS$121="6차중도금",$F143*70%-SUM($G143:AR143)-$F143*10%,0)))</f>
        <v>0</v>
      </c>
      <c r="AT143" s="605">
        <f>IF(AT$121="입주/잔금",($F143-SUM($G143:AS143))*30%,IF(AS$121="입주/잔금",($F143-SUM($G143:AR143))*50%,IF(AR$121="입주/잔금",($F143-SUM($G143:AQ143))*20%,IF(AT$121=0,0,IF(AT$121="2차중도금",$F143*30%-SUM($G143:AS143),IF(AT$121="3차중도금",$F143*40%-SUM($G143:AS143),IF(AT$121="4차중도금",$F143*50%-SUM($G143:AS143),$F143*10%)))))))+(IF(AT$121="5차중도금",$F143*60%-SUM($G143:AS143)-$F143*10%,IF(AT$121="6차중도금",$F143*70%-SUM($G143:AS143)-$F143*10%,0)))</f>
        <v>0</v>
      </c>
      <c r="AU143" s="605">
        <f>IF(AU$121="입주/잔금",($F143-SUM($G143:AT143))*30%,IF(AT$121="입주/잔금",($F143-SUM($G143:AS143))*50%,IF(AS$121="입주/잔금",($F143-SUM($G143:AR143))*20%,IF(AU$121=0,0,IF(AU$121="2차중도금",$F143*30%-SUM($G143:AT143),IF(AU$121="3차중도금",$F143*40%-SUM($G143:AT143),IF(AU$121="4차중도금",$F143*50%-SUM($G143:AT143),$F143*10%)))))))+(IF(AU$121="5차중도금",$F143*60%-SUM($G143:AT143)-$F143*10%,IF(AU$121="6차중도금",$F143*70%-SUM($G143:AT143)-$F143*10%,0)))</f>
        <v>0</v>
      </c>
      <c r="AV143" s="605">
        <f>IF(AV$121="입주/잔금",($F143-SUM($G143:AU143))*30%,IF(AU$121="입주/잔금",($F143-SUM($G143:AT143))*50%,IF(AT$121="입주/잔금",($F143-SUM($G143:AS143))*20%,IF(AV$121=0,0,IF(AV$121="2차중도금",$F143*30%-SUM($G143:AU143),IF(AV$121="3차중도금",$F143*40%-SUM($G143:AU143),IF(AV$121="4차중도금",$F143*50%-SUM($G143:AU143),$F143*10%)))))))+(IF(AV$121="5차중도금",$F143*60%-SUM($G143:AU143)-$F143*10%,IF(AV$121="6차중도금",$F143*70%-SUM($G143:AU143)-$F143*10%,0)))</f>
        <v>0</v>
      </c>
      <c r="AW143" s="605">
        <f>IF(AW$121="입주/잔금",($F143-SUM($G143:AV143))*30%,IF(AV$121="입주/잔금",($F143-SUM($G143:AU143))*50%,IF(AU$121="입주/잔금",($F143-SUM($G143:AT143))*20%,IF(AW$121=0,0,IF(AW$121="2차중도금",$F143*30%-SUM($G143:AV143),IF(AW$121="3차중도금",$F143*40%-SUM($G143:AV143),IF(AW$121="4차중도금",$F143*50%-SUM($G143:AV143),$F143*10%)))))))+(IF(AW$121="5차중도금",$F143*60%-SUM($G143:AV143)-$F143*10%,IF(AW$121="6차중도금",$F143*70%-SUM($G143:AV143)-$F143*10%,0)))</f>
        <v>0</v>
      </c>
      <c r="AX143" s="605">
        <f>IF(AX$121="입주/잔금",($F143-SUM($G143:AW143))*30%,IF(AW$121="입주/잔금",($F143-SUM($G143:AV143))*50%,IF(AV$121="입주/잔금",($F143-SUM($G143:AU143))*20%,IF(AX$121=0,0,IF(AX$121="2차중도금",$F143*30%-SUM($G143:AW143),IF(AX$121="3차중도금",$F143*40%-SUM($G143:AW143),IF(AX$121="4차중도금",$F143*50%-SUM($G143:AW143),$F143*10%)))))))+(IF(AX$121="5차중도금",$F143*60%-SUM($G143:AW143)-$F143*10%,IF(AX$121="6차중도금",$F143*70%-SUM($G143:AW143)-$F143*10%,0)))</f>
        <v>0</v>
      </c>
      <c r="AY143" s="605">
        <f>IF(AY$121="입주/잔금",($F143-SUM($G143:AX143))*30%,IF(AX$121="입주/잔금",($F143-SUM($G143:AW143))*50%,IF(AW$121="입주/잔금",($F143-SUM($G143:AV143))*20%,IF(AY$121=0,0,IF(AY$121="2차중도금",$F143*30%-SUM($G143:AX143),IF(AY$121="3차중도금",$F143*40%-SUM($G143:AX143),IF(AY$121="4차중도금",$F143*50%-SUM($G143:AX143),$F143*10%)))))))+(IF(AY$121="5차중도금",$F143*60%-SUM($G143:AX143)-$F143*10%,IF(AY$121="6차중도금",$F143*70%-SUM($G143:AX143)-$F143*10%,0)))</f>
        <v>0</v>
      </c>
      <c r="AZ143" s="605">
        <f>IF(AZ$121="입주/잔금",($F143-SUM($G143:AY143))*30%,IF(AY$121="입주/잔금",($F143-SUM($G143:AX143))*50%,IF(AX$121="입주/잔금",($F143-SUM($G143:AW143))*20%,IF(AZ$121=0,0,IF(AZ$121="2차중도금",$F143*30%-SUM($G143:AY143),IF(AZ$121="3차중도금",$F143*40%-SUM($G143:AY143),IF(AZ$121="4차중도금",$F143*50%-SUM($G143:AY143),$F143*10%)))))))+(IF(AZ$121="5차중도금",$F143*60%-SUM($G143:AY143)-$F143*10%,IF(AZ$121="6차중도금",$F143*70%-SUM($G143:AY143)-$F143*10%,0)))</f>
        <v>0</v>
      </c>
      <c r="BA143" s="605">
        <f>IF(BA$121="입주/잔금",($F143-SUM($G143:AZ143))*30%,IF(AZ$121="입주/잔금",($F143-SUM($G143:AY143))*50%,IF(AY$121="입주/잔금",($F143-SUM($G143:AX143))*20%,IF(BA$121=0,0,IF(BA$121="2차중도금",$F143*30%-SUM($G143:AZ143),IF(BA$121="3차중도금",$F143*40%-SUM($G143:AZ143),IF(BA$121="4차중도금",$F143*50%-SUM($G143:AZ143),$F143*10%)))))))+(IF(BA$121="5차중도금",$F143*60%-SUM($G143:AZ143)-$F143*10%,IF(BA$121="6차중도금",$F143*70%-SUM($G143:AZ143)-$F143*10%,0)))</f>
        <v>0</v>
      </c>
      <c r="BB143" s="605">
        <f>IF(BB$121="입주/잔금",($F143-SUM($G143:BA143))*30%,IF(BA$121="입주/잔금",($F143-SUM($G143:AZ143))*50%,IF(AZ$121="입주/잔금",($F143-SUM($G143:AY143))*20%,IF(BB$121=0,0,IF(BB$121="2차중도금",$F143*30%-SUM($G143:BA143),IF(BB$121="3차중도금",$F143*40%-SUM($G143:BA143),IF(BB$121="4차중도금",$F143*50%-SUM($G143:BA143),$F143*10%)))))))+(IF(BB$121="5차중도금",$F143*60%-SUM($G143:BA143)-$F143*10%,IF(BB$121="6차중도금",$F143*70%-SUM($G143:BA143)-$F143*10%,0)))</f>
        <v>0</v>
      </c>
      <c r="BC143" s="605">
        <f>IF(BC$121="입주/잔금",($F143-SUM($G143:BB143))*30%,IF(BB$121="입주/잔금",($F143-SUM($G143:BA143))*50%,IF(BA$121="입주/잔금",($F143-SUM($G143:AZ143))*20%,IF(BC$121=0,0,IF(BC$121="2차중도금",$F143*30%-SUM($G143:BB143),IF(BC$121="3차중도금",$F143*40%-SUM($G143:BB143),IF(BC$121="4차중도금",$F143*50%-SUM($G143:BB143),$F143*10%)))))))+(IF(BC$121="5차중도금",$F143*60%-SUM($G143:BB143)-$F143*10%,IF(BC$121="6차중도금",$F143*70%-SUM($G143:BB143)-$F143*10%,0)))</f>
        <v>0</v>
      </c>
      <c r="BD143" s="605">
        <f>IF(BD$121="입주/잔금",($F143-SUM($G143:BC143))*30%,IF(BC$121="입주/잔금",($F143-SUM($G143:BB143))*50%,IF(BB$121="입주/잔금",($F143-SUM($G143:BA143))*20%,IF(BD$121=0,0,IF(BD$121="2차중도금",$F143*30%-SUM($G143:BC143),IF(BD$121="3차중도금",$F143*40%-SUM($G143:BC143),IF(BD$121="4차중도금",$F143*50%-SUM($G143:BC143),$F143*10%)))))))+(IF(BD$121="5차중도금",$F143*60%-SUM($G143:BC143)-$F143*10%,IF(BD$121="6차중도금",$F143*70%-SUM($G143:BC143)-$F143*10%,0)))</f>
        <v>0</v>
      </c>
      <c r="BE143" s="605">
        <f>IF(BE$121="입주/잔금",($F143-SUM($G143:BD143))*30%,IF(BD$121="입주/잔금",($F143-SUM($G143:BC143))*50%,IF(BC$121="입주/잔금",($F143-SUM($G143:BB143))*20%,IF(BE$121=0,0,IF(BE$121="2차중도금",$F143*30%-SUM($G143:BD143),IF(BE$121="3차중도금",$F143*40%-SUM($G143:BD143),IF(BE$121="4차중도금",$F143*50%-SUM($G143:BD143),$F143*10%)))))))+(IF(BE$121="5차중도금",$F143*60%-SUM($G143:BD143)-$F143*10%,IF(BE$121="6차중도금",$F143*70%-SUM($G143:BD143)-$F143*10%,0)))</f>
        <v>0</v>
      </c>
      <c r="BF143" s="609">
        <f t="shared" si="43"/>
        <v>0</v>
      </c>
      <c r="BG143" s="556">
        <f t="shared" si="45"/>
        <v>0</v>
      </c>
      <c r="BH143" s="610"/>
    </row>
    <row r="144" spans="1:60">
      <c r="A144" s="1867"/>
      <c r="B144" s="611">
        <f t="shared" si="46"/>
        <v>45505</v>
      </c>
      <c r="C144" s="605">
        <f t="shared" si="49"/>
        <v>21284968.815239683</v>
      </c>
      <c r="D144" s="1501"/>
      <c r="E144" s="607">
        <f t="shared" si="48"/>
        <v>0.70000000000000007</v>
      </c>
      <c r="F144" s="608">
        <f t="shared" si="44"/>
        <v>0</v>
      </c>
      <c r="G144" s="605"/>
      <c r="H144" s="605"/>
      <c r="I144" s="605"/>
      <c r="J144" s="605"/>
      <c r="K144" s="605"/>
      <c r="L144" s="605"/>
      <c r="M144" s="605"/>
      <c r="N144" s="605"/>
      <c r="O144" s="605"/>
      <c r="P144" s="605"/>
      <c r="Q144" s="605"/>
      <c r="R144" s="605"/>
      <c r="S144" s="605"/>
      <c r="T144" s="605"/>
      <c r="U144" s="605"/>
      <c r="V144" s="605"/>
      <c r="W144" s="605"/>
      <c r="X144" s="605"/>
      <c r="Y144" s="605"/>
      <c r="Z144" s="605"/>
      <c r="AA144" s="605"/>
      <c r="AB144" s="605"/>
      <c r="AC144" s="605">
        <f>$F144*10%</f>
        <v>0</v>
      </c>
      <c r="AD144" s="605">
        <f>IF(AD$121="입주/잔금",($F144-SUM($G144:AC144))*30%,IF(AC$121="입주/잔금",($F144-SUM($G144:AB144))*50%,IF(AB$121="입주/잔금",($F144-SUM($G144:AA144))*20%,IF(AD$121=0,0,IF(AD$121="2차중도금",$F144*30%-SUM($G144:AC144),IF(AD$121="3차중도금",$F144*40%-SUM($G144:AC144),IF(AD$121="4차중도금",$F144*50%-SUM($G144:AC144),$F144*10%)))))))+(IF(AD$121="5차중도금",$F144*60%-SUM($G144:AC144)-$F144*10%,IF(AD$121="6차중도금",$F144*70%-SUM($G144:AC144)-$F144*10%,0)))</f>
        <v>0</v>
      </c>
      <c r="AE144" s="605">
        <f>IF(AE$121="입주/잔금",($F144-SUM($G144:AD144))*30%,IF(AD$121="입주/잔금",($F144-SUM($G144:AC144))*50%,IF(AC$121="입주/잔금",($F144-SUM($G144:AB144))*20%,IF(AE$121=0,0,IF(AE$121="2차중도금",$F144*30%-SUM($G144:AD144),IF(AE$121="3차중도금",$F144*40%-SUM($G144:AD144),IF(AE$121="4차중도금",$F144*50%-SUM($G144:AD144),$F144*10%)))))))+(IF(AE$121="5차중도금",$F144*60%-SUM($G144:AD144)-$F144*10%,IF(AE$121="6차중도금",$F144*70%-SUM($G144:AD144)-$F144*10%,0)))</f>
        <v>0</v>
      </c>
      <c r="AF144" s="605">
        <f>IF(AF$121="입주/잔금",($F144-SUM($G144:AE144))*30%,IF(AE$121="입주/잔금",($F144-SUM($G144:AD144))*50%,IF(AD$121="입주/잔금",($F144-SUM($G144:AC144))*20%,IF(AF$121=0,0,IF(AF$121="2차중도금",$F144*30%-SUM($G144:AE144),IF(AF$121="3차중도금",$F144*40%-SUM($G144:AE144),IF(AF$121="4차중도금",$F144*50%-SUM($G144:AE144),$F144*10%)))))))+(IF(AF$121="5차중도금",$F144*60%-SUM($G144:AE144)-$F144*10%,IF(AF$121="6차중도금",$F144*70%-SUM($G144:AE144)-$F144*10%,0)))</f>
        <v>0</v>
      </c>
      <c r="AG144" s="605">
        <f>IF(AG$121="입주/잔금",($F144-SUM($G144:AF144))*30%,IF(AF$121="입주/잔금",($F144-SUM($G144:AE144))*50%,IF(AE$121="입주/잔금",($F144-SUM($G144:AD144))*20%,IF(AG$121=0,0,IF(AG$121="2차중도금",$F144*30%-SUM($G144:AF144),IF(AG$121="3차중도금",$F144*40%-SUM($G144:AF144),IF(AG$121="4차중도금",$F144*50%-SUM($G144:AF144),$F144*10%)))))))+(IF(AG$121="5차중도금",$F144*60%-SUM($G144:AF144)-$F144*10%,IF(AG$121="6차중도금",$F144*70%-SUM($G144:AF144)-$F144*10%,0)))</f>
        <v>0</v>
      </c>
      <c r="AH144" s="605">
        <f>IF(AH$121="입주/잔금",($F144-SUM($G144:AG144))*30%,IF(AG$121="입주/잔금",($F144-SUM($G144:AF144))*50%,IF(AF$121="입주/잔금",($F144-SUM($G144:AE144))*20%,IF(AH$121=0,0,IF(AH$121="2차중도금",$F144*30%-SUM($G144:AG144),IF(AH$121="3차중도금",$F144*40%-SUM($G144:AG144),IF(AH$121="4차중도금",$F144*50%-SUM($G144:AG144),$F144*10%)))))))+(IF(AH$121="5차중도금",$F144*60%-SUM($G144:AG144)-$F144*10%,IF(AH$121="6차중도금",$F144*70%-SUM($G144:AG144)-$F144*10%,0)))</f>
        <v>0</v>
      </c>
      <c r="AI144" s="605">
        <f>IF(AI$121="입주/잔금",($F144-SUM($G144:AH144))*30%,IF(AH$121="입주/잔금",($F144-SUM($G144:AG144))*50%,IF(AG$121="입주/잔금",($F144-SUM($G144:AF144))*20%,IF(AI$121=0,0,IF(AI$121="2차중도금",$F144*30%-SUM($G144:AH144),IF(AI$121="3차중도금",$F144*40%-SUM($G144:AH144),IF(AI$121="4차중도금",$F144*50%-SUM($G144:AH144),$F144*10%)))))))+(IF(AI$121="5차중도금",$F144*60%-SUM($G144:AH144)-$F144*10%,IF(AI$121="6차중도금",$F144*70%-SUM($G144:AH144)-$F144*10%,0)))</f>
        <v>0</v>
      </c>
      <c r="AJ144" s="605">
        <f>IF(AJ$121="입주/잔금",($F144-SUM($G144:AI144))*30%,IF(AI$121="입주/잔금",($F144-SUM($G144:AH144))*50%,IF(AH$121="입주/잔금",($F144-SUM($G144:AG144))*20%,IF(AJ$121=0,0,IF(AJ$121="2차중도금",$F144*30%-SUM($G144:AI144),IF(AJ$121="3차중도금",$F144*40%-SUM($G144:AI144),IF(AJ$121="4차중도금",$F144*50%-SUM($G144:AI144),$F144*10%)))))))+(IF(AJ$121="5차중도금",$F144*60%-SUM($G144:AI144)-$F144*10%,IF(AJ$121="6차중도금",$F144*70%-SUM($G144:AI144)-$F144*10%,0)))</f>
        <v>0</v>
      </c>
      <c r="AK144" s="605">
        <f>IF(AK$121="입주/잔금",($F144-SUM($G144:AJ144))*30%,IF(AJ$121="입주/잔금",($F144-SUM($G144:AI144))*50%,IF(AI$121="입주/잔금",($F144-SUM($G144:AH144))*20%,IF(AK$121=0,0,IF(AK$121="2차중도금",$F144*30%-SUM($G144:AJ144),IF(AK$121="3차중도금",$F144*40%-SUM($G144:AJ144),IF(AK$121="4차중도금",$F144*50%-SUM($G144:AJ144),$F144*10%)))))))+(IF(AK$121="5차중도금",$F144*60%-SUM($G144:AJ144)-$F144*10%,IF(AK$121="6차중도금",$F144*70%-SUM($G144:AJ144)-$F144*10%,0)))</f>
        <v>0</v>
      </c>
      <c r="AL144" s="605">
        <f>IF(AL$121="입주/잔금",($F144-SUM($G144:AK144))*30%,IF(AK$121="입주/잔금",($F144-SUM($G144:AJ144))*50%,IF(AJ$121="입주/잔금",($F144-SUM($G144:AI144))*20%,IF(AL$121=0,0,IF(AL$121="2차중도금",$F144*30%-SUM($G144:AK144),IF(AL$121="3차중도금",$F144*40%-SUM($G144:AK144),IF(AL$121="4차중도금",$F144*50%-SUM($G144:AK144),$F144*10%)))))))+(IF(AL$121="5차중도금",$F144*60%-SUM($G144:AK144)-$F144*10%,IF(AL$121="6차중도금",$F144*70%-SUM($G144:AK144)-$F144*10%,0)))</f>
        <v>0</v>
      </c>
      <c r="AM144" s="605">
        <f>IF(AM$121="입주/잔금",($F144-SUM($G144:AL144))*30%,IF(AL$121="입주/잔금",($F144-SUM($G144:AK144))*50%,IF(AK$121="입주/잔금",($F144-SUM($G144:AJ144))*20%,IF(AM$121=0,0,IF(AM$121="2차중도금",$F144*30%-SUM($G144:AL144),IF(AM$121="3차중도금",$F144*40%-SUM($G144:AL144),IF(AM$121="4차중도금",$F144*50%-SUM($G144:AL144),$F144*10%)))))))+(IF(AM$121="5차중도금",$F144*60%-SUM($G144:AL144)-$F144*10%,IF(AM$121="6차중도금",$F144*70%-SUM($G144:AL144)-$F144*10%,0)))</f>
        <v>0</v>
      </c>
      <c r="AN144" s="605">
        <f>IF(AN$121="입주/잔금",($F144-SUM($G144:AM144))*30%,IF(AM$121="입주/잔금",($F144-SUM($G144:AL144))*50%,IF(AL$121="입주/잔금",($F144-SUM($G144:AK144))*20%,IF(AN$121=0,0,IF(AN$121="2차중도금",$F144*30%-SUM($G144:AM144),IF(AN$121="3차중도금",$F144*40%-SUM($G144:AM144),IF(AN$121="4차중도금",$F144*50%-SUM($G144:AM144),$F144*10%)))))))+(IF(AN$121="5차중도금",$F144*60%-SUM($G144:AM144)-$F144*10%,IF(AN$121="6차중도금",$F144*70%-SUM($G144:AM144)-$F144*10%,0)))</f>
        <v>0</v>
      </c>
      <c r="AO144" s="605">
        <f>IF(AO$121="입주/잔금",($F144-SUM($G144:AN144))*30%,IF(AN$121="입주/잔금",($F144-SUM($G144:AM144))*50%,IF(AM$121="입주/잔금",($F144-SUM($G144:AL144))*20%,IF(AO$121=0,0,IF(AO$121="2차중도금",$F144*30%-SUM($G144:AN144),IF(AO$121="3차중도금",$F144*40%-SUM($G144:AN144),IF(AO$121="4차중도금",$F144*50%-SUM($G144:AN144),$F144*10%)))))))+(IF(AO$121="5차중도금",$F144*60%-SUM($G144:AN144)-$F144*10%,IF(AO$121="6차중도금",$F144*70%-SUM($G144:AN144)-$F144*10%,0)))</f>
        <v>0</v>
      </c>
      <c r="AP144" s="605">
        <f>IF(AP$121="입주/잔금",($F144-SUM($G144:AO144))*30%,IF(AO$121="입주/잔금",($F144-SUM($G144:AN144))*50%,IF(AN$121="입주/잔금",($F144-SUM($G144:AM144))*20%,IF(AP$121=0,0,IF(AP$121="2차중도금",$F144*30%-SUM($G144:AO144),IF(AP$121="3차중도금",$F144*40%-SUM($G144:AO144),IF(AP$121="4차중도금",$F144*50%-SUM($G144:AO144),$F144*10%)))))))+(IF(AP$121="5차중도금",$F144*60%-SUM($G144:AO144)-$F144*10%,IF(AP$121="6차중도금",$F144*70%-SUM($G144:AO144)-$F144*10%,0)))</f>
        <v>0</v>
      </c>
      <c r="AQ144" s="605">
        <f>IF(AQ$121="입주/잔금",($F144-SUM($G144:AP144))*30%,IF(AP$121="입주/잔금",($F144-SUM($G144:AO144))*50%,IF(AO$121="입주/잔금",($F144-SUM($G144:AN144))*20%,IF(AQ$121=0,0,IF(AQ$121="2차중도금",$F144*30%-SUM($G144:AP144),IF(AQ$121="3차중도금",$F144*40%-SUM($G144:AP144),IF(AQ$121="4차중도금",$F144*50%-SUM($G144:AP144),$F144*10%)))))))+(IF(AQ$121="5차중도금",$F144*60%-SUM($G144:AP144)-$F144*10%,IF(AQ$121="6차중도금",$F144*70%-SUM($G144:AP144)-$F144*10%,0)))</f>
        <v>0</v>
      </c>
      <c r="AR144" s="605">
        <f>IF(AR$121="입주/잔금",($F144-SUM($G144:AQ144))*30%,IF(AQ$121="입주/잔금",($F144-SUM($G144:AP144))*50%,IF(AP$121="입주/잔금",($F144-SUM($G144:AO144))*20%,IF(AR$121=0,0,IF(AR$121="2차중도금",$F144*30%-SUM($G144:AQ144),IF(AR$121="3차중도금",$F144*40%-SUM($G144:AQ144),IF(AR$121="4차중도금",$F144*50%-SUM($G144:AQ144),$F144*10%)))))))+(IF(AR$121="5차중도금",$F144*60%-SUM($G144:AQ144)-$F144*10%,IF(AR$121="6차중도금",$F144*70%-SUM($G144:AQ144)-$F144*10%,0)))</f>
        <v>0</v>
      </c>
      <c r="AS144" s="605">
        <f>IF(AS$121="입주/잔금",($F144-SUM($G144:AR144))*30%,IF(AR$121="입주/잔금",($F144-SUM($G144:AQ144))*50%,IF(AQ$121="입주/잔금",($F144-SUM($G144:AP144))*20%,IF(AS$121=0,0,IF(AS$121="2차중도금",$F144*30%-SUM($G144:AR144),IF(AS$121="3차중도금",$F144*40%-SUM($G144:AR144),IF(AS$121="4차중도금",$F144*50%-SUM($G144:AR144),$F144*10%)))))))+(IF(AS$121="5차중도금",$F144*60%-SUM($G144:AR144)-$F144*10%,IF(AS$121="6차중도금",$F144*70%-SUM($G144:AR144)-$F144*10%,0)))</f>
        <v>0</v>
      </c>
      <c r="AT144" s="605">
        <f>IF(AT$121="입주/잔금",($F144-SUM($G144:AS144))*30%,IF(AS$121="입주/잔금",($F144-SUM($G144:AR144))*50%,IF(AR$121="입주/잔금",($F144-SUM($G144:AQ144))*20%,IF(AT$121=0,0,IF(AT$121="2차중도금",$F144*30%-SUM($G144:AS144),IF(AT$121="3차중도금",$F144*40%-SUM($G144:AS144),IF(AT$121="4차중도금",$F144*50%-SUM($G144:AS144),$F144*10%)))))))+(IF(AT$121="5차중도금",$F144*60%-SUM($G144:AS144)-$F144*10%,IF(AT$121="6차중도금",$F144*70%-SUM($G144:AS144)-$F144*10%,0)))</f>
        <v>0</v>
      </c>
      <c r="AU144" s="605">
        <f>IF(AU$121="입주/잔금",($F144-SUM($G144:AT144))*30%,IF(AT$121="입주/잔금",($F144-SUM($G144:AS144))*50%,IF(AS$121="입주/잔금",($F144-SUM($G144:AR144))*20%,IF(AU$121=0,0,IF(AU$121="2차중도금",$F144*30%-SUM($G144:AT144),IF(AU$121="3차중도금",$F144*40%-SUM($G144:AT144),IF(AU$121="4차중도금",$F144*50%-SUM($G144:AT144),$F144*10%)))))))+(IF(AU$121="5차중도금",$F144*60%-SUM($G144:AT144)-$F144*10%,IF(AU$121="6차중도금",$F144*70%-SUM($G144:AT144)-$F144*10%,0)))</f>
        <v>0</v>
      </c>
      <c r="AV144" s="605">
        <f>IF(AV$121="입주/잔금",($F144-SUM($G144:AU144))*30%,IF(AU$121="입주/잔금",($F144-SUM($G144:AT144))*50%,IF(AT$121="입주/잔금",($F144-SUM($G144:AS144))*20%,IF(AV$121=0,0,IF(AV$121="2차중도금",$F144*30%-SUM($G144:AU144),IF(AV$121="3차중도금",$F144*40%-SUM($G144:AU144),IF(AV$121="4차중도금",$F144*50%-SUM($G144:AU144),$F144*10%)))))))+(IF(AV$121="5차중도금",$F144*60%-SUM($G144:AU144)-$F144*10%,IF(AV$121="6차중도금",$F144*70%-SUM($G144:AU144)-$F144*10%,0)))</f>
        <v>0</v>
      </c>
      <c r="AW144" s="605">
        <f>IF(AW$121="입주/잔금",($F144-SUM($G144:AV144))*30%,IF(AV$121="입주/잔금",($F144-SUM($G144:AU144))*50%,IF(AU$121="입주/잔금",($F144-SUM($G144:AT144))*20%,IF(AW$121=0,0,IF(AW$121="2차중도금",$F144*30%-SUM($G144:AV144),IF(AW$121="3차중도금",$F144*40%-SUM($G144:AV144),IF(AW$121="4차중도금",$F144*50%-SUM($G144:AV144),$F144*10%)))))))+(IF(AW$121="5차중도금",$F144*60%-SUM($G144:AV144)-$F144*10%,IF(AW$121="6차중도금",$F144*70%-SUM($G144:AV144)-$F144*10%,0)))</f>
        <v>0</v>
      </c>
      <c r="AX144" s="605">
        <f>IF(AX$121="입주/잔금",($F144-SUM($G144:AW144))*30%,IF(AW$121="입주/잔금",($F144-SUM($G144:AV144))*50%,IF(AV$121="입주/잔금",($F144-SUM($G144:AU144))*20%,IF(AX$121=0,0,IF(AX$121="2차중도금",$F144*30%-SUM($G144:AW144),IF(AX$121="3차중도금",$F144*40%-SUM($G144:AW144),IF(AX$121="4차중도금",$F144*50%-SUM($G144:AW144),$F144*10%)))))))+(IF(AX$121="5차중도금",$F144*60%-SUM($G144:AW144)-$F144*10%,IF(AX$121="6차중도금",$F144*70%-SUM($G144:AW144)-$F144*10%,0)))</f>
        <v>0</v>
      </c>
      <c r="AY144" s="605">
        <f>IF(AY$121="입주/잔금",($F144-SUM($G144:AX144))*30%,IF(AX$121="입주/잔금",($F144-SUM($G144:AW144))*50%,IF(AW$121="입주/잔금",($F144-SUM($G144:AV144))*20%,IF(AY$121=0,0,IF(AY$121="2차중도금",$F144*30%-SUM($G144:AX144),IF(AY$121="3차중도금",$F144*40%-SUM($G144:AX144),IF(AY$121="4차중도금",$F144*50%-SUM($G144:AX144),$F144*10%)))))))+(IF(AY$121="5차중도금",$F144*60%-SUM($G144:AX144)-$F144*10%,IF(AY$121="6차중도금",$F144*70%-SUM($G144:AX144)-$F144*10%,0)))</f>
        <v>0</v>
      </c>
      <c r="AZ144" s="605">
        <f>IF(AZ$121="입주/잔금",($F144-SUM($G144:AY144))*30%,IF(AY$121="입주/잔금",($F144-SUM($G144:AX144))*50%,IF(AX$121="입주/잔금",($F144-SUM($G144:AW144))*20%,IF(AZ$121=0,0,IF(AZ$121="2차중도금",$F144*30%-SUM($G144:AY144),IF(AZ$121="3차중도금",$F144*40%-SUM($G144:AY144),IF(AZ$121="4차중도금",$F144*50%-SUM($G144:AY144),$F144*10%)))))))+(IF(AZ$121="5차중도금",$F144*60%-SUM($G144:AY144)-$F144*10%,IF(AZ$121="6차중도금",$F144*70%-SUM($G144:AY144)-$F144*10%,0)))</f>
        <v>0</v>
      </c>
      <c r="BA144" s="605">
        <f>IF(BA$121="입주/잔금",($F144-SUM($G144:AZ144))*30%,IF(AZ$121="입주/잔금",($F144-SUM($G144:AY144))*50%,IF(AY$121="입주/잔금",($F144-SUM($G144:AX144))*20%,IF(BA$121=0,0,IF(BA$121="2차중도금",$F144*30%-SUM($G144:AZ144),IF(BA$121="3차중도금",$F144*40%-SUM($G144:AZ144),IF(BA$121="4차중도금",$F144*50%-SUM($G144:AZ144),$F144*10%)))))))+(IF(BA$121="5차중도금",$F144*60%-SUM($G144:AZ144)-$F144*10%,IF(BA$121="6차중도금",$F144*70%-SUM($G144:AZ144)-$F144*10%,0)))</f>
        <v>0</v>
      </c>
      <c r="BB144" s="605">
        <f>IF(BB$121="입주/잔금",($F144-SUM($G144:BA144))*30%,IF(BA$121="입주/잔금",($F144-SUM($G144:AZ144))*50%,IF(AZ$121="입주/잔금",($F144-SUM($G144:AY144))*20%,IF(BB$121=0,0,IF(BB$121="2차중도금",$F144*30%-SUM($G144:BA144),IF(BB$121="3차중도금",$F144*40%-SUM($G144:BA144),IF(BB$121="4차중도금",$F144*50%-SUM($G144:BA144),$F144*10%)))))))+(IF(BB$121="5차중도금",$F144*60%-SUM($G144:BA144)-$F144*10%,IF(BB$121="6차중도금",$F144*70%-SUM($G144:BA144)-$F144*10%,0)))</f>
        <v>0</v>
      </c>
      <c r="BC144" s="605">
        <f>IF(BC$121="입주/잔금",($F144-SUM($G144:BB144))*30%,IF(BB$121="입주/잔금",($F144-SUM($G144:BA144))*50%,IF(BA$121="입주/잔금",($F144-SUM($G144:AZ144))*20%,IF(BC$121=0,0,IF(BC$121="2차중도금",$F144*30%-SUM($G144:BB144),IF(BC$121="3차중도금",$F144*40%-SUM($G144:BB144),IF(BC$121="4차중도금",$F144*50%-SUM($G144:BB144),$F144*10%)))))))+(IF(BC$121="5차중도금",$F144*60%-SUM($G144:BB144)-$F144*10%,IF(BC$121="6차중도금",$F144*70%-SUM($G144:BB144)-$F144*10%,0)))</f>
        <v>0</v>
      </c>
      <c r="BD144" s="605">
        <f>IF(BD$121="입주/잔금",($F144-SUM($G144:BC144))*30%,IF(BC$121="입주/잔금",($F144-SUM($G144:BB144))*50%,IF(BB$121="입주/잔금",($F144-SUM($G144:BA144))*20%,IF(BD$121=0,0,IF(BD$121="2차중도금",$F144*30%-SUM($G144:BC144),IF(BD$121="3차중도금",$F144*40%-SUM($G144:BC144),IF(BD$121="4차중도금",$F144*50%-SUM($G144:BC144),$F144*10%)))))))+(IF(BD$121="5차중도금",$F144*60%-SUM($G144:BC144)-$F144*10%,IF(BD$121="6차중도금",$F144*70%-SUM($G144:BC144)-$F144*10%,0)))</f>
        <v>0</v>
      </c>
      <c r="BE144" s="605">
        <f>IF(BE$121="입주/잔금",($F144-SUM($G144:BD144))*30%,IF(BD$121="입주/잔금",($F144-SUM($G144:BC144))*50%,IF(BC$121="입주/잔금",($F144-SUM($G144:BB144))*20%,IF(BE$121=0,0,IF(BE$121="2차중도금",$F144*30%-SUM($G144:BD144),IF(BE$121="3차중도금",$F144*40%-SUM($G144:BD144),IF(BE$121="4차중도금",$F144*50%-SUM($G144:BD144),$F144*10%)))))))+(IF(BE$121="5차중도금",$F144*60%-SUM($G144:BD144)-$F144*10%,IF(BE$121="6차중도금",$F144*70%-SUM($G144:BD144)-$F144*10%,0)))</f>
        <v>0</v>
      </c>
      <c r="BF144" s="609">
        <f t="shared" si="43"/>
        <v>0</v>
      </c>
      <c r="BG144" s="556">
        <f t="shared" si="45"/>
        <v>0</v>
      </c>
      <c r="BH144" s="610"/>
    </row>
    <row r="145" spans="1:60">
      <c r="A145" s="1867"/>
      <c r="B145" s="611">
        <f t="shared" si="46"/>
        <v>45536</v>
      </c>
      <c r="C145" s="605">
        <f t="shared" si="49"/>
        <v>21284968.815239683</v>
      </c>
      <c r="D145" s="1501"/>
      <c r="E145" s="612">
        <f t="shared" si="48"/>
        <v>0.70000000000000007</v>
      </c>
      <c r="F145" s="608">
        <f t="shared" si="44"/>
        <v>0</v>
      </c>
      <c r="G145" s="605"/>
      <c r="H145" s="605"/>
      <c r="I145" s="605"/>
      <c r="J145" s="605"/>
      <c r="K145" s="605"/>
      <c r="L145" s="605"/>
      <c r="M145" s="605"/>
      <c r="N145" s="605"/>
      <c r="O145" s="605"/>
      <c r="P145" s="605"/>
      <c r="Q145" s="605"/>
      <c r="R145" s="605"/>
      <c r="S145" s="605"/>
      <c r="T145" s="605"/>
      <c r="U145" s="605"/>
      <c r="V145" s="605"/>
      <c r="W145" s="605"/>
      <c r="X145" s="605"/>
      <c r="Y145" s="605"/>
      <c r="Z145" s="605"/>
      <c r="AA145" s="605"/>
      <c r="AB145" s="605"/>
      <c r="AC145" s="605"/>
      <c r="AD145" s="605">
        <f>$F145*10%</f>
        <v>0</v>
      </c>
      <c r="AE145" s="605">
        <f>IF(AE$121="입주/잔금",($F145-SUM($G145:AD145))*30%,IF(AD$121="입주/잔금",($F145-SUM($G145:AC145))*50%,IF(AC$121="입주/잔금",($F145-SUM($G145:AB145))*20%,IF(AE$121=0,0,IF(AE$121="2차중도금",$F145*30%-SUM($G145:AD145),IF(AE$121="3차중도금",$F145*40%-SUM($G145:AD145),IF(AE$121="4차중도금",$F145*50%-SUM($G145:AD145),$F145*10%)))))))+(IF(AE$121="5차중도금",$F145*60%-SUM($G145:AD145)-$F145*10%,IF(AE$121="6차중도금",$F145*70%-SUM($G145:AD145)-$F145*10%,0)))</f>
        <v>0</v>
      </c>
      <c r="AF145" s="605">
        <f>IF(AF$121="입주/잔금",($F145-SUM($G145:AE145))*30%,IF(AE$121="입주/잔금",($F145-SUM($G145:AD145))*50%,IF(AD$121="입주/잔금",($F145-SUM($G145:AC145))*20%,IF(AF$121=0,0,IF(AF$121="2차중도금",$F145*30%-SUM($G145:AE145),IF(AF$121="3차중도금",$F145*40%-SUM($G145:AE145),IF(AF$121="4차중도금",$F145*50%-SUM($G145:AE145),$F145*10%)))))))+(IF(AF$121="5차중도금",$F145*60%-SUM($G145:AE145)-$F145*10%,IF(AF$121="6차중도금",$F145*70%-SUM($G145:AE145)-$F145*10%,0)))</f>
        <v>0</v>
      </c>
      <c r="AG145" s="605">
        <f>IF(AG$121="입주/잔금",($F145-SUM($G145:AF145))*30%,IF(AF$121="입주/잔금",($F145-SUM($G145:AE145))*50%,IF(AE$121="입주/잔금",($F145-SUM($G145:AD145))*20%,IF(AG$121=0,0,IF(AG$121="2차중도금",$F145*30%-SUM($G145:AF145),IF(AG$121="3차중도금",$F145*40%-SUM($G145:AF145),IF(AG$121="4차중도금",$F145*50%-SUM($G145:AF145),$F145*10%)))))))+(IF(AG$121="5차중도금",$F145*60%-SUM($G145:AF145)-$F145*10%,IF(AG$121="6차중도금",$F145*70%-SUM($G145:AF145)-$F145*10%,0)))</f>
        <v>0</v>
      </c>
      <c r="AH145" s="605">
        <f>IF(AH$121="입주/잔금",($F145-SUM($G145:AG145))*30%,IF(AG$121="입주/잔금",($F145-SUM($G145:AF145))*50%,IF(AF$121="입주/잔금",($F145-SUM($G145:AE145))*20%,IF(AH$121=0,0,IF(AH$121="2차중도금",$F145*30%-SUM($G145:AG145),IF(AH$121="3차중도금",$F145*40%-SUM($G145:AG145),IF(AH$121="4차중도금",$F145*50%-SUM($G145:AG145),$F145*10%)))))))+(IF(AH$121="5차중도금",$F145*60%-SUM($G145:AG145)-$F145*10%,IF(AH$121="6차중도금",$F145*70%-SUM($G145:AG145)-$F145*10%,0)))</f>
        <v>0</v>
      </c>
      <c r="AI145" s="605">
        <f>IF(AI$121="입주/잔금",($F145-SUM($G145:AH145))*30%,IF(AH$121="입주/잔금",($F145-SUM($G145:AG145))*50%,IF(AG$121="입주/잔금",($F145-SUM($G145:AF145))*20%,IF(AI$121=0,0,IF(AI$121="2차중도금",$F145*30%-SUM($G145:AH145),IF(AI$121="3차중도금",$F145*40%-SUM($G145:AH145),IF(AI$121="4차중도금",$F145*50%-SUM($G145:AH145),$F145*10%)))))))+(IF(AI$121="5차중도금",$F145*60%-SUM($G145:AH145)-$F145*10%,IF(AI$121="6차중도금",$F145*70%-SUM($G145:AH145)-$F145*10%,0)))</f>
        <v>0</v>
      </c>
      <c r="AJ145" s="605">
        <f>IF(AJ$121="입주/잔금",($F145-SUM($G145:AI145))*30%,IF(AI$121="입주/잔금",($F145-SUM($G145:AH145))*50%,IF(AH$121="입주/잔금",($F145-SUM($G145:AG145))*20%,IF(AJ$121=0,0,IF(AJ$121="2차중도금",$F145*30%-SUM($G145:AI145),IF(AJ$121="3차중도금",$F145*40%-SUM($G145:AI145),IF(AJ$121="4차중도금",$F145*50%-SUM($G145:AI145),$F145*10%)))))))+(IF(AJ$121="5차중도금",$F145*60%-SUM($G145:AI145)-$F145*10%,IF(AJ$121="6차중도금",$F145*70%-SUM($G145:AI145)-$F145*10%,0)))</f>
        <v>0</v>
      </c>
      <c r="AK145" s="605">
        <f>IF(AK$121="입주/잔금",($F145-SUM($G145:AJ145))*30%,IF(AJ$121="입주/잔금",($F145-SUM($G145:AI145))*50%,IF(AI$121="입주/잔금",($F145-SUM($G145:AH145))*20%,IF(AK$121=0,0,IF(AK$121="2차중도금",$F145*30%-SUM($G145:AJ145),IF(AK$121="3차중도금",$F145*40%-SUM($G145:AJ145),IF(AK$121="4차중도금",$F145*50%-SUM($G145:AJ145),$F145*10%)))))))+(IF(AK$121="5차중도금",$F145*60%-SUM($G145:AJ145)-$F145*10%,IF(AK$121="6차중도금",$F145*70%-SUM($G145:AJ145)-$F145*10%,0)))</f>
        <v>0</v>
      </c>
      <c r="AL145" s="605">
        <f>IF(AL$121="입주/잔금",($F145-SUM($G145:AK145))*30%,IF(AK$121="입주/잔금",($F145-SUM($G145:AJ145))*50%,IF(AJ$121="입주/잔금",($F145-SUM($G145:AI145))*20%,IF(AL$121=0,0,IF(AL$121="2차중도금",$F145*30%-SUM($G145:AK145),IF(AL$121="3차중도금",$F145*40%-SUM($G145:AK145),IF(AL$121="4차중도금",$F145*50%-SUM($G145:AK145),$F145*10%)))))))+(IF(AL$121="5차중도금",$F145*60%-SUM($G145:AK145)-$F145*10%,IF(AL$121="6차중도금",$F145*70%-SUM($G145:AK145)-$F145*10%,0)))</f>
        <v>0</v>
      </c>
      <c r="AM145" s="605">
        <f>IF(AM$121="입주/잔금",($F145-SUM($G145:AL145))*30%,IF(AL$121="입주/잔금",($F145-SUM($G145:AK145))*50%,IF(AK$121="입주/잔금",($F145-SUM($G145:AJ145))*20%,IF(AM$121=0,0,IF(AM$121="2차중도금",$F145*30%-SUM($G145:AL145),IF(AM$121="3차중도금",$F145*40%-SUM($G145:AL145),IF(AM$121="4차중도금",$F145*50%-SUM($G145:AL145),$F145*10%)))))))+(IF(AM$121="5차중도금",$F145*60%-SUM($G145:AL145)-$F145*10%,IF(AM$121="6차중도금",$F145*70%-SUM($G145:AL145)-$F145*10%,0)))</f>
        <v>0</v>
      </c>
      <c r="AN145" s="605">
        <f>IF(AN$121="입주/잔금",($F145-SUM($G145:AM145))*30%,IF(AM$121="입주/잔금",($F145-SUM($G145:AL145))*50%,IF(AL$121="입주/잔금",($F145-SUM($G145:AK145))*20%,IF(AN$121=0,0,IF(AN$121="2차중도금",$F145*30%-SUM($G145:AM145),IF(AN$121="3차중도금",$F145*40%-SUM($G145:AM145),IF(AN$121="4차중도금",$F145*50%-SUM($G145:AM145),$F145*10%)))))))+(IF(AN$121="5차중도금",$F145*60%-SUM($G145:AM145)-$F145*10%,IF(AN$121="6차중도금",$F145*70%-SUM($G145:AM145)-$F145*10%,0)))</f>
        <v>0</v>
      </c>
      <c r="AO145" s="605">
        <f>IF(AO$121="입주/잔금",($F145-SUM($G145:AN145))*30%,IF(AN$121="입주/잔금",($F145-SUM($G145:AM145))*50%,IF(AM$121="입주/잔금",($F145-SUM($G145:AL145))*20%,IF(AO$121=0,0,IF(AO$121="2차중도금",$F145*30%-SUM($G145:AN145),IF(AO$121="3차중도금",$F145*40%-SUM($G145:AN145),IF(AO$121="4차중도금",$F145*50%-SUM($G145:AN145),$F145*10%)))))))+(IF(AO$121="5차중도금",$F145*60%-SUM($G145:AN145)-$F145*10%,IF(AO$121="6차중도금",$F145*70%-SUM($G145:AN145)-$F145*10%,0)))</f>
        <v>0</v>
      </c>
      <c r="AP145" s="605">
        <f>IF(AP$121="입주/잔금",($F145-SUM($G145:AO145))*30%,IF(AO$121="입주/잔금",($F145-SUM($G145:AN145))*50%,IF(AN$121="입주/잔금",($F145-SUM($G145:AM145))*20%,IF(AP$121=0,0,IF(AP$121="2차중도금",$F145*30%-SUM($G145:AO145),IF(AP$121="3차중도금",$F145*40%-SUM($G145:AO145),IF(AP$121="4차중도금",$F145*50%-SUM($G145:AO145),$F145*10%)))))))+(IF(AP$121="5차중도금",$F145*60%-SUM($G145:AO145)-$F145*10%,IF(AP$121="6차중도금",$F145*70%-SUM($G145:AO145)-$F145*10%,0)))</f>
        <v>0</v>
      </c>
      <c r="AQ145" s="605">
        <f>IF(AQ$121="입주/잔금",($F145-SUM($G145:AP145))*30%,IF(AP$121="입주/잔금",($F145-SUM($G145:AO145))*50%,IF(AO$121="입주/잔금",($F145-SUM($G145:AN145))*20%,IF(AQ$121=0,0,IF(AQ$121="2차중도금",$F145*30%-SUM($G145:AP145),IF(AQ$121="3차중도금",$F145*40%-SUM($G145:AP145),IF(AQ$121="4차중도금",$F145*50%-SUM($G145:AP145),$F145*10%)))))))+(IF(AQ$121="5차중도금",$F145*60%-SUM($G145:AP145)-$F145*10%,IF(AQ$121="6차중도금",$F145*70%-SUM($G145:AP145)-$F145*10%,0)))</f>
        <v>0</v>
      </c>
      <c r="AR145" s="605">
        <f>IF(AR$121="입주/잔금",($F145-SUM($G145:AQ145))*30%,IF(AQ$121="입주/잔금",($F145-SUM($G145:AP145))*50%,IF(AP$121="입주/잔금",($F145-SUM($G145:AO145))*20%,IF(AR$121=0,0,IF(AR$121="2차중도금",$F145*30%-SUM($G145:AQ145),IF(AR$121="3차중도금",$F145*40%-SUM($G145:AQ145),IF(AR$121="4차중도금",$F145*50%-SUM($G145:AQ145),$F145*10%)))))))+(IF(AR$121="5차중도금",$F145*60%-SUM($G145:AQ145)-$F145*10%,IF(AR$121="6차중도금",$F145*70%-SUM($G145:AQ145)-$F145*10%,0)))</f>
        <v>0</v>
      </c>
      <c r="AS145" s="605">
        <f>IF(AS$121="입주/잔금",($F145-SUM($G145:AR145))*30%,IF(AR$121="입주/잔금",($F145-SUM($G145:AQ145))*50%,IF(AQ$121="입주/잔금",($F145-SUM($G145:AP145))*20%,IF(AS$121=0,0,IF(AS$121="2차중도금",$F145*30%-SUM($G145:AR145),IF(AS$121="3차중도금",$F145*40%-SUM($G145:AR145),IF(AS$121="4차중도금",$F145*50%-SUM($G145:AR145),$F145*10%)))))))+(IF(AS$121="5차중도금",$F145*60%-SUM($G145:AR145)-$F145*10%,IF(AS$121="6차중도금",$F145*70%-SUM($G145:AR145)-$F145*10%,0)))</f>
        <v>0</v>
      </c>
      <c r="AT145" s="605">
        <f>IF(AT$121="입주/잔금",($F145-SUM($G145:AS145))*30%,IF(AS$121="입주/잔금",($F145-SUM($G145:AR145))*50%,IF(AR$121="입주/잔금",($F145-SUM($G145:AQ145))*20%,IF(AT$121=0,0,IF(AT$121="2차중도금",$F145*30%-SUM($G145:AS145),IF(AT$121="3차중도금",$F145*40%-SUM($G145:AS145),IF(AT$121="4차중도금",$F145*50%-SUM($G145:AS145),$F145*10%)))))))+(IF(AT$121="5차중도금",$F145*60%-SUM($G145:AS145)-$F145*10%,IF(AT$121="6차중도금",$F145*70%-SUM($G145:AS145)-$F145*10%,0)))</f>
        <v>0</v>
      </c>
      <c r="AU145" s="605">
        <f>IF(AU$121="입주/잔금",($F145-SUM($G145:AT145))*30%,IF(AT$121="입주/잔금",($F145-SUM($G145:AS145))*50%,IF(AS$121="입주/잔금",($F145-SUM($G145:AR145))*20%,IF(AU$121=0,0,IF(AU$121="2차중도금",$F145*30%-SUM($G145:AT145),IF(AU$121="3차중도금",$F145*40%-SUM($G145:AT145),IF(AU$121="4차중도금",$F145*50%-SUM($G145:AT145),$F145*10%)))))))+(IF(AU$121="5차중도금",$F145*60%-SUM($G145:AT145)-$F145*10%,IF(AU$121="6차중도금",$F145*70%-SUM($G145:AT145)-$F145*10%,0)))</f>
        <v>0</v>
      </c>
      <c r="AV145" s="605">
        <f>IF(AV$121="입주/잔금",($F145-SUM($G145:AU145))*30%,IF(AU$121="입주/잔금",($F145-SUM($G145:AT145))*50%,IF(AT$121="입주/잔금",($F145-SUM($G145:AS145))*20%,IF(AV$121=0,0,IF(AV$121="2차중도금",$F145*30%-SUM($G145:AU145),IF(AV$121="3차중도금",$F145*40%-SUM($G145:AU145),IF(AV$121="4차중도금",$F145*50%-SUM($G145:AU145),$F145*10%)))))))+(IF(AV$121="5차중도금",$F145*60%-SUM($G145:AU145)-$F145*10%,IF(AV$121="6차중도금",$F145*70%-SUM($G145:AU145)-$F145*10%,0)))</f>
        <v>0</v>
      </c>
      <c r="AW145" s="605">
        <f>IF(AW$121="입주/잔금",($F145-SUM($G145:AV145))*30%,IF(AV$121="입주/잔금",($F145-SUM($G145:AU145))*50%,IF(AU$121="입주/잔금",($F145-SUM($G145:AT145))*20%,IF(AW$121=0,0,IF(AW$121="2차중도금",$F145*30%-SUM($G145:AV145),IF(AW$121="3차중도금",$F145*40%-SUM($G145:AV145),IF(AW$121="4차중도금",$F145*50%-SUM($G145:AV145),$F145*10%)))))))+(IF(AW$121="5차중도금",$F145*60%-SUM($G145:AV145)-$F145*10%,IF(AW$121="6차중도금",$F145*70%-SUM($G145:AV145)-$F145*10%,0)))</f>
        <v>0</v>
      </c>
      <c r="AX145" s="605">
        <f>IF(AX$121="입주/잔금",($F145-SUM($G145:AW145))*30%,IF(AW$121="입주/잔금",($F145-SUM($G145:AV145))*50%,IF(AV$121="입주/잔금",($F145-SUM($G145:AU145))*20%,IF(AX$121=0,0,IF(AX$121="2차중도금",$F145*30%-SUM($G145:AW145),IF(AX$121="3차중도금",$F145*40%-SUM($G145:AW145),IF(AX$121="4차중도금",$F145*50%-SUM($G145:AW145),$F145*10%)))))))+(IF(AX$121="5차중도금",$F145*60%-SUM($G145:AW145)-$F145*10%,IF(AX$121="6차중도금",$F145*70%-SUM($G145:AW145)-$F145*10%,0)))</f>
        <v>0</v>
      </c>
      <c r="AY145" s="605">
        <f>IF(AY$121="입주/잔금",($F145-SUM($G145:AX145))*30%,IF(AX$121="입주/잔금",($F145-SUM($G145:AW145))*50%,IF(AW$121="입주/잔금",($F145-SUM($G145:AV145))*20%,IF(AY$121=0,0,IF(AY$121="2차중도금",$F145*30%-SUM($G145:AX145),IF(AY$121="3차중도금",$F145*40%-SUM($G145:AX145),IF(AY$121="4차중도금",$F145*50%-SUM($G145:AX145),$F145*10%)))))))+(IF(AY$121="5차중도금",$F145*60%-SUM($G145:AX145)-$F145*10%,IF(AY$121="6차중도금",$F145*70%-SUM($G145:AX145)-$F145*10%,0)))</f>
        <v>0</v>
      </c>
      <c r="AZ145" s="605">
        <f>IF(AZ$121="입주/잔금",($F145-SUM($G145:AY145))*30%,IF(AY$121="입주/잔금",($F145-SUM($G145:AX145))*50%,IF(AX$121="입주/잔금",($F145-SUM($G145:AW145))*20%,IF(AZ$121=0,0,IF(AZ$121="2차중도금",$F145*30%-SUM($G145:AY145),IF(AZ$121="3차중도금",$F145*40%-SUM($G145:AY145),IF(AZ$121="4차중도금",$F145*50%-SUM($G145:AY145),$F145*10%)))))))+(IF(AZ$121="5차중도금",$F145*60%-SUM($G145:AY145)-$F145*10%,IF(AZ$121="6차중도금",$F145*70%-SUM($G145:AY145)-$F145*10%,0)))</f>
        <v>0</v>
      </c>
      <c r="BA145" s="605">
        <f>IF(BA$121="입주/잔금",($F145-SUM($G145:AZ145))*30%,IF(AZ$121="입주/잔금",($F145-SUM($G145:AY145))*50%,IF(AY$121="입주/잔금",($F145-SUM($G145:AX145))*20%,IF(BA$121=0,0,IF(BA$121="2차중도금",$F145*30%-SUM($G145:AZ145),IF(BA$121="3차중도금",$F145*40%-SUM($G145:AZ145),IF(BA$121="4차중도금",$F145*50%-SUM($G145:AZ145),$F145*10%)))))))+(IF(BA$121="5차중도금",$F145*60%-SUM($G145:AZ145)-$F145*10%,IF(BA$121="6차중도금",$F145*70%-SUM($G145:AZ145)-$F145*10%,0)))</f>
        <v>0</v>
      </c>
      <c r="BB145" s="605">
        <f>IF(BB$121="입주/잔금",($F145-SUM($G145:BA145))*30%,IF(BA$121="입주/잔금",($F145-SUM($G145:AZ145))*50%,IF(AZ$121="입주/잔금",($F145-SUM($G145:AY145))*20%,IF(BB$121=0,0,IF(BB$121="2차중도금",$F145*30%-SUM($G145:BA145),IF(BB$121="3차중도금",$F145*40%-SUM($G145:BA145),IF(BB$121="4차중도금",$F145*50%-SUM($G145:BA145),$F145*10%)))))))+(IF(BB$121="5차중도금",$F145*60%-SUM($G145:BA145)-$F145*10%,IF(BB$121="6차중도금",$F145*70%-SUM($G145:BA145)-$F145*10%,0)))</f>
        <v>0</v>
      </c>
      <c r="BC145" s="605">
        <f>IF(BC$121="입주/잔금",($F145-SUM($G145:BB145))*30%,IF(BB$121="입주/잔금",($F145-SUM($G145:BA145))*50%,IF(BA$121="입주/잔금",($F145-SUM($G145:AZ145))*20%,IF(BC$121=0,0,IF(BC$121="2차중도금",$F145*30%-SUM($G145:BB145),IF(BC$121="3차중도금",$F145*40%-SUM($G145:BB145),IF(BC$121="4차중도금",$F145*50%-SUM($G145:BB145),$F145*10%)))))))+(IF(BC$121="5차중도금",$F145*60%-SUM($G145:BB145)-$F145*10%,IF(BC$121="6차중도금",$F145*70%-SUM($G145:BB145)-$F145*10%,0)))</f>
        <v>0</v>
      </c>
      <c r="BD145" s="605">
        <f>IF(BD$121="입주/잔금",($F145-SUM($G145:BC145))*30%,IF(BC$121="입주/잔금",($F145-SUM($G145:BB145))*50%,IF(BB$121="입주/잔금",($F145-SUM($G145:BA145))*20%,IF(BD$121=0,0,IF(BD$121="2차중도금",$F145*30%-SUM($G145:BC145),IF(BD$121="3차중도금",$F145*40%-SUM($G145:BC145),IF(BD$121="4차중도금",$F145*50%-SUM($G145:BC145),$F145*10%)))))))+(IF(BD$121="5차중도금",$F145*60%-SUM($G145:BC145)-$F145*10%,IF(BD$121="6차중도금",$F145*70%-SUM($G145:BC145)-$F145*10%,0)))</f>
        <v>0</v>
      </c>
      <c r="BE145" s="605">
        <f>IF(BE$121="입주/잔금",($F145-SUM($G145:BD145))*30%,IF(BD$121="입주/잔금",($F145-SUM($G145:BC145))*50%,IF(BC$121="입주/잔금",($F145-SUM($G145:BB145))*20%,IF(BE$121=0,0,IF(BE$121="2차중도금",$F145*30%-SUM($G145:BD145),IF(BE$121="3차중도금",$F145*40%-SUM($G145:BD145),IF(BE$121="4차중도금",$F145*50%-SUM($G145:BD145),$F145*10%)))))))+(IF(BE$121="5차중도금",$F145*60%-SUM($G145:BD145)-$F145*10%,IF(BE$121="6차중도금",$F145*70%-SUM($G145:BD145)-$F145*10%,0)))</f>
        <v>0</v>
      </c>
      <c r="BF145" s="609">
        <f t="shared" si="43"/>
        <v>0</v>
      </c>
      <c r="BG145" s="556">
        <f t="shared" si="45"/>
        <v>0</v>
      </c>
      <c r="BH145" s="610"/>
    </row>
    <row r="146" spans="1:60">
      <c r="A146" s="1867"/>
      <c r="B146" s="613">
        <f t="shared" si="46"/>
        <v>45566</v>
      </c>
      <c r="C146" s="605">
        <f t="shared" ref="C146:C172" si="50">C135</f>
        <v>21284968.815239683</v>
      </c>
      <c r="D146" s="1501"/>
      <c r="E146" s="607">
        <f t="shared" si="48"/>
        <v>0.70000000000000007</v>
      </c>
      <c r="F146" s="608">
        <f t="shared" si="44"/>
        <v>0</v>
      </c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05"/>
      <c r="AB146" s="605"/>
      <c r="AC146" s="605"/>
      <c r="AD146" s="605"/>
      <c r="AE146" s="605">
        <f>$F146*10%</f>
        <v>0</v>
      </c>
      <c r="AF146" s="605">
        <f>IF(AF$121="입주/잔금",($F146-SUM($G146:AE146))*30%,IF(AE$121="입주/잔금",($F146-SUM($G146:AD146))*50%,IF(AD$121="입주/잔금",($F146-SUM($G146:AC146))*20%,IF(AF$121=0,0,IF(AF$121="2차중도금",$F146*30%-SUM($G146:AE146),IF(AF$121="3차중도금",$F146*40%-SUM($G146:AE146),IF(AF$121="4차중도금",$F146*50%-SUM($G146:AE146),$F146*10%)))))))+(IF(AF$121="5차중도금",$F146*60%-SUM($G146:AE146)-$F146*10%,IF(AF$121="6차중도금",$F146*70%-SUM($G146:AE146)-$F146*10%,0)))</f>
        <v>0</v>
      </c>
      <c r="AG146" s="605">
        <f>IF(AG$121="입주/잔금",($F146-SUM($G146:AF146))*30%,IF(AF$121="입주/잔금",($F146-SUM($G146:AE146))*50%,IF(AE$121="입주/잔금",($F146-SUM($G146:AD146))*20%,IF(AG$121=0,0,IF(AG$121="2차중도금",$F146*30%-SUM($G146:AF146),IF(AG$121="3차중도금",$F146*40%-SUM($G146:AF146),IF(AG$121="4차중도금",$F146*50%-SUM($G146:AF146),$F146*10%)))))))+(IF(AG$121="5차중도금",$F146*60%-SUM($G146:AF146)-$F146*10%,IF(AG$121="6차중도금",$F146*70%-SUM($G146:AF146)-$F146*10%,0)))</f>
        <v>0</v>
      </c>
      <c r="AH146" s="605">
        <f>IF(AH$121="입주/잔금",($F146-SUM($G146:AG146))*30%,IF(AG$121="입주/잔금",($F146-SUM($G146:AF146))*50%,IF(AF$121="입주/잔금",($F146-SUM($G146:AE146))*20%,IF(AH$121=0,0,IF(AH$121="2차중도금",$F146*30%-SUM($G146:AG146),IF(AH$121="3차중도금",$F146*40%-SUM($G146:AG146),IF(AH$121="4차중도금",$F146*50%-SUM($G146:AG146),$F146*10%)))))))+(IF(AH$121="5차중도금",$F146*60%-SUM($G146:AG146)-$F146*10%,IF(AH$121="6차중도금",$F146*70%-SUM($G146:AG146)-$F146*10%,0)))</f>
        <v>0</v>
      </c>
      <c r="AI146" s="605">
        <f>IF(AI$121="입주/잔금",($F146-SUM($G146:AH146))*30%,IF(AH$121="입주/잔금",($F146-SUM($G146:AG146))*50%,IF(AG$121="입주/잔금",($F146-SUM($G146:AF146))*20%,IF(AI$121=0,0,IF(AI$121="2차중도금",$F146*30%-SUM($G146:AH146),IF(AI$121="3차중도금",$F146*40%-SUM($G146:AH146),IF(AI$121="4차중도금",$F146*50%-SUM($G146:AH146),$F146*10%)))))))+(IF(AI$121="5차중도금",$F146*60%-SUM($G146:AH146)-$F146*10%,IF(AI$121="6차중도금",$F146*70%-SUM($G146:AH146)-$F146*10%,0)))</f>
        <v>0</v>
      </c>
      <c r="AJ146" s="605">
        <f>IF(AJ$121="입주/잔금",($F146-SUM($G146:AI146))*30%,IF(AI$121="입주/잔금",($F146-SUM($G146:AH146))*50%,IF(AH$121="입주/잔금",($F146-SUM($G146:AG146))*20%,IF(AJ$121=0,0,IF(AJ$121="2차중도금",$F146*30%-SUM($G146:AI146),IF(AJ$121="3차중도금",$F146*40%-SUM($G146:AI146),IF(AJ$121="4차중도금",$F146*50%-SUM($G146:AI146),$F146*10%)))))))+(IF(AJ$121="5차중도금",$F146*60%-SUM($G146:AI146)-$F146*10%,IF(AJ$121="6차중도금",$F146*70%-SUM($G146:AI146)-$F146*10%,0)))</f>
        <v>0</v>
      </c>
      <c r="AK146" s="605">
        <f>IF(AK$121="입주/잔금",($F146-SUM($G146:AJ146))*30%,IF(AJ$121="입주/잔금",($F146-SUM($G146:AI146))*50%,IF(AI$121="입주/잔금",($F146-SUM($G146:AH146))*20%,IF(AK$121=0,0,IF(AK$121="2차중도금",$F146*30%-SUM($G146:AJ146),IF(AK$121="3차중도금",$F146*40%-SUM($G146:AJ146),IF(AK$121="4차중도금",$F146*50%-SUM($G146:AJ146),$F146*10%)))))))+(IF(AK$121="5차중도금",$F146*60%-SUM($G146:AJ146)-$F146*10%,IF(AK$121="6차중도금",$F146*70%-SUM($G146:AJ146)-$F146*10%,0)))</f>
        <v>0</v>
      </c>
      <c r="AL146" s="605">
        <f>IF(AL$121="입주/잔금",($F146-SUM($G146:AK146))*30%,IF(AK$121="입주/잔금",($F146-SUM($G146:AJ146))*50%,IF(AJ$121="입주/잔금",($F146-SUM($G146:AI146))*20%,IF(AL$121=0,0,IF(AL$121="2차중도금",$F146*30%-SUM($G146:AK146),IF(AL$121="3차중도금",$F146*40%-SUM($G146:AK146),IF(AL$121="4차중도금",$F146*50%-SUM($G146:AK146),$F146*10%)))))))+(IF(AL$121="5차중도금",$F146*60%-SUM($G146:AK146)-$F146*10%,IF(AL$121="6차중도금",$F146*70%-SUM($G146:AK146)-$F146*10%,0)))</f>
        <v>0</v>
      </c>
      <c r="AM146" s="605">
        <f>IF(AM$121="입주/잔금",($F146-SUM($G146:AL146))*30%,IF(AL$121="입주/잔금",($F146-SUM($G146:AK146))*50%,IF(AK$121="입주/잔금",($F146-SUM($G146:AJ146))*20%,IF(AM$121=0,0,IF(AM$121="2차중도금",$F146*30%-SUM($G146:AL146),IF(AM$121="3차중도금",$F146*40%-SUM($G146:AL146),IF(AM$121="4차중도금",$F146*50%-SUM($G146:AL146),$F146*10%)))))))+(IF(AM$121="5차중도금",$F146*60%-SUM($G146:AL146)-$F146*10%,IF(AM$121="6차중도금",$F146*70%-SUM($G146:AL146)-$F146*10%,0)))</f>
        <v>0</v>
      </c>
      <c r="AN146" s="605">
        <f>IF(AN$121="입주/잔금",($F146-SUM($G146:AM146))*30%,IF(AM$121="입주/잔금",($F146-SUM($G146:AL146))*50%,IF(AL$121="입주/잔금",($F146-SUM($G146:AK146))*20%,IF(AN$121=0,0,IF(AN$121="2차중도금",$F146*30%-SUM($G146:AM146),IF(AN$121="3차중도금",$F146*40%-SUM($G146:AM146),IF(AN$121="4차중도금",$F146*50%-SUM($G146:AM146),$F146*10%)))))))+(IF(AN$121="5차중도금",$F146*60%-SUM($G146:AM146)-$F146*10%,IF(AN$121="6차중도금",$F146*70%-SUM($G146:AM146)-$F146*10%,0)))</f>
        <v>0</v>
      </c>
      <c r="AO146" s="605">
        <f>IF(AO$121="입주/잔금",($F146-SUM($G146:AN146))*30%,IF(AN$121="입주/잔금",($F146-SUM($G146:AM146))*50%,IF(AM$121="입주/잔금",($F146-SUM($G146:AL146))*20%,IF(AO$121=0,0,IF(AO$121="2차중도금",$F146*30%-SUM($G146:AN146),IF(AO$121="3차중도금",$F146*40%-SUM($G146:AN146),IF(AO$121="4차중도금",$F146*50%-SUM($G146:AN146),$F146*10%)))))))+(IF(AO$121="5차중도금",$F146*60%-SUM($G146:AN146)-$F146*10%,IF(AO$121="6차중도금",$F146*70%-SUM($G146:AN146)-$F146*10%,0)))</f>
        <v>0</v>
      </c>
      <c r="AP146" s="605">
        <f>IF(AP$121="입주/잔금",($F146-SUM($G146:AO146))*30%,IF(AO$121="입주/잔금",($F146-SUM($G146:AN146))*50%,IF(AN$121="입주/잔금",($F146-SUM($G146:AM146))*20%,IF(AP$121=0,0,IF(AP$121="2차중도금",$F146*30%-SUM($G146:AO146),IF(AP$121="3차중도금",$F146*40%-SUM($G146:AO146),IF(AP$121="4차중도금",$F146*50%-SUM($G146:AO146),$F146*10%)))))))+(IF(AP$121="5차중도금",$F146*60%-SUM($G146:AO146)-$F146*10%,IF(AP$121="6차중도금",$F146*70%-SUM($G146:AO146)-$F146*10%,0)))</f>
        <v>0</v>
      </c>
      <c r="AQ146" s="605">
        <f>IF(AQ$121="입주/잔금",($F146-SUM($G146:AP146))*30%,IF(AP$121="입주/잔금",($F146-SUM($G146:AO146))*50%,IF(AO$121="입주/잔금",($F146-SUM($G146:AN146))*20%,IF(AQ$121=0,0,IF(AQ$121="2차중도금",$F146*30%-SUM($G146:AP146),IF(AQ$121="3차중도금",$F146*40%-SUM($G146:AP146),IF(AQ$121="4차중도금",$F146*50%-SUM($G146:AP146),$F146*10%)))))))+(IF(AQ$121="5차중도금",$F146*60%-SUM($G146:AP146)-$F146*10%,IF(AQ$121="6차중도금",$F146*70%-SUM($G146:AP146)-$F146*10%,0)))</f>
        <v>0</v>
      </c>
      <c r="AR146" s="605">
        <f>IF(AR$121="입주/잔금",($F146-SUM($G146:AQ146))*30%,IF(AQ$121="입주/잔금",($F146-SUM($G146:AP146))*50%,IF(AP$121="입주/잔금",($F146-SUM($G146:AO146))*20%,IF(AR$121=0,0,IF(AR$121="2차중도금",$F146*30%-SUM($G146:AQ146),IF(AR$121="3차중도금",$F146*40%-SUM($G146:AQ146),IF(AR$121="4차중도금",$F146*50%-SUM($G146:AQ146),$F146*10%)))))))+(IF(AR$121="5차중도금",$F146*60%-SUM($G146:AQ146)-$F146*10%,IF(AR$121="6차중도금",$F146*70%-SUM($G146:AQ146)-$F146*10%,0)))</f>
        <v>0</v>
      </c>
      <c r="AS146" s="605">
        <f>IF(AS$121="입주/잔금",($F146-SUM($G146:AR146))*30%,IF(AR$121="입주/잔금",($F146-SUM($G146:AQ146))*50%,IF(AQ$121="입주/잔금",($F146-SUM($G146:AP146))*20%,IF(AS$121=0,0,IF(AS$121="2차중도금",$F146*30%-SUM($G146:AR146),IF(AS$121="3차중도금",$F146*40%-SUM($G146:AR146),IF(AS$121="4차중도금",$F146*50%-SUM($G146:AR146),$F146*10%)))))))+(IF(AS$121="5차중도금",$F146*60%-SUM($G146:AR146)-$F146*10%,IF(AS$121="6차중도금",$F146*70%-SUM($G146:AR146)-$F146*10%,0)))</f>
        <v>0</v>
      </c>
      <c r="AT146" s="605">
        <f>IF(AT$121="입주/잔금",($F146-SUM($G146:AS146))*30%,IF(AS$121="입주/잔금",($F146-SUM($G146:AR146))*50%,IF(AR$121="입주/잔금",($F146-SUM($G146:AQ146))*20%,IF(AT$121=0,0,IF(AT$121="2차중도금",$F146*30%-SUM($G146:AS146),IF(AT$121="3차중도금",$F146*40%-SUM($G146:AS146),IF(AT$121="4차중도금",$F146*50%-SUM($G146:AS146),$F146*10%)))))))+(IF(AT$121="5차중도금",$F146*60%-SUM($G146:AS146)-$F146*10%,IF(AT$121="6차중도금",$F146*70%-SUM($G146:AS146)-$F146*10%,0)))</f>
        <v>0</v>
      </c>
      <c r="AU146" s="605">
        <f>IF(AU$121="입주/잔금",($F146-SUM($G146:AT146))*30%,IF(AT$121="입주/잔금",($F146-SUM($G146:AS146))*50%,IF(AS$121="입주/잔금",($F146-SUM($G146:AR146))*20%,IF(AU$121=0,0,IF(AU$121="2차중도금",$F146*30%-SUM($G146:AT146),IF(AU$121="3차중도금",$F146*40%-SUM($G146:AT146),IF(AU$121="4차중도금",$F146*50%-SUM($G146:AT146),$F146*10%)))))))+(IF(AU$121="5차중도금",$F146*60%-SUM($G146:AT146)-$F146*10%,IF(AU$121="6차중도금",$F146*70%-SUM($G146:AT146)-$F146*10%,0)))</f>
        <v>0</v>
      </c>
      <c r="AV146" s="605">
        <f>IF(AV$121="입주/잔금",($F146-SUM($G146:AU146))*30%,IF(AU$121="입주/잔금",($F146-SUM($G146:AT146))*50%,IF(AT$121="입주/잔금",($F146-SUM($G146:AS146))*20%,IF(AV$121=0,0,IF(AV$121="2차중도금",$F146*30%-SUM($G146:AU146),IF(AV$121="3차중도금",$F146*40%-SUM($G146:AU146),IF(AV$121="4차중도금",$F146*50%-SUM($G146:AU146),$F146*10%)))))))+(IF(AV$121="5차중도금",$F146*60%-SUM($G146:AU146)-$F146*10%,IF(AV$121="6차중도금",$F146*70%-SUM($G146:AU146)-$F146*10%,0)))</f>
        <v>0</v>
      </c>
      <c r="AW146" s="605">
        <f>IF(AW$121="입주/잔금",($F146-SUM($G146:AV146))*30%,IF(AV$121="입주/잔금",($F146-SUM($G146:AU146))*50%,IF(AU$121="입주/잔금",($F146-SUM($G146:AT146))*20%,IF(AW$121=0,0,IF(AW$121="2차중도금",$F146*30%-SUM($G146:AV146),IF(AW$121="3차중도금",$F146*40%-SUM($G146:AV146),IF(AW$121="4차중도금",$F146*50%-SUM($G146:AV146),$F146*10%)))))))+(IF(AW$121="5차중도금",$F146*60%-SUM($G146:AV146)-$F146*10%,IF(AW$121="6차중도금",$F146*70%-SUM($G146:AV146)-$F146*10%,0)))</f>
        <v>0</v>
      </c>
      <c r="AX146" s="605">
        <f>IF(AX$121="입주/잔금",($F146-SUM($G146:AW146))*30%,IF(AW$121="입주/잔금",($F146-SUM($G146:AV146))*50%,IF(AV$121="입주/잔금",($F146-SUM($G146:AU146))*20%,IF(AX$121=0,0,IF(AX$121="2차중도금",$F146*30%-SUM($G146:AW146),IF(AX$121="3차중도금",$F146*40%-SUM($G146:AW146),IF(AX$121="4차중도금",$F146*50%-SUM($G146:AW146),$F146*10%)))))))+(IF(AX$121="5차중도금",$F146*60%-SUM($G146:AW146)-$F146*10%,IF(AX$121="6차중도금",$F146*70%-SUM($G146:AW146)-$F146*10%,0)))</f>
        <v>0</v>
      </c>
      <c r="AY146" s="605">
        <f>IF(AY$121="입주/잔금",($F146-SUM($G146:AX146))*30%,IF(AX$121="입주/잔금",($F146-SUM($G146:AW146))*50%,IF(AW$121="입주/잔금",($F146-SUM($G146:AV146))*20%,IF(AY$121=0,0,IF(AY$121="2차중도금",$F146*30%-SUM($G146:AX146),IF(AY$121="3차중도금",$F146*40%-SUM($G146:AX146),IF(AY$121="4차중도금",$F146*50%-SUM($G146:AX146),$F146*10%)))))))+(IF(AY$121="5차중도금",$F146*60%-SUM($G146:AX146)-$F146*10%,IF(AY$121="6차중도금",$F146*70%-SUM($G146:AX146)-$F146*10%,0)))</f>
        <v>0</v>
      </c>
      <c r="AZ146" s="605">
        <f>IF(AZ$121="입주/잔금",($F146-SUM($G146:AY146))*30%,IF(AY$121="입주/잔금",($F146-SUM($G146:AX146))*50%,IF(AX$121="입주/잔금",($F146-SUM($G146:AW146))*20%,IF(AZ$121=0,0,IF(AZ$121="2차중도금",$F146*30%-SUM($G146:AY146),IF(AZ$121="3차중도금",$F146*40%-SUM($G146:AY146),IF(AZ$121="4차중도금",$F146*50%-SUM($G146:AY146),$F146*10%)))))))+(IF(AZ$121="5차중도금",$F146*60%-SUM($G146:AY146)-$F146*10%,IF(AZ$121="6차중도금",$F146*70%-SUM($G146:AY146)-$F146*10%,0)))</f>
        <v>0</v>
      </c>
      <c r="BA146" s="605">
        <f>IF(BA$121="입주/잔금",($F146-SUM($G146:AZ146))*30%,IF(AZ$121="입주/잔금",($F146-SUM($G146:AY146))*50%,IF(AY$121="입주/잔금",($F146-SUM($G146:AX146))*20%,IF(BA$121=0,0,IF(BA$121="2차중도금",$F146*30%-SUM($G146:AZ146),IF(BA$121="3차중도금",$F146*40%-SUM($G146:AZ146),IF(BA$121="4차중도금",$F146*50%-SUM($G146:AZ146),$F146*10%)))))))+(IF(BA$121="5차중도금",$F146*60%-SUM($G146:AZ146)-$F146*10%,IF(BA$121="6차중도금",$F146*70%-SUM($G146:AZ146)-$F146*10%,0)))</f>
        <v>0</v>
      </c>
      <c r="BB146" s="605">
        <f>IF(BB$121="입주/잔금",($F146-SUM($G146:BA146))*30%,IF(BA$121="입주/잔금",($F146-SUM($G146:AZ146))*50%,IF(AZ$121="입주/잔금",($F146-SUM($G146:AY146))*20%,IF(BB$121=0,0,IF(BB$121="2차중도금",$F146*30%-SUM($G146:BA146),IF(BB$121="3차중도금",$F146*40%-SUM($G146:BA146),IF(BB$121="4차중도금",$F146*50%-SUM($G146:BA146),$F146*10%)))))))+(IF(BB$121="5차중도금",$F146*60%-SUM($G146:BA146)-$F146*10%,IF(BB$121="6차중도금",$F146*70%-SUM($G146:BA146)-$F146*10%,0)))</f>
        <v>0</v>
      </c>
      <c r="BC146" s="605">
        <f>IF(BC$121="입주/잔금",($F146-SUM($G146:BB146))*30%,IF(BB$121="입주/잔금",($F146-SUM($G146:BA146))*50%,IF(BA$121="입주/잔금",($F146-SUM($G146:AZ146))*20%,IF(BC$121=0,0,IF(BC$121="2차중도금",$F146*30%-SUM($G146:BB146),IF(BC$121="3차중도금",$F146*40%-SUM($G146:BB146),IF(BC$121="4차중도금",$F146*50%-SUM($G146:BB146),$F146*10%)))))))+(IF(BC$121="5차중도금",$F146*60%-SUM($G146:BB146)-$F146*10%,IF(BC$121="6차중도금",$F146*70%-SUM($G146:BB146)-$F146*10%,0)))</f>
        <v>0</v>
      </c>
      <c r="BD146" s="605">
        <f>IF(BD$121="입주/잔금",($F146-SUM($G146:BC146))*30%,IF(BC$121="입주/잔금",($F146-SUM($G146:BB146))*50%,IF(BB$121="입주/잔금",($F146-SUM($G146:BA146))*20%,IF(BD$121=0,0,IF(BD$121="2차중도금",$F146*30%-SUM($G146:BC146),IF(BD$121="3차중도금",$F146*40%-SUM($G146:BC146),IF(BD$121="4차중도금",$F146*50%-SUM($G146:BC146),$F146*10%)))))))+(IF(BD$121="5차중도금",$F146*60%-SUM($G146:BC146)-$F146*10%,IF(BD$121="6차중도금",$F146*70%-SUM($G146:BC146)-$F146*10%,0)))</f>
        <v>0</v>
      </c>
      <c r="BE146" s="605">
        <f>IF(BE$121="입주/잔금",($F146-SUM($G146:BD146))*30%,IF(BD$121="입주/잔금",($F146-SUM($G146:BC146))*50%,IF(BC$121="입주/잔금",($F146-SUM($G146:BB146))*20%,IF(BE$121=0,0,IF(BE$121="2차중도금",$F146*30%-SUM($G146:BD146),IF(BE$121="3차중도금",$F146*40%-SUM($G146:BD146),IF(BE$121="4차중도금",$F146*50%-SUM($G146:BD146),$F146*10%)))))))+(IF(BE$121="5차중도금",$F146*60%-SUM($G146:BD146)-$F146*10%,IF(BE$121="6차중도금",$F146*70%-SUM($G146:BD146)-$F146*10%,0)))</f>
        <v>0</v>
      </c>
      <c r="BF146" s="609">
        <f t="shared" si="43"/>
        <v>0</v>
      </c>
      <c r="BG146" s="556">
        <f t="shared" si="45"/>
        <v>0</v>
      </c>
      <c r="BH146" s="610"/>
    </row>
    <row r="147" spans="1:60">
      <c r="A147" s="1867"/>
      <c r="B147" s="611">
        <f t="shared" si="46"/>
        <v>45597</v>
      </c>
      <c r="C147" s="605">
        <f t="shared" si="50"/>
        <v>21284968.815239683</v>
      </c>
      <c r="D147" s="1501"/>
      <c r="E147" s="607">
        <f t="shared" si="48"/>
        <v>0.70000000000000007</v>
      </c>
      <c r="F147" s="608">
        <f t="shared" si="44"/>
        <v>0</v>
      </c>
      <c r="G147" s="605"/>
      <c r="H147" s="605"/>
      <c r="I147" s="605"/>
      <c r="J147" s="605"/>
      <c r="K147" s="605"/>
      <c r="L147" s="605"/>
      <c r="M147" s="605"/>
      <c r="N147" s="605"/>
      <c r="O147" s="605"/>
      <c r="P147" s="605"/>
      <c r="Q147" s="605"/>
      <c r="R147" s="605"/>
      <c r="S147" s="605"/>
      <c r="T147" s="605"/>
      <c r="U147" s="605"/>
      <c r="V147" s="605"/>
      <c r="W147" s="605"/>
      <c r="X147" s="605"/>
      <c r="Y147" s="605"/>
      <c r="Z147" s="605"/>
      <c r="AA147" s="605"/>
      <c r="AB147" s="605"/>
      <c r="AC147" s="605"/>
      <c r="AD147" s="605"/>
      <c r="AE147" s="605"/>
      <c r="AF147" s="605">
        <f>$F147*10%</f>
        <v>0</v>
      </c>
      <c r="AG147" s="605">
        <f>IF(AG$121="입주/잔금",($F147-SUM($G147:AF147))*30%,IF(AF$121="입주/잔금",($F147-SUM($G147:AE147))*50%,IF(AE$121="입주/잔금",($F147-SUM($G147:AD147))*20%,IF(AG$121=0,0,IF(AG$121="2차중도금",$F147*30%-SUM($G147:AF147),IF(AG$121="3차중도금",$F147*40%-SUM($G147:AF147),IF(AG$121="4차중도금",$F147*50%-SUM($G147:AF147),$F147*10%)))))))+(IF(AG$121="5차중도금",$F147*60%-SUM($G147:AF147)-$F147*10%,IF(AG$121="6차중도금",$F147*70%-SUM($G147:AF147)-$F147*10%,0)))</f>
        <v>0</v>
      </c>
      <c r="AH147" s="605">
        <f>IF(AH$121="입주/잔금",($F147-SUM($G147:AG147))*30%,IF(AG$121="입주/잔금",($F147-SUM($G147:AF147))*50%,IF(AF$121="입주/잔금",($F147-SUM($G147:AE147))*20%,IF(AH$121=0,0,IF(AH$121="2차중도금",$F147*30%-SUM($G147:AG147),IF(AH$121="3차중도금",$F147*40%-SUM($G147:AG147),IF(AH$121="4차중도금",$F147*50%-SUM($G147:AG147),$F147*10%)))))))+(IF(AH$121="5차중도금",$F147*60%-SUM($G147:AG147)-$F147*10%,IF(AH$121="6차중도금",$F147*70%-SUM($G147:AG147)-$F147*10%,0)))</f>
        <v>0</v>
      </c>
      <c r="AI147" s="605">
        <f>IF(AI$121="입주/잔금",($F147-SUM($G147:AH147))*30%,IF(AH$121="입주/잔금",($F147-SUM($G147:AG147))*50%,IF(AG$121="입주/잔금",($F147-SUM($G147:AF147))*20%,IF(AI$121=0,0,IF(AI$121="2차중도금",$F147*30%-SUM($G147:AH147),IF(AI$121="3차중도금",$F147*40%-SUM($G147:AH147),IF(AI$121="4차중도금",$F147*50%-SUM($G147:AH147),$F147*10%)))))))+(IF(AI$121="5차중도금",$F147*60%-SUM($G147:AH147)-$F147*10%,IF(AI$121="6차중도금",$F147*70%-SUM($G147:AH147)-$F147*10%,0)))</f>
        <v>0</v>
      </c>
      <c r="AJ147" s="605">
        <f>IF(AJ$121="입주/잔금",($F147-SUM($G147:AI147))*30%,IF(AI$121="입주/잔금",($F147-SUM($G147:AH147))*50%,IF(AH$121="입주/잔금",($F147-SUM($G147:AG147))*20%,IF(AJ$121=0,0,IF(AJ$121="2차중도금",$F147*30%-SUM($G147:AI147),IF(AJ$121="3차중도금",$F147*40%-SUM($G147:AI147),IF(AJ$121="4차중도금",$F147*50%-SUM($G147:AI147),$F147*10%)))))))+(IF(AJ$121="5차중도금",$F147*60%-SUM($G147:AI147)-$F147*10%,IF(AJ$121="6차중도금",$F147*70%-SUM($G147:AI147)-$F147*10%,0)))</f>
        <v>0</v>
      </c>
      <c r="AK147" s="605">
        <f>IF(AK$121="입주/잔금",($F147-SUM($G147:AJ147))*30%,IF(AJ$121="입주/잔금",($F147-SUM($G147:AI147))*50%,IF(AI$121="입주/잔금",($F147-SUM($G147:AH147))*20%,IF(AK$121=0,0,IF(AK$121="2차중도금",$F147*30%-SUM($G147:AJ147),IF(AK$121="3차중도금",$F147*40%-SUM($G147:AJ147),IF(AK$121="4차중도금",$F147*50%-SUM($G147:AJ147),$F147*10%)))))))+(IF(AK$121="5차중도금",$F147*60%-SUM($G147:AJ147)-$F147*10%,IF(AK$121="6차중도금",$F147*70%-SUM($G147:AJ147)-$F147*10%,0)))</f>
        <v>0</v>
      </c>
      <c r="AL147" s="605">
        <f>IF(AL$121="입주/잔금",($F147-SUM($G147:AK147))*30%,IF(AK$121="입주/잔금",($F147-SUM($G147:AJ147))*50%,IF(AJ$121="입주/잔금",($F147-SUM($G147:AI147))*20%,IF(AL$121=0,0,IF(AL$121="2차중도금",$F147*30%-SUM($G147:AK147),IF(AL$121="3차중도금",$F147*40%-SUM($G147:AK147),IF(AL$121="4차중도금",$F147*50%-SUM($G147:AK147),$F147*10%)))))))+(IF(AL$121="5차중도금",$F147*60%-SUM($G147:AK147)-$F147*10%,IF(AL$121="6차중도금",$F147*70%-SUM($G147:AK147)-$F147*10%,0)))</f>
        <v>0</v>
      </c>
      <c r="AM147" s="605">
        <f>IF(AM$121="입주/잔금",($F147-SUM($G147:AL147))*30%,IF(AL$121="입주/잔금",($F147-SUM($G147:AK147))*50%,IF(AK$121="입주/잔금",($F147-SUM($G147:AJ147))*20%,IF(AM$121=0,0,IF(AM$121="2차중도금",$F147*30%-SUM($G147:AL147),IF(AM$121="3차중도금",$F147*40%-SUM($G147:AL147),IF(AM$121="4차중도금",$F147*50%-SUM($G147:AL147),$F147*10%)))))))+(IF(AM$121="5차중도금",$F147*60%-SUM($G147:AL147)-$F147*10%,IF(AM$121="6차중도금",$F147*70%-SUM($G147:AL147)-$F147*10%,0)))</f>
        <v>0</v>
      </c>
      <c r="AN147" s="605">
        <f>IF(AN$121="입주/잔금",($F147-SUM($G147:AM147))*30%,IF(AM$121="입주/잔금",($F147-SUM($G147:AL147))*50%,IF(AL$121="입주/잔금",($F147-SUM($G147:AK147))*20%,IF(AN$121=0,0,IF(AN$121="2차중도금",$F147*30%-SUM($G147:AM147),IF(AN$121="3차중도금",$F147*40%-SUM($G147:AM147),IF(AN$121="4차중도금",$F147*50%-SUM($G147:AM147),$F147*10%)))))))+(IF(AN$121="5차중도금",$F147*60%-SUM($G147:AM147)-$F147*10%,IF(AN$121="6차중도금",$F147*70%-SUM($G147:AM147)-$F147*10%,0)))</f>
        <v>0</v>
      </c>
      <c r="AO147" s="605">
        <f>IF(AO$121="입주/잔금",($F147-SUM($G147:AN147))*30%,IF(AN$121="입주/잔금",($F147-SUM($G147:AM147))*50%,IF(AM$121="입주/잔금",($F147-SUM($G147:AL147))*20%,IF(AO$121=0,0,IF(AO$121="2차중도금",$F147*30%-SUM($G147:AN147),IF(AO$121="3차중도금",$F147*40%-SUM($G147:AN147),IF(AO$121="4차중도금",$F147*50%-SUM($G147:AN147),$F147*10%)))))))+(IF(AO$121="5차중도금",$F147*60%-SUM($G147:AN147)-$F147*10%,IF(AO$121="6차중도금",$F147*70%-SUM($G147:AN147)-$F147*10%,0)))</f>
        <v>0</v>
      </c>
      <c r="AP147" s="605">
        <f>IF(AP$121="입주/잔금",($F147-SUM($G147:AO147))*30%,IF(AO$121="입주/잔금",($F147-SUM($G147:AN147))*50%,IF(AN$121="입주/잔금",($F147-SUM($G147:AM147))*20%,IF(AP$121=0,0,IF(AP$121="2차중도금",$F147*30%-SUM($G147:AO147),IF(AP$121="3차중도금",$F147*40%-SUM($G147:AO147),IF(AP$121="4차중도금",$F147*50%-SUM($G147:AO147),$F147*10%)))))))+(IF(AP$121="5차중도금",$F147*60%-SUM($G147:AO147)-$F147*10%,IF(AP$121="6차중도금",$F147*70%-SUM($G147:AO147)-$F147*10%,0)))</f>
        <v>0</v>
      </c>
      <c r="AQ147" s="605">
        <f>IF(AQ$121="입주/잔금",($F147-SUM($G147:AP147))*30%,IF(AP$121="입주/잔금",($F147-SUM($G147:AO147))*50%,IF(AO$121="입주/잔금",($F147-SUM($G147:AN147))*20%,IF(AQ$121=0,0,IF(AQ$121="2차중도금",$F147*30%-SUM($G147:AP147),IF(AQ$121="3차중도금",$F147*40%-SUM($G147:AP147),IF(AQ$121="4차중도금",$F147*50%-SUM($G147:AP147),$F147*10%)))))))+(IF(AQ$121="5차중도금",$F147*60%-SUM($G147:AP147)-$F147*10%,IF(AQ$121="6차중도금",$F147*70%-SUM($G147:AP147)-$F147*10%,0)))</f>
        <v>0</v>
      </c>
      <c r="AR147" s="605">
        <f>IF(AR$121="입주/잔금",($F147-SUM($G147:AQ147))*30%,IF(AQ$121="입주/잔금",($F147-SUM($G147:AP147))*50%,IF(AP$121="입주/잔금",($F147-SUM($G147:AO147))*20%,IF(AR$121=0,0,IF(AR$121="2차중도금",$F147*30%-SUM($G147:AQ147),IF(AR$121="3차중도금",$F147*40%-SUM($G147:AQ147),IF(AR$121="4차중도금",$F147*50%-SUM($G147:AQ147),$F147*10%)))))))+(IF(AR$121="5차중도금",$F147*60%-SUM($G147:AQ147)-$F147*10%,IF(AR$121="6차중도금",$F147*70%-SUM($G147:AQ147)-$F147*10%,0)))</f>
        <v>0</v>
      </c>
      <c r="AS147" s="605">
        <f>IF(AS$121="입주/잔금",($F147-SUM($G147:AR147))*30%,IF(AR$121="입주/잔금",($F147-SUM($G147:AQ147))*50%,IF(AQ$121="입주/잔금",($F147-SUM($G147:AP147))*20%,IF(AS$121=0,0,IF(AS$121="2차중도금",$F147*30%-SUM($G147:AR147),IF(AS$121="3차중도금",$F147*40%-SUM($G147:AR147),IF(AS$121="4차중도금",$F147*50%-SUM($G147:AR147),$F147*10%)))))))+(IF(AS$121="5차중도금",$F147*60%-SUM($G147:AR147)-$F147*10%,IF(AS$121="6차중도금",$F147*70%-SUM($G147:AR147)-$F147*10%,0)))</f>
        <v>0</v>
      </c>
      <c r="AT147" s="605">
        <f>IF(AT$121="입주/잔금",($F147-SUM($G147:AS147))*30%,IF(AS$121="입주/잔금",($F147-SUM($G147:AR147))*50%,IF(AR$121="입주/잔금",($F147-SUM($G147:AQ147))*20%,IF(AT$121=0,0,IF(AT$121="2차중도금",$F147*30%-SUM($G147:AS147),IF(AT$121="3차중도금",$F147*40%-SUM($G147:AS147),IF(AT$121="4차중도금",$F147*50%-SUM($G147:AS147),$F147*10%)))))))+(IF(AT$121="5차중도금",$F147*60%-SUM($G147:AS147)-$F147*10%,IF(AT$121="6차중도금",$F147*70%-SUM($G147:AS147)-$F147*10%,0)))</f>
        <v>0</v>
      </c>
      <c r="AU147" s="605">
        <f>IF(AU$121="입주/잔금",($F147-SUM($G147:AT147))*30%,IF(AT$121="입주/잔금",($F147-SUM($G147:AS147))*50%,IF(AS$121="입주/잔금",($F147-SUM($G147:AR147))*20%,IF(AU$121=0,0,IF(AU$121="2차중도금",$F147*30%-SUM($G147:AT147),IF(AU$121="3차중도금",$F147*40%-SUM($G147:AT147),IF(AU$121="4차중도금",$F147*50%-SUM($G147:AT147),$F147*10%)))))))+(IF(AU$121="5차중도금",$F147*60%-SUM($G147:AT147)-$F147*10%,IF(AU$121="6차중도금",$F147*70%-SUM($G147:AT147)-$F147*10%,0)))</f>
        <v>0</v>
      </c>
      <c r="AV147" s="605">
        <f>IF(AV$121="입주/잔금",($F147-SUM($G147:AU147))*30%,IF(AU$121="입주/잔금",($F147-SUM($G147:AT147))*50%,IF(AT$121="입주/잔금",($F147-SUM($G147:AS147))*20%,IF(AV$121=0,0,IF(AV$121="2차중도금",$F147*30%-SUM($G147:AU147),IF(AV$121="3차중도금",$F147*40%-SUM($G147:AU147),IF(AV$121="4차중도금",$F147*50%-SUM($G147:AU147),$F147*10%)))))))+(IF(AV$121="5차중도금",$F147*60%-SUM($G147:AU147)-$F147*10%,IF(AV$121="6차중도금",$F147*70%-SUM($G147:AU147)-$F147*10%,0)))</f>
        <v>0</v>
      </c>
      <c r="AW147" s="605">
        <f>IF(AW$121="입주/잔금",($F147-SUM($G147:AV147))*30%,IF(AV$121="입주/잔금",($F147-SUM($G147:AU147))*50%,IF(AU$121="입주/잔금",($F147-SUM($G147:AT147))*20%,IF(AW$121=0,0,IF(AW$121="2차중도금",$F147*30%-SUM($G147:AV147),IF(AW$121="3차중도금",$F147*40%-SUM($G147:AV147),IF(AW$121="4차중도금",$F147*50%-SUM($G147:AV147),$F147*10%)))))))+(IF(AW$121="5차중도금",$F147*60%-SUM($G147:AV147)-$F147*10%,IF(AW$121="6차중도금",$F147*70%-SUM($G147:AV147)-$F147*10%,0)))</f>
        <v>0</v>
      </c>
      <c r="AX147" s="605">
        <f>IF(AX$121="입주/잔금",($F147-SUM($G147:AW147))*30%,IF(AW$121="입주/잔금",($F147-SUM($G147:AV147))*50%,IF(AV$121="입주/잔금",($F147-SUM($G147:AU147))*20%,IF(AX$121=0,0,IF(AX$121="2차중도금",$F147*30%-SUM($G147:AW147),IF(AX$121="3차중도금",$F147*40%-SUM($G147:AW147),IF(AX$121="4차중도금",$F147*50%-SUM($G147:AW147),$F147*10%)))))))+(IF(AX$121="5차중도금",$F147*60%-SUM($G147:AW147)-$F147*10%,IF(AX$121="6차중도금",$F147*70%-SUM($G147:AW147)-$F147*10%,0)))</f>
        <v>0</v>
      </c>
      <c r="AY147" s="605">
        <f>IF(AY$121="입주/잔금",($F147-SUM($G147:AX147))*30%,IF(AX$121="입주/잔금",($F147-SUM($G147:AW147))*50%,IF(AW$121="입주/잔금",($F147-SUM($G147:AV147))*20%,IF(AY$121=0,0,IF(AY$121="2차중도금",$F147*30%-SUM($G147:AX147),IF(AY$121="3차중도금",$F147*40%-SUM($G147:AX147),IF(AY$121="4차중도금",$F147*50%-SUM($G147:AX147),$F147*10%)))))))+(IF(AY$121="5차중도금",$F147*60%-SUM($G147:AX147)-$F147*10%,IF(AY$121="6차중도금",$F147*70%-SUM($G147:AX147)-$F147*10%,0)))</f>
        <v>0</v>
      </c>
      <c r="AZ147" s="605">
        <f>IF(AZ$121="입주/잔금",($F147-SUM($G147:AY147))*30%,IF(AY$121="입주/잔금",($F147-SUM($G147:AX147))*50%,IF(AX$121="입주/잔금",($F147-SUM($G147:AW147))*20%,IF(AZ$121=0,0,IF(AZ$121="2차중도금",$F147*30%-SUM($G147:AY147),IF(AZ$121="3차중도금",$F147*40%-SUM($G147:AY147),IF(AZ$121="4차중도금",$F147*50%-SUM($G147:AY147),$F147*10%)))))))+(IF(AZ$121="5차중도금",$F147*60%-SUM($G147:AY147)-$F147*10%,IF(AZ$121="6차중도금",$F147*70%-SUM($G147:AY147)-$F147*10%,0)))</f>
        <v>0</v>
      </c>
      <c r="BA147" s="605">
        <f>IF(BA$121="입주/잔금",($F147-SUM($G147:AZ147))*30%,IF(AZ$121="입주/잔금",($F147-SUM($G147:AY147))*50%,IF(AY$121="입주/잔금",($F147-SUM($G147:AX147))*20%,IF(BA$121=0,0,IF(BA$121="2차중도금",$F147*30%-SUM($G147:AZ147),IF(BA$121="3차중도금",$F147*40%-SUM($G147:AZ147),IF(BA$121="4차중도금",$F147*50%-SUM($G147:AZ147),$F147*10%)))))))+(IF(BA$121="5차중도금",$F147*60%-SUM($G147:AZ147)-$F147*10%,IF(BA$121="6차중도금",$F147*70%-SUM($G147:AZ147)-$F147*10%,0)))</f>
        <v>0</v>
      </c>
      <c r="BB147" s="605">
        <f>IF(BB$121="입주/잔금",($F147-SUM($G147:BA147))*30%,IF(BA$121="입주/잔금",($F147-SUM($G147:AZ147))*50%,IF(AZ$121="입주/잔금",($F147-SUM($G147:AY147))*20%,IF(BB$121=0,0,IF(BB$121="2차중도금",$F147*30%-SUM($G147:BA147),IF(BB$121="3차중도금",$F147*40%-SUM($G147:BA147),IF(BB$121="4차중도금",$F147*50%-SUM($G147:BA147),$F147*10%)))))))+(IF(BB$121="5차중도금",$F147*60%-SUM($G147:BA147)-$F147*10%,IF(BB$121="6차중도금",$F147*70%-SUM($G147:BA147)-$F147*10%,0)))</f>
        <v>0</v>
      </c>
      <c r="BC147" s="605">
        <f>IF(BC$121="입주/잔금",($F147-SUM($G147:BB147))*30%,IF(BB$121="입주/잔금",($F147-SUM($G147:BA147))*50%,IF(BA$121="입주/잔금",($F147-SUM($G147:AZ147))*20%,IF(BC$121=0,0,IF(BC$121="2차중도금",$F147*30%-SUM($G147:BB147),IF(BC$121="3차중도금",$F147*40%-SUM($G147:BB147),IF(BC$121="4차중도금",$F147*50%-SUM($G147:BB147),$F147*10%)))))))+(IF(BC$121="5차중도금",$F147*60%-SUM($G147:BB147)-$F147*10%,IF(BC$121="6차중도금",$F147*70%-SUM($G147:BB147)-$F147*10%,0)))</f>
        <v>0</v>
      </c>
      <c r="BD147" s="605">
        <f>IF(BD$121="입주/잔금",($F147-SUM($G147:BC147))*30%,IF(BC$121="입주/잔금",($F147-SUM($G147:BB147))*50%,IF(BB$121="입주/잔금",($F147-SUM($G147:BA147))*20%,IF(BD$121=0,0,IF(BD$121="2차중도금",$F147*30%-SUM($G147:BC147),IF(BD$121="3차중도금",$F147*40%-SUM($G147:BC147),IF(BD$121="4차중도금",$F147*50%-SUM($G147:BC147),$F147*10%)))))))+(IF(BD$121="5차중도금",$F147*60%-SUM($G147:BC147)-$F147*10%,IF(BD$121="6차중도금",$F147*70%-SUM($G147:BC147)-$F147*10%,0)))</f>
        <v>0</v>
      </c>
      <c r="BE147" s="605">
        <f>IF(BE$121="입주/잔금",($F147-SUM($G147:BD147))*30%,IF(BD$121="입주/잔금",($F147-SUM($G147:BC147))*50%,IF(BC$121="입주/잔금",($F147-SUM($G147:BB147))*20%,IF(BE$121=0,0,IF(BE$121="2차중도금",$F147*30%-SUM($G147:BD147),IF(BE$121="3차중도금",$F147*40%-SUM($G147:BD147),IF(BE$121="4차중도금",$F147*50%-SUM($G147:BD147),$F147*10%)))))))+(IF(BE$121="5차중도금",$F147*60%-SUM($G147:BD147)-$F147*10%,IF(BE$121="6차중도금",$F147*70%-SUM($G147:BD147)-$F147*10%,0)))</f>
        <v>0</v>
      </c>
      <c r="BF147" s="609">
        <f t="shared" si="43"/>
        <v>0</v>
      </c>
      <c r="BG147" s="556">
        <f t="shared" si="45"/>
        <v>0</v>
      </c>
      <c r="BH147" s="610"/>
    </row>
    <row r="148" spans="1:60">
      <c r="A148" s="1867"/>
      <c r="B148" s="611">
        <f t="shared" si="46"/>
        <v>45627</v>
      </c>
      <c r="C148" s="605">
        <f t="shared" si="50"/>
        <v>21284968.815239683</v>
      </c>
      <c r="D148" s="1501"/>
      <c r="E148" s="607">
        <f t="shared" si="48"/>
        <v>0.70000000000000007</v>
      </c>
      <c r="F148" s="608">
        <f t="shared" si="44"/>
        <v>0</v>
      </c>
      <c r="G148" s="605"/>
      <c r="H148" s="605"/>
      <c r="I148" s="605"/>
      <c r="J148" s="605"/>
      <c r="K148" s="605"/>
      <c r="L148" s="605"/>
      <c r="M148" s="605"/>
      <c r="N148" s="605"/>
      <c r="O148" s="605"/>
      <c r="P148" s="605"/>
      <c r="Q148" s="605"/>
      <c r="R148" s="605"/>
      <c r="S148" s="605"/>
      <c r="T148" s="605"/>
      <c r="U148" s="605"/>
      <c r="V148" s="605"/>
      <c r="W148" s="605"/>
      <c r="X148" s="605"/>
      <c r="Y148" s="605"/>
      <c r="Z148" s="605"/>
      <c r="AA148" s="605"/>
      <c r="AB148" s="605"/>
      <c r="AC148" s="605"/>
      <c r="AD148" s="605"/>
      <c r="AE148" s="605"/>
      <c r="AF148" s="605"/>
      <c r="AG148" s="605">
        <f>$F148*10%</f>
        <v>0</v>
      </c>
      <c r="AH148" s="605">
        <f>IF(AH$121="입주/잔금",($F148-SUM($G148:AG148))*30%,IF(AG$121="입주/잔금",($F148-SUM($G148:AF148))*50%,IF(AF$121="입주/잔금",($F148-SUM($G148:AE148))*20%,IF(AH$121=0,0,IF(AH$121="2차중도금",$F148*30%-SUM($G148:AG148),IF(AH$121="3차중도금",$F148*40%-SUM($G148:AG148),IF(AH$121="4차중도금",$F148*50%-SUM($G148:AG148),$F148*10%)))))))+(IF(AH$121="5차중도금",$F148*60%-SUM($G148:AG148)-$F148*10%,IF(AH$121="6차중도금",$F148*70%-SUM($G148:AG148)-$F148*10%,0)))</f>
        <v>0</v>
      </c>
      <c r="AI148" s="605">
        <f>IF(AI$121="입주/잔금",($F148-SUM($G148:AH148))*30%,IF(AH$121="입주/잔금",($F148-SUM($G148:AG148))*50%,IF(AG$121="입주/잔금",($F148-SUM($G148:AF148))*20%,IF(AI$121=0,0,IF(AI$121="2차중도금",$F148*30%-SUM($G148:AH148),IF(AI$121="3차중도금",$F148*40%-SUM($G148:AH148),IF(AI$121="4차중도금",$F148*50%-SUM($G148:AH148),$F148*10%)))))))+(IF(AI$121="5차중도금",$F148*60%-SUM($G148:AH148)-$F148*10%,IF(AI$121="6차중도금",$F148*70%-SUM($G148:AH148)-$F148*10%,0)))</f>
        <v>0</v>
      </c>
      <c r="AJ148" s="605">
        <f>IF(AJ$121="입주/잔금",($F148-SUM($G148:AI148))*30%,IF(AI$121="입주/잔금",($F148-SUM($G148:AH148))*50%,IF(AH$121="입주/잔금",($F148-SUM($G148:AG148))*20%,IF(AJ$121=0,0,IF(AJ$121="2차중도금",$F148*30%-SUM($G148:AI148),IF(AJ$121="3차중도금",$F148*40%-SUM($G148:AI148),IF(AJ$121="4차중도금",$F148*50%-SUM($G148:AI148),$F148*10%)))))))+(IF(AJ$121="5차중도금",$F148*60%-SUM($G148:AI148)-$F148*10%,IF(AJ$121="6차중도금",$F148*70%-SUM($G148:AI148)-$F148*10%,0)))</f>
        <v>0</v>
      </c>
      <c r="AK148" s="605">
        <f>IF(AK$121="입주/잔금",($F148-SUM($G148:AJ148))*30%,IF(AJ$121="입주/잔금",($F148-SUM($G148:AI148))*50%,IF(AI$121="입주/잔금",($F148-SUM($G148:AH148))*20%,IF(AK$121=0,0,IF(AK$121="2차중도금",$F148*30%-SUM($G148:AJ148),IF(AK$121="3차중도금",$F148*40%-SUM($G148:AJ148),IF(AK$121="4차중도금",$F148*50%-SUM($G148:AJ148),$F148*10%)))))))+(IF(AK$121="5차중도금",$F148*60%-SUM($G148:AJ148)-$F148*10%,IF(AK$121="6차중도금",$F148*70%-SUM($G148:AJ148)-$F148*10%,0)))</f>
        <v>0</v>
      </c>
      <c r="AL148" s="605">
        <f>IF(AL$121="입주/잔금",($F148-SUM($G148:AK148))*30%,IF(AK$121="입주/잔금",($F148-SUM($G148:AJ148))*50%,IF(AJ$121="입주/잔금",($F148-SUM($G148:AI148))*20%,IF(AL$121=0,0,IF(AL$121="2차중도금",$F148*30%-SUM($G148:AK148),IF(AL$121="3차중도금",$F148*40%-SUM($G148:AK148),IF(AL$121="4차중도금",$F148*50%-SUM($G148:AK148),$F148*10%)))))))+(IF(AL$121="5차중도금",$F148*60%-SUM($G148:AK148)-$F148*10%,IF(AL$121="6차중도금",$F148*70%-SUM($G148:AK148)-$F148*10%,0)))</f>
        <v>0</v>
      </c>
      <c r="AM148" s="605">
        <f>IF(AM$121="입주/잔금",($F148-SUM($G148:AL148))*30%,IF(AL$121="입주/잔금",($F148-SUM($G148:AK148))*50%,IF(AK$121="입주/잔금",($F148-SUM($G148:AJ148))*20%,IF(AM$121=0,0,IF(AM$121="2차중도금",$F148*30%-SUM($G148:AL148),IF(AM$121="3차중도금",$F148*40%-SUM($G148:AL148),IF(AM$121="4차중도금",$F148*50%-SUM($G148:AL148),$F148*10%)))))))+(IF(AM$121="5차중도금",$F148*60%-SUM($G148:AL148)-$F148*10%,IF(AM$121="6차중도금",$F148*70%-SUM($G148:AL148)-$F148*10%,0)))</f>
        <v>0</v>
      </c>
      <c r="AN148" s="605">
        <f>IF(AN$121="입주/잔금",($F148-SUM($G148:AM148))*30%,IF(AM$121="입주/잔금",($F148-SUM($G148:AL148))*50%,IF(AL$121="입주/잔금",($F148-SUM($G148:AK148))*20%,IF(AN$121=0,0,IF(AN$121="2차중도금",$F148*30%-SUM($G148:AM148),IF(AN$121="3차중도금",$F148*40%-SUM($G148:AM148),IF(AN$121="4차중도금",$F148*50%-SUM($G148:AM148),$F148*10%)))))))+(IF(AN$121="5차중도금",$F148*60%-SUM($G148:AM148)-$F148*10%,IF(AN$121="6차중도금",$F148*70%-SUM($G148:AM148)-$F148*10%,0)))</f>
        <v>0</v>
      </c>
      <c r="AO148" s="605">
        <f>IF(AO$121="입주/잔금",($F148-SUM($G148:AN148))*30%,IF(AN$121="입주/잔금",($F148-SUM($G148:AM148))*50%,IF(AM$121="입주/잔금",($F148-SUM($G148:AL148))*20%,IF(AO$121=0,0,IF(AO$121="2차중도금",$F148*30%-SUM($G148:AN148),IF(AO$121="3차중도금",$F148*40%-SUM($G148:AN148),IF(AO$121="4차중도금",$F148*50%-SUM($G148:AN148),$F148*10%)))))))+(IF(AO$121="5차중도금",$F148*60%-SUM($G148:AN148)-$F148*10%,IF(AO$121="6차중도금",$F148*70%-SUM($G148:AN148)-$F148*10%,0)))</f>
        <v>0</v>
      </c>
      <c r="AP148" s="605">
        <f>IF(AP$121="입주/잔금",($F148-SUM($G148:AO148))*30%,IF(AO$121="입주/잔금",($F148-SUM($G148:AN148))*50%,IF(AN$121="입주/잔금",($F148-SUM($G148:AM148))*20%,IF(AP$121=0,0,IF(AP$121="2차중도금",$F148*30%-SUM($G148:AO148),IF(AP$121="3차중도금",$F148*40%-SUM($G148:AO148),IF(AP$121="4차중도금",$F148*50%-SUM($G148:AO148),$F148*10%)))))))+(IF(AP$121="5차중도금",$F148*60%-SUM($G148:AO148)-$F148*10%,IF(AP$121="6차중도금",$F148*70%-SUM($G148:AO148)-$F148*10%,0)))</f>
        <v>0</v>
      </c>
      <c r="AQ148" s="605">
        <f>IF(AQ$121="입주/잔금",($F148-SUM($G148:AP148))*30%,IF(AP$121="입주/잔금",($F148-SUM($G148:AO148))*50%,IF(AO$121="입주/잔금",($F148-SUM($G148:AN148))*20%,IF(AQ$121=0,0,IF(AQ$121="2차중도금",$F148*30%-SUM($G148:AP148),IF(AQ$121="3차중도금",$F148*40%-SUM($G148:AP148),IF(AQ$121="4차중도금",$F148*50%-SUM($G148:AP148),$F148*10%)))))))+(IF(AQ$121="5차중도금",$F148*60%-SUM($G148:AP148)-$F148*10%,IF(AQ$121="6차중도금",$F148*70%-SUM($G148:AP148)-$F148*10%,0)))</f>
        <v>0</v>
      </c>
      <c r="AR148" s="605">
        <f>IF(AR$121="입주/잔금",($F148-SUM($G148:AQ148))*30%,IF(AQ$121="입주/잔금",($F148-SUM($G148:AP148))*50%,IF(AP$121="입주/잔금",($F148-SUM($G148:AO148))*20%,IF(AR$121=0,0,IF(AR$121="2차중도금",$F148*30%-SUM($G148:AQ148),IF(AR$121="3차중도금",$F148*40%-SUM($G148:AQ148),IF(AR$121="4차중도금",$F148*50%-SUM($G148:AQ148),$F148*10%)))))))+(IF(AR$121="5차중도금",$F148*60%-SUM($G148:AQ148)-$F148*10%,IF(AR$121="6차중도금",$F148*70%-SUM($G148:AQ148)-$F148*10%,0)))</f>
        <v>0</v>
      </c>
      <c r="AS148" s="605">
        <f>IF(AS$121="입주/잔금",($F148-SUM($G148:AR148))*30%,IF(AR$121="입주/잔금",($F148-SUM($G148:AQ148))*50%,IF(AQ$121="입주/잔금",($F148-SUM($G148:AP148))*20%,IF(AS$121=0,0,IF(AS$121="2차중도금",$F148*30%-SUM($G148:AR148),IF(AS$121="3차중도금",$F148*40%-SUM($G148:AR148),IF(AS$121="4차중도금",$F148*50%-SUM($G148:AR148),$F148*10%)))))))+(IF(AS$121="5차중도금",$F148*60%-SUM($G148:AR148)-$F148*10%,IF(AS$121="6차중도금",$F148*70%-SUM($G148:AR148)-$F148*10%,0)))</f>
        <v>0</v>
      </c>
      <c r="AT148" s="605">
        <f>IF(AT$121="입주/잔금",($F148-SUM($G148:AS148))*30%,IF(AS$121="입주/잔금",($F148-SUM($G148:AR148))*50%,IF(AR$121="입주/잔금",($F148-SUM($G148:AQ148))*20%,IF(AT$121=0,0,IF(AT$121="2차중도금",$F148*30%-SUM($G148:AS148),IF(AT$121="3차중도금",$F148*40%-SUM($G148:AS148),IF(AT$121="4차중도금",$F148*50%-SUM($G148:AS148),$F148*10%)))))))+(IF(AT$121="5차중도금",$F148*60%-SUM($G148:AS148)-$F148*10%,IF(AT$121="6차중도금",$F148*70%-SUM($G148:AS148)-$F148*10%,0)))</f>
        <v>0</v>
      </c>
      <c r="AU148" s="605">
        <f>IF(AU$121="입주/잔금",($F148-SUM($G148:AT148))*30%,IF(AT$121="입주/잔금",($F148-SUM($G148:AS148))*50%,IF(AS$121="입주/잔금",($F148-SUM($G148:AR148))*20%,IF(AU$121=0,0,IF(AU$121="2차중도금",$F148*30%-SUM($G148:AT148),IF(AU$121="3차중도금",$F148*40%-SUM($G148:AT148),IF(AU$121="4차중도금",$F148*50%-SUM($G148:AT148),$F148*10%)))))))+(IF(AU$121="5차중도금",$F148*60%-SUM($G148:AT148)-$F148*10%,IF(AU$121="6차중도금",$F148*70%-SUM($G148:AT148)-$F148*10%,0)))</f>
        <v>0</v>
      </c>
      <c r="AV148" s="605">
        <f>IF(AV$121="입주/잔금",($F148-SUM($G148:AU148))*30%,IF(AU$121="입주/잔금",($F148-SUM($G148:AT148))*50%,IF(AT$121="입주/잔금",($F148-SUM($G148:AS148))*20%,IF(AV$121=0,0,IF(AV$121="2차중도금",$F148*30%-SUM($G148:AU148),IF(AV$121="3차중도금",$F148*40%-SUM($G148:AU148),IF(AV$121="4차중도금",$F148*50%-SUM($G148:AU148),$F148*10%)))))))+(IF(AV$121="5차중도금",$F148*60%-SUM($G148:AU148)-$F148*10%,IF(AV$121="6차중도금",$F148*70%-SUM($G148:AU148)-$F148*10%,0)))</f>
        <v>0</v>
      </c>
      <c r="AW148" s="605">
        <f>IF(AW$121="입주/잔금",($F148-SUM($G148:AV148))*30%,IF(AV$121="입주/잔금",($F148-SUM($G148:AU148))*50%,IF(AU$121="입주/잔금",($F148-SUM($G148:AT148))*20%,IF(AW$121=0,0,IF(AW$121="2차중도금",$F148*30%-SUM($G148:AV148),IF(AW$121="3차중도금",$F148*40%-SUM($G148:AV148),IF(AW$121="4차중도금",$F148*50%-SUM($G148:AV148),$F148*10%)))))))+(IF(AW$121="5차중도금",$F148*60%-SUM($G148:AV148)-$F148*10%,IF(AW$121="6차중도금",$F148*70%-SUM($G148:AV148)-$F148*10%,0)))</f>
        <v>0</v>
      </c>
      <c r="AX148" s="605">
        <f>IF(AX$121="입주/잔금",($F148-SUM($G148:AW148))*30%,IF(AW$121="입주/잔금",($F148-SUM($G148:AV148))*50%,IF(AV$121="입주/잔금",($F148-SUM($G148:AU148))*20%,IF(AX$121=0,0,IF(AX$121="2차중도금",$F148*30%-SUM($G148:AW148),IF(AX$121="3차중도금",$F148*40%-SUM($G148:AW148),IF(AX$121="4차중도금",$F148*50%-SUM($G148:AW148),$F148*10%)))))))+(IF(AX$121="5차중도금",$F148*60%-SUM($G148:AW148)-$F148*10%,IF(AX$121="6차중도금",$F148*70%-SUM($G148:AW148)-$F148*10%,0)))</f>
        <v>0</v>
      </c>
      <c r="AY148" s="605">
        <f>IF(AY$121="입주/잔금",($F148-SUM($G148:AX148))*30%,IF(AX$121="입주/잔금",($F148-SUM($G148:AW148))*50%,IF(AW$121="입주/잔금",($F148-SUM($G148:AV148))*20%,IF(AY$121=0,0,IF(AY$121="2차중도금",$F148*30%-SUM($G148:AX148),IF(AY$121="3차중도금",$F148*40%-SUM($G148:AX148),IF(AY$121="4차중도금",$F148*50%-SUM($G148:AX148),$F148*10%)))))))+(IF(AY$121="5차중도금",$F148*60%-SUM($G148:AX148)-$F148*10%,IF(AY$121="6차중도금",$F148*70%-SUM($G148:AX148)-$F148*10%,0)))</f>
        <v>0</v>
      </c>
      <c r="AZ148" s="605">
        <f>IF(AZ$121="입주/잔금",($F148-SUM($G148:AY148))*30%,IF(AY$121="입주/잔금",($F148-SUM($G148:AX148))*50%,IF(AX$121="입주/잔금",($F148-SUM($G148:AW148))*20%,IF(AZ$121=0,0,IF(AZ$121="2차중도금",$F148*30%-SUM($G148:AY148),IF(AZ$121="3차중도금",$F148*40%-SUM($G148:AY148),IF(AZ$121="4차중도금",$F148*50%-SUM($G148:AY148),$F148*10%)))))))+(IF(AZ$121="5차중도금",$F148*60%-SUM($G148:AY148)-$F148*10%,IF(AZ$121="6차중도금",$F148*70%-SUM($G148:AY148)-$F148*10%,0)))</f>
        <v>0</v>
      </c>
      <c r="BA148" s="605">
        <f>IF(BA$121="입주/잔금",($F148-SUM($G148:AZ148))*30%,IF(AZ$121="입주/잔금",($F148-SUM($G148:AY148))*50%,IF(AY$121="입주/잔금",($F148-SUM($G148:AX148))*20%,IF(BA$121=0,0,IF(BA$121="2차중도금",$F148*30%-SUM($G148:AZ148),IF(BA$121="3차중도금",$F148*40%-SUM($G148:AZ148),IF(BA$121="4차중도금",$F148*50%-SUM($G148:AZ148),$F148*10%)))))))+(IF(BA$121="5차중도금",$F148*60%-SUM($G148:AZ148)-$F148*10%,IF(BA$121="6차중도금",$F148*70%-SUM($G148:AZ148)-$F148*10%,0)))</f>
        <v>0</v>
      </c>
      <c r="BB148" s="605">
        <f>IF(BB$121="입주/잔금",($F148-SUM($G148:BA148))*30%,IF(BA$121="입주/잔금",($F148-SUM($G148:AZ148))*50%,IF(AZ$121="입주/잔금",($F148-SUM($G148:AY148))*20%,IF(BB$121=0,0,IF(BB$121="2차중도금",$F148*30%-SUM($G148:BA148),IF(BB$121="3차중도금",$F148*40%-SUM($G148:BA148),IF(BB$121="4차중도금",$F148*50%-SUM($G148:BA148),$F148*10%)))))))+(IF(BB$121="5차중도금",$F148*60%-SUM($G148:BA148)-$F148*10%,IF(BB$121="6차중도금",$F148*70%-SUM($G148:BA148)-$F148*10%,0)))</f>
        <v>0</v>
      </c>
      <c r="BC148" s="605">
        <f>IF(BC$121="입주/잔금",($F148-SUM($G148:BB148))*30%,IF(BB$121="입주/잔금",($F148-SUM($G148:BA148))*50%,IF(BA$121="입주/잔금",($F148-SUM($G148:AZ148))*20%,IF(BC$121=0,0,IF(BC$121="2차중도금",$F148*30%-SUM($G148:BB148),IF(BC$121="3차중도금",$F148*40%-SUM($G148:BB148),IF(BC$121="4차중도금",$F148*50%-SUM($G148:BB148),$F148*10%)))))))+(IF(BC$121="5차중도금",$F148*60%-SUM($G148:BB148)-$F148*10%,IF(BC$121="6차중도금",$F148*70%-SUM($G148:BB148)-$F148*10%,0)))</f>
        <v>0</v>
      </c>
      <c r="BD148" s="605">
        <f>IF(BD$121="입주/잔금",($F148-SUM($G148:BC148))*30%,IF(BC$121="입주/잔금",($F148-SUM($G148:BB148))*50%,IF(BB$121="입주/잔금",($F148-SUM($G148:BA148))*20%,IF(BD$121=0,0,IF(BD$121="2차중도금",$F148*30%-SUM($G148:BC148),IF(BD$121="3차중도금",$F148*40%-SUM($G148:BC148),IF(BD$121="4차중도금",$F148*50%-SUM($G148:BC148),$F148*10%)))))))+(IF(BD$121="5차중도금",$F148*60%-SUM($G148:BC148)-$F148*10%,IF(BD$121="6차중도금",$F148*70%-SUM($G148:BC148)-$F148*10%,0)))</f>
        <v>0</v>
      </c>
      <c r="BE148" s="605">
        <f>IF(BE$121="입주/잔금",($F148-SUM($G148:BD148))*30%,IF(BD$121="입주/잔금",($F148-SUM($G148:BC148))*50%,IF(BC$121="입주/잔금",($F148-SUM($G148:BB148))*20%,IF(BE$121=0,0,IF(BE$121="2차중도금",$F148*30%-SUM($G148:BD148),IF(BE$121="3차중도금",$F148*40%-SUM($G148:BD148),IF(BE$121="4차중도금",$F148*50%-SUM($G148:BD148),$F148*10%)))))))+(IF(BE$121="5차중도금",$F148*60%-SUM($G148:BD148)-$F148*10%,IF(BE$121="6차중도금",$F148*70%-SUM($G148:BD148)-$F148*10%,0)))</f>
        <v>0</v>
      </c>
      <c r="BF148" s="609">
        <f t="shared" si="43"/>
        <v>0</v>
      </c>
      <c r="BG148" s="556">
        <f t="shared" si="45"/>
        <v>0</v>
      </c>
      <c r="BH148" s="610"/>
    </row>
    <row r="149" spans="1:60">
      <c r="A149" s="1867"/>
      <c r="B149" s="611">
        <f t="shared" si="46"/>
        <v>45658</v>
      </c>
      <c r="C149" s="605">
        <f t="shared" si="50"/>
        <v>21284968.815239683</v>
      </c>
      <c r="D149" s="1501"/>
      <c r="E149" s="607">
        <f t="shared" si="48"/>
        <v>0.70000000000000007</v>
      </c>
      <c r="F149" s="608">
        <f t="shared" si="44"/>
        <v>0</v>
      </c>
      <c r="G149" s="605"/>
      <c r="H149" s="605"/>
      <c r="I149" s="605"/>
      <c r="J149" s="605"/>
      <c r="K149" s="605"/>
      <c r="L149" s="605"/>
      <c r="M149" s="605"/>
      <c r="N149" s="605"/>
      <c r="O149" s="605"/>
      <c r="P149" s="605"/>
      <c r="Q149" s="605"/>
      <c r="R149" s="605"/>
      <c r="S149" s="605"/>
      <c r="T149" s="605"/>
      <c r="U149" s="605"/>
      <c r="V149" s="605"/>
      <c r="W149" s="605"/>
      <c r="X149" s="605"/>
      <c r="Y149" s="605"/>
      <c r="Z149" s="605"/>
      <c r="AA149" s="605"/>
      <c r="AB149" s="605"/>
      <c r="AC149" s="605"/>
      <c r="AD149" s="605"/>
      <c r="AE149" s="605"/>
      <c r="AF149" s="605"/>
      <c r="AG149" s="605"/>
      <c r="AH149" s="605">
        <f>$F149*10%</f>
        <v>0</v>
      </c>
      <c r="AI149" s="605">
        <f>IF(AI$121="입주/잔금",($F149-SUM($G149:AH149))*30%,IF(AH$121="입주/잔금",($F149-SUM($G149:AG149))*50%,IF(AG$121="입주/잔금",($F149-SUM($G149:AF149))*20%,IF(AI$121=0,0,IF(AI$121="2차중도금",$F149*30%-SUM($G149:AH149),IF(AI$121="3차중도금",$F149*40%-SUM($G149:AH149),IF(AI$121="4차중도금",$F149*50%-SUM($G149:AH149),$F149*10%)))))))+(IF(AI$121="5차중도금",$F149*60%-SUM($G149:AH149)-$F149*10%,IF(AI$121="6차중도금",$F149*70%-SUM($G149:AH149)-$F149*10%,0)))</f>
        <v>0</v>
      </c>
      <c r="AJ149" s="605">
        <f>IF(AJ$121="입주/잔금",($F149-SUM($G149:AI149))*30%,IF(AI$121="입주/잔금",($F149-SUM($G149:AH149))*50%,IF(AH$121="입주/잔금",($F149-SUM($G149:AG149))*20%,IF(AJ$121=0,0,IF(AJ$121="2차중도금",$F149*30%-SUM($G149:AI149),IF(AJ$121="3차중도금",$F149*40%-SUM($G149:AI149),IF(AJ$121="4차중도금",$F149*50%-SUM($G149:AI149),$F149*10%)))))))+(IF(AJ$121="5차중도금",$F149*60%-SUM($G149:AI149)-$F149*10%,IF(AJ$121="6차중도금",$F149*70%-SUM($G149:AI149)-$F149*10%,0)))</f>
        <v>0</v>
      </c>
      <c r="AK149" s="605">
        <f>IF(AK$121="입주/잔금",($F149-SUM($G149:AJ149))*30%,IF(AJ$121="입주/잔금",($F149-SUM($G149:AI149))*50%,IF(AI$121="입주/잔금",($F149-SUM($G149:AH149))*20%,IF(AK$121=0,0,IF(AK$121="2차중도금",$F149*30%-SUM($G149:AJ149),IF(AK$121="3차중도금",$F149*40%-SUM($G149:AJ149),IF(AK$121="4차중도금",$F149*50%-SUM($G149:AJ149),$F149*10%)))))))+(IF(AK$121="5차중도금",$F149*60%-SUM($G149:AJ149)-$F149*10%,IF(AK$121="6차중도금",$F149*70%-SUM($G149:AJ149)-$F149*10%,0)))</f>
        <v>0</v>
      </c>
      <c r="AL149" s="605">
        <f>IF(AL$121="입주/잔금",($F149-SUM($G149:AK149))*30%,IF(AK$121="입주/잔금",($F149-SUM($G149:AJ149))*50%,IF(AJ$121="입주/잔금",($F149-SUM($G149:AI149))*20%,IF(AL$121=0,0,IF(AL$121="2차중도금",$F149*30%-SUM($G149:AK149),IF(AL$121="3차중도금",$F149*40%-SUM($G149:AK149),IF(AL$121="4차중도금",$F149*50%-SUM($G149:AK149),$F149*10%)))))))+(IF(AL$121="5차중도금",$F149*60%-SUM($G149:AK149)-$F149*10%,IF(AL$121="6차중도금",$F149*70%-SUM($G149:AK149)-$F149*10%,0)))</f>
        <v>0</v>
      </c>
      <c r="AM149" s="605">
        <f>IF(AM$121="입주/잔금",($F149-SUM($G149:AL149))*30%,IF(AL$121="입주/잔금",($F149-SUM($G149:AK149))*50%,IF(AK$121="입주/잔금",($F149-SUM($G149:AJ149))*20%,IF(AM$121=0,0,IF(AM$121="2차중도금",$F149*30%-SUM($G149:AL149),IF(AM$121="3차중도금",$F149*40%-SUM($G149:AL149),IF(AM$121="4차중도금",$F149*50%-SUM($G149:AL149),$F149*10%)))))))+(IF(AM$121="5차중도금",$F149*60%-SUM($G149:AL149)-$F149*10%,IF(AM$121="6차중도금",$F149*70%-SUM($G149:AL149)-$F149*10%,0)))</f>
        <v>0</v>
      </c>
      <c r="AN149" s="605">
        <f>IF(AN$121="입주/잔금",($F149-SUM($G149:AM149))*30%,IF(AM$121="입주/잔금",($F149-SUM($G149:AL149))*50%,IF(AL$121="입주/잔금",($F149-SUM($G149:AK149))*20%,IF(AN$121=0,0,IF(AN$121="2차중도금",$F149*30%-SUM($G149:AM149),IF(AN$121="3차중도금",$F149*40%-SUM($G149:AM149),IF(AN$121="4차중도금",$F149*50%-SUM($G149:AM149),$F149*10%)))))))+(IF(AN$121="5차중도금",$F149*60%-SUM($G149:AM149)-$F149*10%,IF(AN$121="6차중도금",$F149*70%-SUM($G149:AM149)-$F149*10%,0)))</f>
        <v>0</v>
      </c>
      <c r="AO149" s="605">
        <f>IF(AO$121="입주/잔금",($F149-SUM($G149:AN149))*30%,IF(AN$121="입주/잔금",($F149-SUM($G149:AM149))*50%,IF(AM$121="입주/잔금",($F149-SUM($G149:AL149))*20%,IF(AO$121=0,0,IF(AO$121="2차중도금",$F149*30%-SUM($G149:AN149),IF(AO$121="3차중도금",$F149*40%-SUM($G149:AN149),IF(AO$121="4차중도금",$F149*50%-SUM($G149:AN149),$F149*10%)))))))+(IF(AO$121="5차중도금",$F149*60%-SUM($G149:AN149)-$F149*10%,IF(AO$121="6차중도금",$F149*70%-SUM($G149:AN149)-$F149*10%,0)))</f>
        <v>0</v>
      </c>
      <c r="AP149" s="605">
        <f>IF(AP$121="입주/잔금",($F149-SUM($G149:AO149))*30%,IF(AO$121="입주/잔금",($F149-SUM($G149:AN149))*50%,IF(AN$121="입주/잔금",($F149-SUM($G149:AM149))*20%,IF(AP$121=0,0,IF(AP$121="2차중도금",$F149*30%-SUM($G149:AO149),IF(AP$121="3차중도금",$F149*40%-SUM($G149:AO149),IF(AP$121="4차중도금",$F149*50%-SUM($G149:AO149),$F149*10%)))))))+(IF(AP$121="5차중도금",$F149*60%-SUM($G149:AO149)-$F149*10%,IF(AP$121="6차중도금",$F149*70%-SUM($G149:AO149)-$F149*10%,0)))</f>
        <v>0</v>
      </c>
      <c r="AQ149" s="605">
        <f>IF(AQ$121="입주/잔금",($F149-SUM($G149:AP149))*30%,IF(AP$121="입주/잔금",($F149-SUM($G149:AO149))*50%,IF(AO$121="입주/잔금",($F149-SUM($G149:AN149))*20%,IF(AQ$121=0,0,IF(AQ$121="2차중도금",$F149*30%-SUM($G149:AP149),IF(AQ$121="3차중도금",$F149*40%-SUM($G149:AP149),IF(AQ$121="4차중도금",$F149*50%-SUM($G149:AP149),$F149*10%)))))))+(IF(AQ$121="5차중도금",$F149*60%-SUM($G149:AP149)-$F149*10%,IF(AQ$121="6차중도금",$F149*70%-SUM($G149:AP149)-$F149*10%,0)))</f>
        <v>0</v>
      </c>
      <c r="AR149" s="605">
        <f>IF(AR$121="입주/잔금",($F149-SUM($G149:AQ149))*30%,IF(AQ$121="입주/잔금",($F149-SUM($G149:AP149))*50%,IF(AP$121="입주/잔금",($F149-SUM($G149:AO149))*20%,IF(AR$121=0,0,IF(AR$121="2차중도금",$F149*30%-SUM($G149:AQ149),IF(AR$121="3차중도금",$F149*40%-SUM($G149:AQ149),IF(AR$121="4차중도금",$F149*50%-SUM($G149:AQ149),$F149*10%)))))))+(IF(AR$121="5차중도금",$F149*60%-SUM($G149:AQ149)-$F149*10%,IF(AR$121="6차중도금",$F149*70%-SUM($G149:AQ149)-$F149*10%,0)))</f>
        <v>0</v>
      </c>
      <c r="AS149" s="605">
        <f>IF(AS$121="입주/잔금",($F149-SUM($G149:AR149))*30%,IF(AR$121="입주/잔금",($F149-SUM($G149:AQ149))*50%,IF(AQ$121="입주/잔금",($F149-SUM($G149:AP149))*20%,IF(AS$121=0,0,IF(AS$121="2차중도금",$F149*30%-SUM($G149:AR149),IF(AS$121="3차중도금",$F149*40%-SUM($G149:AR149),IF(AS$121="4차중도금",$F149*50%-SUM($G149:AR149),$F149*10%)))))))+(IF(AS$121="5차중도금",$F149*60%-SUM($G149:AR149)-$F149*10%,IF(AS$121="6차중도금",$F149*70%-SUM($G149:AR149)-$F149*10%,0)))</f>
        <v>0</v>
      </c>
      <c r="AT149" s="605">
        <f>IF(AT$121="입주/잔금",($F149-SUM($G149:AS149))*30%,IF(AS$121="입주/잔금",($F149-SUM($G149:AR149))*50%,IF(AR$121="입주/잔금",($F149-SUM($G149:AQ149))*20%,IF(AT$121=0,0,IF(AT$121="2차중도금",$F149*30%-SUM($G149:AS149),IF(AT$121="3차중도금",$F149*40%-SUM($G149:AS149),IF(AT$121="4차중도금",$F149*50%-SUM($G149:AS149),$F149*10%)))))))+(IF(AT$121="5차중도금",$F149*60%-SUM($G149:AS149)-$F149*10%,IF(AT$121="6차중도금",$F149*70%-SUM($G149:AS149)-$F149*10%,0)))</f>
        <v>0</v>
      </c>
      <c r="AU149" s="605">
        <f>IF(AU$121="입주/잔금",($F149-SUM($G149:AT149))*30%,IF(AT$121="입주/잔금",($F149-SUM($G149:AS149))*50%,IF(AS$121="입주/잔금",($F149-SUM($G149:AR149))*20%,IF(AU$121=0,0,IF(AU$121="2차중도금",$F149*30%-SUM($G149:AT149),IF(AU$121="3차중도금",$F149*40%-SUM($G149:AT149),IF(AU$121="4차중도금",$F149*50%-SUM($G149:AT149),$F149*10%)))))))+(IF(AU$121="5차중도금",$F149*60%-SUM($G149:AT149)-$F149*10%,IF(AU$121="6차중도금",$F149*70%-SUM($G149:AT149)-$F149*10%,0)))</f>
        <v>0</v>
      </c>
      <c r="AV149" s="605">
        <f>IF(AV$121="입주/잔금",($F149-SUM($G149:AU149))*30%,IF(AU$121="입주/잔금",($F149-SUM($G149:AT149))*50%,IF(AT$121="입주/잔금",($F149-SUM($G149:AS149))*20%,IF(AV$121=0,0,IF(AV$121="2차중도금",$F149*30%-SUM($G149:AU149),IF(AV$121="3차중도금",$F149*40%-SUM($G149:AU149),IF(AV$121="4차중도금",$F149*50%-SUM($G149:AU149),$F149*10%)))))))+(IF(AV$121="5차중도금",$F149*60%-SUM($G149:AU149)-$F149*10%,IF(AV$121="6차중도금",$F149*70%-SUM($G149:AU149)-$F149*10%,0)))</f>
        <v>0</v>
      </c>
      <c r="AW149" s="605">
        <f>IF(AW$121="입주/잔금",($F149-SUM($G149:AV149))*30%,IF(AV$121="입주/잔금",($F149-SUM($G149:AU149))*50%,IF(AU$121="입주/잔금",($F149-SUM($G149:AT149))*20%,IF(AW$121=0,0,IF(AW$121="2차중도금",$F149*30%-SUM($G149:AV149),IF(AW$121="3차중도금",$F149*40%-SUM($G149:AV149),IF(AW$121="4차중도금",$F149*50%-SUM($G149:AV149),$F149*10%)))))))+(IF(AW$121="5차중도금",$F149*60%-SUM($G149:AV149)-$F149*10%,IF(AW$121="6차중도금",$F149*70%-SUM($G149:AV149)-$F149*10%,0)))</f>
        <v>0</v>
      </c>
      <c r="AX149" s="605">
        <f>IF(AX$121="입주/잔금",($F149-SUM($G149:AW149))*30%,IF(AW$121="입주/잔금",($F149-SUM($G149:AV149))*50%,IF(AV$121="입주/잔금",($F149-SUM($G149:AU149))*20%,IF(AX$121=0,0,IF(AX$121="2차중도금",$F149*30%-SUM($G149:AW149),IF(AX$121="3차중도금",$F149*40%-SUM($G149:AW149),IF(AX$121="4차중도금",$F149*50%-SUM($G149:AW149),$F149*10%)))))))+(IF(AX$121="5차중도금",$F149*60%-SUM($G149:AW149)-$F149*10%,IF(AX$121="6차중도금",$F149*70%-SUM($G149:AW149)-$F149*10%,0)))</f>
        <v>0</v>
      </c>
      <c r="AY149" s="605">
        <f>IF(AY$121="입주/잔금",($F149-SUM($G149:AX149))*30%,IF(AX$121="입주/잔금",($F149-SUM($G149:AW149))*50%,IF(AW$121="입주/잔금",($F149-SUM($G149:AV149))*20%,IF(AY$121=0,0,IF(AY$121="2차중도금",$F149*30%-SUM($G149:AX149),IF(AY$121="3차중도금",$F149*40%-SUM($G149:AX149),IF(AY$121="4차중도금",$F149*50%-SUM($G149:AX149),$F149*10%)))))))+(IF(AY$121="5차중도금",$F149*60%-SUM($G149:AX149)-$F149*10%,IF(AY$121="6차중도금",$F149*70%-SUM($G149:AX149)-$F149*10%,0)))</f>
        <v>0</v>
      </c>
      <c r="AZ149" s="605">
        <f>IF(AZ$121="입주/잔금",($F149-SUM($G149:AY149))*30%,IF(AY$121="입주/잔금",($F149-SUM($G149:AX149))*50%,IF(AX$121="입주/잔금",($F149-SUM($G149:AW149))*20%,IF(AZ$121=0,0,IF(AZ$121="2차중도금",$F149*30%-SUM($G149:AY149),IF(AZ$121="3차중도금",$F149*40%-SUM($G149:AY149),IF(AZ$121="4차중도금",$F149*50%-SUM($G149:AY149),$F149*10%)))))))+(IF(AZ$121="5차중도금",$F149*60%-SUM($G149:AY149)-$F149*10%,IF(AZ$121="6차중도금",$F149*70%-SUM($G149:AY149)-$F149*10%,0)))</f>
        <v>0</v>
      </c>
      <c r="BA149" s="605">
        <f>IF(BA$121="입주/잔금",($F149-SUM($G149:AZ149))*30%,IF(AZ$121="입주/잔금",($F149-SUM($G149:AY149))*50%,IF(AY$121="입주/잔금",($F149-SUM($G149:AX149))*20%,IF(BA$121=0,0,IF(BA$121="2차중도금",$F149*30%-SUM($G149:AZ149),IF(BA$121="3차중도금",$F149*40%-SUM($G149:AZ149),IF(BA$121="4차중도금",$F149*50%-SUM($G149:AZ149),$F149*10%)))))))+(IF(BA$121="5차중도금",$F149*60%-SUM($G149:AZ149)-$F149*10%,IF(BA$121="6차중도금",$F149*70%-SUM($G149:AZ149)-$F149*10%,0)))</f>
        <v>0</v>
      </c>
      <c r="BB149" s="605">
        <f>IF(BB$121="입주/잔금",($F149-SUM($G149:BA149))*30%,IF(BA$121="입주/잔금",($F149-SUM($G149:AZ149))*50%,IF(AZ$121="입주/잔금",($F149-SUM($G149:AY149))*20%,IF(BB$121=0,0,IF(BB$121="2차중도금",$F149*30%-SUM($G149:BA149),IF(BB$121="3차중도금",$F149*40%-SUM($G149:BA149),IF(BB$121="4차중도금",$F149*50%-SUM($G149:BA149),$F149*10%)))))))+(IF(BB$121="5차중도금",$F149*60%-SUM($G149:BA149)-$F149*10%,IF(BB$121="6차중도금",$F149*70%-SUM($G149:BA149)-$F149*10%,0)))</f>
        <v>0</v>
      </c>
      <c r="BC149" s="605">
        <f>IF(BC$121="입주/잔금",($F149-SUM($G149:BB149))*30%,IF(BB$121="입주/잔금",($F149-SUM($G149:BA149))*50%,IF(BA$121="입주/잔금",($F149-SUM($G149:AZ149))*20%,IF(BC$121=0,0,IF(BC$121="2차중도금",$F149*30%-SUM($G149:BB149),IF(BC$121="3차중도금",$F149*40%-SUM($G149:BB149),IF(BC$121="4차중도금",$F149*50%-SUM($G149:BB149),$F149*10%)))))))+(IF(BC$121="5차중도금",$F149*60%-SUM($G149:BB149)-$F149*10%,IF(BC$121="6차중도금",$F149*70%-SUM($G149:BB149)-$F149*10%,0)))</f>
        <v>0</v>
      </c>
      <c r="BD149" s="605">
        <f>IF(BD$121="입주/잔금",($F149-SUM($G149:BC149))*30%,IF(BC$121="입주/잔금",($F149-SUM($G149:BB149))*50%,IF(BB$121="입주/잔금",($F149-SUM($G149:BA149))*20%,IF(BD$121=0,0,IF(BD$121="2차중도금",$F149*30%-SUM($G149:BC149),IF(BD$121="3차중도금",$F149*40%-SUM($G149:BC149),IF(BD$121="4차중도금",$F149*50%-SUM($G149:BC149),$F149*10%)))))))+(IF(BD$121="5차중도금",$F149*60%-SUM($G149:BC149)-$F149*10%,IF(BD$121="6차중도금",$F149*70%-SUM($G149:BC149)-$F149*10%,0)))</f>
        <v>0</v>
      </c>
      <c r="BE149" s="605">
        <f>IF(BE$121="입주/잔금",($F149-SUM($G149:BD149))*30%,IF(BD$121="입주/잔금",($F149-SUM($G149:BC149))*50%,IF(BC$121="입주/잔금",($F149-SUM($G149:BB149))*20%,IF(BE$121=0,0,IF(BE$121="2차중도금",$F149*30%-SUM($G149:BD149),IF(BE$121="3차중도금",$F149*40%-SUM($G149:BD149),IF(BE$121="4차중도금",$F149*50%-SUM($G149:BD149),$F149*10%)))))))+(IF(BE$121="5차중도금",$F149*60%-SUM($G149:BD149)-$F149*10%,IF(BE$121="6차중도금",$F149*70%-SUM($G149:BD149)-$F149*10%,0)))</f>
        <v>0</v>
      </c>
      <c r="BF149" s="609">
        <f t="shared" si="43"/>
        <v>0</v>
      </c>
      <c r="BG149" s="556">
        <f t="shared" si="45"/>
        <v>0</v>
      </c>
      <c r="BH149" s="610"/>
    </row>
    <row r="150" spans="1:60">
      <c r="A150" s="1867"/>
      <c r="B150" s="611">
        <f t="shared" si="46"/>
        <v>45689</v>
      </c>
      <c r="C150" s="605">
        <f t="shared" si="50"/>
        <v>21284968.815239683</v>
      </c>
      <c r="D150" s="1501"/>
      <c r="E150" s="607">
        <f t="shared" si="48"/>
        <v>0.70000000000000007</v>
      </c>
      <c r="F150" s="608">
        <f t="shared" si="44"/>
        <v>0</v>
      </c>
      <c r="G150" s="605"/>
      <c r="H150" s="605"/>
      <c r="I150" s="605"/>
      <c r="J150" s="605"/>
      <c r="K150" s="605"/>
      <c r="L150" s="605"/>
      <c r="M150" s="605"/>
      <c r="N150" s="605"/>
      <c r="O150" s="605"/>
      <c r="P150" s="605"/>
      <c r="Q150" s="605"/>
      <c r="R150" s="605"/>
      <c r="S150" s="605"/>
      <c r="T150" s="605"/>
      <c r="U150" s="605"/>
      <c r="V150" s="605"/>
      <c r="W150" s="605"/>
      <c r="X150" s="605"/>
      <c r="Y150" s="605"/>
      <c r="Z150" s="605"/>
      <c r="AA150" s="605"/>
      <c r="AB150" s="605"/>
      <c r="AC150" s="605"/>
      <c r="AD150" s="605"/>
      <c r="AE150" s="605"/>
      <c r="AF150" s="605"/>
      <c r="AG150" s="605"/>
      <c r="AH150" s="605"/>
      <c r="AI150" s="605">
        <f>$F150*10%</f>
        <v>0</v>
      </c>
      <c r="AJ150" s="605">
        <f>IF(AJ$121="입주/잔금",($F150-SUM($G150:AI150))*30%,IF(AI$121="입주/잔금",($F150-SUM($G150:AH150))*50%,IF(AH$121="입주/잔금",($F150-SUM($G150:AG150))*20%,IF(AJ$121=0,0,IF(AJ$121="2차중도금",$F150*30%-SUM($G150:AI150),IF(AJ$121="3차중도금",$F150*40%-SUM($G150:AI150),IF(AJ$121="4차중도금",$F150*50%-SUM($G150:AI150),$F150*10%)))))))+(IF(AJ$121="5차중도금",$F150*60%-SUM($G150:AI150)-$F150*10%,IF(AJ$121="6차중도금",$F150*70%-SUM($G150:AI150)-$F150*10%,0)))</f>
        <v>0</v>
      </c>
      <c r="AK150" s="605">
        <f>IF(AK$121="입주/잔금",($F150-SUM($G150:AJ150))*30%,IF(AJ$121="입주/잔금",($F150-SUM($G150:AI150))*50%,IF(AI$121="입주/잔금",($F150-SUM($G150:AH150))*20%,IF(AK$121=0,0,IF(AK$121="2차중도금",$F150*30%-SUM($G150:AJ150),IF(AK$121="3차중도금",$F150*40%-SUM($G150:AJ150),IF(AK$121="4차중도금",$F150*50%-SUM($G150:AJ150),$F150*10%)))))))+(IF(AK$121="5차중도금",$F150*60%-SUM($G150:AJ150)-$F150*10%,IF(AK$121="6차중도금",$F150*70%-SUM($G150:AJ150)-$F150*10%,0)))</f>
        <v>0</v>
      </c>
      <c r="AL150" s="605">
        <f>IF(AL$121="입주/잔금",($F150-SUM($G150:AK150))*30%,IF(AK$121="입주/잔금",($F150-SUM($G150:AJ150))*50%,IF(AJ$121="입주/잔금",($F150-SUM($G150:AI150))*20%,IF(AL$121=0,0,IF(AL$121="2차중도금",$F150*30%-SUM($G150:AK150),IF(AL$121="3차중도금",$F150*40%-SUM($G150:AK150),IF(AL$121="4차중도금",$F150*50%-SUM($G150:AK150),$F150*10%)))))))+(IF(AL$121="5차중도금",$F150*60%-SUM($G150:AK150)-$F150*10%,IF(AL$121="6차중도금",$F150*70%-SUM($G150:AK150)-$F150*10%,0)))</f>
        <v>0</v>
      </c>
      <c r="AM150" s="605">
        <f>IF(AM$121="입주/잔금",($F150-SUM($G150:AL150))*30%,IF(AL$121="입주/잔금",($F150-SUM($G150:AK150))*50%,IF(AK$121="입주/잔금",($F150-SUM($G150:AJ150))*20%,IF(AM$121=0,0,IF(AM$121="2차중도금",$F150*30%-SUM($G150:AL150),IF(AM$121="3차중도금",$F150*40%-SUM($G150:AL150),IF(AM$121="4차중도금",$F150*50%-SUM($G150:AL150),$F150*10%)))))))+(IF(AM$121="5차중도금",$F150*60%-SUM($G150:AL150)-$F150*10%,IF(AM$121="6차중도금",$F150*70%-SUM($G150:AL150)-$F150*10%,0)))</f>
        <v>0</v>
      </c>
      <c r="AN150" s="605">
        <f>IF(AN$121="입주/잔금",($F150-SUM($G150:AM150))*30%,IF(AM$121="입주/잔금",($F150-SUM($G150:AL150))*50%,IF(AL$121="입주/잔금",($F150-SUM($G150:AK150))*20%,IF(AN$121=0,0,IF(AN$121="2차중도금",$F150*30%-SUM($G150:AM150),IF(AN$121="3차중도금",$F150*40%-SUM($G150:AM150),IF(AN$121="4차중도금",$F150*50%-SUM($G150:AM150),$F150*10%)))))))+(IF(AN$121="5차중도금",$F150*60%-SUM($G150:AM150)-$F150*10%,IF(AN$121="6차중도금",$F150*70%-SUM($G150:AM150)-$F150*10%,0)))</f>
        <v>0</v>
      </c>
      <c r="AO150" s="605">
        <f>IF(AO$121="입주/잔금",($F150-SUM($G150:AN150))*30%,IF(AN$121="입주/잔금",($F150-SUM($G150:AM150))*50%,IF(AM$121="입주/잔금",($F150-SUM($G150:AL150))*20%,IF(AO$121=0,0,IF(AO$121="2차중도금",$F150*30%-SUM($G150:AN150),IF(AO$121="3차중도금",$F150*40%-SUM($G150:AN150),IF(AO$121="4차중도금",$F150*50%-SUM($G150:AN150),$F150*10%)))))))+(IF(AO$121="5차중도금",$F150*60%-SUM($G150:AN150)-$F150*10%,IF(AO$121="6차중도금",$F150*70%-SUM($G150:AN150)-$F150*10%,0)))</f>
        <v>0</v>
      </c>
      <c r="AP150" s="605">
        <f>IF(AP$121="입주/잔금",($F150-SUM($G150:AO150))*30%,IF(AO$121="입주/잔금",($F150-SUM($G150:AN150))*50%,IF(AN$121="입주/잔금",($F150-SUM($G150:AM150))*20%,IF(AP$121=0,0,IF(AP$121="2차중도금",$F150*30%-SUM($G150:AO150),IF(AP$121="3차중도금",$F150*40%-SUM($G150:AO150),IF(AP$121="4차중도금",$F150*50%-SUM($G150:AO150),$F150*10%)))))))+(IF(AP$121="5차중도금",$F150*60%-SUM($G150:AO150)-$F150*10%,IF(AP$121="6차중도금",$F150*70%-SUM($G150:AO150)-$F150*10%,0)))</f>
        <v>0</v>
      </c>
      <c r="AQ150" s="605">
        <f>IF(AQ$121="입주/잔금",($F150-SUM($G150:AP150))*30%,IF(AP$121="입주/잔금",($F150-SUM($G150:AO150))*50%,IF(AO$121="입주/잔금",($F150-SUM($G150:AN150))*20%,IF(AQ$121=0,0,IF(AQ$121="2차중도금",$F150*30%-SUM($G150:AP150),IF(AQ$121="3차중도금",$F150*40%-SUM($G150:AP150),IF(AQ$121="4차중도금",$F150*50%-SUM($G150:AP150),$F150*10%)))))))+(IF(AQ$121="5차중도금",$F150*60%-SUM($G150:AP150)-$F150*10%,IF(AQ$121="6차중도금",$F150*70%-SUM($G150:AP150)-$F150*10%,0)))</f>
        <v>0</v>
      </c>
      <c r="AR150" s="605">
        <f>IF(AR$121="입주/잔금",($F150-SUM($G150:AQ150))*30%,IF(AQ$121="입주/잔금",($F150-SUM($G150:AP150))*50%,IF(AP$121="입주/잔금",($F150-SUM($G150:AO150))*20%,IF(AR$121=0,0,IF(AR$121="2차중도금",$F150*30%-SUM($G150:AQ150),IF(AR$121="3차중도금",$F150*40%-SUM($G150:AQ150),IF(AR$121="4차중도금",$F150*50%-SUM($G150:AQ150),$F150*10%)))))))+(IF(AR$121="5차중도금",$F150*60%-SUM($G150:AQ150)-$F150*10%,IF(AR$121="6차중도금",$F150*70%-SUM($G150:AQ150)-$F150*10%,0)))</f>
        <v>0</v>
      </c>
      <c r="AS150" s="605">
        <f>IF(AS$121="입주/잔금",($F150-SUM($G150:AR150))*30%,IF(AR$121="입주/잔금",($F150-SUM($G150:AQ150))*50%,IF(AQ$121="입주/잔금",($F150-SUM($G150:AP150))*20%,IF(AS$121=0,0,IF(AS$121="2차중도금",$F150*30%-SUM($G150:AR150),IF(AS$121="3차중도금",$F150*40%-SUM($G150:AR150),IF(AS$121="4차중도금",$F150*50%-SUM($G150:AR150),$F150*10%)))))))+(IF(AS$121="5차중도금",$F150*60%-SUM($G150:AR150)-$F150*10%,IF(AS$121="6차중도금",$F150*70%-SUM($G150:AR150)-$F150*10%,0)))</f>
        <v>0</v>
      </c>
      <c r="AT150" s="605">
        <f>IF(AT$121="입주/잔금",($F150-SUM($G150:AS150))*30%,IF(AS$121="입주/잔금",($F150-SUM($G150:AR150))*50%,IF(AR$121="입주/잔금",($F150-SUM($G150:AQ150))*20%,IF(AT$121=0,0,IF(AT$121="2차중도금",$F150*30%-SUM($G150:AS150),IF(AT$121="3차중도금",$F150*40%-SUM($G150:AS150),IF(AT$121="4차중도금",$F150*50%-SUM($G150:AS150),$F150*10%)))))))+(IF(AT$121="5차중도금",$F150*60%-SUM($G150:AS150)-$F150*10%,IF(AT$121="6차중도금",$F150*70%-SUM($G150:AS150)-$F150*10%,0)))</f>
        <v>0</v>
      </c>
      <c r="AU150" s="605">
        <f>IF(AU$121="입주/잔금",($F150-SUM($G150:AT150))*30%,IF(AT$121="입주/잔금",($F150-SUM($G150:AS150))*50%,IF(AS$121="입주/잔금",($F150-SUM($G150:AR150))*20%,IF(AU$121=0,0,IF(AU$121="2차중도금",$F150*30%-SUM($G150:AT150),IF(AU$121="3차중도금",$F150*40%-SUM($G150:AT150),IF(AU$121="4차중도금",$F150*50%-SUM($G150:AT150),$F150*10%)))))))+(IF(AU$121="5차중도금",$F150*60%-SUM($G150:AT150)-$F150*10%,IF(AU$121="6차중도금",$F150*70%-SUM($G150:AT150)-$F150*10%,0)))</f>
        <v>0</v>
      </c>
      <c r="AV150" s="605">
        <f>IF(AV$121="입주/잔금",($F150-SUM($G150:AU150))*30%,IF(AU$121="입주/잔금",($F150-SUM($G150:AT150))*50%,IF(AT$121="입주/잔금",($F150-SUM($G150:AS150))*20%,IF(AV$121=0,0,IF(AV$121="2차중도금",$F150*30%-SUM($G150:AU150),IF(AV$121="3차중도금",$F150*40%-SUM($G150:AU150),IF(AV$121="4차중도금",$F150*50%-SUM($G150:AU150),$F150*10%)))))))+(IF(AV$121="5차중도금",$F150*60%-SUM($G150:AU150)-$F150*10%,IF(AV$121="6차중도금",$F150*70%-SUM($G150:AU150)-$F150*10%,0)))</f>
        <v>0</v>
      </c>
      <c r="AW150" s="605">
        <f>IF(AW$121="입주/잔금",($F150-SUM($G150:AV150))*30%,IF(AV$121="입주/잔금",($F150-SUM($G150:AU150))*50%,IF(AU$121="입주/잔금",($F150-SUM($G150:AT150))*20%,IF(AW$121=0,0,IF(AW$121="2차중도금",$F150*30%-SUM($G150:AV150),IF(AW$121="3차중도금",$F150*40%-SUM($G150:AV150),IF(AW$121="4차중도금",$F150*50%-SUM($G150:AV150),$F150*10%)))))))+(IF(AW$121="5차중도금",$F150*60%-SUM($G150:AV150)-$F150*10%,IF(AW$121="6차중도금",$F150*70%-SUM($G150:AV150)-$F150*10%,0)))</f>
        <v>0</v>
      </c>
      <c r="AX150" s="605">
        <f>IF(AX$121="입주/잔금",($F150-SUM($G150:AW150))*30%,IF(AW$121="입주/잔금",($F150-SUM($G150:AV150))*50%,IF(AV$121="입주/잔금",($F150-SUM($G150:AU150))*20%,IF(AX$121=0,0,IF(AX$121="2차중도금",$F150*30%-SUM($G150:AW150),IF(AX$121="3차중도금",$F150*40%-SUM($G150:AW150),IF(AX$121="4차중도금",$F150*50%-SUM($G150:AW150),$F150*10%)))))))+(IF(AX$121="5차중도금",$F150*60%-SUM($G150:AW150)-$F150*10%,IF(AX$121="6차중도금",$F150*70%-SUM($G150:AW150)-$F150*10%,0)))</f>
        <v>0</v>
      </c>
      <c r="AY150" s="605">
        <f>IF(AY$121="입주/잔금",($F150-SUM($G150:AX150))*30%,IF(AX$121="입주/잔금",($F150-SUM($G150:AW150))*50%,IF(AW$121="입주/잔금",($F150-SUM($G150:AV150))*20%,IF(AY$121=0,0,IF(AY$121="2차중도금",$F150*30%-SUM($G150:AX150),IF(AY$121="3차중도금",$F150*40%-SUM($G150:AX150),IF(AY$121="4차중도금",$F150*50%-SUM($G150:AX150),$F150*10%)))))))+(IF(AY$121="5차중도금",$F150*60%-SUM($G150:AX150)-$F150*10%,IF(AY$121="6차중도금",$F150*70%-SUM($G150:AX150)-$F150*10%,0)))</f>
        <v>0</v>
      </c>
      <c r="AZ150" s="605">
        <f>IF(AZ$121="입주/잔금",($F150-SUM($G150:AY150))*30%,IF(AY$121="입주/잔금",($F150-SUM($G150:AX150))*50%,IF(AX$121="입주/잔금",($F150-SUM($G150:AW150))*20%,IF(AZ$121=0,0,IF(AZ$121="2차중도금",$F150*30%-SUM($G150:AY150),IF(AZ$121="3차중도금",$F150*40%-SUM($G150:AY150),IF(AZ$121="4차중도금",$F150*50%-SUM($G150:AY150),$F150*10%)))))))+(IF(AZ$121="5차중도금",$F150*60%-SUM($G150:AY150)-$F150*10%,IF(AZ$121="6차중도금",$F150*70%-SUM($G150:AY150)-$F150*10%,0)))</f>
        <v>0</v>
      </c>
      <c r="BA150" s="605">
        <f>IF(BA$121="입주/잔금",($F150-SUM($G150:AZ150))*30%,IF(AZ$121="입주/잔금",($F150-SUM($G150:AY150))*50%,IF(AY$121="입주/잔금",($F150-SUM($G150:AX150))*20%,IF(BA$121=0,0,IF(BA$121="2차중도금",$F150*30%-SUM($G150:AZ150),IF(BA$121="3차중도금",$F150*40%-SUM($G150:AZ150),IF(BA$121="4차중도금",$F150*50%-SUM($G150:AZ150),$F150*10%)))))))+(IF(BA$121="5차중도금",$F150*60%-SUM($G150:AZ150)-$F150*10%,IF(BA$121="6차중도금",$F150*70%-SUM($G150:AZ150)-$F150*10%,0)))</f>
        <v>0</v>
      </c>
      <c r="BB150" s="605">
        <f>IF(BB$121="입주/잔금",($F150-SUM($G150:BA150))*30%,IF(BA$121="입주/잔금",($F150-SUM($G150:AZ150))*50%,IF(AZ$121="입주/잔금",($F150-SUM($G150:AY150))*20%,IF(BB$121=0,0,IF(BB$121="2차중도금",$F150*30%-SUM($G150:BA150),IF(BB$121="3차중도금",$F150*40%-SUM($G150:BA150),IF(BB$121="4차중도금",$F150*50%-SUM($G150:BA150),$F150*10%)))))))+(IF(BB$121="5차중도금",$F150*60%-SUM($G150:BA150)-$F150*10%,IF(BB$121="6차중도금",$F150*70%-SUM($G150:BA150)-$F150*10%,0)))</f>
        <v>0</v>
      </c>
      <c r="BC150" s="605">
        <f>IF(BC$121="입주/잔금",($F150-SUM($G150:BB150))*30%,IF(BB$121="입주/잔금",($F150-SUM($G150:BA150))*50%,IF(BA$121="입주/잔금",($F150-SUM($G150:AZ150))*20%,IF(BC$121=0,0,IF(BC$121="2차중도금",$F150*30%-SUM($G150:BB150),IF(BC$121="3차중도금",$F150*40%-SUM($G150:BB150),IF(BC$121="4차중도금",$F150*50%-SUM($G150:BB150),$F150*10%)))))))+(IF(BC$121="5차중도금",$F150*60%-SUM($G150:BB150)-$F150*10%,IF(BC$121="6차중도금",$F150*70%-SUM($G150:BB150)-$F150*10%,0)))</f>
        <v>0</v>
      </c>
      <c r="BD150" s="605">
        <f>IF(BD$121="입주/잔금",($F150-SUM($G150:BC150))*30%,IF(BC$121="입주/잔금",($F150-SUM($G150:BB150))*50%,IF(BB$121="입주/잔금",($F150-SUM($G150:BA150))*20%,IF(BD$121=0,0,IF(BD$121="2차중도금",$F150*30%-SUM($G150:BC150),IF(BD$121="3차중도금",$F150*40%-SUM($G150:BC150),IF(BD$121="4차중도금",$F150*50%-SUM($G150:BC150),$F150*10%)))))))+(IF(BD$121="5차중도금",$F150*60%-SUM($G150:BC150)-$F150*10%,IF(BD$121="6차중도금",$F150*70%-SUM($G150:BC150)-$F150*10%,0)))</f>
        <v>0</v>
      </c>
      <c r="BE150" s="605">
        <f>IF(BE$121="입주/잔금",($F150-SUM($G150:BD150))*30%,IF(BD$121="입주/잔금",($F150-SUM($G150:BC150))*50%,IF(BC$121="입주/잔금",($F150-SUM($G150:BB150))*20%,IF(BE$121=0,0,IF(BE$121="2차중도금",$F150*30%-SUM($G150:BD150),IF(BE$121="3차중도금",$F150*40%-SUM($G150:BD150),IF(BE$121="4차중도금",$F150*50%-SUM($G150:BD150),$F150*10%)))))))+(IF(BE$121="5차중도금",$F150*60%-SUM($G150:BD150)-$F150*10%,IF(BE$121="6차중도금",$F150*70%-SUM($G150:BD150)-$F150*10%,0)))</f>
        <v>0</v>
      </c>
      <c r="BF150" s="609">
        <f t="shared" si="43"/>
        <v>0</v>
      </c>
      <c r="BG150" s="556">
        <f t="shared" si="45"/>
        <v>0</v>
      </c>
      <c r="BH150" s="610"/>
    </row>
    <row r="151" spans="1:60">
      <c r="A151" s="1867"/>
      <c r="B151" s="611">
        <f t="shared" si="46"/>
        <v>45717</v>
      </c>
      <c r="C151" s="605">
        <f t="shared" si="50"/>
        <v>21284968.815239683</v>
      </c>
      <c r="D151" s="1501"/>
      <c r="E151" s="607">
        <f t="shared" si="48"/>
        <v>0.70000000000000007</v>
      </c>
      <c r="F151" s="608">
        <f t="shared" si="44"/>
        <v>0</v>
      </c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605"/>
      <c r="AB151" s="605"/>
      <c r="AC151" s="605"/>
      <c r="AD151" s="605"/>
      <c r="AE151" s="605"/>
      <c r="AF151" s="605"/>
      <c r="AG151" s="605"/>
      <c r="AH151" s="605"/>
      <c r="AI151" s="605"/>
      <c r="AJ151" s="605">
        <f>$F151*10%</f>
        <v>0</v>
      </c>
      <c r="AK151" s="605">
        <f>IF(AK$121="입주/잔금",($F151-SUM($G151:AJ151))*30%,IF(AJ$121="입주/잔금",($F151-SUM($G151:AI151))*50%,IF(AI$121="입주/잔금",($F151-SUM($G151:AH151))*20%,IF(AK$121=0,0,IF(AK$121="2차중도금",$F151*30%-SUM($G151:AJ151),IF(AK$121="3차중도금",$F151*40%-SUM($G151:AJ151),IF(AK$121="4차중도금",$F151*50%-SUM($G151:AJ151),$F151*10%)))))))+(IF(AK$121="5차중도금",$F151*60%-SUM($G151:AJ151)-$F151*10%,IF(AK$121="6차중도금",$F151*70%-SUM($G151:AJ151)-$F151*10%,0)))</f>
        <v>0</v>
      </c>
      <c r="AL151" s="605">
        <f>IF(AL$121="입주/잔금",($F151-SUM($G151:AK151))*30%,IF(AK$121="입주/잔금",($F151-SUM($G151:AJ151))*50%,IF(AJ$121="입주/잔금",($F151-SUM($G151:AI151))*20%,IF(AL$121=0,0,IF(AL$121="2차중도금",$F151*30%-SUM($G151:AK151),IF(AL$121="3차중도금",$F151*40%-SUM($G151:AK151),IF(AL$121="4차중도금",$F151*50%-SUM($G151:AK151),$F151*10%)))))))+(IF(AL$121="5차중도금",$F151*60%-SUM($G151:AK151)-$F151*10%,IF(AL$121="6차중도금",$F151*70%-SUM($G151:AK151)-$F151*10%,0)))</f>
        <v>0</v>
      </c>
      <c r="AM151" s="605">
        <f>IF(AM$121="입주/잔금",($F151-SUM($G151:AL151))*30%,IF(AL$121="입주/잔금",($F151-SUM($G151:AK151))*50%,IF(AK$121="입주/잔금",($F151-SUM($G151:AJ151))*20%,IF(AM$121=0,0,IF(AM$121="2차중도금",$F151*30%-SUM($G151:AL151),IF(AM$121="3차중도금",$F151*40%-SUM($G151:AL151),IF(AM$121="4차중도금",$F151*50%-SUM($G151:AL151),$F151*10%)))))))+(IF(AM$121="5차중도금",$F151*60%-SUM($G151:AL151)-$F151*10%,IF(AM$121="6차중도금",$F151*70%-SUM($G151:AL151)-$F151*10%,0)))</f>
        <v>0</v>
      </c>
      <c r="AN151" s="605">
        <f>IF(AN$121="입주/잔금",($F151-SUM($G151:AM151))*30%,IF(AM$121="입주/잔금",($F151-SUM($G151:AL151))*50%,IF(AL$121="입주/잔금",($F151-SUM($G151:AK151))*20%,IF(AN$121=0,0,IF(AN$121="2차중도금",$F151*30%-SUM($G151:AM151),IF(AN$121="3차중도금",$F151*40%-SUM($G151:AM151),IF(AN$121="4차중도금",$F151*50%-SUM($G151:AM151),$F151*10%)))))))+(IF(AN$121="5차중도금",$F151*60%-SUM($G151:AM151)-$F151*10%,IF(AN$121="6차중도금",$F151*70%-SUM($G151:AM151)-$F151*10%,0)))</f>
        <v>0</v>
      </c>
      <c r="AO151" s="605">
        <f>IF(AO$121="입주/잔금",($F151-SUM($G151:AN151))*30%,IF(AN$121="입주/잔금",($F151-SUM($G151:AM151))*50%,IF(AM$121="입주/잔금",($F151-SUM($G151:AL151))*20%,IF(AO$121=0,0,IF(AO$121="2차중도금",$F151*30%-SUM($G151:AN151),IF(AO$121="3차중도금",$F151*40%-SUM($G151:AN151),IF(AO$121="4차중도금",$F151*50%-SUM($G151:AN151),$F151*10%)))))))+(IF(AO$121="5차중도금",$F151*60%-SUM($G151:AN151)-$F151*10%,IF(AO$121="6차중도금",$F151*70%-SUM($G151:AN151)-$F151*10%,0)))</f>
        <v>0</v>
      </c>
      <c r="AP151" s="605">
        <f>IF(AP$121="입주/잔금",($F151-SUM($G151:AO151))*30%,IF(AO$121="입주/잔금",($F151-SUM($G151:AN151))*50%,IF(AN$121="입주/잔금",($F151-SUM($G151:AM151))*20%,IF(AP$121=0,0,IF(AP$121="2차중도금",$F151*30%-SUM($G151:AO151),IF(AP$121="3차중도금",$F151*40%-SUM($G151:AO151),IF(AP$121="4차중도금",$F151*50%-SUM($G151:AO151),$F151*10%)))))))+(IF(AP$121="5차중도금",$F151*60%-SUM($G151:AO151)-$F151*10%,IF(AP$121="6차중도금",$F151*70%-SUM($G151:AO151)-$F151*10%,0)))</f>
        <v>0</v>
      </c>
      <c r="AQ151" s="605">
        <f>IF(AQ$121="입주/잔금",($F151-SUM($G151:AP151))*30%,IF(AP$121="입주/잔금",($F151-SUM($G151:AO151))*50%,IF(AO$121="입주/잔금",($F151-SUM($G151:AN151))*20%,IF(AQ$121=0,0,IF(AQ$121="2차중도금",$F151*30%-SUM($G151:AP151),IF(AQ$121="3차중도금",$F151*40%-SUM($G151:AP151),IF(AQ$121="4차중도금",$F151*50%-SUM($G151:AP151),$F151*10%)))))))+(IF(AQ$121="5차중도금",$F151*60%-SUM($G151:AP151)-$F151*10%,IF(AQ$121="6차중도금",$F151*70%-SUM($G151:AP151)-$F151*10%,0)))</f>
        <v>0</v>
      </c>
      <c r="AR151" s="605">
        <f>IF(AR$121="입주/잔금",($F151-SUM($G151:AQ151))*30%,IF(AQ$121="입주/잔금",($F151-SUM($G151:AP151))*50%,IF(AP$121="입주/잔금",($F151-SUM($G151:AO151))*20%,IF(AR$121=0,0,IF(AR$121="2차중도금",$F151*30%-SUM($G151:AQ151),IF(AR$121="3차중도금",$F151*40%-SUM($G151:AQ151),IF(AR$121="4차중도금",$F151*50%-SUM($G151:AQ151),$F151*10%)))))))+(IF(AR$121="5차중도금",$F151*60%-SUM($G151:AQ151)-$F151*10%,IF(AR$121="6차중도금",$F151*70%-SUM($G151:AQ151)-$F151*10%,0)))</f>
        <v>0</v>
      </c>
      <c r="AS151" s="605">
        <f>IF(AS$121="입주/잔금",($F151-SUM($G151:AR151))*30%,IF(AR$121="입주/잔금",($F151-SUM($G151:AQ151))*50%,IF(AQ$121="입주/잔금",($F151-SUM($G151:AP151))*20%,IF(AS$121=0,0,IF(AS$121="2차중도금",$F151*30%-SUM($G151:AR151),IF(AS$121="3차중도금",$F151*40%-SUM($G151:AR151),IF(AS$121="4차중도금",$F151*50%-SUM($G151:AR151),$F151*10%)))))))+(IF(AS$121="5차중도금",$F151*60%-SUM($G151:AR151)-$F151*10%,IF(AS$121="6차중도금",$F151*70%-SUM($G151:AR151)-$F151*10%,0)))</f>
        <v>0</v>
      </c>
      <c r="AT151" s="605">
        <f>IF(AT$121="입주/잔금",($F151-SUM($G151:AS151))*30%,IF(AS$121="입주/잔금",($F151-SUM($G151:AR151))*50%,IF(AR$121="입주/잔금",($F151-SUM($G151:AQ151))*20%,IF(AT$121=0,0,IF(AT$121="2차중도금",$F151*30%-SUM($G151:AS151),IF(AT$121="3차중도금",$F151*40%-SUM($G151:AS151),IF(AT$121="4차중도금",$F151*50%-SUM($G151:AS151),$F151*10%)))))))+(IF(AT$121="5차중도금",$F151*60%-SUM($G151:AS151)-$F151*10%,IF(AT$121="6차중도금",$F151*70%-SUM($G151:AS151)-$F151*10%,0)))</f>
        <v>0</v>
      </c>
      <c r="AU151" s="605">
        <f>IF(AU$121="입주/잔금",($F151-SUM($G151:AT151))*30%,IF(AT$121="입주/잔금",($F151-SUM($G151:AS151))*50%,IF(AS$121="입주/잔금",($F151-SUM($G151:AR151))*20%,IF(AU$121=0,0,IF(AU$121="2차중도금",$F151*30%-SUM($G151:AT151),IF(AU$121="3차중도금",$F151*40%-SUM($G151:AT151),IF(AU$121="4차중도금",$F151*50%-SUM($G151:AT151),$F151*10%)))))))+(IF(AU$121="5차중도금",$F151*60%-SUM($G151:AT151)-$F151*10%,IF(AU$121="6차중도금",$F151*70%-SUM($G151:AT151)-$F151*10%,0)))</f>
        <v>0</v>
      </c>
      <c r="AV151" s="605">
        <f>IF(AV$121="입주/잔금",($F151-SUM($G151:AU151))*30%,IF(AU$121="입주/잔금",($F151-SUM($G151:AT151))*50%,IF(AT$121="입주/잔금",($F151-SUM($G151:AS151))*20%,IF(AV$121=0,0,IF(AV$121="2차중도금",$F151*30%-SUM($G151:AU151),IF(AV$121="3차중도금",$F151*40%-SUM($G151:AU151),IF(AV$121="4차중도금",$F151*50%-SUM($G151:AU151),$F151*10%)))))))+(IF(AV$121="5차중도금",$F151*60%-SUM($G151:AU151)-$F151*10%,IF(AV$121="6차중도금",$F151*70%-SUM($G151:AU151)-$F151*10%,0)))</f>
        <v>0</v>
      </c>
      <c r="AW151" s="605">
        <f>IF(AW$121="입주/잔금",($F151-SUM($G151:AV151))*30%,IF(AV$121="입주/잔금",($F151-SUM($G151:AU151))*50%,IF(AU$121="입주/잔금",($F151-SUM($G151:AT151))*20%,IF(AW$121=0,0,IF(AW$121="2차중도금",$F151*30%-SUM($G151:AV151),IF(AW$121="3차중도금",$F151*40%-SUM($G151:AV151),IF(AW$121="4차중도금",$F151*50%-SUM($G151:AV151),$F151*10%)))))))+(IF(AW$121="5차중도금",$F151*60%-SUM($G151:AV151)-$F151*10%,IF(AW$121="6차중도금",$F151*70%-SUM($G151:AV151)-$F151*10%,0)))</f>
        <v>0</v>
      </c>
      <c r="AX151" s="605">
        <f>IF(AX$121="입주/잔금",($F151-SUM($G151:AW151))*30%,IF(AW$121="입주/잔금",($F151-SUM($G151:AV151))*50%,IF(AV$121="입주/잔금",($F151-SUM($G151:AU151))*20%,IF(AX$121=0,0,IF(AX$121="2차중도금",$F151*30%-SUM($G151:AW151),IF(AX$121="3차중도금",$F151*40%-SUM($G151:AW151),IF(AX$121="4차중도금",$F151*50%-SUM($G151:AW151),$F151*10%)))))))+(IF(AX$121="5차중도금",$F151*60%-SUM($G151:AW151)-$F151*10%,IF(AX$121="6차중도금",$F151*70%-SUM($G151:AW151)-$F151*10%,0)))</f>
        <v>0</v>
      </c>
      <c r="AY151" s="605">
        <f>IF(AY$121="입주/잔금",($F151-SUM($G151:AX151))*30%,IF(AX$121="입주/잔금",($F151-SUM($G151:AW151))*50%,IF(AW$121="입주/잔금",($F151-SUM($G151:AV151))*20%,IF(AY$121=0,0,IF(AY$121="2차중도금",$F151*30%-SUM($G151:AX151),IF(AY$121="3차중도금",$F151*40%-SUM($G151:AX151),IF(AY$121="4차중도금",$F151*50%-SUM($G151:AX151),$F151*10%)))))))+(IF(AY$121="5차중도금",$F151*60%-SUM($G151:AX151)-$F151*10%,IF(AY$121="6차중도금",$F151*70%-SUM($G151:AX151)-$F151*10%,0)))</f>
        <v>0</v>
      </c>
      <c r="AZ151" s="605">
        <f>IF(AZ$121="입주/잔금",($F151-SUM($G151:AY151))*30%,IF(AY$121="입주/잔금",($F151-SUM($G151:AX151))*50%,IF(AX$121="입주/잔금",($F151-SUM($G151:AW151))*20%,IF(AZ$121=0,0,IF(AZ$121="2차중도금",$F151*30%-SUM($G151:AY151),IF(AZ$121="3차중도금",$F151*40%-SUM($G151:AY151),IF(AZ$121="4차중도금",$F151*50%-SUM($G151:AY151),$F151*10%)))))))+(IF(AZ$121="5차중도금",$F151*60%-SUM($G151:AY151)-$F151*10%,IF(AZ$121="6차중도금",$F151*70%-SUM($G151:AY151)-$F151*10%,0)))</f>
        <v>0</v>
      </c>
      <c r="BA151" s="605">
        <f>IF(BA$121="입주/잔금",($F151-SUM($G151:AZ151))*30%,IF(AZ$121="입주/잔금",($F151-SUM($G151:AY151))*50%,IF(AY$121="입주/잔금",($F151-SUM($G151:AX151))*20%,IF(BA$121=0,0,IF(BA$121="2차중도금",$F151*30%-SUM($G151:AZ151),IF(BA$121="3차중도금",$F151*40%-SUM($G151:AZ151),IF(BA$121="4차중도금",$F151*50%-SUM($G151:AZ151),$F151*10%)))))))+(IF(BA$121="5차중도금",$F151*60%-SUM($G151:AZ151)-$F151*10%,IF(BA$121="6차중도금",$F151*70%-SUM($G151:AZ151)-$F151*10%,0)))</f>
        <v>0</v>
      </c>
      <c r="BB151" s="605">
        <f>IF(BB$121="입주/잔금",($F151-SUM($G151:BA151))*30%,IF(BA$121="입주/잔금",($F151-SUM($G151:AZ151))*50%,IF(AZ$121="입주/잔금",($F151-SUM($G151:AY151))*20%,IF(BB$121=0,0,IF(BB$121="2차중도금",$F151*30%-SUM($G151:BA151),IF(BB$121="3차중도금",$F151*40%-SUM($G151:BA151),IF(BB$121="4차중도금",$F151*50%-SUM($G151:BA151),$F151*10%)))))))+(IF(BB$121="5차중도금",$F151*60%-SUM($G151:BA151)-$F151*10%,IF(BB$121="6차중도금",$F151*70%-SUM($G151:BA151)-$F151*10%,0)))</f>
        <v>0</v>
      </c>
      <c r="BC151" s="605">
        <f>IF(BC$121="입주/잔금",($F151-SUM($G151:BB151))*30%,IF(BB$121="입주/잔금",($F151-SUM($G151:BA151))*50%,IF(BA$121="입주/잔금",($F151-SUM($G151:AZ151))*20%,IF(BC$121=0,0,IF(BC$121="2차중도금",$F151*30%-SUM($G151:BB151),IF(BC$121="3차중도금",$F151*40%-SUM($G151:BB151),IF(BC$121="4차중도금",$F151*50%-SUM($G151:BB151),$F151*10%)))))))+(IF(BC$121="5차중도금",$F151*60%-SUM($G151:BB151)-$F151*10%,IF(BC$121="6차중도금",$F151*70%-SUM($G151:BB151)-$F151*10%,0)))</f>
        <v>0</v>
      </c>
      <c r="BD151" s="605">
        <f>IF(BD$121="입주/잔금",($F151-SUM($G151:BC151))*30%,IF(BC$121="입주/잔금",($F151-SUM($G151:BB151))*50%,IF(BB$121="입주/잔금",($F151-SUM($G151:BA151))*20%,IF(BD$121=0,0,IF(BD$121="2차중도금",$F151*30%-SUM($G151:BC151),IF(BD$121="3차중도금",$F151*40%-SUM($G151:BC151),IF(BD$121="4차중도금",$F151*50%-SUM($G151:BC151),$F151*10%)))))))+(IF(BD$121="5차중도금",$F151*60%-SUM($G151:BC151)-$F151*10%,IF(BD$121="6차중도금",$F151*70%-SUM($G151:BC151)-$F151*10%,0)))</f>
        <v>0</v>
      </c>
      <c r="BE151" s="605">
        <f>IF(BE$121="입주/잔금",($F151-SUM($G151:BD151))*30%,IF(BD$121="입주/잔금",($F151-SUM($G151:BC151))*50%,IF(BC$121="입주/잔금",($F151-SUM($G151:BB151))*20%,IF(BE$121=0,0,IF(BE$121="2차중도금",$F151*30%-SUM($G151:BD151),IF(BE$121="3차중도금",$F151*40%-SUM($G151:BD151),IF(BE$121="4차중도금",$F151*50%-SUM($G151:BD151),$F151*10%)))))))+(IF(BE$121="5차중도금",$F151*60%-SUM($G151:BD151)-$F151*10%,IF(BE$121="6차중도금",$F151*70%-SUM($G151:BD151)-$F151*10%,0)))</f>
        <v>0</v>
      </c>
      <c r="BF151" s="609">
        <f t="shared" si="43"/>
        <v>0</v>
      </c>
      <c r="BG151" s="556">
        <f t="shared" si="45"/>
        <v>0</v>
      </c>
      <c r="BH151" s="610"/>
    </row>
    <row r="152" spans="1:60">
      <c r="A152" s="1867"/>
      <c r="B152" s="613">
        <f t="shared" si="46"/>
        <v>45748</v>
      </c>
      <c r="C152" s="605">
        <f t="shared" si="50"/>
        <v>21284968.815239683</v>
      </c>
      <c r="D152" s="1501"/>
      <c r="E152" s="607">
        <f t="shared" si="48"/>
        <v>0.70000000000000007</v>
      </c>
      <c r="F152" s="608">
        <f t="shared" si="44"/>
        <v>0</v>
      </c>
      <c r="G152" s="605"/>
      <c r="H152" s="605"/>
      <c r="I152" s="605"/>
      <c r="J152" s="605"/>
      <c r="K152" s="605"/>
      <c r="L152" s="605"/>
      <c r="M152" s="605"/>
      <c r="N152" s="605"/>
      <c r="O152" s="605"/>
      <c r="P152" s="605"/>
      <c r="Q152" s="605"/>
      <c r="R152" s="605"/>
      <c r="S152" s="605"/>
      <c r="T152" s="605"/>
      <c r="U152" s="605"/>
      <c r="V152" s="605"/>
      <c r="W152" s="605"/>
      <c r="X152" s="605"/>
      <c r="Y152" s="605"/>
      <c r="Z152" s="605"/>
      <c r="AA152" s="605"/>
      <c r="AB152" s="605"/>
      <c r="AC152" s="605"/>
      <c r="AD152" s="605"/>
      <c r="AE152" s="605"/>
      <c r="AF152" s="605"/>
      <c r="AG152" s="605"/>
      <c r="AH152" s="605"/>
      <c r="AI152" s="605"/>
      <c r="AJ152" s="605"/>
      <c r="AK152" s="605">
        <f>$F152*10%</f>
        <v>0</v>
      </c>
      <c r="AL152" s="605">
        <f>IF(AL$121="입주/잔금",($F152-SUM($G152:AK152))*30%,IF(AK$121="입주/잔금",($F152-SUM($G152:AJ152))*50%,IF(AJ$121="입주/잔금",($F152-SUM($G152:AI152))*20%,IF(AL$121=0,0,IF(AL$121="2차중도금",$F152*30%-SUM($G152:AK152),IF(AL$121="3차중도금",$F152*40%-SUM($G152:AK152),IF(AL$121="4차중도금",$F152*50%-SUM($G152:AK152),$F152*10%)))))))+(IF(AL$121="5차중도금",$F152*60%-SUM($G152:AK152)-$F152*10%,IF(AL$121="6차중도금",$F152*70%-SUM($G152:AK152)-$F152*10%,0)))</f>
        <v>0</v>
      </c>
      <c r="AM152" s="605">
        <f>IF(AM$121="입주/잔금",($F152-SUM($G152:AL152))*30%,IF(AL$121="입주/잔금",($F152-SUM($G152:AK152))*50%,IF(AK$121="입주/잔금",($F152-SUM($G152:AJ152))*20%,IF(AM$121=0,0,IF(AM$121="2차중도금",$F152*30%-SUM($G152:AL152),IF(AM$121="3차중도금",$F152*40%-SUM($G152:AL152),IF(AM$121="4차중도금",$F152*50%-SUM($G152:AL152),$F152*10%)))))))+(IF(AM$121="5차중도금",$F152*60%-SUM($G152:AL152)-$F152*10%,IF(AM$121="6차중도금",$F152*70%-SUM($G152:AL152)-$F152*10%,0)))</f>
        <v>0</v>
      </c>
      <c r="AN152" s="605">
        <f>IF(AN$121="입주/잔금",($F152-SUM($G152:AM152))*30%,IF(AM$121="입주/잔금",($F152-SUM($G152:AL152))*50%,IF(AL$121="입주/잔금",($F152-SUM($G152:AK152))*20%,IF(AN$121=0,0,IF(AN$121="2차중도금",$F152*30%-SUM($G152:AM152),IF(AN$121="3차중도금",$F152*40%-SUM($G152:AM152),IF(AN$121="4차중도금",$F152*50%-SUM($G152:AM152),$F152*10%)))))))+(IF(AN$121="5차중도금",$F152*60%-SUM($G152:AM152)-$F152*10%,IF(AN$121="6차중도금",$F152*70%-SUM($G152:AM152)-$F152*10%,0)))</f>
        <v>0</v>
      </c>
      <c r="AO152" s="605">
        <f>IF(AO$121="입주/잔금",($F152-SUM($G152:AN152))*30%,IF(AN$121="입주/잔금",($F152-SUM($G152:AM152))*50%,IF(AM$121="입주/잔금",($F152-SUM($G152:AL152))*20%,IF(AO$121=0,0,IF(AO$121="2차중도금",$F152*30%-SUM($G152:AN152),IF(AO$121="3차중도금",$F152*40%-SUM($G152:AN152),IF(AO$121="4차중도금",$F152*50%-SUM($G152:AN152),$F152*10%)))))))+(IF(AO$121="5차중도금",$F152*60%-SUM($G152:AN152)-$F152*10%,IF(AO$121="6차중도금",$F152*70%-SUM($G152:AN152)-$F152*10%,0)))</f>
        <v>0</v>
      </c>
      <c r="AP152" s="605">
        <f>IF(AP$121="입주/잔금",($F152-SUM($G152:AO152))*30%,IF(AO$121="입주/잔금",($F152-SUM($G152:AN152))*50%,IF(AN$121="입주/잔금",($F152-SUM($G152:AM152))*20%,IF(AP$121=0,0,IF(AP$121="2차중도금",$F152*30%-SUM($G152:AO152),IF(AP$121="3차중도금",$F152*40%-SUM($G152:AO152),IF(AP$121="4차중도금",$F152*50%-SUM($G152:AO152),$F152*10%)))))))+(IF(AP$121="5차중도금",$F152*60%-SUM($G152:AO152)-$F152*10%,IF(AP$121="6차중도금",$F152*70%-SUM($G152:AO152)-$F152*10%,0)))</f>
        <v>0</v>
      </c>
      <c r="AQ152" s="605">
        <f>IF(AQ$121="입주/잔금",($F152-SUM($G152:AP152))*30%,IF(AP$121="입주/잔금",($F152-SUM($G152:AO152))*50%,IF(AO$121="입주/잔금",($F152-SUM($G152:AN152))*20%,IF(AQ$121=0,0,IF(AQ$121="2차중도금",$F152*30%-SUM($G152:AP152),IF(AQ$121="3차중도금",$F152*40%-SUM($G152:AP152),IF(AQ$121="4차중도금",$F152*50%-SUM($G152:AP152),$F152*10%)))))))+(IF(AQ$121="5차중도금",$F152*60%-SUM($G152:AP152)-$F152*10%,IF(AQ$121="6차중도금",$F152*70%-SUM($G152:AP152)-$F152*10%,0)))</f>
        <v>0</v>
      </c>
      <c r="AR152" s="605">
        <f>IF(AR$121="입주/잔금",($F152-SUM($G152:AQ152))*30%,IF(AQ$121="입주/잔금",($F152-SUM($G152:AP152))*50%,IF(AP$121="입주/잔금",($F152-SUM($G152:AO152))*20%,IF(AR$121=0,0,IF(AR$121="2차중도금",$F152*30%-SUM($G152:AQ152),IF(AR$121="3차중도금",$F152*40%-SUM($G152:AQ152),IF(AR$121="4차중도금",$F152*50%-SUM($G152:AQ152),$F152*10%)))))))+(IF(AR$121="5차중도금",$F152*60%-SUM($G152:AQ152)-$F152*10%,IF(AR$121="6차중도금",$F152*70%-SUM($G152:AQ152)-$F152*10%,0)))</f>
        <v>0</v>
      </c>
      <c r="AS152" s="605">
        <f>IF(AS$121="입주/잔금",($F152-SUM($G152:AR152))*30%,IF(AR$121="입주/잔금",($F152-SUM($G152:AQ152))*50%,IF(AQ$121="입주/잔금",($F152-SUM($G152:AP152))*20%,IF(AS$121=0,0,IF(AS$121="2차중도금",$F152*30%-SUM($G152:AR152),IF(AS$121="3차중도금",$F152*40%-SUM($G152:AR152),IF(AS$121="4차중도금",$F152*50%-SUM($G152:AR152),$F152*10%)))))))+(IF(AS$121="5차중도금",$F152*60%-SUM($G152:AR152)-$F152*10%,IF(AS$121="6차중도금",$F152*70%-SUM($G152:AR152)-$F152*10%,0)))</f>
        <v>0</v>
      </c>
      <c r="AT152" s="605">
        <f>IF(AT$121="입주/잔금",($F152-SUM($G152:AS152))*30%,IF(AS$121="입주/잔금",($F152-SUM($G152:AR152))*50%,IF(AR$121="입주/잔금",($F152-SUM($G152:AQ152))*20%,IF(AT$121=0,0,IF(AT$121="2차중도금",$F152*30%-SUM($G152:AS152),IF(AT$121="3차중도금",$F152*40%-SUM($G152:AS152),IF(AT$121="4차중도금",$F152*50%-SUM($G152:AS152),$F152*10%)))))))+(IF(AT$121="5차중도금",$F152*60%-SUM($G152:AS152)-$F152*10%,IF(AT$121="6차중도금",$F152*70%-SUM($G152:AS152)-$F152*10%,0)))</f>
        <v>0</v>
      </c>
      <c r="AU152" s="605">
        <f>IF(AU$121="입주/잔금",($F152-SUM($G152:AT152))*30%,IF(AT$121="입주/잔금",($F152-SUM($G152:AS152))*50%,IF(AS$121="입주/잔금",($F152-SUM($G152:AR152))*20%,IF(AU$121=0,0,IF(AU$121="2차중도금",$F152*30%-SUM($G152:AT152),IF(AU$121="3차중도금",$F152*40%-SUM($G152:AT152),IF(AU$121="4차중도금",$F152*50%-SUM($G152:AT152),$F152*10%)))))))+(IF(AU$121="5차중도금",$F152*60%-SUM($G152:AT152)-$F152*10%,IF(AU$121="6차중도금",$F152*70%-SUM($G152:AT152)-$F152*10%,0)))</f>
        <v>0</v>
      </c>
      <c r="AV152" s="605">
        <f>IF(AV$121="입주/잔금",($F152-SUM($G152:AU152))*30%,IF(AU$121="입주/잔금",($F152-SUM($G152:AT152))*50%,IF(AT$121="입주/잔금",($F152-SUM($G152:AS152))*20%,IF(AV$121=0,0,IF(AV$121="2차중도금",$F152*30%-SUM($G152:AU152),IF(AV$121="3차중도금",$F152*40%-SUM($G152:AU152),IF(AV$121="4차중도금",$F152*50%-SUM($G152:AU152),$F152*10%)))))))+(IF(AV$121="5차중도금",$F152*60%-SUM($G152:AU152)-$F152*10%,IF(AV$121="6차중도금",$F152*70%-SUM($G152:AU152)-$F152*10%,0)))</f>
        <v>0</v>
      </c>
      <c r="AW152" s="605">
        <f>IF(AW$121="입주/잔금",($F152-SUM($G152:AV152))*30%,IF(AV$121="입주/잔금",($F152-SUM($G152:AU152))*50%,IF(AU$121="입주/잔금",($F152-SUM($G152:AT152))*20%,IF(AW$121=0,0,IF(AW$121="2차중도금",$F152*30%-SUM($G152:AV152),IF(AW$121="3차중도금",$F152*40%-SUM($G152:AV152),IF(AW$121="4차중도금",$F152*50%-SUM($G152:AV152),$F152*10%)))))))+(IF(AW$121="5차중도금",$F152*60%-SUM($G152:AV152)-$F152*10%,IF(AW$121="6차중도금",$F152*70%-SUM($G152:AV152)-$F152*10%,0)))</f>
        <v>0</v>
      </c>
      <c r="AX152" s="605">
        <f>IF(AX$121="입주/잔금",($F152-SUM($G152:AW152))*30%,IF(AW$121="입주/잔금",($F152-SUM($G152:AV152))*50%,IF(AV$121="입주/잔금",($F152-SUM($G152:AU152))*20%,IF(AX$121=0,0,IF(AX$121="2차중도금",$F152*30%-SUM($G152:AW152),IF(AX$121="3차중도금",$F152*40%-SUM($G152:AW152),IF(AX$121="4차중도금",$F152*50%-SUM($G152:AW152),$F152*10%)))))))+(IF(AX$121="5차중도금",$F152*60%-SUM($G152:AW152)-$F152*10%,IF(AX$121="6차중도금",$F152*70%-SUM($G152:AW152)-$F152*10%,0)))</f>
        <v>0</v>
      </c>
      <c r="AY152" s="605">
        <f>IF(AY$121="입주/잔금",($F152-SUM($G152:AX152))*30%,IF(AX$121="입주/잔금",($F152-SUM($G152:AW152))*50%,IF(AW$121="입주/잔금",($F152-SUM($G152:AV152))*20%,IF(AY$121=0,0,IF(AY$121="2차중도금",$F152*30%-SUM($G152:AX152),IF(AY$121="3차중도금",$F152*40%-SUM($G152:AX152),IF(AY$121="4차중도금",$F152*50%-SUM($G152:AX152),$F152*10%)))))))+(IF(AY$121="5차중도금",$F152*60%-SUM($G152:AX152)-$F152*10%,IF(AY$121="6차중도금",$F152*70%-SUM($G152:AX152)-$F152*10%,0)))</f>
        <v>0</v>
      </c>
      <c r="AZ152" s="605">
        <f>IF(AZ$121="입주/잔금",($F152-SUM($G152:AY152))*30%,IF(AY$121="입주/잔금",($F152-SUM($G152:AX152))*50%,IF(AX$121="입주/잔금",($F152-SUM($G152:AW152))*20%,IF(AZ$121=0,0,IF(AZ$121="2차중도금",$F152*30%-SUM($G152:AY152),IF(AZ$121="3차중도금",$F152*40%-SUM($G152:AY152),IF(AZ$121="4차중도금",$F152*50%-SUM($G152:AY152),$F152*10%)))))))+(IF(AZ$121="5차중도금",$F152*60%-SUM($G152:AY152)-$F152*10%,IF(AZ$121="6차중도금",$F152*70%-SUM($G152:AY152)-$F152*10%,0)))</f>
        <v>0</v>
      </c>
      <c r="BA152" s="605">
        <f>IF(BA$121="입주/잔금",($F152-SUM($G152:AZ152))*30%,IF(AZ$121="입주/잔금",($F152-SUM($G152:AY152))*50%,IF(AY$121="입주/잔금",($F152-SUM($G152:AX152))*20%,IF(BA$121=0,0,IF(BA$121="2차중도금",$F152*30%-SUM($G152:AZ152),IF(BA$121="3차중도금",$F152*40%-SUM($G152:AZ152),IF(BA$121="4차중도금",$F152*50%-SUM($G152:AZ152),$F152*10%)))))))+(IF(BA$121="5차중도금",$F152*60%-SUM($G152:AZ152)-$F152*10%,IF(BA$121="6차중도금",$F152*70%-SUM($G152:AZ152)-$F152*10%,0)))</f>
        <v>0</v>
      </c>
      <c r="BB152" s="605">
        <f>IF(BB$121="입주/잔금",($F152-SUM($G152:BA152))*30%,IF(BA$121="입주/잔금",($F152-SUM($G152:AZ152))*50%,IF(AZ$121="입주/잔금",($F152-SUM($G152:AY152))*20%,IF(BB$121=0,0,IF(BB$121="2차중도금",$F152*30%-SUM($G152:BA152),IF(BB$121="3차중도금",$F152*40%-SUM($G152:BA152),IF(BB$121="4차중도금",$F152*50%-SUM($G152:BA152),$F152*10%)))))))+(IF(BB$121="5차중도금",$F152*60%-SUM($G152:BA152)-$F152*10%,IF(BB$121="6차중도금",$F152*70%-SUM($G152:BA152)-$F152*10%,0)))</f>
        <v>0</v>
      </c>
      <c r="BC152" s="605">
        <f>IF(BC$121="입주/잔금",($F152-SUM($G152:BB152))*30%,IF(BB$121="입주/잔금",($F152-SUM($G152:BA152))*50%,IF(BA$121="입주/잔금",($F152-SUM($G152:AZ152))*20%,IF(BC$121=0,0,IF(BC$121="2차중도금",$F152*30%-SUM($G152:BB152),IF(BC$121="3차중도금",$F152*40%-SUM($G152:BB152),IF(BC$121="4차중도금",$F152*50%-SUM($G152:BB152),$F152*10%)))))))+(IF(BC$121="5차중도금",$F152*60%-SUM($G152:BB152)-$F152*10%,IF(BC$121="6차중도금",$F152*70%-SUM($G152:BB152)-$F152*10%,0)))</f>
        <v>0</v>
      </c>
      <c r="BD152" s="605">
        <f>IF(BD$121="입주/잔금",($F152-SUM($G152:BC152))*30%,IF(BC$121="입주/잔금",($F152-SUM($G152:BB152))*50%,IF(BB$121="입주/잔금",($F152-SUM($G152:BA152))*20%,IF(BD$121=0,0,IF(BD$121="2차중도금",$F152*30%-SUM($G152:BC152),IF(BD$121="3차중도금",$F152*40%-SUM($G152:BC152),IF(BD$121="4차중도금",$F152*50%-SUM($G152:BC152),$F152*10%)))))))+(IF(BD$121="5차중도금",$F152*60%-SUM($G152:BC152)-$F152*10%,IF(BD$121="6차중도금",$F152*70%-SUM($G152:BC152)-$F152*10%,0)))</f>
        <v>0</v>
      </c>
      <c r="BE152" s="605">
        <f>IF(BE$121="입주/잔금",($F152-SUM($G152:BD152))*30%,IF(BD$121="입주/잔금",($F152-SUM($G152:BC152))*50%,IF(BC$121="입주/잔금",($F152-SUM($G152:BB152))*20%,IF(BE$121=0,0,IF(BE$121="2차중도금",$F152*30%-SUM($G152:BD152),IF(BE$121="3차중도금",$F152*40%-SUM($G152:BD152),IF(BE$121="4차중도금",$F152*50%-SUM($G152:BD152),$F152*10%)))))))+(IF(BE$121="5차중도금",$F152*60%-SUM($G152:BD152)-$F152*10%,IF(BE$121="6차중도금",$F152*70%-SUM($G152:BD152)-$F152*10%,0)))</f>
        <v>0</v>
      </c>
      <c r="BF152" s="609">
        <f t="shared" si="43"/>
        <v>0</v>
      </c>
      <c r="BG152" s="556">
        <f t="shared" si="45"/>
        <v>0</v>
      </c>
      <c r="BH152" s="610"/>
    </row>
    <row r="153" spans="1:60">
      <c r="A153" s="1867"/>
      <c r="B153" s="611">
        <f t="shared" si="46"/>
        <v>45778</v>
      </c>
      <c r="C153" s="615">
        <f t="shared" si="50"/>
        <v>21284968.815239683</v>
      </c>
      <c r="D153" s="1501"/>
      <c r="E153" s="607">
        <f t="shared" si="48"/>
        <v>0.70000000000000007</v>
      </c>
      <c r="F153" s="608">
        <f t="shared" si="44"/>
        <v>0</v>
      </c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605"/>
      <c r="AB153" s="605"/>
      <c r="AC153" s="605"/>
      <c r="AD153" s="605"/>
      <c r="AE153" s="605"/>
      <c r="AF153" s="605"/>
      <c r="AG153" s="605"/>
      <c r="AH153" s="605"/>
      <c r="AI153" s="605"/>
      <c r="AJ153" s="605"/>
      <c r="AK153" s="605"/>
      <c r="AL153" s="605">
        <f>$F153*10%</f>
        <v>0</v>
      </c>
      <c r="AM153" s="605">
        <f>IF(AM$121="입주/잔금",($F153-SUM($G153:AL153))*30%,IF(AL$121="입주/잔금",($F153-SUM($G153:AK153))*50%,IF(AK$121="입주/잔금",($F153-SUM($G153:AJ153))*20%,IF(AM$121=0,0,IF(AM$121="2차중도금",$F153*30%-SUM($G153:AL153),IF(AM$121="3차중도금",$F153*40%-SUM($G153:AL153),IF(AM$121="4차중도금",$F153*50%-SUM($G153:AL153),$F153*10%)))))))+(IF(AM$121="5차중도금",$F153*60%-SUM($G153:AL153)-$F153*10%,IF(AM$121="6차중도금",$F153*70%-SUM($G153:AL153)-$F153*10%,0)))</f>
        <v>0</v>
      </c>
      <c r="AN153" s="605">
        <f>IF(AN$121="입주/잔금",($F153-SUM($G153:AM153))*30%,IF(AM$121="입주/잔금",($F153-SUM($G153:AL153))*50%,IF(AL$121="입주/잔금",($F153-SUM($G153:AK153))*20%,IF(AN$121=0,0,IF(AN$121="2차중도금",$F153*30%-SUM($G153:AM153),IF(AN$121="3차중도금",$F153*40%-SUM($G153:AM153),IF(AN$121="4차중도금",$F153*50%-SUM($G153:AM153),$F153*10%)))))))+(IF(AN$121="5차중도금",$F153*60%-SUM($G153:AM153)-$F153*10%,IF(AN$121="6차중도금",$F153*70%-SUM($G153:AM153)-$F153*10%,0)))</f>
        <v>0</v>
      </c>
      <c r="AO153" s="605">
        <f>IF(AO$121="입주/잔금",($F153-SUM($G153:AN153))*30%,IF(AN$121="입주/잔금",($F153-SUM($G153:AM153))*50%,IF(AM$121="입주/잔금",($F153-SUM($G153:AL153))*20%,IF(AO$121=0,0,IF(AO$121="2차중도금",$F153*30%-SUM($G153:AN153),IF(AO$121="3차중도금",$F153*40%-SUM($G153:AN153),IF(AO$121="4차중도금",$F153*50%-SUM($G153:AN153),$F153*10%)))))))+(IF(AO$121="5차중도금",$F153*60%-SUM($G153:AN153)-$F153*10%,IF(AO$121="6차중도금",$F153*70%-SUM($G153:AN153)-$F153*10%,0)))</f>
        <v>0</v>
      </c>
      <c r="AP153" s="605">
        <f>IF(AP$121="입주/잔금",($F153-SUM($G153:AO153))*30%,IF(AO$121="입주/잔금",($F153-SUM($G153:AN153))*50%,IF(AN$121="입주/잔금",($F153-SUM($G153:AM153))*20%,IF(AP$121=0,0,IF(AP$121="2차중도금",$F153*30%-SUM($G153:AO153),IF(AP$121="3차중도금",$F153*40%-SUM($G153:AO153),IF(AP$121="4차중도금",$F153*50%-SUM($G153:AO153),$F153*10%)))))))+(IF(AP$121="5차중도금",$F153*60%-SUM($G153:AO153)-$F153*10%,IF(AP$121="6차중도금",$F153*70%-SUM($G153:AO153)-$F153*10%,0)))</f>
        <v>0</v>
      </c>
      <c r="AQ153" s="605">
        <f>IF(AQ$121="입주/잔금",($F153-SUM($G153:AP153))*30%,IF(AP$121="입주/잔금",($F153-SUM($G153:AO153))*50%,IF(AO$121="입주/잔금",($F153-SUM($G153:AN153))*20%,IF(AQ$121=0,0,IF(AQ$121="2차중도금",$F153*30%-SUM($G153:AP153),IF(AQ$121="3차중도금",$F153*40%-SUM($G153:AP153),IF(AQ$121="4차중도금",$F153*50%-SUM($G153:AP153),$F153*10%)))))))+(IF(AQ$121="5차중도금",$F153*60%-SUM($G153:AP153)-$F153*10%,IF(AQ$121="6차중도금",$F153*70%-SUM($G153:AP153)-$F153*10%,0)))</f>
        <v>0</v>
      </c>
      <c r="AR153" s="605">
        <f>IF(AR$121="입주/잔금",($F153-SUM($G153:AQ153))*30%,IF(AQ$121="입주/잔금",($F153-SUM($G153:AP153))*50%,IF(AP$121="입주/잔금",($F153-SUM($G153:AO153))*20%,IF(AR$121=0,0,IF(AR$121="2차중도금",$F153*30%-SUM($G153:AQ153),IF(AR$121="3차중도금",$F153*40%-SUM($G153:AQ153),IF(AR$121="4차중도금",$F153*50%-SUM($G153:AQ153),$F153*10%)))))))+(IF(AR$121="5차중도금",$F153*60%-SUM($G153:AQ153)-$F153*10%,IF(AR$121="6차중도금",$F153*70%-SUM($G153:AQ153)-$F153*10%,0)))</f>
        <v>0</v>
      </c>
      <c r="AS153" s="605">
        <f>IF(AS$121="입주/잔금",($F153-SUM($G153:AR153))*30%,IF(AR$121="입주/잔금",($F153-SUM($G153:AQ153))*50%,IF(AQ$121="입주/잔금",($F153-SUM($G153:AP153))*20%,IF(AS$121=0,0,IF(AS$121="2차중도금",$F153*30%-SUM($G153:AR153),IF(AS$121="3차중도금",$F153*40%-SUM($G153:AR153),IF(AS$121="4차중도금",$F153*50%-SUM($G153:AR153),$F153*10%)))))))+(IF(AS$121="5차중도금",$F153*60%-SUM($G153:AR153)-$F153*10%,IF(AS$121="6차중도금",$F153*70%-SUM($G153:AR153)-$F153*10%,0)))</f>
        <v>0</v>
      </c>
      <c r="AT153" s="605">
        <f>IF(AT$121="입주/잔금",($F153-SUM($G153:AS153))*30%,IF(AS$121="입주/잔금",($F153-SUM($G153:AR153))*50%,IF(AR$121="입주/잔금",($F153-SUM($G153:AQ153))*20%,IF(AT$121=0,0,IF(AT$121="2차중도금",$F153*30%-SUM($G153:AS153),IF(AT$121="3차중도금",$F153*40%-SUM($G153:AS153),IF(AT$121="4차중도금",$F153*50%-SUM($G153:AS153),$F153*10%)))))))+(IF(AT$121="5차중도금",$F153*60%-SUM($G153:AS153)-$F153*10%,IF(AT$121="6차중도금",$F153*70%-SUM($G153:AS153)-$F153*10%,0)))</f>
        <v>0</v>
      </c>
      <c r="AU153" s="605">
        <f>IF(AU$121="입주/잔금",($F153-SUM($G153:AT153))*30%,IF(AT$121="입주/잔금",($F153-SUM($G153:AS153))*50%,IF(AS$121="입주/잔금",($F153-SUM($G153:AR153))*20%,IF(AU$121=0,0,IF(AU$121="2차중도금",$F153*30%-SUM($G153:AT153),IF(AU$121="3차중도금",$F153*40%-SUM($G153:AT153),IF(AU$121="4차중도금",$F153*50%-SUM($G153:AT153),$F153*10%)))))))+(IF(AU$121="5차중도금",$F153*60%-SUM($G153:AT153)-$F153*10%,IF(AU$121="6차중도금",$F153*70%-SUM($G153:AT153)-$F153*10%,0)))</f>
        <v>0</v>
      </c>
      <c r="AV153" s="605">
        <f>IF(AV$121="입주/잔금",($F153-SUM($G153:AU153))*30%,IF(AU$121="입주/잔금",($F153-SUM($G153:AT153))*50%,IF(AT$121="입주/잔금",($F153-SUM($G153:AS153))*20%,IF(AV$121=0,0,IF(AV$121="2차중도금",$F153*30%-SUM($G153:AU153),IF(AV$121="3차중도금",$F153*40%-SUM($G153:AU153),IF(AV$121="4차중도금",$F153*50%-SUM($G153:AU153),$F153*10%)))))))+(IF(AV$121="5차중도금",$F153*60%-SUM($G153:AU153)-$F153*10%,IF(AV$121="6차중도금",$F153*70%-SUM($G153:AU153)-$F153*10%,0)))</f>
        <v>0</v>
      </c>
      <c r="AW153" s="605">
        <f>IF(AW$121="입주/잔금",($F153-SUM($G153:AV153))*30%,IF(AV$121="입주/잔금",($F153-SUM($G153:AU153))*50%,IF(AU$121="입주/잔금",($F153-SUM($G153:AT153))*20%,IF(AW$121=0,0,IF(AW$121="2차중도금",$F153*30%-SUM($G153:AV153),IF(AW$121="3차중도금",$F153*40%-SUM($G153:AV153),IF(AW$121="4차중도금",$F153*50%-SUM($G153:AV153),$F153*10%)))))))+(IF(AW$121="5차중도금",$F153*60%-SUM($G153:AV153)-$F153*10%,IF(AW$121="6차중도금",$F153*70%-SUM($G153:AV153)-$F153*10%,0)))</f>
        <v>0</v>
      </c>
      <c r="AX153" s="605">
        <f>IF(AX$121="입주/잔금",($F153-SUM($G153:AW153))*30%,IF(AW$121="입주/잔금",($F153-SUM($G153:AV153))*50%,IF(AV$121="입주/잔금",($F153-SUM($G153:AU153))*20%,IF(AX$121=0,0,IF(AX$121="2차중도금",$F153*30%-SUM($G153:AW153),IF(AX$121="3차중도금",$F153*40%-SUM($G153:AW153),IF(AX$121="4차중도금",$F153*50%-SUM($G153:AW153),$F153*10%)))))))+(IF(AX$121="5차중도금",$F153*60%-SUM($G153:AW153)-$F153*10%,IF(AX$121="6차중도금",$F153*70%-SUM($G153:AW153)-$F153*10%,0)))</f>
        <v>0</v>
      </c>
      <c r="AY153" s="605">
        <f>IF(AY$121="입주/잔금",($F153-SUM($G153:AX153))*30%,IF(AX$121="입주/잔금",($F153-SUM($G153:AW153))*50%,IF(AW$121="입주/잔금",($F153-SUM($G153:AV153))*20%,IF(AY$121=0,0,IF(AY$121="2차중도금",$F153*30%-SUM($G153:AX153),IF(AY$121="3차중도금",$F153*40%-SUM($G153:AX153),IF(AY$121="4차중도금",$F153*50%-SUM($G153:AX153),$F153*10%)))))))+(IF(AY$121="5차중도금",$F153*60%-SUM($G153:AX153)-$F153*10%,IF(AY$121="6차중도금",$F153*70%-SUM($G153:AX153)-$F153*10%,0)))</f>
        <v>0</v>
      </c>
      <c r="AZ153" s="605">
        <f>IF(AZ$121="입주/잔금",($F153-SUM($G153:AY153))*30%,IF(AY$121="입주/잔금",($F153-SUM($G153:AX153))*50%,IF(AX$121="입주/잔금",($F153-SUM($G153:AW153))*20%,IF(AZ$121=0,0,IF(AZ$121="2차중도금",$F153*30%-SUM($G153:AY153),IF(AZ$121="3차중도금",$F153*40%-SUM($G153:AY153),IF(AZ$121="4차중도금",$F153*50%-SUM($G153:AY153),$F153*10%)))))))+(IF(AZ$121="5차중도금",$F153*60%-SUM($G153:AY153)-$F153*10%,IF(AZ$121="6차중도금",$F153*70%-SUM($G153:AY153)-$F153*10%,0)))</f>
        <v>0</v>
      </c>
      <c r="BA153" s="605">
        <f>IF(BA$121="입주/잔금",($F153-SUM($G153:AZ153))*30%,IF(AZ$121="입주/잔금",($F153-SUM($G153:AY153))*50%,IF(AY$121="입주/잔금",($F153-SUM($G153:AX153))*20%,IF(BA$121=0,0,IF(BA$121="2차중도금",$F153*30%-SUM($G153:AZ153),IF(BA$121="3차중도금",$F153*40%-SUM($G153:AZ153),IF(BA$121="4차중도금",$F153*50%-SUM($G153:AZ153),$F153*10%)))))))+(IF(BA$121="5차중도금",$F153*60%-SUM($G153:AZ153)-$F153*10%,IF(BA$121="6차중도금",$F153*70%-SUM($G153:AZ153)-$F153*10%,0)))</f>
        <v>0</v>
      </c>
      <c r="BB153" s="605">
        <f>IF(BB$121="입주/잔금",($F153-SUM($G153:BA153))*30%,IF(BA$121="입주/잔금",($F153-SUM($G153:AZ153))*50%,IF(AZ$121="입주/잔금",($F153-SUM($G153:AY153))*20%,IF(BB$121=0,0,IF(BB$121="2차중도금",$F153*30%-SUM($G153:BA153),IF(BB$121="3차중도금",$F153*40%-SUM($G153:BA153),IF(BB$121="4차중도금",$F153*50%-SUM($G153:BA153),$F153*10%)))))))+(IF(BB$121="5차중도금",$F153*60%-SUM($G153:BA153)-$F153*10%,IF(BB$121="6차중도금",$F153*70%-SUM($G153:BA153)-$F153*10%,0)))</f>
        <v>0</v>
      </c>
      <c r="BC153" s="605">
        <f>IF(BC$121="입주/잔금",($F153-SUM($G153:BB153))*30%,IF(BB$121="입주/잔금",($F153-SUM($G153:BA153))*50%,IF(BA$121="입주/잔금",($F153-SUM($G153:AZ153))*20%,IF(BC$121=0,0,IF(BC$121="2차중도금",$F153*30%-SUM($G153:BB153),IF(BC$121="3차중도금",$F153*40%-SUM($G153:BB153),IF(BC$121="4차중도금",$F153*50%-SUM($G153:BB153),$F153*10%)))))))+(IF(BC$121="5차중도금",$F153*60%-SUM($G153:BB153)-$F153*10%,IF(BC$121="6차중도금",$F153*70%-SUM($G153:BB153)-$F153*10%,0)))</f>
        <v>0</v>
      </c>
      <c r="BD153" s="605">
        <f>IF(BD$121="입주/잔금",($F153-SUM($G153:BC153))*30%,IF(BC$121="입주/잔금",($F153-SUM($G153:BB153))*50%,IF(BB$121="입주/잔금",($F153-SUM($G153:BA153))*20%,IF(BD$121=0,0,IF(BD$121="2차중도금",$F153*30%-SUM($G153:BC153),IF(BD$121="3차중도금",$F153*40%-SUM($G153:BC153),IF(BD$121="4차중도금",$F153*50%-SUM($G153:BC153),$F153*10%)))))))+(IF(BD$121="5차중도금",$F153*60%-SUM($G153:BC153)-$F153*10%,IF(BD$121="6차중도금",$F153*70%-SUM($G153:BC153)-$F153*10%,0)))</f>
        <v>0</v>
      </c>
      <c r="BE153" s="605">
        <f>IF(BE$121="입주/잔금",($F153-SUM($G153:BD153))*30%,IF(BD$121="입주/잔금",($F153-SUM($G153:BC153))*50%,IF(BC$121="입주/잔금",($F153-SUM($G153:BB153))*20%,IF(BE$121=0,0,IF(BE$121="2차중도금",$F153*30%-SUM($G153:BD153),IF(BE$121="3차중도금",$F153*40%-SUM($G153:BD153),IF(BE$121="4차중도금",$F153*50%-SUM($G153:BD153),$F153*10%)))))))+(IF(BE$121="5차중도금",$F153*60%-SUM($G153:BD153)-$F153*10%,IF(BE$121="6차중도금",$F153*70%-SUM($G153:BD153)-$F153*10%,0)))</f>
        <v>0</v>
      </c>
      <c r="BF153" s="609">
        <f t="shared" si="43"/>
        <v>0</v>
      </c>
      <c r="BG153" s="556">
        <f t="shared" si="45"/>
        <v>0</v>
      </c>
      <c r="BH153" s="610"/>
    </row>
    <row r="154" spans="1:60">
      <c r="A154" s="1867"/>
      <c r="B154" s="611">
        <f t="shared" si="46"/>
        <v>45809</v>
      </c>
      <c r="C154" s="615">
        <f t="shared" si="50"/>
        <v>21284968.815239683</v>
      </c>
      <c r="D154" s="1501"/>
      <c r="E154" s="607">
        <f t="shared" si="48"/>
        <v>0.70000000000000007</v>
      </c>
      <c r="F154" s="608">
        <f t="shared" si="44"/>
        <v>0</v>
      </c>
      <c r="G154" s="605"/>
      <c r="H154" s="605"/>
      <c r="I154" s="605"/>
      <c r="J154" s="605"/>
      <c r="K154" s="605"/>
      <c r="L154" s="605"/>
      <c r="M154" s="605"/>
      <c r="N154" s="605"/>
      <c r="O154" s="605"/>
      <c r="P154" s="605"/>
      <c r="Q154" s="605"/>
      <c r="R154" s="605"/>
      <c r="S154" s="605"/>
      <c r="T154" s="605"/>
      <c r="U154" s="605"/>
      <c r="V154" s="605"/>
      <c r="W154" s="605"/>
      <c r="X154" s="605"/>
      <c r="Y154" s="605"/>
      <c r="Z154" s="605"/>
      <c r="AA154" s="605"/>
      <c r="AB154" s="605"/>
      <c r="AC154" s="605"/>
      <c r="AD154" s="605"/>
      <c r="AE154" s="605"/>
      <c r="AF154" s="605"/>
      <c r="AG154" s="605"/>
      <c r="AH154" s="605"/>
      <c r="AI154" s="605"/>
      <c r="AJ154" s="605"/>
      <c r="AK154" s="605"/>
      <c r="AL154" s="605"/>
      <c r="AM154" s="605">
        <f>$F154*10%</f>
        <v>0</v>
      </c>
      <c r="AN154" s="605">
        <f>IF(AN$121="입주/잔금",($F154-SUM($G154:AM154))*30%,IF(AM$121="입주/잔금",($F154-SUM($G154:AL154))*50%,IF(AL$121="입주/잔금",($F154-SUM($G154:AK154))*20%,IF(AN$121=0,0,IF(AN$121="2차중도금",$F154*30%-SUM($G154:AM154),IF(AN$121="3차중도금",$F154*40%-SUM($G154:AM154),IF(AN$121="4차중도금",$F154*50%-SUM($G154:AM154),$F154*10%)))))))+(IF(AN$121="5차중도금",$F154*60%-SUM($G154:AM154)-$F154*10%,IF(AN$121="6차중도금",$F154*70%-SUM($G154:AM154)-$F154*10%,0)))</f>
        <v>0</v>
      </c>
      <c r="AO154" s="605">
        <f>IF(AO$121="입주/잔금",($F154-SUM($G154:AN154))*30%,IF(AN$121="입주/잔금",($F154-SUM($G154:AM154))*50%,IF(AM$121="입주/잔금",($F154-SUM($G154:AL154))*20%,IF(AO$121=0,0,IF(AO$121="2차중도금",$F154*30%-SUM($G154:AN154),IF(AO$121="3차중도금",$F154*40%-SUM($G154:AN154),IF(AO$121="4차중도금",$F154*50%-SUM($G154:AN154),$F154*10%)))))))+(IF(AO$121="5차중도금",$F154*60%-SUM($G154:AN154)-$F154*10%,IF(AO$121="6차중도금",$F154*70%-SUM($G154:AN154)-$F154*10%,0)))</f>
        <v>0</v>
      </c>
      <c r="AP154" s="605">
        <f>IF(AP$121="입주/잔금",($F154-SUM($G154:AO154))*30%,IF(AO$121="입주/잔금",($F154-SUM($G154:AN154))*50%,IF(AN$121="입주/잔금",($F154-SUM($G154:AM154))*20%,IF(AP$121=0,0,IF(AP$121="2차중도금",$F154*30%-SUM($G154:AO154),IF(AP$121="3차중도금",$F154*40%-SUM($G154:AO154),IF(AP$121="4차중도금",$F154*50%-SUM($G154:AO154),$F154*10%)))))))+(IF(AP$121="5차중도금",$F154*60%-SUM($G154:AO154)-$F154*10%,IF(AP$121="6차중도금",$F154*70%-SUM($G154:AO154)-$F154*10%,0)))</f>
        <v>0</v>
      </c>
      <c r="AQ154" s="605">
        <f>IF(AQ$121="입주/잔금",($F154-SUM($G154:AP154))*30%,IF(AP$121="입주/잔금",($F154-SUM($G154:AO154))*50%,IF(AO$121="입주/잔금",($F154-SUM($G154:AN154))*20%,IF(AQ$121=0,0,IF(AQ$121="2차중도금",$F154*30%-SUM($G154:AP154),IF(AQ$121="3차중도금",$F154*40%-SUM($G154:AP154),IF(AQ$121="4차중도금",$F154*50%-SUM($G154:AP154),$F154*10%)))))))+(IF(AQ$121="5차중도금",$F154*60%-SUM($G154:AP154)-$F154*10%,IF(AQ$121="6차중도금",$F154*70%-SUM($G154:AP154)-$F154*10%,0)))</f>
        <v>0</v>
      </c>
      <c r="AR154" s="605">
        <f>IF(AR$121="입주/잔금",($F154-SUM($G154:AQ154))*30%,IF(AQ$121="입주/잔금",($F154-SUM($G154:AP154))*50%,IF(AP$121="입주/잔금",($F154-SUM($G154:AO154))*20%,IF(AR$121=0,0,IF(AR$121="2차중도금",$F154*30%-SUM($G154:AQ154),IF(AR$121="3차중도금",$F154*40%-SUM($G154:AQ154),IF(AR$121="4차중도금",$F154*50%-SUM($G154:AQ154),$F154*10%)))))))+(IF(AR$121="5차중도금",$F154*60%-SUM($G154:AQ154)-$F154*10%,IF(AR$121="6차중도금",$F154*70%-SUM($G154:AQ154)-$F154*10%,0)))</f>
        <v>0</v>
      </c>
      <c r="AS154" s="605">
        <f>IF(AS$121="입주/잔금",($F154-SUM($G154:AR154))*30%,IF(AR$121="입주/잔금",($F154-SUM($G154:AQ154))*50%,IF(AQ$121="입주/잔금",($F154-SUM($G154:AP154))*20%,IF(AS$121=0,0,IF(AS$121="2차중도금",$F154*30%-SUM($G154:AR154),IF(AS$121="3차중도금",$F154*40%-SUM($G154:AR154),IF(AS$121="4차중도금",$F154*50%-SUM($G154:AR154),$F154*10%)))))))+(IF(AS$121="5차중도금",$F154*60%-SUM($G154:AR154)-$F154*10%,IF(AS$121="6차중도금",$F154*70%-SUM($G154:AR154)-$F154*10%,0)))</f>
        <v>0</v>
      </c>
      <c r="AT154" s="605">
        <f>IF(AT$121="입주/잔금",($F154-SUM($G154:AS154))*30%,IF(AS$121="입주/잔금",($F154-SUM($G154:AR154))*50%,IF(AR$121="입주/잔금",($F154-SUM($G154:AQ154))*20%,IF(AT$121=0,0,IF(AT$121="2차중도금",$F154*30%-SUM($G154:AS154),IF(AT$121="3차중도금",$F154*40%-SUM($G154:AS154),IF(AT$121="4차중도금",$F154*50%-SUM($G154:AS154),$F154*10%)))))))+(IF(AT$121="5차중도금",$F154*60%-SUM($G154:AS154)-$F154*10%,IF(AT$121="6차중도금",$F154*70%-SUM($G154:AS154)-$F154*10%,0)))</f>
        <v>0</v>
      </c>
      <c r="AU154" s="605">
        <f>IF(AU$121="입주/잔금",($F154-SUM($G154:AT154))*30%,IF(AT$121="입주/잔금",($F154-SUM($G154:AS154))*50%,IF(AS$121="입주/잔금",($F154-SUM($G154:AR154))*20%,IF(AU$121=0,0,IF(AU$121="2차중도금",$F154*30%-SUM($G154:AT154),IF(AU$121="3차중도금",$F154*40%-SUM($G154:AT154),IF(AU$121="4차중도금",$F154*50%-SUM($G154:AT154),$F154*10%)))))))+(IF(AU$121="5차중도금",$F154*60%-SUM($G154:AT154)-$F154*10%,IF(AU$121="6차중도금",$F154*70%-SUM($G154:AT154)-$F154*10%,0)))</f>
        <v>0</v>
      </c>
      <c r="AV154" s="605">
        <f>IF(AV$121="입주/잔금",($F154-SUM($G154:AU154))*30%,IF(AU$121="입주/잔금",($F154-SUM($G154:AT154))*50%,IF(AT$121="입주/잔금",($F154-SUM($G154:AS154))*20%,IF(AV$121=0,0,IF(AV$121="2차중도금",$F154*30%-SUM($G154:AU154),IF(AV$121="3차중도금",$F154*40%-SUM($G154:AU154),IF(AV$121="4차중도금",$F154*50%-SUM($G154:AU154),$F154*10%)))))))+(IF(AV$121="5차중도금",$F154*60%-SUM($G154:AU154)-$F154*10%,IF(AV$121="6차중도금",$F154*70%-SUM($G154:AU154)-$F154*10%,0)))</f>
        <v>0</v>
      </c>
      <c r="AW154" s="605">
        <f>IF(AW$121="입주/잔금",($F154-SUM($G154:AV154))*30%,IF(AV$121="입주/잔금",($F154-SUM($G154:AU154))*50%,IF(AU$121="입주/잔금",($F154-SUM($G154:AT154))*20%,IF(AW$121=0,0,IF(AW$121="2차중도금",$F154*30%-SUM($G154:AV154),IF(AW$121="3차중도금",$F154*40%-SUM($G154:AV154),IF(AW$121="4차중도금",$F154*50%-SUM($G154:AV154),$F154*10%)))))))+(IF(AW$121="5차중도금",$F154*60%-SUM($G154:AV154)-$F154*10%,IF(AW$121="6차중도금",$F154*70%-SUM($G154:AV154)-$F154*10%,0)))</f>
        <v>0</v>
      </c>
      <c r="AX154" s="605">
        <f>IF(AX$121="입주/잔금",($F154-SUM($G154:AW154))*30%,IF(AW$121="입주/잔금",($F154-SUM($G154:AV154))*50%,IF(AV$121="입주/잔금",($F154-SUM($G154:AU154))*20%,IF(AX$121=0,0,IF(AX$121="2차중도금",$F154*30%-SUM($G154:AW154),IF(AX$121="3차중도금",$F154*40%-SUM($G154:AW154),IF(AX$121="4차중도금",$F154*50%-SUM($G154:AW154),$F154*10%)))))))+(IF(AX$121="5차중도금",$F154*60%-SUM($G154:AW154)-$F154*10%,IF(AX$121="6차중도금",$F154*70%-SUM($G154:AW154)-$F154*10%,0)))</f>
        <v>0</v>
      </c>
      <c r="AY154" s="605">
        <f>IF(AY$121="입주/잔금",($F154-SUM($G154:AX154))*30%,IF(AX$121="입주/잔금",($F154-SUM($G154:AW154))*50%,IF(AW$121="입주/잔금",($F154-SUM($G154:AV154))*20%,IF(AY$121=0,0,IF(AY$121="2차중도금",$F154*30%-SUM($G154:AX154),IF(AY$121="3차중도금",$F154*40%-SUM($G154:AX154),IF(AY$121="4차중도금",$F154*50%-SUM($G154:AX154),$F154*10%)))))))+(IF(AY$121="5차중도금",$F154*60%-SUM($G154:AX154)-$F154*10%,IF(AY$121="6차중도금",$F154*70%-SUM($G154:AX154)-$F154*10%,0)))</f>
        <v>0</v>
      </c>
      <c r="AZ154" s="605">
        <f>IF(AZ$121="입주/잔금",($F154-SUM($G154:AY154))*30%,IF(AY$121="입주/잔금",($F154-SUM($G154:AX154))*50%,IF(AX$121="입주/잔금",($F154-SUM($G154:AW154))*20%,IF(AZ$121=0,0,IF(AZ$121="2차중도금",$F154*30%-SUM($G154:AY154),IF(AZ$121="3차중도금",$F154*40%-SUM($G154:AY154),IF(AZ$121="4차중도금",$F154*50%-SUM($G154:AY154),$F154*10%)))))))+(IF(AZ$121="5차중도금",$F154*60%-SUM($G154:AY154)-$F154*10%,IF(AZ$121="6차중도금",$F154*70%-SUM($G154:AY154)-$F154*10%,0)))</f>
        <v>0</v>
      </c>
      <c r="BA154" s="605">
        <f>IF(BA$121="입주/잔금",($F154-SUM($G154:AZ154))*30%,IF(AZ$121="입주/잔금",($F154-SUM($G154:AY154))*50%,IF(AY$121="입주/잔금",($F154-SUM($G154:AX154))*20%,IF(BA$121=0,0,IF(BA$121="2차중도금",$F154*30%-SUM($G154:AZ154),IF(BA$121="3차중도금",$F154*40%-SUM($G154:AZ154),IF(BA$121="4차중도금",$F154*50%-SUM($G154:AZ154),$F154*10%)))))))+(IF(BA$121="5차중도금",$F154*60%-SUM($G154:AZ154)-$F154*10%,IF(BA$121="6차중도금",$F154*70%-SUM($G154:AZ154)-$F154*10%,0)))</f>
        <v>0</v>
      </c>
      <c r="BB154" s="605">
        <f>IF(BB$121="입주/잔금",($F154-SUM($G154:BA154))*30%,IF(BA$121="입주/잔금",($F154-SUM($G154:AZ154))*50%,IF(AZ$121="입주/잔금",($F154-SUM($G154:AY154))*20%,IF(BB$121=0,0,IF(BB$121="2차중도금",$F154*30%-SUM($G154:BA154),IF(BB$121="3차중도금",$F154*40%-SUM($G154:BA154),IF(BB$121="4차중도금",$F154*50%-SUM($G154:BA154),$F154*10%)))))))+(IF(BB$121="5차중도금",$F154*60%-SUM($G154:BA154)-$F154*10%,IF(BB$121="6차중도금",$F154*70%-SUM($G154:BA154)-$F154*10%,0)))</f>
        <v>0</v>
      </c>
      <c r="BC154" s="605">
        <f>IF(BC$121="입주/잔금",($F154-SUM($G154:BB154))*30%,IF(BB$121="입주/잔금",($F154-SUM($G154:BA154))*50%,IF(BA$121="입주/잔금",($F154-SUM($G154:AZ154))*20%,IF(BC$121=0,0,IF(BC$121="2차중도금",$F154*30%-SUM($G154:BB154),IF(BC$121="3차중도금",$F154*40%-SUM($G154:BB154),IF(BC$121="4차중도금",$F154*50%-SUM($G154:BB154),$F154*10%)))))))+(IF(BC$121="5차중도금",$F154*60%-SUM($G154:BB154)-$F154*10%,IF(BC$121="6차중도금",$F154*70%-SUM($G154:BB154)-$F154*10%,0)))</f>
        <v>0</v>
      </c>
      <c r="BD154" s="605">
        <f>IF(BD$121="입주/잔금",($F154-SUM($G154:BC154))*30%,IF(BC$121="입주/잔금",($F154-SUM($G154:BB154))*50%,IF(BB$121="입주/잔금",($F154-SUM($G154:BA154))*20%,IF(BD$121=0,0,IF(BD$121="2차중도금",$F154*30%-SUM($G154:BC154),IF(BD$121="3차중도금",$F154*40%-SUM($G154:BC154),IF(BD$121="4차중도금",$F154*50%-SUM($G154:BC154),$F154*10%)))))))+(IF(BD$121="5차중도금",$F154*60%-SUM($G154:BC154)-$F154*10%,IF(BD$121="6차중도금",$F154*70%-SUM($G154:BC154)-$F154*10%,0)))</f>
        <v>0</v>
      </c>
      <c r="BE154" s="605">
        <f>IF(BE$121="입주/잔금",($F154-SUM($G154:BD154))*30%,IF(BD$121="입주/잔금",($F154-SUM($G154:BC154))*50%,IF(BC$121="입주/잔금",($F154-SUM($G154:BB154))*20%,IF(BE$121=0,0,IF(BE$121="2차중도금",$F154*30%-SUM($G154:BD154),IF(BE$121="3차중도금",$F154*40%-SUM($G154:BD154),IF(BE$121="4차중도금",$F154*50%-SUM($G154:BD154),$F154*10%)))))))+(IF(BE$121="5차중도금",$F154*60%-SUM($G154:BD154)-$F154*10%,IF(BE$121="6차중도금",$F154*70%-SUM($G154:BD154)-$F154*10%,0)))</f>
        <v>0</v>
      </c>
      <c r="BF154" s="609">
        <f t="shared" si="43"/>
        <v>0</v>
      </c>
      <c r="BG154" s="556">
        <f t="shared" si="45"/>
        <v>0</v>
      </c>
      <c r="BH154" s="610"/>
    </row>
    <row r="155" spans="1:60">
      <c r="A155" s="1867"/>
      <c r="B155" s="611">
        <f t="shared" si="46"/>
        <v>45839</v>
      </c>
      <c r="C155" s="615">
        <f t="shared" si="50"/>
        <v>21284968.815239683</v>
      </c>
      <c r="D155" s="1501"/>
      <c r="E155" s="607">
        <f>E154+D155</f>
        <v>0.70000000000000007</v>
      </c>
      <c r="F155" s="608">
        <f>C155*D155</f>
        <v>0</v>
      </c>
      <c r="G155" s="605"/>
      <c r="H155" s="605"/>
      <c r="I155" s="605"/>
      <c r="J155" s="605"/>
      <c r="K155" s="605"/>
      <c r="L155" s="605"/>
      <c r="M155" s="605"/>
      <c r="N155" s="605"/>
      <c r="O155" s="605"/>
      <c r="P155" s="605"/>
      <c r="Q155" s="605"/>
      <c r="R155" s="605"/>
      <c r="S155" s="605"/>
      <c r="T155" s="605"/>
      <c r="U155" s="605"/>
      <c r="V155" s="605"/>
      <c r="W155" s="605"/>
      <c r="X155" s="605"/>
      <c r="Y155" s="605"/>
      <c r="Z155" s="605"/>
      <c r="AA155" s="605"/>
      <c r="AB155" s="605"/>
      <c r="AC155" s="605"/>
      <c r="AD155" s="605"/>
      <c r="AE155" s="605"/>
      <c r="AF155" s="605"/>
      <c r="AG155" s="605"/>
      <c r="AH155" s="605"/>
      <c r="AI155" s="605"/>
      <c r="AJ155" s="605"/>
      <c r="AK155" s="605"/>
      <c r="AL155" s="605"/>
      <c r="AM155" s="605"/>
      <c r="AN155" s="605">
        <f>$F155*10%</f>
        <v>0</v>
      </c>
      <c r="AO155" s="605">
        <f>IF(AO$121="입주/잔금",($F155-SUM($G155:AN155))*30%,IF(AN$121="입주/잔금",($F155-SUM($G155:AM155))*50%,IF(AM$121="입주/잔금",($F155-SUM($G155:AL155))*20%,IF(AO$121=0,0,IF(AO$121="2차중도금",$F155*30%-SUM($G155:AN155),IF(AO$121="3차중도금",$F155*40%-SUM($G155:AN155),IF(AO$121="4차중도금",$F155*50%-SUM($G155:AN155),$F155*10%)))))))+(IF(AO$121="5차중도금",$F155*60%-SUM($G155:AN155)-$F155*10%,IF(AO$121="6차중도금",$F155*70%-SUM($G155:AN155)-$F155*10%,0)))</f>
        <v>0</v>
      </c>
      <c r="AP155" s="605">
        <f>IF(AP$121="입주/잔금",($F155-SUM($G155:AO155))*30%,IF(AO$121="입주/잔금",($F155-SUM($G155:AN155))*50%,IF(AN$121="입주/잔금",($F155-SUM($G155:AM155))*20%,IF(AP$121=0,0,IF(AP$121="2차중도금",$F155*30%-SUM($G155:AO155),IF(AP$121="3차중도금",$F155*40%-SUM($G155:AO155),IF(AP$121="4차중도금",$F155*50%-SUM($G155:AO155),$F155*10%)))))))+(IF(AP$121="5차중도금",$F155*60%-SUM($G155:AO155)-$F155*10%,IF(AP$121="6차중도금",$F155*70%-SUM($G155:AO155)-$F155*10%,0)))</f>
        <v>0</v>
      </c>
      <c r="AQ155" s="605">
        <f>IF(AQ$121="입주/잔금",($F155-SUM($G155:AP155))*30%,IF(AP$121="입주/잔금",($F155-SUM($G155:AO155))*50%,IF(AO$121="입주/잔금",($F155-SUM($G155:AN155))*20%,IF(AQ$121=0,0,IF(AQ$121="2차중도금",$F155*30%-SUM($G155:AP155),IF(AQ$121="3차중도금",$F155*40%-SUM($G155:AP155),IF(AQ$121="4차중도금",$F155*50%-SUM($G155:AP155),$F155*10%)))))))+(IF(AQ$121="5차중도금",$F155*60%-SUM($G155:AP155)-$F155*10%,IF(AQ$121="6차중도금",$F155*70%-SUM($G155:AP155)-$F155*10%,0)))</f>
        <v>0</v>
      </c>
      <c r="AR155" s="605">
        <f>IF(AR$121="입주/잔금",($F155-SUM($G155:AQ155))*30%,IF(AQ$121="입주/잔금",($F155-SUM($G155:AP155))*50%,IF(AP$121="입주/잔금",($F155-SUM($G155:AO155))*20%,IF(AR$121=0,0,IF(AR$121="2차중도금",$F155*30%-SUM($G155:AQ155),IF(AR$121="3차중도금",$F155*40%-SUM($G155:AQ155),IF(AR$121="4차중도금",$F155*50%-SUM($G155:AQ155),$F155*10%)))))))+(IF(AR$121="5차중도금",$F155*60%-SUM($G155:AQ155)-$F155*10%,IF(AR$121="6차중도금",$F155*70%-SUM($G155:AQ155)-$F155*10%,0)))</f>
        <v>0</v>
      </c>
      <c r="AS155" s="605">
        <f>IF(AS$121="입주/잔금",($F155-SUM($G155:AR155))*30%,IF(AR$121="입주/잔금",($F155-SUM($G155:AQ155))*50%,IF(AQ$121="입주/잔금",($F155-SUM($G155:AP155))*20%,IF(AS$121=0,0,IF(AS$121="2차중도금",$F155*30%-SUM($G155:AR155),IF(AS$121="3차중도금",$F155*40%-SUM($G155:AR155),IF(AS$121="4차중도금",$F155*50%-SUM($G155:AR155),$F155*10%)))))))+(IF(AS$121="5차중도금",$F155*60%-SUM($G155:AR155)-$F155*10%,IF(AS$121="6차중도금",$F155*70%-SUM($G155:AR155)-$F155*10%,0)))</f>
        <v>0</v>
      </c>
      <c r="AT155" s="605">
        <f>IF(AT$121="입주/잔금",($F155-SUM($G155:AS155))*30%,IF(AS$121="입주/잔금",($F155-SUM($G155:AR155))*50%,IF(AR$121="입주/잔금",($F155-SUM($G155:AQ155))*20%,IF(AT$121=0,0,IF(AT$121="2차중도금",$F155*30%-SUM($G155:AS155),IF(AT$121="3차중도금",$F155*40%-SUM($G155:AS155),IF(AT$121="4차중도금",$F155*50%-SUM($G155:AS155),$F155*10%)))))))+(IF(AT$121="5차중도금",$F155*60%-SUM($G155:AS155)-$F155*10%,IF(AT$121="6차중도금",$F155*70%-SUM($G155:AS155)-$F155*10%,0)))</f>
        <v>0</v>
      </c>
      <c r="AU155" s="605">
        <f>IF(AU$121="입주/잔금",($F155-SUM($G155:AT155))*30%,IF(AT$121="입주/잔금",($F155-SUM($G155:AS155))*50%,IF(AS$121="입주/잔금",($F155-SUM($G155:AR155))*20%,IF(AU$121=0,0,IF(AU$121="2차중도금",$F155*30%-SUM($G155:AT155),IF(AU$121="3차중도금",$F155*40%-SUM($G155:AT155),IF(AU$121="4차중도금",$F155*50%-SUM($G155:AT155),$F155*10%)))))))+(IF(AU$121="5차중도금",$F155*60%-SUM($G155:AT155)-$F155*10%,IF(AU$121="6차중도금",$F155*70%-SUM($G155:AT155)-$F155*10%,0)))</f>
        <v>0</v>
      </c>
      <c r="AV155" s="605">
        <f>IF(AV$121="입주/잔금",($F155-SUM($G155:AU155))*30%,IF(AU$121="입주/잔금",($F155-SUM($G155:AT155))*50%,IF(AT$121="입주/잔금",($F155-SUM($G155:AS155))*20%,IF(AV$121=0,0,IF(AV$121="2차중도금",$F155*30%-SUM($G155:AU155),IF(AV$121="3차중도금",$F155*40%-SUM($G155:AU155),IF(AV$121="4차중도금",$F155*50%-SUM($G155:AU155),$F155*10%)))))))+(IF(AV$121="5차중도금",$F155*60%-SUM($G155:AU155)-$F155*10%,IF(AV$121="6차중도금",$F155*70%-SUM($G155:AU155)-$F155*10%,0)))</f>
        <v>0</v>
      </c>
      <c r="AW155" s="605">
        <f>IF(AW$121="입주/잔금",($F155-SUM($G155:AV155))*30%,IF(AV$121="입주/잔금",($F155-SUM($G155:AU155))*50%,IF(AU$121="입주/잔금",($F155-SUM($G155:AT155))*20%,IF(AW$121=0,0,IF(AW$121="2차중도금",$F155*30%-SUM($G155:AV155),IF(AW$121="3차중도금",$F155*40%-SUM($G155:AV155),IF(AW$121="4차중도금",$F155*50%-SUM($G155:AV155),$F155*10%)))))))+(IF(AW$121="5차중도금",$F155*60%-SUM($G155:AV155)-$F155*10%,IF(AW$121="6차중도금",$F155*70%-SUM($G155:AV155)-$F155*10%,0)))</f>
        <v>0</v>
      </c>
      <c r="AX155" s="605">
        <f>IF(AX$121="입주/잔금",($F155-SUM($G155:AW155))*30%,IF(AW$121="입주/잔금",($F155-SUM($G155:AV155))*50%,IF(AV$121="입주/잔금",($F155-SUM($G155:AU155))*20%,IF(AX$121=0,0,IF(AX$121="2차중도금",$F155*30%-SUM($G155:AW155),IF(AX$121="3차중도금",$F155*40%-SUM($G155:AW155),IF(AX$121="4차중도금",$F155*50%-SUM($G155:AW155),$F155*10%)))))))+(IF(AX$121="5차중도금",$F155*60%-SUM($G155:AW155)-$F155*10%,IF(AX$121="6차중도금",$F155*70%-SUM($G155:AW155)-$F155*10%,0)))</f>
        <v>0</v>
      </c>
      <c r="AY155" s="605">
        <f>IF(AY$121="입주/잔금",($F155-SUM($G155:AX155))*30%,IF(AX$121="입주/잔금",($F155-SUM($G155:AW155))*50%,IF(AW$121="입주/잔금",($F155-SUM($G155:AV155))*20%,IF(AY$121=0,0,IF(AY$121="2차중도금",$F155*30%-SUM($G155:AX155),IF(AY$121="3차중도금",$F155*40%-SUM($G155:AX155),IF(AY$121="4차중도금",$F155*50%-SUM($G155:AX155),$F155*10%)))))))+(IF(AY$121="5차중도금",$F155*60%-SUM($G155:AX155)-$F155*10%,IF(AY$121="6차중도금",$F155*70%-SUM($G155:AX155)-$F155*10%,0)))</f>
        <v>0</v>
      </c>
      <c r="AZ155" s="605">
        <f>IF(AZ$121="입주/잔금",($F155-SUM($G155:AY155))*30%,IF(AY$121="입주/잔금",($F155-SUM($G155:AX155))*50%,IF(AX$121="입주/잔금",($F155-SUM($G155:AW155))*20%,IF(AZ$121=0,0,IF(AZ$121="2차중도금",$F155*30%-SUM($G155:AY155),IF(AZ$121="3차중도금",$F155*40%-SUM($G155:AY155),IF(AZ$121="4차중도금",$F155*50%-SUM($G155:AY155),$F155*10%)))))))+(IF(AZ$121="5차중도금",$F155*60%-SUM($G155:AY155)-$F155*10%,IF(AZ$121="6차중도금",$F155*70%-SUM($G155:AY155)-$F155*10%,0)))</f>
        <v>0</v>
      </c>
      <c r="BA155" s="605">
        <f>IF(BA$121="입주/잔금",($F155-SUM($G155:AZ155))*30%,IF(AZ$121="입주/잔금",($F155-SUM($G155:AY155))*50%,IF(AY$121="입주/잔금",($F155-SUM($G155:AX155))*20%,IF(BA$121=0,0,IF(BA$121="2차중도금",$F155*30%-SUM($G155:AZ155),IF(BA$121="3차중도금",$F155*40%-SUM($G155:AZ155),IF(BA$121="4차중도금",$F155*50%-SUM($G155:AZ155),$F155*10%)))))))+(IF(BA$121="5차중도금",$F155*60%-SUM($G155:AZ155)-$F155*10%,IF(BA$121="6차중도금",$F155*70%-SUM($G155:AZ155)-$F155*10%,0)))</f>
        <v>0</v>
      </c>
      <c r="BB155" s="605">
        <f>IF(BB$121="입주/잔금",($F155-SUM($G155:BA155))*30%,IF(BA$121="입주/잔금",($F155-SUM($G155:AZ155))*50%,IF(AZ$121="입주/잔금",($F155-SUM($G155:AY155))*20%,IF(BB$121=0,0,IF(BB$121="2차중도금",$F155*30%-SUM($G155:BA155),IF(BB$121="3차중도금",$F155*40%-SUM($G155:BA155),IF(BB$121="4차중도금",$F155*50%-SUM($G155:BA155),$F155*10%)))))))+(IF(BB$121="5차중도금",$F155*60%-SUM($G155:BA155)-$F155*10%,IF(BB$121="6차중도금",$F155*70%-SUM($G155:BA155)-$F155*10%,0)))</f>
        <v>0</v>
      </c>
      <c r="BC155" s="605">
        <f>IF(BC$121="입주/잔금",($F155-SUM($G155:BB155))*30%,IF(BB$121="입주/잔금",($F155-SUM($G155:BA155))*50%,IF(BA$121="입주/잔금",($F155-SUM($G155:AZ155))*20%,IF(BC$121=0,0,IF(BC$121="2차중도금",$F155*30%-SUM($G155:BB155),IF(BC$121="3차중도금",$F155*40%-SUM($G155:BB155),IF(BC$121="4차중도금",$F155*50%-SUM($G155:BB155),$F155*10%)))))))+(IF(BC$121="5차중도금",$F155*60%-SUM($G155:BB155)-$F155*10%,IF(BC$121="6차중도금",$F155*70%-SUM($G155:BB155)-$F155*10%,0)))</f>
        <v>0</v>
      </c>
      <c r="BD155" s="605">
        <f>IF(BD$121="입주/잔금",($F155-SUM($G155:BC155))*30%,IF(BC$121="입주/잔금",($F155-SUM($G155:BB155))*50%,IF(BB$121="입주/잔금",($F155-SUM($G155:BA155))*20%,IF(BD$121=0,0,IF(BD$121="2차중도금",$F155*30%-SUM($G155:BC155),IF(BD$121="3차중도금",$F155*40%-SUM($G155:BC155),IF(BD$121="4차중도금",$F155*50%-SUM($G155:BC155),$F155*10%)))))))+(IF(BD$121="5차중도금",$F155*60%-SUM($G155:BC155)-$F155*10%,IF(BD$121="6차중도금",$F155*70%-SUM($G155:BC155)-$F155*10%,0)))</f>
        <v>0</v>
      </c>
      <c r="BE155" s="605">
        <f>IF(BE$121="입주/잔금",($F155-SUM($G155:BD155))*30%,IF(BD$121="입주/잔금",($F155-SUM($G155:BC155))*50%,IF(BC$121="입주/잔금",($F155-SUM($G155:BB155))*20%,IF(BE$121=0,0,IF(BE$121="2차중도금",$F155*30%-SUM($G155:BD155),IF(BE$121="3차중도금",$F155*40%-SUM($G155:BD155),IF(BE$121="4차중도금",$F155*50%-SUM($G155:BD155),$F155*10%)))))))+(IF(BE$121="5차중도금",$F155*60%-SUM($G155:BD155)-$F155*10%,IF(BE$121="6차중도금",$F155*70%-SUM($G155:BD155)-$F155*10%,0)))</f>
        <v>0</v>
      </c>
      <c r="BF155" s="609">
        <f t="shared" ref="BF155:BF168" si="51">SUM(G155:BE155)</f>
        <v>0</v>
      </c>
      <c r="BG155" s="556">
        <f t="shared" si="45"/>
        <v>0</v>
      </c>
      <c r="BH155" s="610"/>
    </row>
    <row r="156" spans="1:60">
      <c r="A156" s="1867"/>
      <c r="B156" s="611">
        <f t="shared" si="46"/>
        <v>45870</v>
      </c>
      <c r="C156" s="615">
        <f t="shared" si="50"/>
        <v>21284968.815239683</v>
      </c>
      <c r="D156" s="1501"/>
      <c r="E156" s="607">
        <f>E155+D156</f>
        <v>0.70000000000000007</v>
      </c>
      <c r="F156" s="608">
        <f>C156*D156</f>
        <v>0</v>
      </c>
      <c r="G156" s="605"/>
      <c r="H156" s="605"/>
      <c r="I156" s="605"/>
      <c r="J156" s="605"/>
      <c r="K156" s="605"/>
      <c r="L156" s="605"/>
      <c r="M156" s="605"/>
      <c r="N156" s="605"/>
      <c r="O156" s="605"/>
      <c r="P156" s="605"/>
      <c r="Q156" s="605"/>
      <c r="R156" s="605"/>
      <c r="S156" s="605"/>
      <c r="T156" s="605"/>
      <c r="U156" s="605"/>
      <c r="V156" s="605"/>
      <c r="W156" s="605"/>
      <c r="X156" s="605"/>
      <c r="Y156" s="605"/>
      <c r="Z156" s="605"/>
      <c r="AA156" s="605"/>
      <c r="AB156" s="605"/>
      <c r="AC156" s="605"/>
      <c r="AD156" s="605"/>
      <c r="AE156" s="605"/>
      <c r="AF156" s="605"/>
      <c r="AG156" s="605"/>
      <c r="AH156" s="605"/>
      <c r="AI156" s="605"/>
      <c r="AJ156" s="605"/>
      <c r="AK156" s="605"/>
      <c r="AL156" s="605"/>
      <c r="AM156" s="605"/>
      <c r="AN156" s="605"/>
      <c r="AO156" s="605">
        <f>$F156*10%</f>
        <v>0</v>
      </c>
      <c r="AP156" s="605">
        <f>IF(AP$121="입주/잔금",($F156-SUM($G156:AO156))*30%,IF(AO$121="입주/잔금",($F156-SUM($G156:AN156))*50%,IF(AN$121="입주/잔금",($F156-SUM($G156:AM156))*20%,IF(AP$121=0,0,IF(AP$121="2차중도금",$F156*30%-SUM($G156:AO156),IF(AP$121="3차중도금",$F156*40%-SUM($G156:AO156),IF(AP$121="4차중도금",$F156*50%-SUM($G156:AO156),$F156*10%)))))))+(IF(AP$121="5차중도금",$F156*60%-SUM($G156:AO156)-$F156*10%,IF(AP$121="6차중도금",$F156*70%-SUM($G156:AO156)-$F156*10%,0)))</f>
        <v>0</v>
      </c>
      <c r="AQ156" s="605">
        <f>IF(AQ$121="입주/잔금",($F156-SUM($G156:AP156))*30%,IF(AP$121="입주/잔금",($F156-SUM($G156:AO156))*50%,IF(AO$121="입주/잔금",($F156-SUM($G156:AN156))*20%,IF(AQ$121=0,0,IF(AQ$121="2차중도금",$F156*30%-SUM($G156:AP156),IF(AQ$121="3차중도금",$F156*40%-SUM($G156:AP156),IF(AQ$121="4차중도금",$F156*50%-SUM($G156:AP156),$F156*10%)))))))+(IF(AQ$121="5차중도금",$F156*60%-SUM($G156:AP156)-$F156*10%,IF(AQ$121="6차중도금",$F156*70%-SUM($G156:AP156)-$F156*10%,0)))</f>
        <v>0</v>
      </c>
      <c r="AR156" s="605">
        <f>IF(AR$121="입주/잔금",($F156-SUM($G156:AQ156))*30%,IF(AQ$121="입주/잔금",($F156-SUM($G156:AP156))*50%,IF(AP$121="입주/잔금",($F156-SUM($G156:AO156))*20%,IF(AR$121=0,0,IF(AR$121="2차중도금",$F156*30%-SUM($G156:AQ156),IF(AR$121="3차중도금",$F156*40%-SUM($G156:AQ156),IF(AR$121="4차중도금",$F156*50%-SUM($G156:AQ156),$F156*10%)))))))+(IF(AR$121="5차중도금",$F156*60%-SUM($G156:AQ156)-$F156*10%,IF(AR$121="6차중도금",$F156*70%-SUM($G156:AQ156)-$F156*10%,0)))</f>
        <v>0</v>
      </c>
      <c r="AS156" s="605">
        <f>IF(AS$121="입주/잔금",($F156-SUM($G156:AR156))*30%,IF(AR$121="입주/잔금",($F156-SUM($G156:AQ156))*50%,IF(AQ$121="입주/잔금",($F156-SUM($G156:AP156))*20%,IF(AS$121=0,0,IF(AS$121="2차중도금",$F156*30%-SUM($G156:AR156),IF(AS$121="3차중도금",$F156*40%-SUM($G156:AR156),IF(AS$121="4차중도금",$F156*50%-SUM($G156:AR156),$F156*10%)))))))+(IF(AS$121="5차중도금",$F156*60%-SUM($G156:AR156)-$F156*10%,IF(AS$121="6차중도금",$F156*70%-SUM($G156:AR156)-$F156*10%,0)))</f>
        <v>0</v>
      </c>
      <c r="AT156" s="605">
        <f>IF(AT$121="입주/잔금",($F156-SUM($G156:AS156))*30%,IF(AS$121="입주/잔금",($F156-SUM($G156:AR156))*50%,IF(AR$121="입주/잔금",($F156-SUM($G156:AQ156))*20%,IF(AT$121=0,0,IF(AT$121="2차중도금",$F156*30%-SUM($G156:AS156),IF(AT$121="3차중도금",$F156*40%-SUM($G156:AS156),IF(AT$121="4차중도금",$F156*50%-SUM($G156:AS156),$F156*10%)))))))+(IF(AT$121="5차중도금",$F156*60%-SUM($G156:AS156)-$F156*10%,IF(AT$121="6차중도금",$F156*70%-SUM($G156:AS156)-$F156*10%,0)))</f>
        <v>0</v>
      </c>
      <c r="AU156" s="605">
        <f>IF(AU$121="입주/잔금",($F156-SUM($G156:AT156))*30%,IF(AT$121="입주/잔금",($F156-SUM($G156:AS156))*50%,IF(AS$121="입주/잔금",($F156-SUM($G156:AR156))*20%,IF(AU$121=0,0,IF(AU$121="2차중도금",$F156*30%-SUM($G156:AT156),IF(AU$121="3차중도금",$F156*40%-SUM($G156:AT156),IF(AU$121="4차중도금",$F156*50%-SUM($G156:AT156),$F156*10%)))))))+(IF(AU$121="5차중도금",$F156*60%-SUM($G156:AT156)-$F156*10%,IF(AU$121="6차중도금",$F156*70%-SUM($G156:AT156)-$F156*10%,0)))</f>
        <v>0</v>
      </c>
      <c r="AV156" s="605">
        <f>IF(AV$121="입주/잔금",($F156-SUM($G156:AU156))*30%,IF(AU$121="입주/잔금",($F156-SUM($G156:AT156))*50%,IF(AT$121="입주/잔금",($F156-SUM($G156:AS156))*20%,IF(AV$121=0,0,IF(AV$121="2차중도금",$F156*30%-SUM($G156:AU156),IF(AV$121="3차중도금",$F156*40%-SUM($G156:AU156),IF(AV$121="4차중도금",$F156*50%-SUM($G156:AU156),$F156*10%)))))))+(IF(AV$121="5차중도금",$F156*60%-SUM($G156:AU156)-$F156*10%,IF(AV$121="6차중도금",$F156*70%-SUM($G156:AU156)-$F156*10%,0)))</f>
        <v>0</v>
      </c>
      <c r="AW156" s="605">
        <f>IF(AW$121="입주/잔금",($F156-SUM($G156:AV156))*30%,IF(AV$121="입주/잔금",($F156-SUM($G156:AU156))*50%,IF(AU$121="입주/잔금",($F156-SUM($G156:AT156))*20%,IF(AW$121=0,0,IF(AW$121="2차중도금",$F156*30%-SUM($G156:AV156),IF(AW$121="3차중도금",$F156*40%-SUM($G156:AV156),IF(AW$121="4차중도금",$F156*50%-SUM($G156:AV156),$F156*10%)))))))+(IF(AW$121="5차중도금",$F156*60%-SUM($G156:AV156)-$F156*10%,IF(AW$121="6차중도금",$F156*70%-SUM($G156:AV156)-$F156*10%,0)))</f>
        <v>0</v>
      </c>
      <c r="AX156" s="605">
        <f>IF(AX$121="입주/잔금",($F156-SUM($G156:AW156))*30%,IF(AW$121="입주/잔금",($F156-SUM($G156:AV156))*50%,IF(AV$121="입주/잔금",($F156-SUM($G156:AU156))*20%,IF(AX$121=0,0,IF(AX$121="2차중도금",$F156*30%-SUM($G156:AW156),IF(AX$121="3차중도금",$F156*40%-SUM($G156:AW156),IF(AX$121="4차중도금",$F156*50%-SUM($G156:AW156),$F156*10%)))))))+(IF(AX$121="5차중도금",$F156*60%-SUM($G156:AW156)-$F156*10%,IF(AX$121="6차중도금",$F156*70%-SUM($G156:AW156)-$F156*10%,0)))</f>
        <v>0</v>
      </c>
      <c r="AY156" s="605">
        <f>IF(AY$121="입주/잔금",($F156-SUM($G156:AX156))*30%,IF(AX$121="입주/잔금",($F156-SUM($G156:AW156))*50%,IF(AW$121="입주/잔금",($F156-SUM($G156:AV156))*20%,IF(AY$121=0,0,IF(AY$121="2차중도금",$F156*30%-SUM($G156:AX156),IF(AY$121="3차중도금",$F156*40%-SUM($G156:AX156),IF(AY$121="4차중도금",$F156*50%-SUM($G156:AX156),$F156*10%)))))))+(IF(AY$121="5차중도금",$F156*60%-SUM($G156:AX156)-$F156*10%,IF(AY$121="6차중도금",$F156*70%-SUM($G156:AX156)-$F156*10%,0)))</f>
        <v>0</v>
      </c>
      <c r="AZ156" s="605">
        <f>IF(AZ$121="입주/잔금",($F156-SUM($G156:AY156))*30%,IF(AY$121="입주/잔금",($F156-SUM($G156:AX156))*50%,IF(AX$121="입주/잔금",($F156-SUM($G156:AW156))*20%,IF(AZ$121=0,0,IF(AZ$121="2차중도금",$F156*30%-SUM($G156:AY156),IF(AZ$121="3차중도금",$F156*40%-SUM($G156:AY156),IF(AZ$121="4차중도금",$F156*50%-SUM($G156:AY156),$F156*10%)))))))+(IF(AZ$121="5차중도금",$F156*60%-SUM($G156:AY156)-$F156*10%,IF(AZ$121="6차중도금",$F156*70%-SUM($G156:AY156)-$F156*10%,0)))</f>
        <v>0</v>
      </c>
      <c r="BA156" s="605">
        <f>IF(BA$121="입주/잔금",($F156-SUM($G156:AZ156))*30%,IF(AZ$121="입주/잔금",($F156-SUM($G156:AY156))*50%,IF(AY$121="입주/잔금",($F156-SUM($G156:AX156))*20%,IF(BA$121=0,0,IF(BA$121="2차중도금",$F156*30%-SUM($G156:AZ156),IF(BA$121="3차중도금",$F156*40%-SUM($G156:AZ156),IF(BA$121="4차중도금",$F156*50%-SUM($G156:AZ156),$F156*10%)))))))+(IF(BA$121="5차중도금",$F156*60%-SUM($G156:AZ156)-$F156*10%,IF(BA$121="6차중도금",$F156*70%-SUM($G156:AZ156)-$F156*10%,0)))</f>
        <v>0</v>
      </c>
      <c r="BB156" s="605">
        <f>IF(BB$121="입주/잔금",($F156-SUM($G156:BA156))*30%,IF(BA$121="입주/잔금",($F156-SUM($G156:AZ156))*50%,IF(AZ$121="입주/잔금",($F156-SUM($G156:AY156))*20%,IF(BB$121=0,0,IF(BB$121="2차중도금",$F156*30%-SUM($G156:BA156),IF(BB$121="3차중도금",$F156*40%-SUM($G156:BA156),IF(BB$121="4차중도금",$F156*50%-SUM($G156:BA156),$F156*10%)))))))+(IF(BB$121="5차중도금",$F156*60%-SUM($G156:BA156)-$F156*10%,IF(BB$121="6차중도금",$F156*70%-SUM($G156:BA156)-$F156*10%,0)))</f>
        <v>0</v>
      </c>
      <c r="BC156" s="605">
        <f>IF(BC$121="입주/잔금",($F156-SUM($G156:BB156))*30%,IF(BB$121="입주/잔금",($F156-SUM($G156:BA156))*50%,IF(BA$121="입주/잔금",($F156-SUM($G156:AZ156))*20%,IF(BC$121=0,0,IF(BC$121="2차중도금",$F156*30%-SUM($G156:BB156),IF(BC$121="3차중도금",$F156*40%-SUM($G156:BB156),IF(BC$121="4차중도금",$F156*50%-SUM($G156:BB156),$F156*10%)))))))+(IF(BC$121="5차중도금",$F156*60%-SUM($G156:BB156)-$F156*10%,IF(BC$121="6차중도금",$F156*70%-SUM($G156:BB156)-$F156*10%,0)))</f>
        <v>0</v>
      </c>
      <c r="BD156" s="605">
        <f>IF(BD$121="입주/잔금",($F156-SUM($G156:BC156))*30%,IF(BC$121="입주/잔금",($F156-SUM($G156:BB156))*50%,IF(BB$121="입주/잔금",($F156-SUM($G156:BA156))*20%,IF(BD$121=0,0,IF(BD$121="2차중도금",$F156*30%-SUM($G156:BC156),IF(BD$121="3차중도금",$F156*40%-SUM($G156:BC156),IF(BD$121="4차중도금",$F156*50%-SUM($G156:BC156),$F156*10%)))))))+(IF(BD$121="5차중도금",$F156*60%-SUM($G156:BC156)-$F156*10%,IF(BD$121="6차중도금",$F156*70%-SUM($G156:BC156)-$F156*10%,0)))</f>
        <v>0</v>
      </c>
      <c r="BE156" s="605">
        <f>IF(BE$121="입주/잔금",($F156-SUM($G156:BD156))*30%,IF(BD$121="입주/잔금",($F156-SUM($G156:BC156))*50%,IF(BC$121="입주/잔금",($F156-SUM($G156:BB156))*20%,IF(BE$121=0,0,IF(BE$121="2차중도금",$F156*30%-SUM($G156:BD156),IF(BE$121="3차중도금",$F156*40%-SUM($G156:BD156),IF(BE$121="4차중도금",$F156*50%-SUM($G156:BD156),$F156*10%)))))))+(IF(BE$121="5차중도금",$F156*60%-SUM($G156:BD156)-$F156*10%,IF(BE$121="6차중도금",$F156*70%-SUM($G156:BD156)-$F156*10%,0)))</f>
        <v>0</v>
      </c>
      <c r="BF156" s="609">
        <f t="shared" si="51"/>
        <v>0</v>
      </c>
      <c r="BG156" s="556">
        <f t="shared" si="45"/>
        <v>0</v>
      </c>
      <c r="BH156" s="610"/>
    </row>
    <row r="157" spans="1:60">
      <c r="A157" s="1867"/>
      <c r="B157" s="611">
        <f t="shared" si="46"/>
        <v>45901</v>
      </c>
      <c r="C157" s="615">
        <f t="shared" si="50"/>
        <v>21284968.815239683</v>
      </c>
      <c r="D157" s="1501"/>
      <c r="E157" s="612">
        <f t="shared" ref="E157:E168" si="52">E156+D157</f>
        <v>0.70000000000000007</v>
      </c>
      <c r="F157" s="608">
        <f t="shared" ref="F157:F168" si="53">C157*D157</f>
        <v>0</v>
      </c>
      <c r="G157" s="605"/>
      <c r="H157" s="605"/>
      <c r="I157" s="605"/>
      <c r="J157" s="605"/>
      <c r="K157" s="605"/>
      <c r="L157" s="605"/>
      <c r="M157" s="605"/>
      <c r="N157" s="605"/>
      <c r="O157" s="605"/>
      <c r="P157" s="605"/>
      <c r="Q157" s="605"/>
      <c r="R157" s="605"/>
      <c r="S157" s="605"/>
      <c r="T157" s="605"/>
      <c r="U157" s="605"/>
      <c r="V157" s="605"/>
      <c r="W157" s="605"/>
      <c r="X157" s="605"/>
      <c r="Y157" s="605"/>
      <c r="Z157" s="605"/>
      <c r="AA157" s="605"/>
      <c r="AB157" s="605"/>
      <c r="AC157" s="605"/>
      <c r="AD157" s="605"/>
      <c r="AE157" s="605"/>
      <c r="AF157" s="605"/>
      <c r="AG157" s="605"/>
      <c r="AH157" s="605"/>
      <c r="AI157" s="605"/>
      <c r="AJ157" s="605"/>
      <c r="AK157" s="605"/>
      <c r="AL157" s="605"/>
      <c r="AM157" s="605"/>
      <c r="AN157" s="605"/>
      <c r="AO157" s="605"/>
      <c r="AP157" s="605">
        <f>$F157*10%</f>
        <v>0</v>
      </c>
      <c r="AQ157" s="605">
        <f>IF(AQ$121="입주/잔금",($F157-SUM($G157:AP157))*30%,IF(AP$121="입주/잔금",($F157-SUM($G157:AO157))*50%,IF(AO$121="입주/잔금",($F157-SUM($G157:AN157))*20%,IF(AQ$121=0,0,IF(AQ$121="2차중도금",$F157*30%-SUM($G157:AP157),IF(AQ$121="3차중도금",$F157*40%-SUM($G157:AP157),IF(AQ$121="4차중도금",$F157*50%-SUM($G157:AP157),$F157*10%)))))))+(IF(AQ$121="5차중도금",$F157*60%-SUM($G157:AP157)-$F157*10%,IF(AQ$121="6차중도금",$F157*70%-SUM($G157:AP157)-$F157*10%,0)))</f>
        <v>0</v>
      </c>
      <c r="AR157" s="605">
        <f>IF(AR$121="입주/잔금",($F157-SUM($G157:AQ157))*30%,IF(AQ$121="입주/잔금",($F157-SUM($G157:AP157))*50%,IF(AP$121="입주/잔금",($F157-SUM($G157:AO157))*20%,IF(AR$121=0,0,IF(AR$121="2차중도금",$F157*30%-SUM($G157:AQ157),IF(AR$121="3차중도금",$F157*40%-SUM($G157:AQ157),IF(AR$121="4차중도금",$F157*50%-SUM($G157:AQ157),$F157*10%)))))))+(IF(AR$121="5차중도금",$F157*60%-SUM($G157:AQ157)-$F157*10%,IF(AR$121="6차중도금",$F157*70%-SUM($G157:AQ157)-$F157*10%,0)))</f>
        <v>0</v>
      </c>
      <c r="AS157" s="605">
        <f>IF(AS$121="입주/잔금",($F157-SUM($G157:AR157))*30%,IF(AR$121="입주/잔금",($F157-SUM($G157:AQ157))*50%,IF(AQ$121="입주/잔금",($F157-SUM($G157:AP157))*20%,IF(AS$121=0,0,IF(AS$121="2차중도금",$F157*30%-SUM($G157:AR157),IF(AS$121="3차중도금",$F157*40%-SUM($G157:AR157),IF(AS$121="4차중도금",$F157*50%-SUM($G157:AR157),$F157*10%)))))))+(IF(AS$121="5차중도금",$F157*60%-SUM($G157:AR157)-$F157*10%,IF(AS$121="6차중도금",$F157*70%-SUM($G157:AR157)-$F157*10%,0)))</f>
        <v>0</v>
      </c>
      <c r="AT157" s="605">
        <f>IF(AT$121="입주/잔금",($F157-SUM($G157:AS157))*30%,IF(AS$121="입주/잔금",($F157-SUM($G157:AR157))*50%,IF(AR$121="입주/잔금",($F157-SUM($G157:AQ157))*20%,IF(AT$121=0,0,IF(AT$121="2차중도금",$F157*30%-SUM($G157:AS157),IF(AT$121="3차중도금",$F157*40%-SUM($G157:AS157),IF(AT$121="4차중도금",$F157*50%-SUM($G157:AS157),$F157*10%)))))))+(IF(AT$121="5차중도금",$F157*60%-SUM($G157:AS157)-$F157*10%,IF(AT$121="6차중도금",$F157*70%-SUM($G157:AS157)-$F157*10%,0)))</f>
        <v>0</v>
      </c>
      <c r="AU157" s="605">
        <f>IF(AU$121="입주/잔금",($F157-SUM($G157:AT157))*30%,IF(AT$121="입주/잔금",($F157-SUM($G157:AS157))*50%,IF(AS$121="입주/잔금",($F157-SUM($G157:AR157))*20%,IF(AU$121=0,0,IF(AU$121="2차중도금",$F157*30%-SUM($G157:AT157),IF(AU$121="3차중도금",$F157*40%-SUM($G157:AT157),IF(AU$121="4차중도금",$F157*50%-SUM($G157:AT157),$F157*10%)))))))+(IF(AU$121="5차중도금",$F157*60%-SUM($G157:AT157)-$F157*10%,IF(AU$121="6차중도금",$F157*70%-SUM($G157:AT157)-$F157*10%,0)))</f>
        <v>0</v>
      </c>
      <c r="AV157" s="605">
        <f>IF(AV$121="입주/잔금",($F157-SUM($G157:AU157))*30%,IF(AU$121="입주/잔금",($F157-SUM($G157:AT157))*50%,IF(AT$121="입주/잔금",($F157-SUM($G157:AS157))*20%,IF(AV$121=0,0,IF(AV$121="2차중도금",$F157*30%-SUM($G157:AU157),IF(AV$121="3차중도금",$F157*40%-SUM($G157:AU157),IF(AV$121="4차중도금",$F157*50%-SUM($G157:AU157),$F157*10%)))))))+(IF(AV$121="5차중도금",$F157*60%-SUM($G157:AU157)-$F157*10%,IF(AV$121="6차중도금",$F157*70%-SUM($G157:AU157)-$F157*10%,0)))</f>
        <v>0</v>
      </c>
      <c r="AW157" s="605">
        <f>IF(AW$121="입주/잔금",($F157-SUM($G157:AV157))*30%,IF(AV$121="입주/잔금",($F157-SUM($G157:AU157))*50%,IF(AU$121="입주/잔금",($F157-SUM($G157:AT157))*20%,IF(AW$121=0,0,IF(AW$121="2차중도금",$F157*30%-SUM($G157:AV157),IF(AW$121="3차중도금",$F157*40%-SUM($G157:AV157),IF(AW$121="4차중도금",$F157*50%-SUM($G157:AV157),$F157*10%)))))))+(IF(AW$121="5차중도금",$F157*60%-SUM($G157:AV157)-$F157*10%,IF(AW$121="6차중도금",$F157*70%-SUM($G157:AV157)-$F157*10%,0)))</f>
        <v>0</v>
      </c>
      <c r="AX157" s="605">
        <f>IF(AX$121="입주/잔금",($F157-SUM($G157:AW157))*30%,IF(AW$121="입주/잔금",($F157-SUM($G157:AV157))*50%,IF(AV$121="입주/잔금",($F157-SUM($G157:AU157))*20%,IF(AX$121=0,0,IF(AX$121="2차중도금",$F157*30%-SUM($G157:AW157),IF(AX$121="3차중도금",$F157*40%-SUM($G157:AW157),IF(AX$121="4차중도금",$F157*50%-SUM($G157:AW157),$F157*10%)))))))+(IF(AX$121="5차중도금",$F157*60%-SUM($G157:AW157)-$F157*10%,IF(AX$121="6차중도금",$F157*70%-SUM($G157:AW157)-$F157*10%,0)))</f>
        <v>0</v>
      </c>
      <c r="AY157" s="605">
        <f>IF(AY$121="입주/잔금",($F157-SUM($G157:AX157))*30%,IF(AX$121="입주/잔금",($F157-SUM($G157:AW157))*50%,IF(AW$121="입주/잔금",($F157-SUM($G157:AV157))*20%,IF(AY$121=0,0,IF(AY$121="2차중도금",$F157*30%-SUM($G157:AX157),IF(AY$121="3차중도금",$F157*40%-SUM($G157:AX157),IF(AY$121="4차중도금",$F157*50%-SUM($G157:AX157),$F157*10%)))))))+(IF(AY$121="5차중도금",$F157*60%-SUM($G157:AX157)-$F157*10%,IF(AY$121="6차중도금",$F157*70%-SUM($G157:AX157)-$F157*10%,0)))</f>
        <v>0</v>
      </c>
      <c r="AZ157" s="605">
        <f>IF(AZ$121="입주/잔금",($F157-SUM($G157:AY157))*30%,IF(AY$121="입주/잔금",($F157-SUM($G157:AX157))*50%,IF(AX$121="입주/잔금",($F157-SUM($G157:AW157))*20%,IF(AZ$121=0,0,IF(AZ$121="2차중도금",$F157*30%-SUM($G157:AY157),IF(AZ$121="3차중도금",$F157*40%-SUM($G157:AY157),IF(AZ$121="4차중도금",$F157*50%-SUM($G157:AY157),$F157*10%)))))))+(IF(AZ$121="5차중도금",$F157*60%-SUM($G157:AY157)-$F157*10%,IF(AZ$121="6차중도금",$F157*70%-SUM($G157:AY157)-$F157*10%,0)))</f>
        <v>0</v>
      </c>
      <c r="BA157" s="605">
        <f>IF(BA$121="입주/잔금",($F157-SUM($G157:AZ157))*30%,IF(AZ$121="입주/잔금",($F157-SUM($G157:AY157))*50%,IF(AY$121="입주/잔금",($F157-SUM($G157:AX157))*20%,IF(BA$121=0,0,IF(BA$121="2차중도금",$F157*30%-SUM($G157:AZ157),IF(BA$121="3차중도금",$F157*40%-SUM($G157:AZ157),IF(BA$121="4차중도금",$F157*50%-SUM($G157:AZ157),$F157*10%)))))))+(IF(BA$121="5차중도금",$F157*60%-SUM($G157:AZ157)-$F157*10%,IF(BA$121="6차중도금",$F157*70%-SUM($G157:AZ157)-$F157*10%,0)))</f>
        <v>0</v>
      </c>
      <c r="BB157" s="605">
        <f>IF(BB$121="입주/잔금",($F157-SUM($G157:BA157))*30%,IF(BA$121="입주/잔금",($F157-SUM($G157:AZ157))*50%,IF(AZ$121="입주/잔금",($F157-SUM($G157:AY157))*20%,IF(BB$121=0,0,IF(BB$121="2차중도금",$F157*30%-SUM($G157:BA157),IF(BB$121="3차중도금",$F157*40%-SUM($G157:BA157),IF(BB$121="4차중도금",$F157*50%-SUM($G157:BA157),$F157*10%)))))))+(IF(BB$121="5차중도금",$F157*60%-SUM($G157:BA157)-$F157*10%,IF(BB$121="6차중도금",$F157*70%-SUM($G157:BA157)-$F157*10%,0)))</f>
        <v>0</v>
      </c>
      <c r="BC157" s="605">
        <f>IF(BC$121="입주/잔금",($F157-SUM($G157:BB157))*30%,IF(BB$121="입주/잔금",($F157-SUM($G157:BA157))*50%,IF(BA$121="입주/잔금",($F157-SUM($G157:AZ157))*20%,IF(BC$121=0,0,IF(BC$121="2차중도금",$F157*30%-SUM($G157:BB157),IF(BC$121="3차중도금",$F157*40%-SUM($G157:BB157),IF(BC$121="4차중도금",$F157*50%-SUM($G157:BB157),$F157*10%)))))))+(IF(BC$121="5차중도금",$F157*60%-SUM($G157:BB157)-$F157*10%,IF(BC$121="6차중도금",$F157*70%-SUM($G157:BB157)-$F157*10%,0)))</f>
        <v>0</v>
      </c>
      <c r="BD157" s="605">
        <f>IF(BD$121="입주/잔금",($F157-SUM($G157:BC157))*30%,IF(BC$121="입주/잔금",($F157-SUM($G157:BB157))*50%,IF(BB$121="입주/잔금",($F157-SUM($G157:BA157))*20%,IF(BD$121=0,0,IF(BD$121="2차중도금",$F157*30%-SUM($G157:BC157),IF(BD$121="3차중도금",$F157*40%-SUM($G157:BC157),IF(BD$121="4차중도금",$F157*50%-SUM($G157:BC157),$F157*10%)))))))+(IF(BD$121="5차중도금",$F157*60%-SUM($G157:BC157)-$F157*10%,IF(BD$121="6차중도금",$F157*70%-SUM($G157:BC157)-$F157*10%,0)))</f>
        <v>0</v>
      </c>
      <c r="BE157" s="605">
        <f>IF(BE$121="입주/잔금",($F157-SUM($G157:BD157))*30%,IF(BD$121="입주/잔금",($F157-SUM($G157:BC157))*50%,IF(BC$121="입주/잔금",($F157-SUM($G157:BB157))*20%,IF(BE$121=0,0,IF(BE$121="2차중도금",$F157*30%-SUM($G157:BD157),IF(BE$121="3차중도금",$F157*40%-SUM($G157:BD157),IF(BE$121="4차중도금",$F157*50%-SUM($G157:BD157),$F157*10%)))))))+(IF(BE$121="5차중도금",$F157*60%-SUM($G157:BD157)-$F157*10%,IF(BE$121="6차중도금",$F157*70%-SUM($G157:BD157)-$F157*10%,0)))</f>
        <v>0</v>
      </c>
      <c r="BF157" s="609">
        <f t="shared" si="51"/>
        <v>0</v>
      </c>
      <c r="BG157" s="556">
        <f t="shared" si="45"/>
        <v>0</v>
      </c>
      <c r="BH157" s="610"/>
    </row>
    <row r="158" spans="1:60">
      <c r="A158" s="1867"/>
      <c r="B158" s="611">
        <f t="shared" si="46"/>
        <v>45931</v>
      </c>
      <c r="C158" s="615">
        <f t="shared" si="50"/>
        <v>21284968.815239683</v>
      </c>
      <c r="D158" s="1501"/>
      <c r="E158" s="607">
        <f t="shared" si="52"/>
        <v>0.70000000000000007</v>
      </c>
      <c r="F158" s="608">
        <f t="shared" si="53"/>
        <v>0</v>
      </c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05"/>
      <c r="AB158" s="605"/>
      <c r="AC158" s="605"/>
      <c r="AD158" s="605"/>
      <c r="AE158" s="605"/>
      <c r="AF158" s="605"/>
      <c r="AG158" s="605"/>
      <c r="AH158" s="605"/>
      <c r="AI158" s="605"/>
      <c r="AJ158" s="605"/>
      <c r="AK158" s="605"/>
      <c r="AL158" s="605"/>
      <c r="AM158" s="605"/>
      <c r="AN158" s="605"/>
      <c r="AO158" s="605"/>
      <c r="AP158" s="605"/>
      <c r="AQ158" s="605">
        <f>$F158*10%</f>
        <v>0</v>
      </c>
      <c r="AR158" s="605">
        <f>IF(AR$121="입주/잔금",($F158-SUM($G158:AQ158))*30%,IF(AQ$121="입주/잔금",($F158-SUM($G158:AP158))*50%,IF(AP$121="입주/잔금",($F158-SUM($G158:AO158))*20%,IF(AR$121=0,0,IF(AR$121="2차중도금",$F158*30%-SUM($G158:AQ158),IF(AR$121="3차중도금",$F158*40%-SUM($G158:AQ158),IF(AR$121="4차중도금",$F158*50%-SUM($G158:AQ158),$F158*10%)))))))+(IF(AR$121="5차중도금",$F158*60%-SUM($G158:AQ158)-$F158*10%,IF(AR$121="6차중도금",$F158*70%-SUM($G158:AQ158)-$F158*10%,0)))</f>
        <v>0</v>
      </c>
      <c r="AS158" s="605">
        <f>IF(AS$121="입주/잔금",($F158-SUM($G158:AR158))*30%,IF(AR$121="입주/잔금",($F158-SUM($G158:AQ158))*50%,IF(AQ$121="입주/잔금",($F158-SUM($G158:AP158))*20%,IF(AS$121=0,0,IF(AS$121="2차중도금",$F158*30%-SUM($G158:AR158),IF(AS$121="3차중도금",$F158*40%-SUM($G158:AR158),IF(AS$121="4차중도금",$F158*50%-SUM($G158:AR158),$F158*10%)))))))+(IF(AS$121="5차중도금",$F158*60%-SUM($G158:AR158)-$F158*10%,IF(AS$121="6차중도금",$F158*70%-SUM($G158:AR158)-$F158*10%,0)))</f>
        <v>0</v>
      </c>
      <c r="AT158" s="605">
        <f>IF(AT$121="입주/잔금",($F158-SUM($G158:AS158))*30%,IF(AS$121="입주/잔금",($F158-SUM($G158:AR158))*50%,IF(AR$121="입주/잔금",($F158-SUM($G158:AQ158))*20%,IF(AT$121=0,0,IF(AT$121="2차중도금",$F158*30%-SUM($G158:AS158),IF(AT$121="3차중도금",$F158*40%-SUM($G158:AS158),IF(AT$121="4차중도금",$F158*50%-SUM($G158:AS158),$F158*10%)))))))+(IF(AT$121="5차중도금",$F158*60%-SUM($G158:AS158)-$F158*10%,IF(AT$121="6차중도금",$F158*70%-SUM($G158:AS158)-$F158*10%,0)))</f>
        <v>0</v>
      </c>
      <c r="AU158" s="605">
        <f>IF(AU$121="입주/잔금",($F158-SUM($G158:AT158))*30%,IF(AT$121="입주/잔금",($F158-SUM($G158:AS158))*50%,IF(AS$121="입주/잔금",($F158-SUM($G158:AR158))*20%,IF(AU$121=0,0,IF(AU$121="2차중도금",$F158*30%-SUM($G158:AT158),IF(AU$121="3차중도금",$F158*40%-SUM($G158:AT158),IF(AU$121="4차중도금",$F158*50%-SUM($G158:AT158),$F158*10%)))))))+(IF(AU$121="5차중도금",$F158*60%-SUM($G158:AT158)-$F158*10%,IF(AU$121="6차중도금",$F158*70%-SUM($G158:AT158)-$F158*10%,0)))</f>
        <v>0</v>
      </c>
      <c r="AV158" s="605">
        <f>IF(AV$121="입주/잔금",($F158-SUM($G158:AU158))*30%,IF(AU$121="입주/잔금",($F158-SUM($G158:AT158))*50%,IF(AT$121="입주/잔금",($F158-SUM($G158:AS158))*20%,IF(AV$121=0,0,IF(AV$121="2차중도금",$F158*30%-SUM($G158:AU158),IF(AV$121="3차중도금",$F158*40%-SUM($G158:AU158),IF(AV$121="4차중도금",$F158*50%-SUM($G158:AU158),$F158*10%)))))))+(IF(AV$121="5차중도금",$F158*60%-SUM($G158:AU158)-$F158*10%,IF(AV$121="6차중도금",$F158*70%-SUM($G158:AU158)-$F158*10%,0)))</f>
        <v>0</v>
      </c>
      <c r="AW158" s="605">
        <f>IF(AW$121="입주/잔금",($F158-SUM($G158:AV158))*30%,IF(AV$121="입주/잔금",($F158-SUM($G158:AU158))*50%,IF(AU$121="입주/잔금",($F158-SUM($G158:AT158))*20%,IF(AW$121=0,0,IF(AW$121="2차중도금",$F158*30%-SUM($G158:AV158),IF(AW$121="3차중도금",$F158*40%-SUM($G158:AV158),IF(AW$121="4차중도금",$F158*50%-SUM($G158:AV158),$F158*10%)))))))+(IF(AW$121="5차중도금",$F158*60%-SUM($G158:AV158)-$F158*10%,IF(AW$121="6차중도금",$F158*70%-SUM($G158:AV158)-$F158*10%,0)))</f>
        <v>0</v>
      </c>
      <c r="AX158" s="605">
        <f>IF(AX$121="입주/잔금",($F158-SUM($G158:AW158))*30%,IF(AW$121="입주/잔금",($F158-SUM($G158:AV158))*50%,IF(AV$121="입주/잔금",($F158-SUM($G158:AU158))*20%,IF(AX$121=0,0,IF(AX$121="2차중도금",$F158*30%-SUM($G158:AW158),IF(AX$121="3차중도금",$F158*40%-SUM($G158:AW158),IF(AX$121="4차중도금",$F158*50%-SUM($G158:AW158),$F158*10%)))))))+(IF(AX$121="5차중도금",$F158*60%-SUM($G158:AW158)-$F158*10%,IF(AX$121="6차중도금",$F158*70%-SUM($G158:AW158)-$F158*10%,0)))</f>
        <v>0</v>
      </c>
      <c r="AY158" s="605">
        <f>IF(AY$121="입주/잔금",($F158-SUM($G158:AX158))*30%,IF(AX$121="입주/잔금",($F158-SUM($G158:AW158))*50%,IF(AW$121="입주/잔금",($F158-SUM($G158:AV158))*20%,IF(AY$121=0,0,IF(AY$121="2차중도금",$F158*30%-SUM($G158:AX158),IF(AY$121="3차중도금",$F158*40%-SUM($G158:AX158),IF(AY$121="4차중도금",$F158*50%-SUM($G158:AX158),$F158*10%)))))))+(IF(AY$121="5차중도금",$F158*60%-SUM($G158:AX158)-$F158*10%,IF(AY$121="6차중도금",$F158*70%-SUM($G158:AX158)-$F158*10%,0)))</f>
        <v>0</v>
      </c>
      <c r="AZ158" s="605">
        <f>IF(AZ$121="입주/잔금",($F158-SUM($G158:AY158))*30%,IF(AY$121="입주/잔금",($F158-SUM($G158:AX158))*50%,IF(AX$121="입주/잔금",($F158-SUM($G158:AW158))*20%,IF(AZ$121=0,0,IF(AZ$121="2차중도금",$F158*30%-SUM($G158:AY158),IF(AZ$121="3차중도금",$F158*40%-SUM($G158:AY158),IF(AZ$121="4차중도금",$F158*50%-SUM($G158:AY158),$F158*10%)))))))+(IF(AZ$121="5차중도금",$F158*60%-SUM($G158:AY158)-$F158*10%,IF(AZ$121="6차중도금",$F158*70%-SUM($G158:AY158)-$F158*10%,0)))</f>
        <v>0</v>
      </c>
      <c r="BA158" s="605">
        <f>IF(BA$121="입주/잔금",($F158-SUM($G158:AZ158))*30%,IF(AZ$121="입주/잔금",($F158-SUM($G158:AY158))*50%,IF(AY$121="입주/잔금",($F158-SUM($G158:AX158))*20%,IF(BA$121=0,0,IF(BA$121="2차중도금",$F158*30%-SUM($G158:AZ158),IF(BA$121="3차중도금",$F158*40%-SUM($G158:AZ158),IF(BA$121="4차중도금",$F158*50%-SUM($G158:AZ158),$F158*10%)))))))+(IF(BA$121="5차중도금",$F158*60%-SUM($G158:AZ158)-$F158*10%,IF(BA$121="6차중도금",$F158*70%-SUM($G158:AZ158)-$F158*10%,0)))</f>
        <v>0</v>
      </c>
      <c r="BB158" s="605">
        <f>IF(BB$121="입주/잔금",($F158-SUM($G158:BA158))*30%,IF(BA$121="입주/잔금",($F158-SUM($G158:AZ158))*50%,IF(AZ$121="입주/잔금",($F158-SUM($G158:AY158))*20%,IF(BB$121=0,0,IF(BB$121="2차중도금",$F158*30%-SUM($G158:BA158),IF(BB$121="3차중도금",$F158*40%-SUM($G158:BA158),IF(BB$121="4차중도금",$F158*50%-SUM($G158:BA158),$F158*10%)))))))+(IF(BB$121="5차중도금",$F158*60%-SUM($G158:BA158)-$F158*10%,IF(BB$121="6차중도금",$F158*70%-SUM($G158:BA158)-$F158*10%,0)))</f>
        <v>0</v>
      </c>
      <c r="BC158" s="605">
        <f>IF(BC$121="입주/잔금",($F158-SUM($G158:BB158))*30%,IF(BB$121="입주/잔금",($F158-SUM($G158:BA158))*50%,IF(BA$121="입주/잔금",($F158-SUM($G158:AZ158))*20%,IF(BC$121=0,0,IF(BC$121="2차중도금",$F158*30%-SUM($G158:BB158),IF(BC$121="3차중도금",$F158*40%-SUM($G158:BB158),IF(BC$121="4차중도금",$F158*50%-SUM($G158:BB158),$F158*10%)))))))+(IF(BC$121="5차중도금",$F158*60%-SUM($G158:BB158)-$F158*10%,IF(BC$121="6차중도금",$F158*70%-SUM($G158:BB158)-$F158*10%,0)))</f>
        <v>0</v>
      </c>
      <c r="BD158" s="605">
        <f>IF(BD$121="입주/잔금",($F158-SUM($G158:BC158))*30%,IF(BC$121="입주/잔금",($F158-SUM($G158:BB158))*50%,IF(BB$121="입주/잔금",($F158-SUM($G158:BA158))*20%,IF(BD$121=0,0,IF(BD$121="2차중도금",$F158*30%-SUM($G158:BC158),IF(BD$121="3차중도금",$F158*40%-SUM($G158:BC158),IF(BD$121="4차중도금",$F158*50%-SUM($G158:BC158),$F158*10%)))))))+(IF(BD$121="5차중도금",$F158*60%-SUM($G158:BC158)-$F158*10%,IF(BD$121="6차중도금",$F158*70%-SUM($G158:BC158)-$F158*10%,0)))</f>
        <v>0</v>
      </c>
      <c r="BE158" s="605">
        <f>IF(BE$121="입주/잔금",($F158-SUM($G158:BD158))*30%,IF(BD$121="입주/잔금",($F158-SUM($G158:BC158))*50%,IF(BC$121="입주/잔금",($F158-SUM($G158:BB158))*20%,IF(BE$121=0,0,IF(BE$121="2차중도금",$F158*30%-SUM($G158:BD158),IF(BE$121="3차중도금",$F158*40%-SUM($G158:BD158),IF(BE$121="4차중도금",$F158*50%-SUM($G158:BD158),$F158*10%)))))))+(IF(BE$121="5차중도금",$F158*60%-SUM($G158:BD158)-$F158*10%,IF(BE$121="6차중도금",$F158*70%-SUM($G158:BD158)-$F158*10%,0)))</f>
        <v>0</v>
      </c>
      <c r="BF158" s="609">
        <f t="shared" si="51"/>
        <v>0</v>
      </c>
      <c r="BG158" s="556">
        <f t="shared" si="45"/>
        <v>0</v>
      </c>
      <c r="BH158" s="610"/>
    </row>
    <row r="159" spans="1:60">
      <c r="A159" s="1867"/>
      <c r="B159" s="604">
        <f t="shared" si="46"/>
        <v>45962</v>
      </c>
      <c r="C159" s="615">
        <f t="shared" si="50"/>
        <v>21284968.815239683</v>
      </c>
      <c r="D159" s="1501"/>
      <c r="E159" s="607">
        <f t="shared" si="52"/>
        <v>0.70000000000000007</v>
      </c>
      <c r="F159" s="608">
        <f t="shared" si="53"/>
        <v>0</v>
      </c>
      <c r="G159" s="605"/>
      <c r="H159" s="605"/>
      <c r="I159" s="605"/>
      <c r="J159" s="605"/>
      <c r="K159" s="605"/>
      <c r="L159" s="605"/>
      <c r="M159" s="605"/>
      <c r="N159" s="605"/>
      <c r="O159" s="605"/>
      <c r="P159" s="605"/>
      <c r="Q159" s="605"/>
      <c r="R159" s="605"/>
      <c r="S159" s="605"/>
      <c r="T159" s="605"/>
      <c r="U159" s="605"/>
      <c r="V159" s="605"/>
      <c r="W159" s="605"/>
      <c r="X159" s="605"/>
      <c r="Y159" s="605"/>
      <c r="Z159" s="605"/>
      <c r="AA159" s="605"/>
      <c r="AB159" s="605"/>
      <c r="AC159" s="605"/>
      <c r="AD159" s="605"/>
      <c r="AE159" s="605"/>
      <c r="AF159" s="605"/>
      <c r="AG159" s="605"/>
      <c r="AH159" s="605"/>
      <c r="AI159" s="605"/>
      <c r="AJ159" s="605"/>
      <c r="AK159" s="605"/>
      <c r="AL159" s="605"/>
      <c r="AM159" s="605"/>
      <c r="AN159" s="605"/>
      <c r="AO159" s="605"/>
      <c r="AP159" s="605"/>
      <c r="AQ159" s="605"/>
      <c r="AR159" s="605">
        <f>$F159*10%</f>
        <v>0</v>
      </c>
      <c r="AS159" s="605">
        <f>IF(AS$121="입주/잔금",($F159-SUM($G159:AR159))*30%,IF(AR$121="입주/잔금",($F159-SUM($G159:AQ159))*50%,IF(AQ$121="입주/잔금",($F159-SUM($G159:AP159))*20%,IF(AS$121=0,0,IF(AS$121="2차중도금",$F159*30%-SUM($G159:AR159),IF(AS$121="3차중도금",$F159*40%-SUM($G159:AR159),IF(AS$121="4차중도금",$F159*50%-SUM($G159:AR159),$F159*10%)))))))+(IF(AS$121="5차중도금",$F159*60%-SUM($G159:AR159)-$F159*10%,IF(AS$121="6차중도금",$F159*70%-SUM($G159:AR159)-$F159*10%,0)))</f>
        <v>0</v>
      </c>
      <c r="AT159" s="605">
        <f>IF(AT$121="입주/잔금",($F159-SUM($G159:AS159))*30%,IF(AS$121="입주/잔금",($F159-SUM($G159:AR159))*50%,IF(AR$121="입주/잔금",($F159-SUM($G159:AQ159))*20%,IF(AT$121=0,0,IF(AT$121="2차중도금",$F159*30%-SUM($G159:AS159),IF(AT$121="3차중도금",$F159*40%-SUM($G159:AS159),IF(AT$121="4차중도금",$F159*50%-SUM($G159:AS159),$F159*10%)))))))+(IF(AT$121="5차중도금",$F159*60%-SUM($G159:AS159)-$F159*10%,IF(AT$121="6차중도금",$F159*70%-SUM($G159:AS159)-$F159*10%,0)))</f>
        <v>0</v>
      </c>
      <c r="AU159" s="605">
        <f>IF(AU$121="입주/잔금",($F159-SUM($G159:AT159))*30%,IF(AT$121="입주/잔금",($F159-SUM($G159:AS159))*50%,IF(AS$121="입주/잔금",($F159-SUM($G159:AR159))*20%,IF(AU$121=0,0,IF(AU$121="2차중도금",$F159*30%-SUM($G159:AT159),IF(AU$121="3차중도금",$F159*40%-SUM($G159:AT159),IF(AU$121="4차중도금",$F159*50%-SUM($G159:AT159),$F159*10%)))))))+(IF(AU$121="5차중도금",$F159*60%-SUM($G159:AT159)-$F159*10%,IF(AU$121="6차중도금",$F159*70%-SUM($G159:AT159)-$F159*10%,0)))</f>
        <v>0</v>
      </c>
      <c r="AV159" s="605">
        <f>IF(AV$121="입주/잔금",($F159-SUM($G159:AU159))*30%,IF(AU$121="입주/잔금",($F159-SUM($G159:AT159))*50%,IF(AT$121="입주/잔금",($F159-SUM($G159:AS159))*20%,IF(AV$121=0,0,IF(AV$121="2차중도금",$F159*30%-SUM($G159:AU159),IF(AV$121="3차중도금",$F159*40%-SUM($G159:AU159),IF(AV$121="4차중도금",$F159*50%-SUM($G159:AU159),$F159*10%)))))))+(IF(AV$121="5차중도금",$F159*60%-SUM($G159:AU159)-$F159*10%,IF(AV$121="6차중도금",$F159*70%-SUM($G159:AU159)-$F159*10%,0)))</f>
        <v>0</v>
      </c>
      <c r="AW159" s="605">
        <f>IF(AW$121="입주/잔금",($F159-SUM($G159:AV159))*30%,IF(AV$121="입주/잔금",($F159-SUM($G159:AU159))*50%,IF(AU$121="입주/잔금",($F159-SUM($G159:AT159))*20%,IF(AW$121=0,0,IF(AW$121="2차중도금",$F159*30%-SUM($G159:AV159),IF(AW$121="3차중도금",$F159*40%-SUM($G159:AV159),IF(AW$121="4차중도금",$F159*50%-SUM($G159:AV159),$F159*10%)))))))+(IF(AW$121="5차중도금",$F159*60%-SUM($G159:AV159)-$F159*10%,IF(AW$121="6차중도금",$F159*70%-SUM($G159:AV159)-$F159*10%,0)))</f>
        <v>0</v>
      </c>
      <c r="AX159" s="605">
        <f>IF(AX$121="입주/잔금",($F159-SUM($G159:AW159))*30%,IF(AW$121="입주/잔금",($F159-SUM($G159:AV159))*50%,IF(AV$121="입주/잔금",($F159-SUM($G159:AU159))*20%,IF(AX$121=0,0,IF(AX$121="2차중도금",$F159*30%-SUM($G159:AW159),IF(AX$121="3차중도금",$F159*40%-SUM($G159:AW159),IF(AX$121="4차중도금",$F159*50%-SUM($G159:AW159),$F159*10%)))))))+(IF(AX$121="5차중도금",$F159*60%-SUM($G159:AW159)-$F159*10%,IF(AX$121="6차중도금",$F159*70%-SUM($G159:AW159)-$F159*10%,0)))</f>
        <v>0</v>
      </c>
      <c r="AY159" s="605">
        <f>IF(AY$121="입주/잔금",($F159-SUM($G159:AX159))*30%,IF(AX$121="입주/잔금",($F159-SUM($G159:AW159))*50%,IF(AW$121="입주/잔금",($F159-SUM($G159:AV159))*20%,IF(AY$121=0,0,IF(AY$121="2차중도금",$F159*30%-SUM($G159:AX159),IF(AY$121="3차중도금",$F159*40%-SUM($G159:AX159),IF(AY$121="4차중도금",$F159*50%-SUM($G159:AX159),$F159*10%)))))))+(IF(AY$121="5차중도금",$F159*60%-SUM($G159:AX159)-$F159*10%,IF(AY$121="6차중도금",$F159*70%-SUM($G159:AX159)-$F159*10%,0)))</f>
        <v>0</v>
      </c>
      <c r="AZ159" s="605">
        <f>IF(AZ$121="입주/잔금",($F159-SUM($G159:AY159))*30%,IF(AY$121="입주/잔금",($F159-SUM($G159:AX159))*50%,IF(AX$121="입주/잔금",($F159-SUM($G159:AW159))*20%,IF(AZ$121=0,0,IF(AZ$121="2차중도금",$F159*30%-SUM($G159:AY159),IF(AZ$121="3차중도금",$F159*40%-SUM($G159:AY159),IF(AZ$121="4차중도금",$F159*50%-SUM($G159:AY159),$F159*10%)))))))+(IF(AZ$121="5차중도금",$F159*60%-SUM($G159:AY159)-$F159*10%,IF(AZ$121="6차중도금",$F159*70%-SUM($G159:AY159)-$F159*10%,0)))</f>
        <v>0</v>
      </c>
      <c r="BA159" s="605">
        <f>IF(BA$121="입주/잔금",($F159-SUM($G159:AZ159))*30%,IF(AZ$121="입주/잔금",($F159-SUM($G159:AY159))*50%,IF(AY$121="입주/잔금",($F159-SUM($G159:AX159))*20%,IF(BA$121=0,0,IF(BA$121="2차중도금",$F159*30%-SUM($G159:AZ159),IF(BA$121="3차중도금",$F159*40%-SUM($G159:AZ159),IF(BA$121="4차중도금",$F159*50%-SUM($G159:AZ159),$F159*10%)))))))+(IF(BA$121="5차중도금",$F159*60%-SUM($G159:AZ159)-$F159*10%,IF(BA$121="6차중도금",$F159*70%-SUM($G159:AZ159)-$F159*10%,0)))</f>
        <v>0</v>
      </c>
      <c r="BB159" s="605">
        <f>IF(BB$121="입주/잔금",($F159-SUM($G159:BA159))*30%,IF(BA$121="입주/잔금",($F159-SUM($G159:AZ159))*50%,IF(AZ$121="입주/잔금",($F159-SUM($G159:AY159))*20%,IF(BB$121=0,0,IF(BB$121="2차중도금",$F159*30%-SUM($G159:BA159),IF(BB$121="3차중도금",$F159*40%-SUM($G159:BA159),IF(BB$121="4차중도금",$F159*50%-SUM($G159:BA159),$F159*10%)))))))+(IF(BB$121="5차중도금",$F159*60%-SUM($G159:BA159)-$F159*10%,IF(BB$121="6차중도금",$F159*70%-SUM($G159:BA159)-$F159*10%,0)))</f>
        <v>0</v>
      </c>
      <c r="BC159" s="605">
        <f>IF(BC$121="입주/잔금",($F159-SUM($G159:BB159))*30%,IF(BB$121="입주/잔금",($F159-SUM($G159:BA159))*50%,IF(BA$121="입주/잔금",($F159-SUM($G159:AZ159))*20%,IF(BC$121=0,0,IF(BC$121="2차중도금",$F159*30%-SUM($G159:BB159),IF(BC$121="3차중도금",$F159*40%-SUM($G159:BB159),IF(BC$121="4차중도금",$F159*50%-SUM($G159:BB159),$F159*10%)))))))+(IF(BC$121="5차중도금",$F159*60%-SUM($G159:BB159)-$F159*10%,IF(BC$121="6차중도금",$F159*70%-SUM($G159:BB159)-$F159*10%,0)))</f>
        <v>0</v>
      </c>
      <c r="BD159" s="605">
        <f>IF(BD$121="입주/잔금",($F159-SUM($G159:BC159))*30%,IF(BC$121="입주/잔금",($F159-SUM($G159:BB159))*50%,IF(BB$121="입주/잔금",($F159-SUM($G159:BA159))*20%,IF(BD$121=0,0,IF(BD$121="2차중도금",$F159*30%-SUM($G159:BC159),IF(BD$121="3차중도금",$F159*40%-SUM($G159:BC159),IF(BD$121="4차중도금",$F159*50%-SUM($G159:BC159),$F159*10%)))))))+(IF(BD$121="5차중도금",$F159*60%-SUM($G159:BC159)-$F159*10%,IF(BD$121="6차중도금",$F159*70%-SUM($G159:BC159)-$F159*10%,0)))</f>
        <v>0</v>
      </c>
      <c r="BE159" s="605">
        <f>IF(BE$121="입주/잔금",($F159-SUM($G159:BD159))*30%,IF(BD$121="입주/잔금",($F159-SUM($G159:BC159))*50%,IF(BC$121="입주/잔금",($F159-SUM($G159:BB159))*20%,IF(BE$121=0,0,IF(BE$121="2차중도금",$F159*30%-SUM($G159:BD159),IF(BE$121="3차중도금",$F159*40%-SUM($G159:BD159),IF(BE$121="4차중도금",$F159*50%-SUM($G159:BD159),$F159*10%)))))))+(IF(BE$121="5차중도금",$F159*60%-SUM($G159:BD159)-$F159*10%,IF(BE$121="6차중도금",$F159*70%-SUM($G159:BD159)-$F159*10%,0)))</f>
        <v>0</v>
      </c>
      <c r="BF159" s="609">
        <f t="shared" si="51"/>
        <v>0</v>
      </c>
      <c r="BG159" s="556">
        <f t="shared" si="45"/>
        <v>0</v>
      </c>
      <c r="BH159" s="610"/>
    </row>
    <row r="160" spans="1:60">
      <c r="A160" s="1867"/>
      <c r="B160" s="611">
        <f t="shared" si="46"/>
        <v>45992</v>
      </c>
      <c r="C160" s="615">
        <f t="shared" si="50"/>
        <v>21284968.815239683</v>
      </c>
      <c r="D160" s="1501"/>
      <c r="E160" s="607">
        <f t="shared" si="52"/>
        <v>0.70000000000000007</v>
      </c>
      <c r="F160" s="608">
        <f t="shared" si="53"/>
        <v>0</v>
      </c>
      <c r="G160" s="605"/>
      <c r="H160" s="605"/>
      <c r="I160" s="605"/>
      <c r="J160" s="605"/>
      <c r="K160" s="605"/>
      <c r="L160" s="605"/>
      <c r="M160" s="605"/>
      <c r="N160" s="605"/>
      <c r="O160" s="605"/>
      <c r="P160" s="605"/>
      <c r="Q160" s="605"/>
      <c r="R160" s="605"/>
      <c r="S160" s="605"/>
      <c r="T160" s="605"/>
      <c r="U160" s="605"/>
      <c r="V160" s="605"/>
      <c r="W160" s="605"/>
      <c r="X160" s="605"/>
      <c r="Y160" s="605"/>
      <c r="Z160" s="605"/>
      <c r="AA160" s="605"/>
      <c r="AB160" s="605"/>
      <c r="AC160" s="605"/>
      <c r="AD160" s="605"/>
      <c r="AE160" s="605"/>
      <c r="AF160" s="605"/>
      <c r="AG160" s="605"/>
      <c r="AH160" s="605"/>
      <c r="AI160" s="605"/>
      <c r="AJ160" s="605"/>
      <c r="AK160" s="605"/>
      <c r="AL160" s="605"/>
      <c r="AM160" s="605"/>
      <c r="AN160" s="605"/>
      <c r="AO160" s="605"/>
      <c r="AP160" s="605"/>
      <c r="AQ160" s="605"/>
      <c r="AR160" s="605"/>
      <c r="AS160" s="605">
        <f>$F160*10%</f>
        <v>0</v>
      </c>
      <c r="AT160" s="605">
        <f>IF(AT$121="입주/잔금",($F160-SUM($G160:AS160))*30%,IF(AS$121="입주/잔금",($F160-SUM($G160:AR160))*50%,IF(AR$121="입주/잔금",($F160-SUM($G160:AQ160))*20%,IF(AT$121=0,0,IF(AT$121="2차중도금",$F160*30%-SUM($G160:AS160),IF(AT$121="3차중도금",$F160*40%-SUM($G160:AS160),IF(AT$121="4차중도금",$F160*50%-SUM($G160:AS160),$F160*10%)))))))+(IF(AT$121="5차중도금",$F160*60%-SUM($G160:AS160)-$F160*10%,IF(AT$121="6차중도금",$F160*70%-SUM($G160:AS160)-$F160*10%,0)))</f>
        <v>0</v>
      </c>
      <c r="AU160" s="605">
        <f>IF(AU$121="입주/잔금",($F160-SUM($G160:AT160))*30%,IF(AT$121="입주/잔금",($F160-SUM($G160:AS160))*50%,IF(AS$121="입주/잔금",($F160-SUM($G160:AR160))*20%,IF(AU$121=0,0,IF(AU$121="2차중도금",$F160*30%-SUM($G160:AT160),IF(AU$121="3차중도금",$F160*40%-SUM($G160:AT160),IF(AU$121="4차중도금",$F160*50%-SUM($G160:AT160),$F160*10%)))))))+(IF(AU$121="5차중도금",$F160*60%-SUM($G160:AT160)-$F160*10%,IF(AU$121="6차중도금",$F160*70%-SUM($G160:AT160)-$F160*10%,0)))</f>
        <v>0</v>
      </c>
      <c r="AV160" s="605">
        <f>IF(AV$121="입주/잔금",($F160-SUM($G160:AU160))*30%,IF(AU$121="입주/잔금",($F160-SUM($G160:AT160))*50%,IF(AT$121="입주/잔금",($F160-SUM($G160:AS160))*20%,IF(AV$121=0,0,IF(AV$121="2차중도금",$F160*30%-SUM($G160:AU160),IF(AV$121="3차중도금",$F160*40%-SUM($G160:AU160),IF(AV$121="4차중도금",$F160*50%-SUM($G160:AU160),$F160*10%)))))))+(IF(AV$121="5차중도금",$F160*60%-SUM($G160:AU160)-$F160*10%,IF(AV$121="6차중도금",$F160*70%-SUM($G160:AU160)-$F160*10%,0)))</f>
        <v>0</v>
      </c>
      <c r="AW160" s="605">
        <f>IF(AW$121="입주/잔금",($F160-SUM($G160:AV160))*30%,IF(AV$121="입주/잔금",($F160-SUM($G160:AU160))*50%,IF(AU$121="입주/잔금",($F160-SUM($G160:AT160))*20%,IF(AW$121=0,0,IF(AW$121="2차중도금",$F160*30%-SUM($G160:AV160),IF(AW$121="3차중도금",$F160*40%-SUM($G160:AV160),IF(AW$121="4차중도금",$F160*50%-SUM($G160:AV160),$F160*10%)))))))+(IF(AW$121="5차중도금",$F160*60%-SUM($G160:AV160)-$F160*10%,IF(AW$121="6차중도금",$F160*70%-SUM($G160:AV160)-$F160*10%,0)))</f>
        <v>0</v>
      </c>
      <c r="AX160" s="605">
        <f>IF(AX$121="입주/잔금",($F160-SUM($G160:AW160))*30%,IF(AW$121="입주/잔금",($F160-SUM($G160:AV160))*50%,IF(AV$121="입주/잔금",($F160-SUM($G160:AU160))*20%,IF(AX$121=0,0,IF(AX$121="2차중도금",$F160*30%-SUM($G160:AW160),IF(AX$121="3차중도금",$F160*40%-SUM($G160:AW160),IF(AX$121="4차중도금",$F160*50%-SUM($G160:AW160),$F160*10%)))))))+(IF(AX$121="5차중도금",$F160*60%-SUM($G160:AW160)-$F160*10%,IF(AX$121="6차중도금",$F160*70%-SUM($G160:AW160)-$F160*10%,0)))</f>
        <v>0</v>
      </c>
      <c r="AY160" s="605">
        <f>IF(AY$121="입주/잔금",($F160-SUM($G160:AX160))*30%,IF(AX$121="입주/잔금",($F160-SUM($G160:AW160))*50%,IF(AW$121="입주/잔금",($F160-SUM($G160:AV160))*20%,IF(AY$121=0,0,IF(AY$121="2차중도금",$F160*30%-SUM($G160:AX160),IF(AY$121="3차중도금",$F160*40%-SUM($G160:AX160),IF(AY$121="4차중도금",$F160*50%-SUM($G160:AX160),$F160*10%)))))))+(IF(AY$121="5차중도금",$F160*60%-SUM($G160:AX160)-$F160*10%,IF(AY$121="6차중도금",$F160*70%-SUM($G160:AX160)-$F160*10%,0)))</f>
        <v>0</v>
      </c>
      <c r="AZ160" s="605">
        <f>IF(AZ$121="입주/잔금",($F160-SUM($G160:AY160))*30%,IF(AY$121="입주/잔금",($F160-SUM($G160:AX160))*50%,IF(AX$121="입주/잔금",($F160-SUM($G160:AW160))*20%,IF(AZ$121=0,0,IF(AZ$121="2차중도금",$F160*30%-SUM($G160:AY160),IF(AZ$121="3차중도금",$F160*40%-SUM($G160:AY160),IF(AZ$121="4차중도금",$F160*50%-SUM($G160:AY160),$F160*10%)))))))+(IF(AZ$121="5차중도금",$F160*60%-SUM($G160:AY160)-$F160*10%,IF(AZ$121="6차중도금",$F160*70%-SUM($G160:AY160)-$F160*10%,0)))</f>
        <v>0</v>
      </c>
      <c r="BA160" s="605">
        <f>IF(BA$121="입주/잔금",($F160-SUM($G160:AZ160))*30%,IF(AZ$121="입주/잔금",($F160-SUM($G160:AY160))*50%,IF(AY$121="입주/잔금",($F160-SUM($G160:AX160))*20%,IF(BA$121=0,0,IF(BA$121="2차중도금",$F160*30%-SUM($G160:AZ160),IF(BA$121="3차중도금",$F160*40%-SUM($G160:AZ160),IF(BA$121="4차중도금",$F160*50%-SUM($G160:AZ160),$F160*10%)))))))+(IF(BA$121="5차중도금",$F160*60%-SUM($G160:AZ160)-$F160*10%,IF(BA$121="6차중도금",$F160*70%-SUM($G160:AZ160)-$F160*10%,0)))</f>
        <v>0</v>
      </c>
      <c r="BB160" s="605">
        <f>IF(BB$121="입주/잔금",($F160-SUM($G160:BA160))*30%,IF(BA$121="입주/잔금",($F160-SUM($G160:AZ160))*50%,IF(AZ$121="입주/잔금",($F160-SUM($G160:AY160))*20%,IF(BB$121=0,0,IF(BB$121="2차중도금",$F160*30%-SUM($G160:BA160),IF(BB$121="3차중도금",$F160*40%-SUM($G160:BA160),IF(BB$121="4차중도금",$F160*50%-SUM($G160:BA160),$F160*10%)))))))+(IF(BB$121="5차중도금",$F160*60%-SUM($G160:BA160)-$F160*10%,IF(BB$121="6차중도금",$F160*70%-SUM($G160:BA160)-$F160*10%,0)))</f>
        <v>0</v>
      </c>
      <c r="BC160" s="605">
        <f>IF(BC$121="입주/잔금",($F160-SUM($G160:BB160))*30%,IF(BB$121="입주/잔금",($F160-SUM($G160:BA160))*50%,IF(BA$121="입주/잔금",($F160-SUM($G160:AZ160))*20%,IF(BC$121=0,0,IF(BC$121="2차중도금",$F160*30%-SUM($G160:BB160),IF(BC$121="3차중도금",$F160*40%-SUM($G160:BB160),IF(BC$121="4차중도금",$F160*50%-SUM($G160:BB160),$F160*10%)))))))+(IF(BC$121="5차중도금",$F160*60%-SUM($G160:BB160)-$F160*10%,IF(BC$121="6차중도금",$F160*70%-SUM($G160:BB160)-$F160*10%,0)))</f>
        <v>0</v>
      </c>
      <c r="BD160" s="605">
        <f>IF(BD$121="입주/잔금",($F160-SUM($G160:BC160))*30%,IF(BC$121="입주/잔금",($F160-SUM($G160:BB160))*50%,IF(BB$121="입주/잔금",($F160-SUM($G160:BA160))*20%,IF(BD$121=0,0,IF(BD$121="2차중도금",$F160*30%-SUM($G160:BC160),IF(BD$121="3차중도금",$F160*40%-SUM($G160:BC160),IF(BD$121="4차중도금",$F160*50%-SUM($G160:BC160),$F160*10%)))))))+(IF(BD$121="5차중도금",$F160*60%-SUM($G160:BC160)-$F160*10%,IF(BD$121="6차중도금",$F160*70%-SUM($G160:BC160)-$F160*10%,0)))</f>
        <v>0</v>
      </c>
      <c r="BE160" s="605">
        <f>IF(BE$121="입주/잔금",($F160-SUM($G160:BD160))*30%,IF(BD$121="입주/잔금",($F160-SUM($G160:BC160))*50%,IF(BC$121="입주/잔금",($F160-SUM($G160:BB160))*20%,IF(BE$121=0,0,IF(BE$121="2차중도금",$F160*30%-SUM($G160:BD160),IF(BE$121="3차중도금",$F160*40%-SUM($G160:BD160),IF(BE$121="4차중도금",$F160*50%-SUM($G160:BD160),$F160*10%)))))))+(IF(BE$121="5차중도금",$F160*60%-SUM($G160:BD160)-$F160*10%,IF(BE$121="6차중도금",$F160*70%-SUM($G160:BD160)-$F160*10%,0)))</f>
        <v>0</v>
      </c>
      <c r="BF160" s="609">
        <f t="shared" si="51"/>
        <v>0</v>
      </c>
      <c r="BG160" s="556">
        <f t="shared" si="45"/>
        <v>0</v>
      </c>
      <c r="BH160" s="610"/>
    </row>
    <row r="161" spans="1:60">
      <c r="A161" s="1867"/>
      <c r="B161" s="611">
        <f t="shared" si="46"/>
        <v>46023</v>
      </c>
      <c r="C161" s="615">
        <f t="shared" si="50"/>
        <v>21284968.815239683</v>
      </c>
      <c r="D161" s="1501"/>
      <c r="E161" s="607">
        <f t="shared" si="52"/>
        <v>0.70000000000000007</v>
      </c>
      <c r="F161" s="608">
        <f t="shared" si="53"/>
        <v>0</v>
      </c>
      <c r="G161" s="605"/>
      <c r="H161" s="605"/>
      <c r="I161" s="605"/>
      <c r="J161" s="605"/>
      <c r="K161" s="605"/>
      <c r="L161" s="605"/>
      <c r="M161" s="605"/>
      <c r="N161" s="605"/>
      <c r="O161" s="605"/>
      <c r="P161" s="605"/>
      <c r="Q161" s="605"/>
      <c r="R161" s="605"/>
      <c r="S161" s="605"/>
      <c r="T161" s="605"/>
      <c r="U161" s="605"/>
      <c r="V161" s="605"/>
      <c r="W161" s="605"/>
      <c r="X161" s="605"/>
      <c r="Y161" s="605"/>
      <c r="Z161" s="605"/>
      <c r="AA161" s="605"/>
      <c r="AB161" s="605"/>
      <c r="AC161" s="605"/>
      <c r="AD161" s="605"/>
      <c r="AE161" s="605"/>
      <c r="AF161" s="605"/>
      <c r="AG161" s="605"/>
      <c r="AH161" s="605"/>
      <c r="AI161" s="605"/>
      <c r="AJ161" s="605"/>
      <c r="AK161" s="605"/>
      <c r="AL161" s="605"/>
      <c r="AM161" s="605"/>
      <c r="AN161" s="605"/>
      <c r="AO161" s="605"/>
      <c r="AP161" s="605"/>
      <c r="AQ161" s="605"/>
      <c r="AR161" s="605"/>
      <c r="AS161" s="605"/>
      <c r="AT161" s="605">
        <f>F161</f>
        <v>0</v>
      </c>
      <c r="AU161" s="605">
        <f>IF(AU$121="입주/잔금",($F161-SUM($G161:AT161))*30%,IF(AT$121="입주/잔금",($F161-SUM($G161:AS161))*50%,IF(AS$121="입주/잔금",($F161-SUM($G161:AR161))*20%,IF(AU$121=0,0,IF(AU$121="2차중도금",$F161*30%-SUM($G161:AT161),IF(AU$121="3차중도금",$F161*40%-SUM($G161:AT161),IF(AU$121="4차중도금",$F161*50%-SUM($G161:AT161),$F161*10%)))))))+(IF(AU$121="5차중도금",$F161*60%-SUM($G161:AT161)-$F161*10%,IF(AU$121="6차중도금",$F161*70%-SUM($G161:AT161)-$F161*10%,0)))</f>
        <v>0</v>
      </c>
      <c r="AV161" s="605">
        <f>IF(AV$121="입주/잔금",($F161-SUM($G161:AU161))*30%,IF(AU$121="입주/잔금",($F161-SUM($G161:AT161))*50%,IF(AT$121="입주/잔금",($F161-SUM($G161:AS161))*20%,IF(AV$121=0,0,IF(AV$121="2차중도금",$F161*30%-SUM($G161:AU161),IF(AV$121="3차중도금",$F161*40%-SUM($G161:AU161),IF(AV$121="4차중도금",$F161*50%-SUM($G161:AU161),$F161*10%)))))))+(IF(AV$121="5차중도금",$F161*60%-SUM($G161:AU161)-$F161*10%,IF(AV$121="6차중도금",$F161*70%-SUM($G161:AU161)-$F161*10%,0)))</f>
        <v>0</v>
      </c>
      <c r="AW161" s="605">
        <f>IF(AW$121="입주/잔금",($F161-SUM($G161:AV161))*30%,IF(AV$121="입주/잔금",($F161-SUM($G161:AU161))*50%,IF(AU$121="입주/잔금",($F161-SUM($G161:AT161))*20%,IF(AW$121=0,0,IF(AW$121="2차중도금",$F161*30%-SUM($G161:AV161),IF(AW$121="3차중도금",$F161*40%-SUM($G161:AV161),IF(AW$121="4차중도금",$F161*50%-SUM($G161:AV161),$F161*10%)))))))+(IF(AW$121="5차중도금",$F161*60%-SUM($G161:AV161)-$F161*10%,IF(AW$121="6차중도금",$F161*70%-SUM($G161:AV161)-$F161*10%,0)))</f>
        <v>0</v>
      </c>
      <c r="AX161" s="605">
        <f>IF(AX$121="입주/잔금",($F161-SUM($G161:AW161))*30%,IF(AW$121="입주/잔금",($F161-SUM($G161:AV161))*50%,IF(AV$121="입주/잔금",($F161-SUM($G161:AU161))*20%,IF(AX$121=0,0,IF(AX$121="2차중도금",$F161*30%-SUM($G161:AW161),IF(AX$121="3차중도금",$F161*40%-SUM($G161:AW161),IF(AX$121="4차중도금",$F161*50%-SUM($G161:AW161),$F161*10%)))))))+(IF(AX$121="5차중도금",$F161*60%-SUM($G161:AW161)-$F161*10%,IF(AX$121="6차중도금",$F161*70%-SUM($G161:AW161)-$F161*10%,0)))</f>
        <v>0</v>
      </c>
      <c r="AY161" s="605">
        <f>IF(AY$121="입주/잔금",($F161-SUM($G161:AX161))*30%,IF(AX$121="입주/잔금",($F161-SUM($G161:AW161))*50%,IF(AW$121="입주/잔금",($F161-SUM($G161:AV161))*20%,IF(AY$121=0,0,IF(AY$121="2차중도금",$F161*30%-SUM($G161:AX161),IF(AY$121="3차중도금",$F161*40%-SUM($G161:AX161),IF(AY$121="4차중도금",$F161*50%-SUM($G161:AX161),$F161*10%)))))))+(IF(AY$121="5차중도금",$F161*60%-SUM($G161:AX161)-$F161*10%,IF(AY$121="6차중도금",$F161*70%-SUM($G161:AX161)-$F161*10%,0)))</f>
        <v>0</v>
      </c>
      <c r="AZ161" s="605">
        <f>IF(AZ$121="입주/잔금",($F161-SUM($G161:AY161))*30%,IF(AY$121="입주/잔금",($F161-SUM($G161:AX161))*50%,IF(AX$121="입주/잔금",($F161-SUM($G161:AW161))*20%,IF(AZ$121=0,0,IF(AZ$121="2차중도금",$F161*30%-SUM($G161:AY161),IF(AZ$121="3차중도금",$F161*40%-SUM($G161:AY161),IF(AZ$121="4차중도금",$F161*50%-SUM($G161:AY161),$F161*10%)))))))+(IF(AZ$121="5차중도금",$F161*60%-SUM($G161:AY161)-$F161*10%,IF(AZ$121="6차중도금",$F161*70%-SUM($G161:AY161)-$F161*10%,0)))</f>
        <v>0</v>
      </c>
      <c r="BA161" s="605">
        <f>IF(BA$121="입주/잔금",($F161-SUM($G161:AZ161))*30%,IF(AZ$121="입주/잔금",($F161-SUM($G161:AY161))*50%,IF(AY$121="입주/잔금",($F161-SUM($G161:AX161))*20%,IF(BA$121=0,0,IF(BA$121="2차중도금",$F161*30%-SUM($G161:AZ161),IF(BA$121="3차중도금",$F161*40%-SUM($G161:AZ161),IF(BA$121="4차중도금",$F161*50%-SUM($G161:AZ161),$F161*10%)))))))+(IF(BA$121="5차중도금",$F161*60%-SUM($G161:AZ161)-$F161*10%,IF(BA$121="6차중도금",$F161*70%-SUM($G161:AZ161)-$F161*10%,0)))</f>
        <v>0</v>
      </c>
      <c r="BB161" s="605">
        <f>IF(BB$121="입주/잔금",($F161-SUM($G161:BA161))*30%,IF(BA$121="입주/잔금",($F161-SUM($G161:AZ161))*50%,IF(AZ$121="입주/잔금",($F161-SUM($G161:AY161))*20%,IF(BB$121=0,0,IF(BB$121="2차중도금",$F161*30%-SUM($G161:BA161),IF(BB$121="3차중도금",$F161*40%-SUM($G161:BA161),IF(BB$121="4차중도금",$F161*50%-SUM($G161:BA161),$F161*10%)))))))+(IF(BB$121="5차중도금",$F161*60%-SUM($G161:BA161)-$F161*10%,IF(BB$121="6차중도금",$F161*70%-SUM($G161:BA161)-$F161*10%,0)))</f>
        <v>0</v>
      </c>
      <c r="BC161" s="605">
        <f>IF(BC$121="입주/잔금",($F161-SUM($G161:BB161))*30%,IF(BB$121="입주/잔금",($F161-SUM($G161:BA161))*50%,IF(BA$121="입주/잔금",($F161-SUM($G161:AZ161))*20%,IF(BC$121=0,0,IF(BC$121="2차중도금",$F161*30%-SUM($G161:BB161),IF(BC$121="3차중도금",$F161*40%-SUM($G161:BB161),IF(BC$121="4차중도금",$F161*50%-SUM($G161:BB161),$F161*10%)))))))+(IF(BC$121="5차중도금",$F161*60%-SUM($G161:BB161)-$F161*10%,IF(BC$121="6차중도금",$F161*70%-SUM($G161:BB161)-$F161*10%,0)))</f>
        <v>0</v>
      </c>
      <c r="BD161" s="605">
        <f>IF(BD$121="입주/잔금",($F161-SUM($G161:BC161))*30%,IF(BC$121="입주/잔금",($F161-SUM($G161:BB161))*50%,IF(BB$121="입주/잔금",($F161-SUM($G161:BA161))*20%,IF(BD$121=0,0,IF(BD$121="2차중도금",$F161*30%-SUM($G161:BC161),IF(BD$121="3차중도금",$F161*40%-SUM($G161:BC161),IF(BD$121="4차중도금",$F161*50%-SUM($G161:BC161),$F161*10%)))))))+(IF(BD$121="5차중도금",$F161*60%-SUM($G161:BC161)-$F161*10%,IF(BD$121="6차중도금",$F161*70%-SUM($G161:BC161)-$F161*10%,0)))</f>
        <v>0</v>
      </c>
      <c r="BE161" s="605">
        <f>IF(BE$121="입주/잔금",($F161-SUM($G161:BD161))*30%,IF(BD$121="입주/잔금",($F161-SUM($G161:BC161))*50%,IF(BC$121="입주/잔금",($F161-SUM($G161:BB161))*20%,IF(BE$121=0,0,IF(BE$121="2차중도금",$F161*30%-SUM($G161:BD161),IF(BE$121="3차중도금",$F161*40%-SUM($G161:BD161),IF(BE$121="4차중도금",$F161*50%-SUM($G161:BD161),$F161*10%)))))))+(IF(BE$121="5차중도금",$F161*60%-SUM($G161:BD161)-$F161*10%,IF(BE$121="6차중도금",$F161*70%-SUM($G161:BD161)-$F161*10%,0)))</f>
        <v>0</v>
      </c>
      <c r="BF161" s="609">
        <f t="shared" si="51"/>
        <v>0</v>
      </c>
      <c r="BG161" s="556">
        <f t="shared" si="45"/>
        <v>0</v>
      </c>
      <c r="BH161" s="610"/>
    </row>
    <row r="162" spans="1:60">
      <c r="A162" s="1867"/>
      <c r="B162" s="611">
        <f t="shared" si="46"/>
        <v>46054</v>
      </c>
      <c r="C162" s="615">
        <f t="shared" si="50"/>
        <v>21284968.815239683</v>
      </c>
      <c r="D162" s="1501">
        <f>1-SUM($D$122:D161)</f>
        <v>0.29999999999999993</v>
      </c>
      <c r="E162" s="607">
        <f t="shared" si="52"/>
        <v>1</v>
      </c>
      <c r="F162" s="608">
        <f t="shared" si="53"/>
        <v>6385490.6445719032</v>
      </c>
      <c r="G162" s="605"/>
      <c r="H162" s="605"/>
      <c r="I162" s="605"/>
      <c r="J162" s="605"/>
      <c r="K162" s="605"/>
      <c r="L162" s="605"/>
      <c r="M162" s="605"/>
      <c r="N162" s="605"/>
      <c r="O162" s="605"/>
      <c r="P162" s="605"/>
      <c r="Q162" s="605"/>
      <c r="R162" s="605"/>
      <c r="S162" s="605"/>
      <c r="T162" s="605"/>
      <c r="U162" s="605"/>
      <c r="V162" s="605"/>
      <c r="W162" s="605"/>
      <c r="X162" s="605"/>
      <c r="Y162" s="605"/>
      <c r="Z162" s="605"/>
      <c r="AA162" s="605"/>
      <c r="AB162" s="605"/>
      <c r="AC162" s="605"/>
      <c r="AD162" s="605"/>
      <c r="AE162" s="605"/>
      <c r="AF162" s="605"/>
      <c r="AG162" s="605"/>
      <c r="AH162" s="605"/>
      <c r="AI162" s="605"/>
      <c r="AJ162" s="605"/>
      <c r="AK162" s="605"/>
      <c r="AL162" s="605"/>
      <c r="AM162" s="605"/>
      <c r="AN162" s="605"/>
      <c r="AO162" s="605"/>
      <c r="AP162" s="605"/>
      <c r="AQ162" s="605"/>
      <c r="AR162" s="605"/>
      <c r="AS162" s="605"/>
      <c r="AT162" s="605"/>
      <c r="AU162" s="605">
        <f>$F162</f>
        <v>6385490.6445719032</v>
      </c>
      <c r="AV162" s="605">
        <f>IF(AV$121="입주/잔금",($F162-SUM($G162:AU162))*30%,IF(AU$121="입주/잔금",($F162-SUM($G162:AT162))*50%,IF(AT$121="입주/잔금",($F162-SUM($G162:AS162))*20%,IF(AV$121=0,0,IF(AV$121="2차중도금",$F162*30%-SUM($G162:AU162),IF(AV$121="3차중도금",$F162*40%-SUM($G162:AU162),IF(AV$121="4차중도금",$F162*50%-SUM($G162:AU162),$F162*10%)))))))+(IF(AV$121="5차중도금",$F162*60%-SUM($G162:AU162)-$F162*10%,IF(AV$121="6차중도금",$F162*70%-SUM($G162:AU162)-$F162*10%,0)))</f>
        <v>0</v>
      </c>
      <c r="AW162" s="605">
        <f>IF(AW$121="입주/잔금",($F162-SUM($G162:AV162))*30%,IF(AV$121="입주/잔금",($F162-SUM($G162:AU162))*50%,IF(AU$121="입주/잔금",($F162-SUM($G162:AT162))*20%,IF(AW$121=0,0,IF(AW$121="2차중도금",$F162*30%-SUM($G162:AV162),IF(AW$121="3차중도금",$F162*40%-SUM($G162:AV162),IF(AW$121="4차중도금",$F162*50%-SUM($G162:AV162),$F162*10%)))))))+(IF(AW$121="5차중도금",$F162*60%-SUM($G162:AV162)-$F162*10%,IF(AW$121="6차중도금",$F162*70%-SUM($G162:AV162)-$F162*10%,0)))</f>
        <v>0</v>
      </c>
      <c r="AX162" s="605">
        <f>IF(AX$121="입주/잔금",($F162-SUM($G162:AW162))*30%,IF(AW$121="입주/잔금",($F162-SUM($G162:AV162))*50%,IF(AV$121="입주/잔금",($F162-SUM($G162:AU162))*20%,IF(AX$121=0,0,IF(AX$121="2차중도금",$F162*30%-SUM($G162:AW162),IF(AX$121="3차중도금",$F162*40%-SUM($G162:AW162),IF(AX$121="4차중도금",$F162*50%-SUM($G162:AW162),$F162*10%)))))))+(IF(AX$121="5차중도금",$F162*60%-SUM($G162:AW162)-$F162*10%,IF(AX$121="6차중도금",$F162*70%-SUM($G162:AW162)-$F162*10%,0)))</f>
        <v>0</v>
      </c>
      <c r="AY162" s="605">
        <f>IF(AY$121="입주/잔금",($F162-SUM($G162:AX162))*30%,IF(AX$121="입주/잔금",($F162-SUM($G162:AW162))*50%,IF(AW$121="입주/잔금",($F162-SUM($G162:AV162))*20%,IF(AY$121=0,0,IF(AY$121="2차중도금",$F162*30%-SUM($G162:AX162),IF(AY$121="3차중도금",$F162*40%-SUM($G162:AX162),IF(AY$121="4차중도금",$F162*50%-SUM($G162:AX162),$F162*10%)))))))+(IF(AY$121="5차중도금",$F162*60%-SUM($G162:AX162)-$F162*10%,IF(AY$121="6차중도금",$F162*70%-SUM($G162:AX162)-$F162*10%,0)))</f>
        <v>0</v>
      </c>
      <c r="AZ162" s="605">
        <f>IF(AZ$121="입주/잔금",($F162-SUM($G162:AY162))*30%,IF(AY$121="입주/잔금",($F162-SUM($G162:AX162))*50%,IF(AX$121="입주/잔금",($F162-SUM($G162:AW162))*20%,IF(AZ$121=0,0,IF(AZ$121="2차중도금",$F162*30%-SUM($G162:AY162),IF(AZ$121="3차중도금",$F162*40%-SUM($G162:AY162),IF(AZ$121="4차중도금",$F162*50%-SUM($G162:AY162),$F162*10%)))))))+(IF(AZ$121="5차중도금",$F162*60%-SUM($G162:AY162)-$F162*10%,IF(AZ$121="6차중도금",$F162*70%-SUM($G162:AY162)-$F162*10%,0)))</f>
        <v>0</v>
      </c>
      <c r="BA162" s="605">
        <f>IF(BA$121="입주/잔금",($F162-SUM($G162:AZ162))*30%,IF(AZ$121="입주/잔금",($F162-SUM($G162:AY162))*50%,IF(AY$121="입주/잔금",($F162-SUM($G162:AX162))*20%,IF(BA$121=0,0,IF(BA$121="2차중도금",$F162*30%-SUM($G162:AZ162),IF(BA$121="3차중도금",$F162*40%-SUM($G162:AZ162),IF(BA$121="4차중도금",$F162*50%-SUM($G162:AZ162),$F162*10%)))))))+(IF(BA$121="5차중도금",$F162*60%-SUM($G162:AZ162)-$F162*10%,IF(BA$121="6차중도금",$F162*70%-SUM($G162:AZ162)-$F162*10%,0)))</f>
        <v>0</v>
      </c>
      <c r="BB162" s="605">
        <f>IF(BB$121="입주/잔금",($F162-SUM($G162:BA162))*30%,IF(BA$121="입주/잔금",($F162-SUM($G162:AZ162))*50%,IF(AZ$121="입주/잔금",($F162-SUM($G162:AY162))*20%,IF(BB$121=0,0,IF(BB$121="2차중도금",$F162*30%-SUM($G162:BA162),IF(BB$121="3차중도금",$F162*40%-SUM($G162:BA162),IF(BB$121="4차중도금",$F162*50%-SUM($G162:BA162),$F162*10%)))))))+(IF(BB$121="5차중도금",$F162*60%-SUM($G162:BA162)-$F162*10%,IF(BB$121="6차중도금",$F162*70%-SUM($G162:BA162)-$F162*10%,0)))</f>
        <v>0</v>
      </c>
      <c r="BC162" s="605">
        <f>IF(BC$121="입주/잔금",($F162-SUM($G162:BB162))*30%,IF(BB$121="입주/잔금",($F162-SUM($G162:BA162))*50%,IF(BA$121="입주/잔금",($F162-SUM($G162:AZ162))*20%,IF(BC$121=0,0,IF(BC$121="2차중도금",$F162*30%-SUM($G162:BB162),IF(BC$121="3차중도금",$F162*40%-SUM($G162:BB162),IF(BC$121="4차중도금",$F162*50%-SUM($G162:BB162),$F162*10%)))))))+(IF(BC$121="5차중도금",$F162*60%-SUM($G162:BB162)-$F162*10%,IF(BC$121="6차중도금",$F162*70%-SUM($G162:BB162)-$F162*10%,0)))</f>
        <v>0</v>
      </c>
      <c r="BD162" s="605">
        <f>IF(BD$121="입주/잔금",($F162-SUM($G162:BC162))*30%,IF(BC$121="입주/잔금",($F162-SUM($G162:BB162))*50%,IF(BB$121="입주/잔금",($F162-SUM($G162:BA162))*20%,IF(BD$121=0,0,IF(BD$121="2차중도금",$F162*30%-SUM($G162:BC162),IF(BD$121="3차중도금",$F162*40%-SUM($G162:BC162),IF(BD$121="4차중도금",$F162*50%-SUM($G162:BC162),$F162*10%)))))))+(IF(BD$121="5차중도금",$F162*60%-SUM($G162:BC162)-$F162*10%,IF(BD$121="6차중도금",$F162*70%-SUM($G162:BC162)-$F162*10%,0)))</f>
        <v>0</v>
      </c>
      <c r="BE162" s="605">
        <f>IF(BE$121="입주/잔금",($F162-SUM($G162:BD162))*30%,IF(BD$121="입주/잔금",($F162-SUM($G162:BC162))*50%,IF(BC$121="입주/잔금",($F162-SUM($G162:BB162))*20%,IF(BE$121=0,0,IF(BE$121="2차중도금",$F162*30%-SUM($G162:BD162),IF(BE$121="3차중도금",$F162*40%-SUM($G162:BD162),IF(BE$121="4차중도금",$F162*50%-SUM($G162:BD162),$F162*10%)))))))+(IF(BE$121="5차중도금",$F162*60%-SUM($G162:BD162)-$F162*10%,IF(BE$121="6차중도금",$F162*70%-SUM($G162:BD162)-$F162*10%,0)))</f>
        <v>0</v>
      </c>
      <c r="BF162" s="609">
        <f t="shared" si="51"/>
        <v>6385490.6445719032</v>
      </c>
      <c r="BG162" s="556">
        <f t="shared" si="45"/>
        <v>0</v>
      </c>
      <c r="BH162" s="610"/>
    </row>
    <row r="163" spans="1:60">
      <c r="A163" s="1867"/>
      <c r="B163" s="611">
        <f t="shared" si="46"/>
        <v>46082</v>
      </c>
      <c r="C163" s="615">
        <f t="shared" si="50"/>
        <v>21284968.815239683</v>
      </c>
      <c r="D163" s="1501"/>
      <c r="E163" s="607">
        <f t="shared" si="52"/>
        <v>1</v>
      </c>
      <c r="F163" s="608">
        <f t="shared" si="53"/>
        <v>0</v>
      </c>
      <c r="G163" s="605"/>
      <c r="H163" s="605"/>
      <c r="I163" s="605"/>
      <c r="J163" s="605"/>
      <c r="K163" s="605"/>
      <c r="L163" s="605"/>
      <c r="M163" s="605"/>
      <c r="N163" s="605"/>
      <c r="O163" s="605"/>
      <c r="P163" s="605"/>
      <c r="Q163" s="605"/>
      <c r="R163" s="605"/>
      <c r="S163" s="605"/>
      <c r="T163" s="605"/>
      <c r="U163" s="605"/>
      <c r="V163" s="605"/>
      <c r="W163" s="605"/>
      <c r="X163" s="605"/>
      <c r="Y163" s="605"/>
      <c r="Z163" s="605"/>
      <c r="AA163" s="605"/>
      <c r="AB163" s="605"/>
      <c r="AC163" s="605"/>
      <c r="AD163" s="605"/>
      <c r="AE163" s="605"/>
      <c r="AF163" s="605"/>
      <c r="AG163" s="605"/>
      <c r="AH163" s="605"/>
      <c r="AI163" s="605"/>
      <c r="AJ163" s="605"/>
      <c r="AK163" s="605"/>
      <c r="AL163" s="605"/>
      <c r="AM163" s="605"/>
      <c r="AN163" s="605"/>
      <c r="AO163" s="605"/>
      <c r="AP163" s="605"/>
      <c r="AQ163" s="605"/>
      <c r="AR163" s="605"/>
      <c r="AS163" s="605"/>
      <c r="AT163" s="605"/>
      <c r="AU163" s="605"/>
      <c r="AV163" s="605">
        <f>$F163*10%</f>
        <v>0</v>
      </c>
      <c r="AW163" s="605">
        <f>IF(AW$121="입주/잔금",($F163-SUM($G163:AV163))*30%,IF(AV$121="입주/잔금",($F163-SUM($G163:AU163))*50%,IF(AU$121="입주/잔금",($F163-SUM($G163:AT163))*20%,IF(AW$121=0,0,IF(AW$121="2차중도금",$F163*30%-SUM($G163:AV163),IF(AW$121="3차중도금",$F163*40%-SUM($G163:AV163),IF(AW$121="4차중도금",$F163*50%-SUM($G163:AV163),$F163*10%)))))))+(IF(AW$121="5차중도금",$F163*60%-SUM($G163:AV163)-$F163*10%,IF(AW$121="6차중도금",$F163*70%-SUM($G163:AV163)-$F163*10%,0)))</f>
        <v>0</v>
      </c>
      <c r="AX163" s="605">
        <f>IF(AX$121="입주/잔금",($F163-SUM($G163:AW163))*30%,IF(AW$121="입주/잔금",($F163-SUM($G163:AV163))*50%,IF(AV$121="입주/잔금",($F163-SUM($G163:AU163))*20%,IF(AX$121=0,0,IF(AX$121="2차중도금",$F163*30%-SUM($G163:AW163),IF(AX$121="3차중도금",$F163*40%-SUM($G163:AW163),IF(AX$121="4차중도금",$F163*50%-SUM($G163:AW163),$F163*10%)))))))+(IF(AX$121="5차중도금",$F163*60%-SUM($G163:AW163)-$F163*10%,IF(AX$121="6차중도금",$F163*70%-SUM($G163:AW163)-$F163*10%,0)))</f>
        <v>0</v>
      </c>
      <c r="AY163" s="605">
        <f>IF(AY$121="입주/잔금",($F163-SUM($G163:AX163))*30%,IF(AX$121="입주/잔금",($F163-SUM($G163:AW163))*50%,IF(AW$121="입주/잔금",($F163-SUM($G163:AV163))*20%,IF(AY$121=0,0,IF(AY$121="2차중도금",$F163*30%-SUM($G163:AX163),IF(AY$121="3차중도금",$F163*40%-SUM($G163:AX163),IF(AY$121="4차중도금",$F163*50%-SUM($G163:AX163),$F163*10%)))))))+(IF(AY$121="5차중도금",$F163*60%-SUM($G163:AX163)-$F163*10%,IF(AY$121="6차중도금",$F163*70%-SUM($G163:AX163)-$F163*10%,0)))</f>
        <v>0</v>
      </c>
      <c r="AZ163" s="605">
        <f>IF(AZ$121="입주/잔금",($F163-SUM($G163:AY163))*30%,IF(AY$121="입주/잔금",($F163-SUM($G163:AX163))*50%,IF(AX$121="입주/잔금",($F163-SUM($G163:AW163))*20%,IF(AZ$121=0,0,IF(AZ$121="2차중도금",$F163*30%-SUM($G163:AY163),IF(AZ$121="3차중도금",$F163*40%-SUM($G163:AY163),IF(AZ$121="4차중도금",$F163*50%-SUM($G163:AY163),$F163*10%)))))))+(IF(AZ$121="5차중도금",$F163*60%-SUM($G163:AY163)-$F163*10%,IF(AZ$121="6차중도금",$F163*70%-SUM($G163:AY163)-$F163*10%,0)))</f>
        <v>0</v>
      </c>
      <c r="BA163" s="605">
        <f>IF(BA$121="입주/잔금",($F163-SUM($G163:AZ163))*30%,IF(AZ$121="입주/잔금",($F163-SUM($G163:AY163))*50%,IF(AY$121="입주/잔금",($F163-SUM($G163:AX163))*20%,IF(BA$121=0,0,IF(BA$121="2차중도금",$F163*30%-SUM($G163:AZ163),IF(BA$121="3차중도금",$F163*40%-SUM($G163:AZ163),IF(BA$121="4차중도금",$F163*50%-SUM($G163:AZ163),$F163*10%)))))))+(IF(BA$121="5차중도금",$F163*60%-SUM($G163:AZ163)-$F163*10%,IF(BA$121="6차중도금",$F163*70%-SUM($G163:AZ163)-$F163*10%,0)))</f>
        <v>0</v>
      </c>
      <c r="BB163" s="605">
        <f>IF(BB$121="입주/잔금",($F163-SUM($G163:BA163))*30%,IF(BA$121="입주/잔금",($F163-SUM($G163:AZ163))*50%,IF(AZ$121="입주/잔금",($F163-SUM($G163:AY163))*20%,IF(BB$121=0,0,IF(BB$121="2차중도금",$F163*30%-SUM($G163:BA163),IF(BB$121="3차중도금",$F163*40%-SUM($G163:BA163),IF(BB$121="4차중도금",$F163*50%-SUM($G163:BA163),$F163*10%)))))))+(IF(BB$121="5차중도금",$F163*60%-SUM($G163:BA163)-$F163*10%,IF(BB$121="6차중도금",$F163*70%-SUM($G163:BA163)-$F163*10%,0)))</f>
        <v>0</v>
      </c>
      <c r="BC163" s="605">
        <f>IF(BC$121="입주/잔금",($F163-SUM($G163:BB163))*30%,IF(BB$121="입주/잔금",($F163-SUM($G163:BA163))*50%,IF(BA$121="입주/잔금",($F163-SUM($G163:AZ163))*20%,IF(BC$121=0,0,IF(BC$121="2차중도금",$F163*30%-SUM($G163:BB163),IF(BC$121="3차중도금",$F163*40%-SUM($G163:BB163),IF(BC$121="4차중도금",$F163*50%-SUM($G163:BB163),$F163*10%)))))))+(IF(BC$121="5차중도금",$F163*60%-SUM($G163:BB163)-$F163*10%,IF(BC$121="6차중도금",$F163*70%-SUM($G163:BB163)-$F163*10%,0)))</f>
        <v>0</v>
      </c>
      <c r="BD163" s="605">
        <f>IF(BD$121="입주/잔금",($F163-SUM($G163:BC163))*30%,IF(BC$121="입주/잔금",($F163-SUM($G163:BB163))*50%,IF(BB$121="입주/잔금",($F163-SUM($G163:BA163))*20%,IF(BD$121=0,0,IF(BD$121="2차중도금",$F163*30%-SUM($G163:BC163),IF(BD$121="3차중도금",$F163*40%-SUM($G163:BC163),IF(BD$121="4차중도금",$F163*50%-SUM($G163:BC163),$F163*10%)))))))+(IF(BD$121="5차중도금",$F163*60%-SUM($G163:BC163)-$F163*10%,IF(BD$121="6차중도금",$F163*70%-SUM($G163:BC163)-$F163*10%,0)))</f>
        <v>0</v>
      </c>
      <c r="BE163" s="605">
        <f>IF(BE$121="입주/잔금",($F163-SUM($G163:BD163))*30%,IF(BD$121="입주/잔금",($F163-SUM($G163:BC163))*50%,IF(BC$121="입주/잔금",($F163-SUM($G163:BB163))*20%,IF(BE$121=0,0,IF(BE$121="2차중도금",$F163*30%-SUM($G163:BD163),IF(BE$121="3차중도금",$F163*40%-SUM($G163:BD163),IF(BE$121="4차중도금",$F163*50%-SUM($G163:BD163),$F163*10%)))))))+(IF(BE$121="5차중도금",$F163*60%-SUM($G163:BD163)-$F163*10%,IF(BE$121="6차중도금",$F163*70%-SUM($G163:BD163)-$F163*10%,0)))</f>
        <v>0</v>
      </c>
      <c r="BF163" s="609">
        <f t="shared" si="51"/>
        <v>0</v>
      </c>
      <c r="BG163" s="556">
        <f t="shared" si="45"/>
        <v>0</v>
      </c>
      <c r="BH163" s="610"/>
    </row>
    <row r="164" spans="1:60">
      <c r="A164" s="1867"/>
      <c r="B164" s="611">
        <f t="shared" si="46"/>
        <v>46113</v>
      </c>
      <c r="C164" s="615">
        <f t="shared" si="50"/>
        <v>21284968.815239683</v>
      </c>
      <c r="D164" s="1501"/>
      <c r="E164" s="607">
        <f t="shared" si="52"/>
        <v>1</v>
      </c>
      <c r="F164" s="608">
        <f t="shared" si="53"/>
        <v>0</v>
      </c>
      <c r="G164" s="605"/>
      <c r="H164" s="605"/>
      <c r="I164" s="605"/>
      <c r="J164" s="605"/>
      <c r="K164" s="605"/>
      <c r="L164" s="605"/>
      <c r="M164" s="605"/>
      <c r="N164" s="605"/>
      <c r="O164" s="605"/>
      <c r="P164" s="605"/>
      <c r="Q164" s="605"/>
      <c r="R164" s="605"/>
      <c r="S164" s="605"/>
      <c r="T164" s="605"/>
      <c r="U164" s="605"/>
      <c r="V164" s="605"/>
      <c r="W164" s="605"/>
      <c r="X164" s="605"/>
      <c r="Y164" s="605"/>
      <c r="Z164" s="605"/>
      <c r="AA164" s="605"/>
      <c r="AB164" s="605"/>
      <c r="AC164" s="605"/>
      <c r="AD164" s="605"/>
      <c r="AE164" s="605"/>
      <c r="AF164" s="605"/>
      <c r="AG164" s="605"/>
      <c r="AH164" s="605"/>
      <c r="AI164" s="605"/>
      <c r="AJ164" s="605"/>
      <c r="AK164" s="605"/>
      <c r="AL164" s="605"/>
      <c r="AM164" s="605"/>
      <c r="AN164" s="605"/>
      <c r="AO164" s="605"/>
      <c r="AP164" s="605"/>
      <c r="AQ164" s="605"/>
      <c r="AR164" s="605"/>
      <c r="AS164" s="605"/>
      <c r="AT164" s="605"/>
      <c r="AU164" s="605"/>
      <c r="AV164" s="605"/>
      <c r="AW164" s="605">
        <f>$F164*10%</f>
        <v>0</v>
      </c>
      <c r="AX164" s="605">
        <f>IF(AX$121="입주/잔금",($F164-SUM($G164:AW164))*30%,IF(AW$121="입주/잔금",($F164-SUM($G164:AV164))*50%,IF(AV$121="입주/잔금",($F164-SUM($G164:AU164))*20%,IF(AX$121=0,0,IF(AX$121="2차중도금",$F164*30%-SUM($G164:AW164),IF(AX$121="3차중도금",$F164*40%-SUM($G164:AW164),IF(AX$121="4차중도금",$F164*50%-SUM($G164:AW164),$F164*10%)))))))+(IF(AX$121="5차중도금",$F164*60%-SUM($G164:AW164)-$F164*10%,IF(AX$121="6차중도금",$F164*70%-SUM($G164:AW164)-$F164*10%,0)))</f>
        <v>0</v>
      </c>
      <c r="AY164" s="605">
        <f>IF(AY$121="입주/잔금",($F164-SUM($G164:AX164))*30%,IF(AX$121="입주/잔금",($F164-SUM($G164:AW164))*50%,IF(AW$121="입주/잔금",($F164-SUM($G164:AV164))*20%,IF(AY$121=0,0,IF(AY$121="2차중도금",$F164*30%-SUM($G164:AX164),IF(AY$121="3차중도금",$F164*40%-SUM($G164:AX164),IF(AY$121="4차중도금",$F164*50%-SUM($G164:AX164),$F164*10%)))))))+(IF(AY$121="5차중도금",$F164*60%-SUM($G164:AX164)-$F164*10%,IF(AY$121="6차중도금",$F164*70%-SUM($G164:AX164)-$F164*10%,0)))</f>
        <v>0</v>
      </c>
      <c r="AZ164" s="605">
        <f>IF(AZ$121="입주/잔금",($F164-SUM($G164:AY164))*30%,IF(AY$121="입주/잔금",($F164-SUM($G164:AX164))*50%,IF(AX$121="입주/잔금",($F164-SUM($G164:AW164))*20%,IF(AZ$121=0,0,IF(AZ$121="2차중도금",$F164*30%-SUM($G164:AY164),IF(AZ$121="3차중도금",$F164*40%-SUM($G164:AY164),IF(AZ$121="4차중도금",$F164*50%-SUM($G164:AY164),$F164*10%)))))))+(IF(AZ$121="5차중도금",$F164*60%-SUM($G164:AY164)-$F164*10%,IF(AZ$121="6차중도금",$F164*70%-SUM($G164:AY164)-$F164*10%,0)))</f>
        <v>0</v>
      </c>
      <c r="BA164" s="605">
        <f>IF(BA$121="입주/잔금",($F164-SUM($G164:AZ164))*30%,IF(AZ$121="입주/잔금",($F164-SUM($G164:AY164))*50%,IF(AY$121="입주/잔금",($F164-SUM($G164:AX164))*20%,IF(BA$121=0,0,IF(BA$121="2차중도금",$F164*30%-SUM($G164:AZ164),IF(BA$121="3차중도금",$F164*40%-SUM($G164:AZ164),IF(BA$121="4차중도금",$F164*50%-SUM($G164:AZ164),$F164*10%)))))))+(IF(BA$121="5차중도금",$F164*60%-SUM($G164:AZ164)-$F164*10%,IF(BA$121="6차중도금",$F164*70%-SUM($G164:AZ164)-$F164*10%,0)))</f>
        <v>0</v>
      </c>
      <c r="BB164" s="605">
        <f>IF(BB$121="입주/잔금",($F164-SUM($G164:BA164))*30%,IF(BA$121="입주/잔금",($F164-SUM($G164:AZ164))*50%,IF(AZ$121="입주/잔금",($F164-SUM($G164:AY164))*20%,IF(BB$121=0,0,IF(BB$121="2차중도금",$F164*30%-SUM($G164:BA164),IF(BB$121="3차중도금",$F164*40%-SUM($G164:BA164),IF(BB$121="4차중도금",$F164*50%-SUM($G164:BA164),$F164*10%)))))))+(IF(BB$121="5차중도금",$F164*60%-SUM($G164:BA164)-$F164*10%,IF(BB$121="6차중도금",$F164*70%-SUM($G164:BA164)-$F164*10%,0)))</f>
        <v>0</v>
      </c>
      <c r="BC164" s="605">
        <f>IF(BC$121="입주/잔금",($F164-SUM($G164:BB164))*30%,IF(BB$121="입주/잔금",($F164-SUM($G164:BA164))*50%,IF(BA$121="입주/잔금",($F164-SUM($G164:AZ164))*20%,IF(BC$121=0,0,IF(BC$121="2차중도금",$F164*30%-SUM($G164:BB164),IF(BC$121="3차중도금",$F164*40%-SUM($G164:BB164),IF(BC$121="4차중도금",$F164*50%-SUM($G164:BB164),$F164*10%)))))))+(IF(BC$121="5차중도금",$F164*60%-SUM($G164:BB164)-$F164*10%,IF(BC$121="6차중도금",$F164*70%-SUM($G164:BB164)-$F164*10%,0)))</f>
        <v>0</v>
      </c>
      <c r="BD164" s="605">
        <f>IF(BD$121="입주/잔금",($F164-SUM($G164:BC164))*30%,IF(BC$121="입주/잔금",($F164-SUM($G164:BB164))*50%,IF(BB$121="입주/잔금",($F164-SUM($G164:BA164))*20%,IF(BD$121=0,0,IF(BD$121="2차중도금",$F164*30%-SUM($G164:BC164),IF(BD$121="3차중도금",$F164*40%-SUM($G164:BC164),IF(BD$121="4차중도금",$F164*50%-SUM($G164:BC164),$F164*10%)))))))+(IF(BD$121="5차중도금",$F164*60%-SUM($G164:BC164)-$F164*10%,IF(BD$121="6차중도금",$F164*70%-SUM($G164:BC164)-$F164*10%,0)))</f>
        <v>0</v>
      </c>
      <c r="BE164" s="605">
        <f>IF(BE$121="입주/잔금",($F164-SUM($G164:BD164))*30%,IF(BD$121="입주/잔금",($F164-SUM($G164:BC164))*50%,IF(BC$121="입주/잔금",($F164-SUM($G164:BB164))*20%,IF(BE$121=0,0,IF(BE$121="2차중도금",$F164*30%-SUM($G164:BD164),IF(BE$121="3차중도금",$F164*40%-SUM($G164:BD164),IF(BE$121="4차중도금",$F164*50%-SUM($G164:BD164),$F164*10%)))))))+(IF(BE$121="5차중도금",$F164*60%-SUM($G164:BD164)-$F164*10%,IF(BE$121="6차중도금",$F164*70%-SUM($G164:BD164)-$F164*10%,0)))</f>
        <v>0</v>
      </c>
      <c r="BF164" s="609">
        <f t="shared" si="51"/>
        <v>0</v>
      </c>
      <c r="BG164" s="556">
        <f t="shared" si="45"/>
        <v>0</v>
      </c>
      <c r="BH164" s="610"/>
    </row>
    <row r="165" spans="1:60">
      <c r="A165" s="1867"/>
      <c r="B165" s="611">
        <f t="shared" si="46"/>
        <v>46143</v>
      </c>
      <c r="C165" s="615">
        <f t="shared" si="50"/>
        <v>21284968.815239683</v>
      </c>
      <c r="D165" s="1501"/>
      <c r="E165" s="607">
        <f t="shared" si="52"/>
        <v>1</v>
      </c>
      <c r="F165" s="608">
        <f t="shared" si="53"/>
        <v>0</v>
      </c>
      <c r="G165" s="605"/>
      <c r="H165" s="605"/>
      <c r="I165" s="605"/>
      <c r="J165" s="605"/>
      <c r="K165" s="605"/>
      <c r="L165" s="605"/>
      <c r="M165" s="605"/>
      <c r="N165" s="605"/>
      <c r="O165" s="605"/>
      <c r="P165" s="605"/>
      <c r="Q165" s="605"/>
      <c r="R165" s="605"/>
      <c r="S165" s="605"/>
      <c r="T165" s="605"/>
      <c r="U165" s="605"/>
      <c r="V165" s="605"/>
      <c r="W165" s="605"/>
      <c r="X165" s="605"/>
      <c r="Y165" s="605"/>
      <c r="Z165" s="605"/>
      <c r="AA165" s="605"/>
      <c r="AB165" s="605"/>
      <c r="AC165" s="605"/>
      <c r="AD165" s="605"/>
      <c r="AE165" s="605"/>
      <c r="AF165" s="605"/>
      <c r="AG165" s="605"/>
      <c r="AH165" s="605"/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605"/>
      <c r="AS165" s="605"/>
      <c r="AT165" s="605"/>
      <c r="AU165" s="605"/>
      <c r="AV165" s="605"/>
      <c r="AW165" s="605"/>
      <c r="AX165" s="605">
        <f>$F165*10%</f>
        <v>0</v>
      </c>
      <c r="AY165" s="605">
        <f>IF(AY$121="입주/잔금",($F165-SUM($G165:AX165))*30%,IF(AX$121="입주/잔금",($F165-SUM($G165:AW165))*50%,IF(AW$121="입주/잔금",($F165-SUM($G165:AV165))*20%,IF(AY$121=0,0,IF(AY$121="2차중도금",$F165*30%-SUM($G165:AX165),IF(AY$121="3차중도금",$F165*40%-SUM($G165:AX165),IF(AY$121="4차중도금",$F165*50%-SUM($G165:AX165),$F165*10%)))))))+(IF(AY$121="5차중도금",$F165*60%-SUM($G165:AX165)-$F165*10%,IF(AY$121="6차중도금",$F165*70%-SUM($G165:AX165)-$F165*10%,0)))</f>
        <v>0</v>
      </c>
      <c r="AZ165" s="605">
        <f>IF(AZ$121="입주/잔금",($F165-SUM($G165:AY165))*30%,IF(AY$121="입주/잔금",($F165-SUM($G165:AX165))*50%,IF(AX$121="입주/잔금",($F165-SUM($G165:AW165))*20%,IF(AZ$121=0,0,IF(AZ$121="2차중도금",$F165*30%-SUM($G165:AY165),IF(AZ$121="3차중도금",$F165*40%-SUM($G165:AY165),IF(AZ$121="4차중도금",$F165*50%-SUM($G165:AY165),$F165*10%)))))))+(IF(AZ$121="5차중도금",$F165*60%-SUM($G165:AY165)-$F165*10%,IF(AZ$121="6차중도금",$F165*70%-SUM($G165:AY165)-$F165*10%,0)))</f>
        <v>0</v>
      </c>
      <c r="BA165" s="605">
        <f>IF(BA$121="입주/잔금",($F165-SUM($G165:AZ165))*30%,IF(AZ$121="입주/잔금",($F165-SUM($G165:AY165))*50%,IF(AY$121="입주/잔금",($F165-SUM($G165:AX165))*20%,IF(BA$121=0,0,IF(BA$121="2차중도금",$F165*30%-SUM($G165:AZ165),IF(BA$121="3차중도금",$F165*40%-SUM($G165:AZ165),IF(BA$121="4차중도금",$F165*50%-SUM($G165:AZ165),$F165*10%)))))))+(IF(BA$121="5차중도금",$F165*60%-SUM($G165:AZ165)-$F165*10%,IF(BA$121="6차중도금",$F165*70%-SUM($G165:AZ165)-$F165*10%,0)))</f>
        <v>0</v>
      </c>
      <c r="BB165" s="605">
        <f>IF(BB$121="입주/잔금",($F165-SUM($G165:BA165))*30%,IF(BA$121="입주/잔금",($F165-SUM($G165:AZ165))*50%,IF(AZ$121="입주/잔금",($F165-SUM($G165:AY165))*20%,IF(BB$121=0,0,IF(BB$121="2차중도금",$F165*30%-SUM($G165:BA165),IF(BB$121="3차중도금",$F165*40%-SUM($G165:BA165),IF(BB$121="4차중도금",$F165*50%-SUM($G165:BA165),$F165*10%)))))))+(IF(BB$121="5차중도금",$F165*60%-SUM($G165:BA165)-$F165*10%,IF(BB$121="6차중도금",$F165*70%-SUM($G165:BA165)-$F165*10%,0)))</f>
        <v>0</v>
      </c>
      <c r="BC165" s="605">
        <f>IF(BC$121="입주/잔금",($F165-SUM($G165:BB165))*30%,IF(BB$121="입주/잔금",($F165-SUM($G165:BA165))*50%,IF(BA$121="입주/잔금",($F165-SUM($G165:AZ165))*20%,IF(BC$121=0,0,IF(BC$121="2차중도금",$F165*30%-SUM($G165:BB165),IF(BC$121="3차중도금",$F165*40%-SUM($G165:BB165),IF(BC$121="4차중도금",$F165*50%-SUM($G165:BB165),$F165*10%)))))))+(IF(BC$121="5차중도금",$F165*60%-SUM($G165:BB165)-$F165*10%,IF(BC$121="6차중도금",$F165*70%-SUM($G165:BB165)-$F165*10%,0)))</f>
        <v>0</v>
      </c>
      <c r="BD165" s="605">
        <f>IF(BD$121="입주/잔금",($F165-SUM($G165:BC165))*30%,IF(BC$121="입주/잔금",($F165-SUM($G165:BB165))*50%,IF(BB$121="입주/잔금",($F165-SUM($G165:BA165))*20%,IF(BD$121=0,0,IF(BD$121="2차중도금",$F165*30%-SUM($G165:BC165),IF(BD$121="3차중도금",$F165*40%-SUM($G165:BC165),IF(BD$121="4차중도금",$F165*50%-SUM($G165:BC165),$F165*10%)))))))+(IF(BD$121="5차중도금",$F165*60%-SUM($G165:BC165)-$F165*10%,IF(BD$121="6차중도금",$F165*70%-SUM($G165:BC165)-$F165*10%,0)))</f>
        <v>0</v>
      </c>
      <c r="BE165" s="605">
        <f>IF(BE$121="입주/잔금",($F165-SUM($G165:BD165))*30%,IF(BD$121="입주/잔금",($F165-SUM($G165:BC165))*50%,IF(BC$121="입주/잔금",($F165-SUM($G165:BB165))*20%,IF(BE$121=0,0,IF(BE$121="2차중도금",$F165*30%-SUM($G165:BD165),IF(BE$121="3차중도금",$F165*40%-SUM($G165:BD165),IF(BE$121="4차중도금",$F165*50%-SUM($G165:BD165),$F165*10%)))))))+(IF(BE$121="5차중도금",$F165*60%-SUM($G165:BD165)-$F165*10%,IF(BE$121="6차중도금",$F165*70%-SUM($G165:BD165)-$F165*10%,0)))</f>
        <v>0</v>
      </c>
      <c r="BF165" s="609">
        <f t="shared" si="51"/>
        <v>0</v>
      </c>
      <c r="BG165" s="556">
        <f t="shared" si="45"/>
        <v>0</v>
      </c>
      <c r="BH165" s="610"/>
    </row>
    <row r="166" spans="1:60">
      <c r="A166" s="1867"/>
      <c r="B166" s="611">
        <f t="shared" si="46"/>
        <v>46174</v>
      </c>
      <c r="C166" s="615">
        <f t="shared" si="50"/>
        <v>21284968.815239683</v>
      </c>
      <c r="D166" s="1501"/>
      <c r="E166" s="607">
        <f t="shared" si="52"/>
        <v>1</v>
      </c>
      <c r="F166" s="608">
        <f t="shared" si="53"/>
        <v>0</v>
      </c>
      <c r="G166" s="605"/>
      <c r="H166" s="605"/>
      <c r="I166" s="605"/>
      <c r="J166" s="605"/>
      <c r="K166" s="605"/>
      <c r="L166" s="605"/>
      <c r="M166" s="605"/>
      <c r="N166" s="605"/>
      <c r="O166" s="605"/>
      <c r="P166" s="605"/>
      <c r="Q166" s="605"/>
      <c r="R166" s="605"/>
      <c r="S166" s="605"/>
      <c r="T166" s="605"/>
      <c r="U166" s="605"/>
      <c r="V166" s="605"/>
      <c r="W166" s="605"/>
      <c r="X166" s="605"/>
      <c r="Y166" s="605"/>
      <c r="Z166" s="605"/>
      <c r="AA166" s="605"/>
      <c r="AB166" s="605"/>
      <c r="AC166" s="605"/>
      <c r="AD166" s="605"/>
      <c r="AE166" s="605"/>
      <c r="AF166" s="605"/>
      <c r="AG166" s="605"/>
      <c r="AH166" s="605"/>
      <c r="AI166" s="605"/>
      <c r="AJ166" s="605"/>
      <c r="AK166" s="605"/>
      <c r="AL166" s="605"/>
      <c r="AM166" s="605"/>
      <c r="AN166" s="605"/>
      <c r="AO166" s="605"/>
      <c r="AP166" s="605"/>
      <c r="AQ166" s="605"/>
      <c r="AR166" s="605"/>
      <c r="AS166" s="605"/>
      <c r="AT166" s="605"/>
      <c r="AU166" s="605"/>
      <c r="AV166" s="605"/>
      <c r="AW166" s="605"/>
      <c r="AX166" s="605"/>
      <c r="AY166" s="605">
        <f>$F166*10%</f>
        <v>0</v>
      </c>
      <c r="AZ166" s="605">
        <f>IF(AZ$121="입주/잔금",($F166-SUM($G166:AY166))*30%,IF(AY$121="입주/잔금",($F166-SUM($G166:AX166))*50%,IF(AX$121="입주/잔금",($F166-SUM($G166:AW166))*20%,IF(AZ$121=0,0,IF(AZ$121="2차중도금",$F166*30%-SUM($G166:AY166),IF(AZ$121="3차중도금",$F166*40%-SUM($G166:AY166),IF(AZ$121="4차중도금",$F166*50%-SUM($G166:AY166),$F166*10%)))))))*AND(IF(AZ$121="5차중도금",$F166*60%-SUM($G166:AY166),IF(AZ$121="6차중도금",$F166*70%-SUM($G166:AY166),$F166*10%)))</f>
        <v>0</v>
      </c>
      <c r="BA166" s="605">
        <f>IF(BA$121="입주/잔금",($F166-SUM($G166:AZ166))*30%,IF(AZ$121="입주/잔금",($F166-SUM($G166:AY166))*50%,IF(AY$121="입주/잔금",($F166-SUM($G166:AX166))*20%,IF(BA$121=0,0,IF(BA$121="2차중도금",$F166*30%-SUM($G166:AZ166),IF(BA$121="3차중도금",$F166*40%-SUM($G166:AZ166),IF(BA$121="4차중도금",$F166*50%-SUM($G166:AZ166),$F166*10%)))))))*AND(IF(BA$121="5차중도금",$F166*60%-SUM($G166:AZ166),IF(BA$121="6차중도금",$F166*70%-SUM($G166:AZ166),$F166*10%)))</f>
        <v>0</v>
      </c>
      <c r="BB166" s="605">
        <f>IF(BB$121="입주/잔금",($F166-SUM($G166:BA166))*30%,IF(BA$121="입주/잔금",($F166-SUM($G166:AZ166))*50%,IF(AZ$121="입주/잔금",($F166-SUM($G166:AY166))*20%,IF(BB$121=0,0,IF(BB$121="2차중도금",$F166*30%-SUM($G166:BA166),IF(BB$121="3차중도금",$F166*40%-SUM($G166:BA166),IF(BB$121="4차중도금",$F166*50%-SUM($G166:BA166),$F166*10%)))))))*AND(IF(BB$121="5차중도금",$F166*60%-SUM($G166:BA166),IF(BB$121="6차중도금",$F166*70%-SUM($G166:BA166),$F166*10%)))</f>
        <v>0</v>
      </c>
      <c r="BC166" s="605">
        <f>IF(BC$121="입주/잔금",($F166-SUM($G166:BB166))*30%,IF(BB$121="입주/잔금",($F166-SUM($G166:BA166))*50%,IF(BA$121="입주/잔금",($F166-SUM($G166:AZ166))*20%,IF(BC$121=0,0,IF(BC$121="2차중도금",$F166*30%-SUM($G166:BB166),IF(BC$121="3차중도금",$F166*40%-SUM($G166:BB166),IF(BC$121="4차중도금",$F166*50%-SUM($G166:BB166),$F166*10%)))))))*AND(IF(BC$121="5차중도금",$F166*60%-SUM($G166:BB166),IF(BC$121="6차중도금",$F166*70%-SUM($G166:BB166),$F166*10%)))</f>
        <v>0</v>
      </c>
      <c r="BD166" s="605">
        <f>IF(BD$121="입주/잔금",($F166-SUM($G166:BC166))*30%,IF(BC$121="입주/잔금",($F166-SUM($G166:BB166))*50%,IF(BB$121="입주/잔금",($F166-SUM($G166:BA166))*20%,IF(BD$121=0,0,IF(BD$121="2차중도금",$F166*30%-SUM($G166:BC166),IF(BD$121="3차중도금",$F166*40%-SUM($G166:BC166),IF(BD$121="4차중도금",$F166*50%-SUM($G166:BC166),$F166*10%)))))))*AND(IF(BD$121="5차중도금",$F166*60%-SUM($G166:BC166),IF(BD$121="6차중도금",$F166*70%-SUM($G166:BC166),$F166*10%)))</f>
        <v>0</v>
      </c>
      <c r="BE166" s="605">
        <f>IF(BE$121="입주/잔금",($F166-SUM($G166:BD166))*30%,IF(BD$121="입주/잔금",($F166-SUM($G166:BC166))*50%,IF(BC$121="입주/잔금",($F166-SUM($G166:BB166))*20%,IF(BE$121=0,0,IF(BE$121="2차중도금",$F166*30%-SUM($G166:BD166),IF(BE$121="3차중도금",$F166*40%-SUM($G166:BD166),IF(BE$121="4차중도금",$F166*50%-SUM($G166:BD166),$F166*10%)))))))*AND(IF(BE$121="5차중도금",$F166*60%-SUM($G166:BD166),IF(BE$121="6차중도금",$F166*70%-SUM($G166:BD166),$F166*10%)))</f>
        <v>0</v>
      </c>
      <c r="BF166" s="609">
        <f t="shared" si="51"/>
        <v>0</v>
      </c>
      <c r="BG166" s="556">
        <f t="shared" si="45"/>
        <v>0</v>
      </c>
      <c r="BH166" s="610"/>
    </row>
    <row r="167" spans="1:60">
      <c r="A167" s="1867"/>
      <c r="B167" s="611">
        <f t="shared" si="46"/>
        <v>46204</v>
      </c>
      <c r="C167" s="615">
        <f t="shared" si="50"/>
        <v>21284968.815239683</v>
      </c>
      <c r="D167" s="1501"/>
      <c r="E167" s="607">
        <f t="shared" si="52"/>
        <v>1</v>
      </c>
      <c r="F167" s="608">
        <f t="shared" si="53"/>
        <v>0</v>
      </c>
      <c r="G167" s="605"/>
      <c r="H167" s="605"/>
      <c r="I167" s="605"/>
      <c r="J167" s="605"/>
      <c r="K167" s="605"/>
      <c r="L167" s="605"/>
      <c r="M167" s="605"/>
      <c r="N167" s="605"/>
      <c r="O167" s="605"/>
      <c r="P167" s="605"/>
      <c r="Q167" s="605"/>
      <c r="R167" s="605"/>
      <c r="S167" s="605"/>
      <c r="T167" s="605"/>
      <c r="U167" s="605"/>
      <c r="V167" s="605"/>
      <c r="W167" s="605"/>
      <c r="X167" s="605"/>
      <c r="Y167" s="605"/>
      <c r="Z167" s="605"/>
      <c r="AA167" s="605"/>
      <c r="AB167" s="605"/>
      <c r="AC167" s="605"/>
      <c r="AD167" s="605"/>
      <c r="AE167" s="605"/>
      <c r="AF167" s="605"/>
      <c r="AG167" s="605"/>
      <c r="AH167" s="605"/>
      <c r="AI167" s="605"/>
      <c r="AJ167" s="605"/>
      <c r="AK167" s="605"/>
      <c r="AL167" s="605"/>
      <c r="AM167" s="605"/>
      <c r="AN167" s="605"/>
      <c r="AO167" s="605"/>
      <c r="AP167" s="605"/>
      <c r="AQ167" s="605"/>
      <c r="AR167" s="605"/>
      <c r="AS167" s="605"/>
      <c r="AT167" s="605"/>
      <c r="AU167" s="605"/>
      <c r="AV167" s="605"/>
      <c r="AW167" s="605"/>
      <c r="AX167" s="605"/>
      <c r="AY167" s="605"/>
      <c r="AZ167" s="605"/>
      <c r="BA167" s="605"/>
      <c r="BB167" s="605"/>
      <c r="BC167" s="605"/>
      <c r="BD167" s="605"/>
      <c r="BE167" s="605"/>
      <c r="BF167" s="609">
        <f t="shared" si="51"/>
        <v>0</v>
      </c>
      <c r="BG167" s="556">
        <f t="shared" si="45"/>
        <v>0</v>
      </c>
      <c r="BH167" s="610"/>
    </row>
    <row r="168" spans="1:60">
      <c r="A168" s="1867"/>
      <c r="B168" s="611">
        <f t="shared" si="46"/>
        <v>46235</v>
      </c>
      <c r="C168" s="615">
        <f t="shared" si="50"/>
        <v>21284968.815239683</v>
      </c>
      <c r="D168" s="1501"/>
      <c r="E168" s="607">
        <f t="shared" si="52"/>
        <v>1</v>
      </c>
      <c r="F168" s="608">
        <f t="shared" si="53"/>
        <v>0</v>
      </c>
      <c r="G168" s="605"/>
      <c r="H168" s="605"/>
      <c r="I168" s="605"/>
      <c r="J168" s="605"/>
      <c r="K168" s="605"/>
      <c r="L168" s="605"/>
      <c r="M168" s="605"/>
      <c r="N168" s="605"/>
      <c r="O168" s="605"/>
      <c r="P168" s="605"/>
      <c r="Q168" s="605"/>
      <c r="R168" s="605"/>
      <c r="S168" s="605"/>
      <c r="T168" s="605"/>
      <c r="U168" s="605"/>
      <c r="V168" s="605"/>
      <c r="W168" s="605"/>
      <c r="X168" s="605"/>
      <c r="Y168" s="605"/>
      <c r="Z168" s="605"/>
      <c r="AA168" s="605"/>
      <c r="AB168" s="605"/>
      <c r="AC168" s="605"/>
      <c r="AD168" s="605"/>
      <c r="AE168" s="605"/>
      <c r="AF168" s="605"/>
      <c r="AG168" s="605"/>
      <c r="AH168" s="605"/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605"/>
      <c r="AS168" s="605"/>
      <c r="AT168" s="605"/>
      <c r="AU168" s="605"/>
      <c r="AV168" s="605"/>
      <c r="AW168" s="605"/>
      <c r="AX168" s="605"/>
      <c r="AY168" s="605"/>
      <c r="AZ168" s="605"/>
      <c r="BA168" s="605"/>
      <c r="BB168" s="605"/>
      <c r="BC168" s="605"/>
      <c r="BD168" s="605"/>
      <c r="BE168" s="605"/>
      <c r="BF168" s="609">
        <f t="shared" si="51"/>
        <v>0</v>
      </c>
      <c r="BG168" s="556">
        <f t="shared" si="45"/>
        <v>0</v>
      </c>
      <c r="BH168" s="610"/>
    </row>
    <row r="169" spans="1:60">
      <c r="A169" s="1867"/>
      <c r="B169" s="611">
        <f t="shared" si="46"/>
        <v>46266</v>
      </c>
      <c r="C169" s="615">
        <f t="shared" si="50"/>
        <v>21284968.815239683</v>
      </c>
      <c r="D169" s="1501"/>
      <c r="E169" s="607">
        <f>E168+D169</f>
        <v>1</v>
      </c>
      <c r="F169" s="608">
        <f>C169*D169</f>
        <v>0</v>
      </c>
      <c r="G169" s="605"/>
      <c r="H169" s="605"/>
      <c r="I169" s="605"/>
      <c r="J169" s="605"/>
      <c r="K169" s="605"/>
      <c r="L169" s="605"/>
      <c r="M169" s="605"/>
      <c r="N169" s="605"/>
      <c r="O169" s="605"/>
      <c r="P169" s="605"/>
      <c r="Q169" s="605"/>
      <c r="R169" s="605"/>
      <c r="S169" s="605"/>
      <c r="T169" s="605"/>
      <c r="U169" s="605"/>
      <c r="V169" s="605"/>
      <c r="W169" s="605"/>
      <c r="X169" s="605"/>
      <c r="Y169" s="605"/>
      <c r="Z169" s="605"/>
      <c r="AA169" s="605"/>
      <c r="AB169" s="605"/>
      <c r="AC169" s="605"/>
      <c r="AD169" s="605"/>
      <c r="AE169" s="605"/>
      <c r="AF169" s="605"/>
      <c r="AG169" s="605"/>
      <c r="AH169" s="605"/>
      <c r="AI169" s="605"/>
      <c r="AJ169" s="605"/>
      <c r="AK169" s="605"/>
      <c r="AL169" s="605"/>
      <c r="AM169" s="605"/>
      <c r="AN169" s="605"/>
      <c r="AO169" s="605"/>
      <c r="AP169" s="605"/>
      <c r="AQ169" s="605"/>
      <c r="AR169" s="605"/>
      <c r="AS169" s="605"/>
      <c r="AT169" s="605"/>
      <c r="AU169" s="605"/>
      <c r="AV169" s="605"/>
      <c r="AW169" s="605"/>
      <c r="AX169" s="605"/>
      <c r="AY169" s="605"/>
      <c r="AZ169" s="605"/>
      <c r="BA169" s="605"/>
      <c r="BB169" s="605"/>
      <c r="BC169" s="605"/>
      <c r="BD169" s="605"/>
      <c r="BE169" s="605"/>
      <c r="BF169" s="609">
        <f>SUM(G169:BE169)</f>
        <v>0</v>
      </c>
      <c r="BG169" s="556">
        <f>+F169-BF169</f>
        <v>0</v>
      </c>
      <c r="BH169" s="610"/>
    </row>
    <row r="170" spans="1:60">
      <c r="A170" s="1867"/>
      <c r="B170" s="611">
        <f t="shared" si="46"/>
        <v>46296</v>
      </c>
      <c r="C170" s="615">
        <f t="shared" si="50"/>
        <v>21284968.815239683</v>
      </c>
      <c r="D170" s="1501"/>
      <c r="E170" s="607">
        <f>E169+D170</f>
        <v>1</v>
      </c>
      <c r="F170" s="608">
        <f>C170*D170</f>
        <v>0</v>
      </c>
      <c r="G170" s="605"/>
      <c r="H170" s="605"/>
      <c r="I170" s="605"/>
      <c r="J170" s="605"/>
      <c r="K170" s="605"/>
      <c r="L170" s="605"/>
      <c r="M170" s="605"/>
      <c r="N170" s="605"/>
      <c r="O170" s="605"/>
      <c r="P170" s="605"/>
      <c r="Q170" s="605"/>
      <c r="R170" s="605"/>
      <c r="S170" s="605"/>
      <c r="T170" s="605"/>
      <c r="U170" s="605"/>
      <c r="V170" s="605"/>
      <c r="W170" s="605"/>
      <c r="X170" s="605"/>
      <c r="Y170" s="605"/>
      <c r="Z170" s="605"/>
      <c r="AA170" s="605"/>
      <c r="AB170" s="605"/>
      <c r="AC170" s="605"/>
      <c r="AD170" s="605"/>
      <c r="AE170" s="605"/>
      <c r="AF170" s="605"/>
      <c r="AG170" s="605"/>
      <c r="AH170" s="605"/>
      <c r="AI170" s="605"/>
      <c r="AJ170" s="605"/>
      <c r="AK170" s="605"/>
      <c r="AL170" s="605"/>
      <c r="AM170" s="605"/>
      <c r="AN170" s="605"/>
      <c r="AO170" s="605"/>
      <c r="AP170" s="605"/>
      <c r="AQ170" s="605"/>
      <c r="AR170" s="605"/>
      <c r="AS170" s="605"/>
      <c r="AT170" s="605"/>
      <c r="AU170" s="605"/>
      <c r="AV170" s="605"/>
      <c r="AW170" s="605"/>
      <c r="AX170" s="605"/>
      <c r="AY170" s="605"/>
      <c r="AZ170" s="605"/>
      <c r="BA170" s="605"/>
      <c r="BB170" s="605"/>
      <c r="BC170" s="605"/>
      <c r="BD170" s="605"/>
      <c r="BE170" s="605"/>
      <c r="BF170" s="609">
        <f>SUM(G170:BE170)</f>
        <v>0</v>
      </c>
      <c r="BG170" s="556">
        <f>+F170-BF170</f>
        <v>0</v>
      </c>
      <c r="BH170" s="610"/>
    </row>
    <row r="171" spans="1:60">
      <c r="A171" s="1867"/>
      <c r="B171" s="611">
        <f t="shared" si="46"/>
        <v>46327</v>
      </c>
      <c r="C171" s="615">
        <f t="shared" si="50"/>
        <v>21284968.815239683</v>
      </c>
      <c r="D171" s="1501"/>
      <c r="E171" s="607">
        <f>E170+D171</f>
        <v>1</v>
      </c>
      <c r="F171" s="608">
        <f>C171*D171</f>
        <v>0</v>
      </c>
      <c r="G171" s="605"/>
      <c r="H171" s="605"/>
      <c r="I171" s="605"/>
      <c r="J171" s="605"/>
      <c r="K171" s="605"/>
      <c r="L171" s="605"/>
      <c r="M171" s="605"/>
      <c r="N171" s="605"/>
      <c r="O171" s="605"/>
      <c r="P171" s="605"/>
      <c r="Q171" s="605"/>
      <c r="R171" s="605"/>
      <c r="S171" s="605"/>
      <c r="T171" s="605"/>
      <c r="U171" s="605"/>
      <c r="V171" s="605"/>
      <c r="W171" s="605"/>
      <c r="X171" s="605"/>
      <c r="Y171" s="605"/>
      <c r="Z171" s="605"/>
      <c r="AA171" s="605"/>
      <c r="AB171" s="605"/>
      <c r="AC171" s="605"/>
      <c r="AD171" s="605"/>
      <c r="AE171" s="605"/>
      <c r="AF171" s="605"/>
      <c r="AG171" s="605"/>
      <c r="AH171" s="605"/>
      <c r="AI171" s="605"/>
      <c r="AJ171" s="605"/>
      <c r="AK171" s="605"/>
      <c r="AL171" s="605"/>
      <c r="AM171" s="605"/>
      <c r="AN171" s="605"/>
      <c r="AO171" s="605"/>
      <c r="AP171" s="605"/>
      <c r="AQ171" s="605"/>
      <c r="AR171" s="605"/>
      <c r="AS171" s="605"/>
      <c r="AT171" s="605"/>
      <c r="AU171" s="605"/>
      <c r="AV171" s="605"/>
      <c r="AW171" s="605"/>
      <c r="AX171" s="605"/>
      <c r="AY171" s="605"/>
      <c r="AZ171" s="605"/>
      <c r="BA171" s="605"/>
      <c r="BB171" s="605"/>
      <c r="BC171" s="605"/>
      <c r="BD171" s="605"/>
      <c r="BE171" s="605"/>
      <c r="BF171" s="609">
        <f>SUM(G171:BE171)</f>
        <v>0</v>
      </c>
      <c r="BG171" s="556">
        <f>+F171-BF171</f>
        <v>0</v>
      </c>
      <c r="BH171" s="610"/>
    </row>
    <row r="172" spans="1:60">
      <c r="A172" s="1868"/>
      <c r="B172" s="611">
        <f t="shared" si="46"/>
        <v>46357</v>
      </c>
      <c r="C172" s="615">
        <f t="shared" si="50"/>
        <v>21284968.815239683</v>
      </c>
      <c r="D172" s="1501"/>
      <c r="E172" s="607">
        <f>E171+D172</f>
        <v>1</v>
      </c>
      <c r="F172" s="608">
        <f>C172*D172</f>
        <v>0</v>
      </c>
      <c r="G172" s="605"/>
      <c r="H172" s="605"/>
      <c r="I172" s="605"/>
      <c r="J172" s="605"/>
      <c r="K172" s="605"/>
      <c r="L172" s="605"/>
      <c r="M172" s="605"/>
      <c r="N172" s="605"/>
      <c r="O172" s="605"/>
      <c r="P172" s="605"/>
      <c r="Q172" s="605"/>
      <c r="R172" s="605"/>
      <c r="S172" s="605"/>
      <c r="T172" s="605"/>
      <c r="U172" s="605"/>
      <c r="V172" s="605"/>
      <c r="W172" s="605"/>
      <c r="X172" s="605"/>
      <c r="Y172" s="605"/>
      <c r="Z172" s="605"/>
      <c r="AA172" s="605"/>
      <c r="AB172" s="605"/>
      <c r="AC172" s="605"/>
      <c r="AD172" s="605"/>
      <c r="AE172" s="605"/>
      <c r="AF172" s="605"/>
      <c r="AG172" s="605"/>
      <c r="AH172" s="605"/>
      <c r="AI172" s="605"/>
      <c r="AJ172" s="605"/>
      <c r="AK172" s="605"/>
      <c r="AL172" s="605"/>
      <c r="AM172" s="605"/>
      <c r="AN172" s="605"/>
      <c r="AO172" s="605"/>
      <c r="AP172" s="605"/>
      <c r="AQ172" s="605"/>
      <c r="AR172" s="605"/>
      <c r="AS172" s="605"/>
      <c r="AT172" s="605"/>
      <c r="AU172" s="605"/>
      <c r="AV172" s="605"/>
      <c r="AW172" s="605"/>
      <c r="AX172" s="605"/>
      <c r="AY172" s="605"/>
      <c r="AZ172" s="605"/>
      <c r="BA172" s="605"/>
      <c r="BB172" s="605"/>
      <c r="BC172" s="605"/>
      <c r="BD172" s="605"/>
      <c r="BE172" s="605"/>
      <c r="BF172" s="609">
        <f>SUM(G172:BE172)</f>
        <v>0</v>
      </c>
      <c r="BG172" s="556">
        <f>+F172-BF172</f>
        <v>0</v>
      </c>
      <c r="BH172" s="610"/>
    </row>
    <row r="173" spans="1:60">
      <c r="A173" s="1852" t="s">
        <v>366</v>
      </c>
      <c r="B173" s="616" t="s">
        <v>355</v>
      </c>
      <c r="C173" s="617">
        <f>C172</f>
        <v>21284968.815239683</v>
      </c>
      <c r="D173" s="618"/>
      <c r="E173" s="618"/>
      <c r="F173" s="617">
        <f t="shared" ref="F173:BE173" si="54">SUM(F122:F172)</f>
        <v>21284968.815239679</v>
      </c>
      <c r="G173" s="619">
        <f t="shared" si="54"/>
        <v>0</v>
      </c>
      <c r="H173" s="619">
        <f t="shared" si="54"/>
        <v>0</v>
      </c>
      <c r="I173" s="619">
        <f t="shared" si="54"/>
        <v>0</v>
      </c>
      <c r="J173" s="619">
        <f t="shared" si="54"/>
        <v>0</v>
      </c>
      <c r="K173" s="619">
        <f t="shared" si="54"/>
        <v>0</v>
      </c>
      <c r="L173" s="619">
        <f t="shared" si="54"/>
        <v>0</v>
      </c>
      <c r="M173" s="619">
        <f t="shared" si="54"/>
        <v>425699.37630479364</v>
      </c>
      <c r="N173" s="619">
        <f t="shared" si="54"/>
        <v>106424.84407619841</v>
      </c>
      <c r="O173" s="619">
        <f t="shared" si="54"/>
        <v>106424.84407619841</v>
      </c>
      <c r="P173" s="619">
        <f t="shared" si="54"/>
        <v>106424.84407619841</v>
      </c>
      <c r="Q173" s="619">
        <f t="shared" si="54"/>
        <v>106424.84407619841</v>
      </c>
      <c r="R173" s="619">
        <f t="shared" si="54"/>
        <v>106424.84407619841</v>
      </c>
      <c r="S173" s="619">
        <f t="shared" si="54"/>
        <v>1064248.4407619841</v>
      </c>
      <c r="T173" s="619">
        <f t="shared" si="54"/>
        <v>106424.84407619841</v>
      </c>
      <c r="U173" s="619">
        <f t="shared" si="54"/>
        <v>106424.84407619841</v>
      </c>
      <c r="V173" s="619">
        <f t="shared" si="54"/>
        <v>106424.84407619841</v>
      </c>
      <c r="W173" s="619">
        <f t="shared" si="54"/>
        <v>63854.906445719047</v>
      </c>
      <c r="X173" s="619">
        <f t="shared" si="54"/>
        <v>42569.93763047937</v>
      </c>
      <c r="Y173" s="619">
        <f t="shared" si="54"/>
        <v>2022072.0374477697</v>
      </c>
      <c r="Z173" s="619">
        <f t="shared" si="54"/>
        <v>0</v>
      </c>
      <c r="AA173" s="619">
        <f t="shared" si="54"/>
        <v>0</v>
      </c>
      <c r="AB173" s="619">
        <f t="shared" si="54"/>
        <v>0</v>
      </c>
      <c r="AC173" s="619">
        <f t="shared" si="54"/>
        <v>0</v>
      </c>
      <c r="AD173" s="619">
        <f t="shared" si="54"/>
        <v>0</v>
      </c>
      <c r="AE173" s="619">
        <f t="shared" si="54"/>
        <v>1489947.817066778</v>
      </c>
      <c r="AF173" s="619">
        <f t="shared" si="54"/>
        <v>0</v>
      </c>
      <c r="AG173" s="619">
        <f t="shared" si="54"/>
        <v>0</v>
      </c>
      <c r="AH173" s="619">
        <f t="shared" si="54"/>
        <v>0</v>
      </c>
      <c r="AI173" s="619">
        <f t="shared" si="54"/>
        <v>0</v>
      </c>
      <c r="AJ173" s="619">
        <f t="shared" si="54"/>
        <v>0</v>
      </c>
      <c r="AK173" s="619">
        <f t="shared" si="54"/>
        <v>1489947.817066778</v>
      </c>
      <c r="AL173" s="619">
        <f t="shared" si="54"/>
        <v>0</v>
      </c>
      <c r="AM173" s="619">
        <f t="shared" si="54"/>
        <v>0</v>
      </c>
      <c r="AN173" s="619">
        <f t="shared" si="54"/>
        <v>0</v>
      </c>
      <c r="AO173" s="619">
        <f t="shared" si="54"/>
        <v>0</v>
      </c>
      <c r="AP173" s="619">
        <f t="shared" si="54"/>
        <v>0</v>
      </c>
      <c r="AQ173" s="619">
        <f t="shared" si="54"/>
        <v>0</v>
      </c>
      <c r="AR173" s="619">
        <f t="shared" si="54"/>
        <v>2234921.7256001658</v>
      </c>
      <c r="AS173" s="619">
        <f t="shared" si="54"/>
        <v>3724869.5426669437</v>
      </c>
      <c r="AT173" s="619">
        <f t="shared" si="54"/>
        <v>1489947.817066778</v>
      </c>
      <c r="AU173" s="619">
        <f t="shared" si="54"/>
        <v>6385490.6445719032</v>
      </c>
      <c r="AV173" s="619">
        <f t="shared" si="54"/>
        <v>0</v>
      </c>
      <c r="AW173" s="619">
        <f t="shared" si="54"/>
        <v>0</v>
      </c>
      <c r="AX173" s="619">
        <f t="shared" si="54"/>
        <v>0</v>
      </c>
      <c r="AY173" s="619">
        <f t="shared" si="54"/>
        <v>0</v>
      </c>
      <c r="AZ173" s="619">
        <f t="shared" si="54"/>
        <v>0</v>
      </c>
      <c r="BA173" s="619">
        <f t="shared" si="54"/>
        <v>0</v>
      </c>
      <c r="BB173" s="620">
        <f t="shared" si="54"/>
        <v>0</v>
      </c>
      <c r="BC173" s="620">
        <f t="shared" si="54"/>
        <v>0</v>
      </c>
      <c r="BD173" s="620">
        <f t="shared" si="54"/>
        <v>0</v>
      </c>
      <c r="BE173" s="620">
        <f t="shared" si="54"/>
        <v>0</v>
      </c>
      <c r="BF173" s="619">
        <f t="shared" si="43"/>
        <v>21284968.815239679</v>
      </c>
      <c r="BG173" s="556">
        <f t="shared" si="45"/>
        <v>0</v>
      </c>
      <c r="BH173" s="610"/>
    </row>
    <row r="174" spans="1:60">
      <c r="A174" s="1853"/>
      <c r="B174" s="621" t="s">
        <v>356</v>
      </c>
      <c r="C174" s="622">
        <f>C173</f>
        <v>21284968.815239683</v>
      </c>
      <c r="D174" s="623">
        <f>SUM(D122:D172)</f>
        <v>1</v>
      </c>
      <c r="E174" s="623"/>
      <c r="F174" s="622">
        <f>F173</f>
        <v>21284968.815239679</v>
      </c>
      <c r="G174" s="624">
        <f t="shared" ref="G174:BF174" si="55">G173/$F173</f>
        <v>0</v>
      </c>
      <c r="H174" s="624">
        <f t="shared" si="55"/>
        <v>0</v>
      </c>
      <c r="I174" s="624">
        <f t="shared" si="55"/>
        <v>0</v>
      </c>
      <c r="J174" s="624">
        <f t="shared" si="55"/>
        <v>0</v>
      </c>
      <c r="K174" s="624">
        <f t="shared" si="55"/>
        <v>0</v>
      </c>
      <c r="L174" s="624">
        <f t="shared" si="55"/>
        <v>0</v>
      </c>
      <c r="M174" s="624">
        <f t="shared" si="55"/>
        <v>2.0000000000000004E-2</v>
      </c>
      <c r="N174" s="624">
        <f t="shared" si="55"/>
        <v>5.000000000000001E-3</v>
      </c>
      <c r="O174" s="624">
        <f t="shared" si="55"/>
        <v>5.000000000000001E-3</v>
      </c>
      <c r="P174" s="624">
        <f t="shared" si="55"/>
        <v>5.000000000000001E-3</v>
      </c>
      <c r="Q174" s="624">
        <f t="shared" si="55"/>
        <v>5.000000000000001E-3</v>
      </c>
      <c r="R174" s="624">
        <f t="shared" si="55"/>
        <v>5.000000000000001E-3</v>
      </c>
      <c r="S174" s="624">
        <f t="shared" si="55"/>
        <v>5.000000000000001E-2</v>
      </c>
      <c r="T174" s="624">
        <f t="shared" si="55"/>
        <v>5.000000000000001E-3</v>
      </c>
      <c r="U174" s="624">
        <f t="shared" si="55"/>
        <v>5.000000000000001E-3</v>
      </c>
      <c r="V174" s="624">
        <f t="shared" si="55"/>
        <v>5.000000000000001E-3</v>
      </c>
      <c r="W174" s="624">
        <f t="shared" si="55"/>
        <v>3.0000000000000005E-3</v>
      </c>
      <c r="X174" s="624">
        <f t="shared" si="55"/>
        <v>2.0000000000000005E-3</v>
      </c>
      <c r="Y174" s="624">
        <f t="shared" si="55"/>
        <v>9.5000000000000001E-2</v>
      </c>
      <c r="Z174" s="624">
        <f t="shared" si="55"/>
        <v>0</v>
      </c>
      <c r="AA174" s="624">
        <f t="shared" si="55"/>
        <v>0</v>
      </c>
      <c r="AB174" s="624">
        <f t="shared" si="55"/>
        <v>0</v>
      </c>
      <c r="AC174" s="624">
        <f t="shared" si="55"/>
        <v>0</v>
      </c>
      <c r="AD174" s="624">
        <f t="shared" si="55"/>
        <v>0</v>
      </c>
      <c r="AE174" s="624">
        <f t="shared" si="55"/>
        <v>7.0000000000000021E-2</v>
      </c>
      <c r="AF174" s="624">
        <f t="shared" si="55"/>
        <v>0</v>
      </c>
      <c r="AG174" s="624">
        <f t="shared" si="55"/>
        <v>0</v>
      </c>
      <c r="AH174" s="624">
        <f t="shared" si="55"/>
        <v>0</v>
      </c>
      <c r="AI174" s="624">
        <f t="shared" si="55"/>
        <v>0</v>
      </c>
      <c r="AJ174" s="624">
        <f t="shared" si="55"/>
        <v>0</v>
      </c>
      <c r="AK174" s="624">
        <f t="shared" si="55"/>
        <v>7.0000000000000021E-2</v>
      </c>
      <c r="AL174" s="624">
        <f t="shared" si="55"/>
        <v>0</v>
      </c>
      <c r="AM174" s="624">
        <f t="shared" si="55"/>
        <v>0</v>
      </c>
      <c r="AN174" s="624">
        <f t="shared" si="55"/>
        <v>0</v>
      </c>
      <c r="AO174" s="624">
        <f t="shared" si="55"/>
        <v>0</v>
      </c>
      <c r="AP174" s="624">
        <f t="shared" si="55"/>
        <v>0</v>
      </c>
      <c r="AQ174" s="624">
        <f t="shared" si="55"/>
        <v>0</v>
      </c>
      <c r="AR174" s="624">
        <f t="shared" si="55"/>
        <v>0.10499999999999998</v>
      </c>
      <c r="AS174" s="624">
        <f t="shared" si="55"/>
        <v>0.17499999999999999</v>
      </c>
      <c r="AT174" s="624">
        <f t="shared" si="55"/>
        <v>7.0000000000000021E-2</v>
      </c>
      <c r="AU174" s="624">
        <f t="shared" si="55"/>
        <v>0.3</v>
      </c>
      <c r="AV174" s="624">
        <f t="shared" si="55"/>
        <v>0</v>
      </c>
      <c r="AW174" s="624">
        <f t="shared" si="55"/>
        <v>0</v>
      </c>
      <c r="AX174" s="624">
        <f>AX173/$F173</f>
        <v>0</v>
      </c>
      <c r="AY174" s="624">
        <f>AY173/$F173</f>
        <v>0</v>
      </c>
      <c r="AZ174" s="624">
        <f t="shared" si="55"/>
        <v>0</v>
      </c>
      <c r="BA174" s="624">
        <f t="shared" si="55"/>
        <v>0</v>
      </c>
      <c r="BB174" s="624">
        <f>BB173/$F173</f>
        <v>0</v>
      </c>
      <c r="BC174" s="624">
        <f>BC173/$F173</f>
        <v>0</v>
      </c>
      <c r="BD174" s="624">
        <f>BD173/$F173</f>
        <v>0</v>
      </c>
      <c r="BE174" s="624">
        <f>BE173/$F173</f>
        <v>0</v>
      </c>
      <c r="BF174" s="625">
        <f t="shared" si="55"/>
        <v>1</v>
      </c>
      <c r="BG174" s="556"/>
      <c r="BH174" s="556"/>
    </row>
    <row r="175" spans="1:60">
      <c r="A175" s="1853"/>
      <c r="B175" s="1855" t="s">
        <v>367</v>
      </c>
      <c r="C175" s="1856"/>
      <c r="D175" s="1859" t="s">
        <v>368</v>
      </c>
      <c r="E175" s="1861">
        <f>'CASH FLOW'!C84</f>
        <v>0.05</v>
      </c>
      <c r="F175" s="626" t="s">
        <v>369</v>
      </c>
      <c r="G175" s="627"/>
      <c r="H175" s="627">
        <f ca="1">IF(H$7&lt;=손익!$M$5,SUM(OFFSET($G$122:$BE$172,0,0,2+COLUMN(H122)-9,COLUMN(H122)-6))-($C$122*SUMIF($B$122:$B$172,G$8,$E$122:$E$172)*10%),0)</f>
        <v>0</v>
      </c>
      <c r="I175" s="627">
        <f ca="1">IF(I$7&lt;=손익!$M$5,SUM(OFFSET($G$122:$BE$172,0,0,2+COLUMN(I122)-9,COLUMN(I122)-6))-($C$122*SUMIF($B$122:$B$172,H$8,$E$122:$E$172)*10%),0)</f>
        <v>0</v>
      </c>
      <c r="J175" s="627">
        <f ca="1">IF(J$7&lt;=손익!$M$5,SUM(OFFSET($G$122:$BE$172,0,0,2+COLUMN(J122)-9,COLUMN(J122)-6))-($C$122*SUMIF($B$122:$B$172,I$8,$E$122:$E$172)*10%),0)</f>
        <v>0</v>
      </c>
      <c r="K175" s="627">
        <f ca="1">IF(K$7&lt;=손익!$M$5,SUM(OFFSET($G$122:$BE$172,0,0,2+COLUMN(K122)-9,COLUMN(K122)-6))-($C$122*SUMIF($B$122:$B$172,J$8,$E$122:$E$172)*10%),0)</f>
        <v>0</v>
      </c>
      <c r="L175" s="627">
        <f ca="1">IF(L$7&lt;=손익!$M$5,SUM(OFFSET($G$122:$BE$172,0,0,2+COLUMN(L122)-9,COLUMN(L122)-6))-($C$122*SUMIF($B$122:$B$172,K$8,$E$122:$E$172)*10%),0)</f>
        <v>0</v>
      </c>
      <c r="M175" s="627">
        <f ca="1">IF(M$7&lt;=손익!$M$5,SUM(OFFSET($G$122:$BE$172,0,0,2+COLUMN(M122)-9,COLUMN(M122)-6))-($C$122*SUMIF($B$122:$B$172,L$8,$E$122:$E$172)*10%),0)</f>
        <v>0</v>
      </c>
      <c r="N175" s="627">
        <f ca="1">IF(N$7&lt;=손익!$M$5,SUM(OFFSET($G$122:$BE$172,0,0,2+COLUMN(N122)-9,COLUMN(N122)-6))-($C$122*SUMIF($B$122:$B$172,M$8,$E$122:$E$172)*10%),0)</f>
        <v>0</v>
      </c>
      <c r="O175" s="627">
        <f ca="1">IF(O$7&lt;=손익!$M$5,SUM(OFFSET($G$122:$BE$172,0,0,2+COLUMN(O122)-9,COLUMN(O122)-6))-($C$122*SUMIF($B$122:$B$172,N$8,$E$122:$E$172)*10%),0)</f>
        <v>0</v>
      </c>
      <c r="P175" s="627">
        <f ca="1">IF(P$7&lt;=손익!$M$5,SUM(OFFSET($G$122:$BE$172,0,0,2+COLUMN(P122)-9,COLUMN(P122)-6))-($C$122*SUMIF($B$122:$B$172,O$8,$E$122:$E$172)*10%),0)</f>
        <v>-1.1641532182693481E-10</v>
      </c>
      <c r="Q175" s="627">
        <f ca="1">IF(Q$7&lt;=손익!$M$5,SUM(OFFSET($G$122:$BE$172,0,0,2+COLUMN(Q122)-9,COLUMN(Q122)-6))-($C$122*SUMIF($B$122:$B$172,P$8,$E$122:$E$172)*10%),0)</f>
        <v>0</v>
      </c>
      <c r="R175" s="627">
        <f ca="1">IF(R$7&lt;=손익!$M$5,SUM(OFFSET($G$122:$BE$172,0,0,2+COLUMN(R122)-9,COLUMN(R122)-6))-($C$122*SUMIF($B$122:$B$172,Q$8,$E$122:$E$172)*10%),0)</f>
        <v>0</v>
      </c>
      <c r="S175" s="627">
        <f ca="1">IF(S$7&lt;=손익!$M$5,SUM(OFFSET($G$122:$BE$172,0,0,2+COLUMN(S122)-9,COLUMN(S122)-6))-($C$122*SUMIF($B$122:$B$172,R$8,$E$122:$E$172)*10%),0)</f>
        <v>957823.59668578638</v>
      </c>
      <c r="T175" s="627">
        <f ca="1">IF(T$7&lt;=손익!$M$5,SUM(OFFSET($G$122:$BE$172,0,0,2+COLUMN(T122)-9,COLUMN(T122)-6))-($C$122*SUMIF($B$122:$B$172,S$8,$E$122:$E$172)*10%),0)</f>
        <v>957823.5966857865</v>
      </c>
      <c r="U175" s="627">
        <f ca="1">IF(U$7&lt;=손익!$M$5,SUM(OFFSET($G$122:$BE$172,0,0,2+COLUMN(U122)-9,COLUMN(U122)-6))-($C$122*SUMIF($B$122:$B$172,T$8,$E$122:$E$172)*10%),0)</f>
        <v>957823.5966857865</v>
      </c>
      <c r="V175" s="627">
        <f ca="1">IF(V$7&lt;=손익!$M$5,SUM(OFFSET($G$122:$BE$172,0,0,2+COLUMN(V122)-9,COLUMN(V122)-6))-($C$122*SUMIF($B$122:$B$172,U$8,$E$122:$E$172)*10%),0)</f>
        <v>957823.5966857865</v>
      </c>
      <c r="W175" s="627">
        <f ca="1">IF(W$7&lt;=손익!$M$5,SUM(OFFSET($G$122:$BE$172,0,0,2+COLUMN(W122)-9,COLUMN(W122)-6))-($C$122*SUMIF($B$122:$B$172,V$8,$E$122:$E$172)*10%),0)</f>
        <v>957823.59668578673</v>
      </c>
      <c r="X175" s="627">
        <f ca="1">IF(X$7&lt;=손익!$M$5,SUM(OFFSET($G$122:$BE$172,0,0,2+COLUMN(X122)-9,COLUMN(X122)-6))-($C$122*SUMIF($B$122:$B$172,W$8,$E$122:$E$172)*10%),0)</f>
        <v>957823.5966857865</v>
      </c>
      <c r="Y175" s="627">
        <f ca="1">IF(Y$7&lt;=손익!$M$5,SUM(OFFSET($G$122:$BE$172,0,0,2+COLUMN(Y122)-9,COLUMN(Y122)-6))-($C$122*SUMIF($B$122:$B$172,X$8,$E$122:$E$172)*10%),0)</f>
        <v>2979895.6341335573</v>
      </c>
      <c r="Z175" s="627">
        <f ca="1">IF(Z$7&lt;=손익!$M$5,SUM(OFFSET($G$122:$BE$172,0,0,2+COLUMN(Z122)-9,COLUMN(Z122)-6))-($C$122*SUMIF($B$122:$B$172,Y$8,$E$122:$E$172)*10%),0)</f>
        <v>2979895.6341335573</v>
      </c>
      <c r="AA175" s="627">
        <f ca="1">IF(AA$7&lt;=손익!$M$5,SUM(OFFSET($G$122:$BE$172,0,0,2+COLUMN(AA122)-9,COLUMN(AA122)-6))-($C$122*SUMIF($B$122:$B$172,Z$8,$E$122:$E$172)*10%),0)</f>
        <v>2979895.6341335573</v>
      </c>
      <c r="AB175" s="627">
        <f ca="1">IF(AB$7&lt;=손익!$M$5,SUM(OFFSET($G$122:$BE$172,0,0,2+COLUMN(AB122)-9,COLUMN(AB122)-6))-($C$122*SUMIF($B$122:$B$172,AA$8,$E$122:$E$172)*10%),0)</f>
        <v>2979895.6341335573</v>
      </c>
      <c r="AC175" s="627">
        <f ca="1">IF(AC$7&lt;=손익!$M$5,SUM(OFFSET($G$122:$BE$172,0,0,2+COLUMN(AC122)-9,COLUMN(AC122)-6))-($C$122*SUMIF($B$122:$B$172,AB$8,$E$122:$E$172)*10%),0)</f>
        <v>2979895.6341335573</v>
      </c>
      <c r="AD175" s="627">
        <f ca="1">IF(AD$7&lt;=손익!$M$5,SUM(OFFSET($G$122:$BE$172,0,0,2+COLUMN(AD122)-9,COLUMN(AD122)-6))-($C$122*SUMIF($B$122:$B$172,AC$8,$E$122:$E$172)*10%),0)</f>
        <v>2979895.6341335573</v>
      </c>
      <c r="AE175" s="627">
        <f ca="1">IF(AE$7&lt;=손익!$M$5,SUM(OFFSET($G$122:$BE$172,0,0,2+COLUMN(AE122)-9,COLUMN(AE122)-6))-($C$122*SUMIF($B$122:$B$172,AD$8,$E$122:$E$172)*10%),0)</f>
        <v>4469843.4512003362</v>
      </c>
      <c r="AF175" s="627">
        <f ca="1">IF(AF$7&lt;=손익!$M$5,SUM(OFFSET($G$122:$BE$172,0,0,2+COLUMN(AF122)-9,COLUMN(AF122)-6))-($C$122*SUMIF($B$122:$B$172,AE$8,$E$122:$E$172)*10%),0)</f>
        <v>4469843.4512003362</v>
      </c>
      <c r="AG175" s="627">
        <f ca="1">IF(AG$7&lt;=손익!$M$5,SUM(OFFSET($G$122:$BE$172,0,0,2+COLUMN(AG122)-9,COLUMN(AG122)-6))-($C$122*SUMIF($B$122:$B$172,AF$8,$E$122:$E$172)*10%),0)</f>
        <v>4469843.4512003362</v>
      </c>
      <c r="AH175" s="627">
        <f ca="1">IF(AH$7&lt;=손익!$M$5,SUM(OFFSET($G$122:$BE$172,0,0,2+COLUMN(AH122)-9,COLUMN(AH122)-6))-($C$122*SUMIF($B$122:$B$172,AG$8,$E$122:$E$172)*10%),0)</f>
        <v>4469843.4512003362</v>
      </c>
      <c r="AI175" s="627">
        <f ca="1">IF(AI$7&lt;=손익!$M$5,SUM(OFFSET($G$122:$BE$172,0,0,2+COLUMN(AI122)-9,COLUMN(AI122)-6))-($C$122*SUMIF($B$122:$B$172,AH$8,$E$122:$E$172)*10%),0)</f>
        <v>4469843.4512003362</v>
      </c>
      <c r="AJ175" s="627">
        <f ca="1">IF(AJ$7&lt;=손익!$M$5,SUM(OFFSET($G$122:$BE$172,0,0,2+COLUMN(AJ122)-9,COLUMN(AJ122)-6))-($C$122*SUMIF($B$122:$B$172,AI$8,$E$122:$E$172)*10%),0)</f>
        <v>4469843.4512003362</v>
      </c>
      <c r="AK175" s="627">
        <f ca="1">IF(AK$7&lt;=손익!$M$5,SUM(OFFSET($G$122:$BE$172,0,0,2+COLUMN(AK122)-9,COLUMN(AK122)-6))-($C$122*SUMIF($B$122:$B$172,AJ$8,$E$122:$E$172)*10%),0)</f>
        <v>5959791.2682671156</v>
      </c>
      <c r="AL175" s="627">
        <f ca="1">IF(AL$7&lt;=손익!$M$5,SUM(OFFSET($G$122:$BE$172,0,0,2+COLUMN(AL122)-9,COLUMN(AL122)-6))-($C$122*SUMIF($B$122:$B$172,AK$8,$E$122:$E$172)*10%),0)</f>
        <v>5959791.2682671156</v>
      </c>
      <c r="AM175" s="627">
        <f ca="1">IF(AM$7&lt;=손익!$M$5,SUM(OFFSET($G$122:$BE$172,0,0,2+COLUMN(AM122)-9,COLUMN(AM122)-6))-($C$122*SUMIF($B$122:$B$172,AL$8,$E$122:$E$172)*10%),0)</f>
        <v>5959791.2682671156</v>
      </c>
      <c r="AN175" s="627">
        <f ca="1">IF(AN$7&lt;=손익!$M$5,SUM(OFFSET($G$122:$BE$172,0,0,2+COLUMN(AN122)-9,COLUMN(AN122)-6))-($C$122*SUMIF($B$122:$B$172,AM$8,$E$122:$E$172)*10%),0)</f>
        <v>5959791.2682671156</v>
      </c>
      <c r="AO175" s="627">
        <f ca="1">IF(AO$7&lt;=손익!$M$5,SUM(OFFSET($G$122:$BE$172,0,0,2+COLUMN(AO122)-9,COLUMN(AO122)-6))-($C$122*SUMIF($B$122:$B$172,AN$8,$E$122:$E$172)*10%),0)</f>
        <v>5959791.2682671156</v>
      </c>
      <c r="AP175" s="627">
        <f ca="1">IF(AP$7&lt;=손익!$M$5,SUM(OFFSET($G$122:$BE$172,0,0,2+COLUMN(AP122)-9,COLUMN(AP122)-6))-($C$122*SUMIF($B$122:$B$172,AO$8,$E$122:$E$172)*10%),0)</f>
        <v>5959791.2682671156</v>
      </c>
      <c r="AQ175" s="627">
        <f ca="1">IF(AQ$7&lt;=손익!$M$5,SUM(OFFSET($G$122:$BE$172,0,0,2+COLUMN(AQ122)-9,COLUMN(AQ122)-6))-($C$122*SUMIF($B$122:$B$172,AP$8,$E$122:$E$172)*10%),0)</f>
        <v>5959791.2682671156</v>
      </c>
      <c r="AR175" s="627">
        <f ca="1">IF(AR$7&lt;=손익!$M$5,SUM(OFFSET($G$122:$BE$172,0,0,2+COLUMN(AR122)-9,COLUMN(AR122)-6))-($C$122*SUMIF($B$122:$B$172,AQ$8,$E$122:$E$172)*10%),0)</f>
        <v>0</v>
      </c>
      <c r="AS175" s="627">
        <f ca="1">IF(AS$7&lt;=손익!$M$5,SUM(OFFSET($G$122:$BE$172,0,0,2+COLUMN(AS122)-9,COLUMN(AS122)-6))-($C$122*SUMIF($B$122:$B$172,AR$8,$E$122:$E$172)*10%),0)</f>
        <v>0</v>
      </c>
      <c r="AT175" s="627">
        <f ca="1">IF(AT$7&lt;=손익!$M$5,SUM(OFFSET($G$122:$BE$172,0,0,2+COLUMN(AT122)-9,COLUMN(AT122)-6))-($C$122*SUMIF($B$122:$B$172,AS$8,$E$122:$E$172)*10%),0)</f>
        <v>0</v>
      </c>
      <c r="AU175" s="627">
        <f ca="1">IF(AU$7&lt;=손익!$M$5,SUM(OFFSET($G$122:$BE$172,0,0,2+COLUMN(AU122)-9,COLUMN(AU122)-6))-($C$122*SUMIF($B$122:$B$172,AT$8,$E$122:$E$172)*10%),0)</f>
        <v>0</v>
      </c>
      <c r="AV175" s="627">
        <f ca="1">IF(AV$7&lt;=손익!$M$5,SUM(OFFSET($G$122:$BE$172,0,0,2+COLUMN(AV122)-9,COLUMN(AV122)-6))-($C$122*SUMIF($B$122:$B$172,AU$8,$E$122:$E$172)*10%),0)</f>
        <v>0</v>
      </c>
      <c r="AW175" s="627">
        <f ca="1">IF(AW$7&lt;=손익!$M$5,SUM(OFFSET($G$122:$BE$172,0,0,2+COLUMN(AW122)-9,COLUMN(AW122)-6))-($C$122*SUMIF($B$122:$B$172,AV$8,$E$122:$E$172)*10%),0)</f>
        <v>0</v>
      </c>
      <c r="AX175" s="627">
        <f ca="1">IF(AX$7&lt;=손익!$M$5,SUM(OFFSET($G$122:$BE$172,0,0,2+COLUMN(AX122)-9,COLUMN(AX122)-6))-($C$122*SUMIF($B$122:$B$172,AW$8,$E$122:$E$172)*10%),0)</f>
        <v>0</v>
      </c>
      <c r="AY175" s="627">
        <f ca="1">IF(AY$7&lt;=손익!$M$5,SUM(OFFSET($G$122:$BE$172,0,0,2+COLUMN(AY122)-9,COLUMN(AY122)-6))-($C$122*SUMIF($B$122:$B$172,AX$8,$E$122:$E$172)*10%),0)</f>
        <v>0</v>
      </c>
      <c r="AZ175" s="627">
        <f ca="1">IF(AZ$7&lt;=손익!$M$5,SUM(OFFSET($G$122:$BE$172,0,0,2+COLUMN(AZ122)-9,COLUMN(AZ122)-6))-($C$122*SUMIF($B$122:$B$172,AY$8,$E$122:$E$172)*10%),0)</f>
        <v>0</v>
      </c>
      <c r="BA175" s="627">
        <f ca="1">IF(BA$7&lt;=손익!$M$5,SUM(OFFSET($G$122:$BE$172,0,0,2+COLUMN(BA122)-9,COLUMN(BA122)-6))-($C$122*SUMIF($B$122:$B$172,AZ$8,$E$122:$E$172)*10%),0)</f>
        <v>0</v>
      </c>
      <c r="BB175" s="627">
        <f ca="1">IF(BB$7&lt;=손익!$M$5,SUM(OFFSET($G$122:$BE$172,0,0,2+COLUMN(BB122)-9,COLUMN(BB122)-6))-($C$122*SUMIF($B$122:$B$172,BA$8,$E$122:$E$172)*10%),0)</f>
        <v>0</v>
      </c>
      <c r="BC175" s="627">
        <f ca="1">IF(BC$7&lt;=손익!$M$5,SUM(OFFSET($G$122:$BE$172,0,0,2+COLUMN(BC122)-9,COLUMN(BC122)-6))-($C$122*SUMIF($B$122:$B$172,BB$8,$E$122:$E$172)*10%),0)</f>
        <v>0</v>
      </c>
      <c r="BD175" s="627">
        <f ca="1">IF(BD$7&lt;=손익!$M$5,SUM(OFFSET($G$122:$BE$172,0,0,2+COLUMN(BD122)-9,COLUMN(BD122)-6))-($C$122*SUMIF($B$122:$B$172,BC$8,$E$122:$E$172)*10%),0)</f>
        <v>0</v>
      </c>
      <c r="BE175" s="627">
        <f ca="1">IF(BE$7&lt;=손익!$M$5,SUM(OFFSET($G$122:$BE$172,0,0,2+COLUMN(BE122)-9,COLUMN(BE122)-6))-($C$122*SUMIF($B$122:$B$172,BD$8,$E$122:$E$172)*10%),0)</f>
        <v>0</v>
      </c>
      <c r="BF175" s="628"/>
      <c r="BG175" s="556"/>
      <c r="BH175" s="556"/>
    </row>
    <row r="176" spans="1:60">
      <c r="A176" s="1854"/>
      <c r="B176" s="1857"/>
      <c r="C176" s="1858"/>
      <c r="D176" s="1860"/>
      <c r="E176" s="1862"/>
      <c r="F176" s="629" t="s">
        <v>370</v>
      </c>
      <c r="G176" s="630"/>
      <c r="H176" s="630"/>
      <c r="I176" s="630">
        <f t="shared" ref="I176:BE176" ca="1" si="56">ROUNDDOWN(H175*$E$175*(I$8-H$8)/365,0)</f>
        <v>0</v>
      </c>
      <c r="J176" s="630">
        <f t="shared" ca="1" si="56"/>
        <v>0</v>
      </c>
      <c r="K176" s="630">
        <f t="shared" ca="1" si="56"/>
        <v>0</v>
      </c>
      <c r="L176" s="630">
        <f t="shared" ca="1" si="56"/>
        <v>0</v>
      </c>
      <c r="M176" s="630">
        <f t="shared" ca="1" si="56"/>
        <v>0</v>
      </c>
      <c r="N176" s="630">
        <f t="shared" ca="1" si="56"/>
        <v>0</v>
      </c>
      <c r="O176" s="630">
        <f t="shared" ca="1" si="56"/>
        <v>0</v>
      </c>
      <c r="P176" s="630">
        <f t="shared" ca="1" si="56"/>
        <v>0</v>
      </c>
      <c r="Q176" s="630">
        <f t="shared" ca="1" si="56"/>
        <v>0</v>
      </c>
      <c r="R176" s="630">
        <f t="shared" ca="1" si="56"/>
        <v>0</v>
      </c>
      <c r="S176" s="630">
        <f t="shared" ca="1" si="56"/>
        <v>0</v>
      </c>
      <c r="T176" s="630">
        <f t="shared" ca="1" si="56"/>
        <v>4067</v>
      </c>
      <c r="U176" s="630">
        <f t="shared" ca="1" si="56"/>
        <v>3936</v>
      </c>
      <c r="V176" s="630">
        <f t="shared" ca="1" si="56"/>
        <v>4067</v>
      </c>
      <c r="W176" s="630">
        <f t="shared" ca="1" si="56"/>
        <v>4067</v>
      </c>
      <c r="X176" s="630">
        <f t="shared" ca="1" si="56"/>
        <v>3805</v>
      </c>
      <c r="Y176" s="630">
        <f t="shared" ca="1" si="56"/>
        <v>4067</v>
      </c>
      <c r="Z176" s="630">
        <f t="shared" ca="1" si="56"/>
        <v>12246</v>
      </c>
      <c r="AA176" s="630">
        <f t="shared" ca="1" si="56"/>
        <v>12654</v>
      </c>
      <c r="AB176" s="630">
        <f t="shared" ca="1" si="56"/>
        <v>12246</v>
      </c>
      <c r="AC176" s="630">
        <f t="shared" ca="1" si="56"/>
        <v>12654</v>
      </c>
      <c r="AD176" s="630">
        <f t="shared" ca="1" si="56"/>
        <v>12654</v>
      </c>
      <c r="AE176" s="630">
        <f t="shared" ca="1" si="56"/>
        <v>12246</v>
      </c>
      <c r="AF176" s="630">
        <f t="shared" ca="1" si="56"/>
        <v>18981</v>
      </c>
      <c r="AG176" s="630">
        <f t="shared" ca="1" si="56"/>
        <v>18369</v>
      </c>
      <c r="AH176" s="630">
        <f t="shared" ca="1" si="56"/>
        <v>18981</v>
      </c>
      <c r="AI176" s="630">
        <f t="shared" ca="1" si="56"/>
        <v>18981</v>
      </c>
      <c r="AJ176" s="630">
        <f t="shared" ca="1" si="56"/>
        <v>17144</v>
      </c>
      <c r="AK176" s="630">
        <f t="shared" ca="1" si="56"/>
        <v>18981</v>
      </c>
      <c r="AL176" s="630">
        <f t="shared" ca="1" si="56"/>
        <v>24492</v>
      </c>
      <c r="AM176" s="630">
        <f t="shared" ca="1" si="56"/>
        <v>25308</v>
      </c>
      <c r="AN176" s="630">
        <f t="shared" ca="1" si="56"/>
        <v>24492</v>
      </c>
      <c r="AO176" s="630">
        <f t="shared" ca="1" si="56"/>
        <v>25308</v>
      </c>
      <c r="AP176" s="630">
        <f t="shared" ca="1" si="56"/>
        <v>25308</v>
      </c>
      <c r="AQ176" s="630">
        <f t="shared" ca="1" si="56"/>
        <v>24492</v>
      </c>
      <c r="AR176" s="630">
        <f t="shared" ca="1" si="56"/>
        <v>25308</v>
      </c>
      <c r="AS176" s="630">
        <f t="shared" ca="1" si="56"/>
        <v>0</v>
      </c>
      <c r="AT176" s="630">
        <f t="shared" ca="1" si="56"/>
        <v>0</v>
      </c>
      <c r="AU176" s="630">
        <f t="shared" ca="1" si="56"/>
        <v>0</v>
      </c>
      <c r="AV176" s="630">
        <f t="shared" ca="1" si="56"/>
        <v>0</v>
      </c>
      <c r="AW176" s="630">
        <f t="shared" ca="1" si="56"/>
        <v>0</v>
      </c>
      <c r="AX176" s="630">
        <f t="shared" ca="1" si="56"/>
        <v>0</v>
      </c>
      <c r="AY176" s="630">
        <f t="shared" ca="1" si="56"/>
        <v>0</v>
      </c>
      <c r="AZ176" s="630">
        <f t="shared" ca="1" si="56"/>
        <v>0</v>
      </c>
      <c r="BA176" s="630">
        <f t="shared" ca="1" si="56"/>
        <v>0</v>
      </c>
      <c r="BB176" s="630">
        <f t="shared" ca="1" si="56"/>
        <v>0</v>
      </c>
      <c r="BC176" s="630">
        <f t="shared" ca="1" si="56"/>
        <v>0</v>
      </c>
      <c r="BD176" s="630">
        <f t="shared" ca="1" si="56"/>
        <v>0</v>
      </c>
      <c r="BE176" s="630">
        <f t="shared" ca="1" si="56"/>
        <v>0</v>
      </c>
      <c r="BF176" s="631">
        <f t="shared" ref="BF176:BF228" ca="1" si="57">SUM(G176:BE176)</f>
        <v>384854</v>
      </c>
      <c r="BG176" s="556"/>
      <c r="BH176" s="556"/>
    </row>
    <row r="177" spans="1:60" hidden="1">
      <c r="A177" s="1852">
        <f>'CASH FLOW'!B20</f>
        <v>0</v>
      </c>
      <c r="B177" s="637">
        <f>B122</f>
        <v>44835</v>
      </c>
      <c r="C177" s="605">
        <f>'CASH FLOW'!E20*1000</f>
        <v>0</v>
      </c>
      <c r="D177" s="606"/>
      <c r="E177" s="607">
        <f>D177</f>
        <v>0</v>
      </c>
      <c r="F177" s="608">
        <f t="shared" ref="F177:F222" si="58">C177*D177</f>
        <v>0</v>
      </c>
      <c r="G177" s="605">
        <f>$F177*10%</f>
        <v>0</v>
      </c>
      <c r="H177" s="605">
        <f>IF(H$121="입주/잔금",($F177-SUM($G177:G177))*30%,IF(G$121="입주/잔금",($F177-SUM(F177:$G177))*50%,IF(F$121="입주/잔금",($F177-SUM(E177:$G177))*20%,IF(H$121=0,0,IF(H$121="2차중도금",$F177*30%-SUM($G177:G177),IF(H$121="3차중도금",$F177*40%-SUM($G177:G177),IF(H$121="4차중도금",$F177*50%-SUM($G177:G177),$F177*10%)))))))+(IF(H$121="5차중도금",$F177*60%-SUM($G177:G177)-$F177*10%,IF(H$121="6차중도금",$F177*70%-SUM($G177:G177)-$F177*10%,0)))</f>
        <v>0</v>
      </c>
      <c r="I177" s="605">
        <f>IF(I$121="입주/잔금",($F177-SUM($G177:H177))*30%,IF(H$121="입주/잔금",($F177-SUM(G177:$G177))*50%,IF(G$121="입주/잔금",($F177-SUM(F177:$G177))*20%,IF(I$121=0,0,IF(I$121="2차중도금",$F177*30%-SUM($G177:H177),IF(I$121="3차중도금",$F177*40%-SUM($G177:H177),IF(I$121="4차중도금",$F177*50%-SUM($G177:H177),$F177*10%)))))))+(IF(I$121="5차중도금",$F177*60%-SUM($G177:H177)-$F177*10%,IF(I$121="6차중도금",$F177*70%-SUM($G177:H177)-$F177*10%,0)))</f>
        <v>0</v>
      </c>
      <c r="J177" s="605">
        <f>IF(J$121="입주/잔금",($F177-SUM($G177:I177))*30%,IF(I$121="입주/잔금",($F177-SUM($G177:H177))*50%,IF(H$121="입주/잔금",($F177-SUM(G177:$G177))*20%,IF(J$121=0,0,IF(J$121="2차중도금",$F177*30%-SUM($G177:I177),IF(J$121="3차중도금",$F177*40%-SUM($G177:I177),IF(J$121="4차중도금",$F177*50%-SUM($G177:I177),$F177*10%)))))))+(IF(J$121="5차중도금",$F177*60%-SUM($G177:I177)-$F177*10%,IF(J$121="6차중도금",$F177*70%-SUM($G177:I177)-$F177*10%,0)))</f>
        <v>0</v>
      </c>
      <c r="K177" s="605">
        <f>IF(K$121="입주/잔금",($F177-SUM($G177:J177))*30%,IF(J$121="입주/잔금",($F177-SUM($G177:I177))*50%,IF(I$121="입주/잔금",($F177-SUM($G177:H177))*20%,IF(K$121=0,0,IF(K$121="2차중도금",$F177*30%-SUM($G177:J177),IF(K$121="3차중도금",$F177*40%-SUM($G177:J177),IF(K$121="4차중도금",$F177*50%-SUM($G177:J177),$F177*10%)))))))+(IF(K$121="5차중도금",$F177*60%-SUM($G177:J177)-$F177*10%,IF(K$121="6차중도금",$F177*70%-SUM($G177:J177)-$F177*10%,0)))</f>
        <v>0</v>
      </c>
      <c r="L177" s="605">
        <f>IF(L$121="입주/잔금",($F177-SUM($G177:K177))*30%,IF(K$121="입주/잔금",($F177-SUM($G177:J177))*50%,IF(J$121="입주/잔금",($F177-SUM($G177:I177))*20%,IF(L$121=0,0,IF(L$121="2차중도금",$F177*30%-SUM($G177:K177),IF(L$121="3차중도금",$F177*40%-SUM($G177:K177),IF(L$121="4차중도금",$F177*50%-SUM($G177:K177),$F177*10%)))))))+(IF(L$121="5차중도금",$F177*60%-SUM($G177:K177)-$F177*10%,IF(L$121="6차중도금",$F177*70%-SUM($G177:K177)-$F177*10%,0)))</f>
        <v>0</v>
      </c>
      <c r="M177" s="605">
        <f>IF(M$121="입주/잔금",($F177-SUM($G177:L177))*30%,IF(L$121="입주/잔금",($F177-SUM($G177:K177))*50%,IF(K$121="입주/잔금",($F177-SUM($G177:J177))*20%,IF(M$121=0,0,IF(M$121="2차중도금",$F177*30%-SUM($G177:L177),IF(M$121="3차중도금",$F177*40%-SUM($G177:L177),IF(M$121="4차중도금",$F177*50%-SUM($G177:L177),$F177*10%)))))))+(IF(M$121="5차중도금",$F177*60%-SUM($G177:L177)-$F177*10%,IF(M$121="6차중도금",$F177*70%-SUM($G177:L177)-$F177*10%,0)))</f>
        <v>0</v>
      </c>
      <c r="N177" s="605">
        <f>IF(N$121="입주/잔금",($F177-SUM($G177:M177))*30%,IF(M$121="입주/잔금",($F177-SUM($G177:L177))*50%,IF(L$121="입주/잔금",($F177-SUM($G177:K177))*20%,IF(N$121=0,0,IF(N$121="2차중도금",$F177*30%-SUM($G177:M177),IF(N$121="3차중도금",$F177*40%-SUM($G177:M177),IF(N$121="4차중도금",$F177*50%-SUM($G177:M177),$F177*10%)))))))+(IF(N$121="5차중도금",$F177*60%-SUM($G177:M177)-$F177*10%,IF(N$121="6차중도금",$F177*70%-SUM($G177:M177)-$F177*10%,0)))</f>
        <v>0</v>
      </c>
      <c r="O177" s="605">
        <f>IF(O$121="입주/잔금",($F177-SUM($G177:N177))*30%,IF(N$121="입주/잔금",($F177-SUM($G177:M177))*50%,IF(M$121="입주/잔금",($F177-SUM($G177:L177))*20%,IF(O$121=0,0,IF(O$121="2차중도금",$F177*30%-SUM($G177:N177),IF(O$121="3차중도금",$F177*40%-SUM($G177:N177),IF(O$121="4차중도금",$F177*50%-SUM($G177:N177),$F177*10%)))))))+(IF(O$121="5차중도금",$F177*60%-SUM($G177:N177)-$F177*10%,IF(O$121="6차중도금",$F177*70%-SUM($G177:N177)-$F177*10%,0)))</f>
        <v>0</v>
      </c>
      <c r="P177" s="605">
        <f>IF(P$121="입주/잔금",($F177-SUM($G177:O177))*30%,IF(O$121="입주/잔금",($F177-SUM($G177:N177))*50%,IF(N$121="입주/잔금",($F177-SUM($G177:M177))*20%,IF(P$121=0,0,IF(P$121="2차중도금",$F177*30%-SUM($G177:O177),IF(P$121="3차중도금",$F177*40%-SUM($G177:O177),IF(P$121="4차중도금",$F177*50%-SUM($G177:O177),$F177*10%)))))))+(IF(P$121="5차중도금",$F177*60%-SUM($G177:O177)-$F177*10%,IF(P$121="6차중도금",$F177*70%-SUM($G177:O177)-$F177*10%,0)))</f>
        <v>0</v>
      </c>
      <c r="Q177" s="605">
        <f>IF(Q$121="입주/잔금",($F177-SUM($G177:P177))*30%,IF(P$121="입주/잔금",($F177-SUM($G177:O177))*50%,IF(O$121="입주/잔금",($F177-SUM($G177:N177))*20%,IF(Q$121=0,0,IF(Q$121="2차중도금",$F177*30%-SUM($G177:P177),IF(Q$121="3차중도금",$F177*40%-SUM($G177:P177),IF(Q$121="4차중도금",$F177*50%-SUM($G177:P177),$F177*10%)))))))+(IF(Q$121="5차중도금",$F177*60%-SUM($G177:P177)-$F177*10%,IF(Q$121="6차중도금",$F177*70%-SUM($G177:P177)-$F177*10%,0)))</f>
        <v>0</v>
      </c>
      <c r="R177" s="605">
        <f>IF(R$121="입주/잔금",($F177-SUM($G177:Q177))*30%,IF(Q$121="입주/잔금",($F177-SUM($G177:P177))*50%,IF(P$121="입주/잔금",($F177-SUM($G177:O177))*20%,IF(R$121=0,0,IF(R$121="2차중도금",$F177*30%-SUM($G177:Q177),IF(R$121="3차중도금",$F177*40%-SUM($G177:Q177),IF(R$121="4차중도금",$F177*50%-SUM($G177:Q177),$F177*10%)))))))+(IF(R$121="5차중도금",$F177*60%-SUM($G177:Q177)-$F177*10%,IF(R$121="6차중도금",$F177*70%-SUM($G177:Q177)-$F177*10%,0)))</f>
        <v>0</v>
      </c>
      <c r="S177" s="605">
        <f>IF(S$121="입주/잔금",($F177-SUM($G177:R177))*30%,IF(R$121="입주/잔금",($F177-SUM($G177:Q177))*50%,IF(Q$121="입주/잔금",($F177-SUM($G177:P177))*20%,IF(S$121=0,0,IF(S$121="2차중도금",$F177*30%-SUM($G177:R177),IF(S$121="3차중도금",$F177*40%-SUM($G177:R177),IF(S$121="4차중도금",$F177*50%-SUM($G177:R177),$F177*10%)))))))+(IF(S$121="5차중도금",$F177*60%-SUM($G177:R177)-$F177*10%,IF(S$121="6차중도금",$F177*70%-SUM($G177:R177)-$F177*10%,0)))</f>
        <v>0</v>
      </c>
      <c r="T177" s="605">
        <f>IF(T$121="입주/잔금",($F177-SUM($G177:S177))*30%,IF(S$121="입주/잔금",($F177-SUM($G177:R177))*50%,IF(R$121="입주/잔금",($F177-SUM($G177:Q177))*20%,IF(T$121=0,0,IF(T$121="2차중도금",$F177*30%-SUM($G177:S177),IF(T$121="3차중도금",$F177*40%-SUM($G177:S177),IF(T$121="4차중도금",$F177*50%-SUM($G177:S177),$F177*10%)))))))+(IF(T$121="5차중도금",$F177*60%-SUM($G177:S177)-$F177*10%,IF(T$121="6차중도금",$F177*70%-SUM($G177:S177)-$F177*10%,0)))</f>
        <v>0</v>
      </c>
      <c r="U177" s="605">
        <f>IF(U$121="입주/잔금",($F177-SUM($G177:T177))*30%,IF(T$121="입주/잔금",($F177-SUM($G177:S177))*50%,IF(S$121="입주/잔금",($F177-SUM($G177:R177))*20%,IF(U$121=0,0,IF(U$121="2차중도금",$F177*30%-SUM($G177:T177),IF(U$121="3차중도금",$F177*40%-SUM($G177:T177),IF(U$121="4차중도금",$F177*50%-SUM($G177:T177),$F177*10%)))))))+(IF(U$121="5차중도금",$F177*60%-SUM($G177:T177)-$F177*10%,IF(U$121="6차중도금",$F177*70%-SUM($G177:T177)-$F177*10%,0)))</f>
        <v>0</v>
      </c>
      <c r="V177" s="605">
        <f>IF(V$121="입주/잔금",($F177-SUM($G177:U177))*30%,IF(U$121="입주/잔금",($F177-SUM($G177:T177))*50%,IF(T$121="입주/잔금",($F177-SUM($G177:S177))*20%,IF(V$121=0,0,IF(V$121="2차중도금",$F177*30%-SUM($G177:U177),IF(V$121="3차중도금",$F177*40%-SUM($G177:U177),IF(V$121="4차중도금",$F177*50%-SUM($G177:U177),$F177*10%)))))))+(IF(V$121="5차중도금",$F177*60%-SUM($G177:U177)-$F177*10%,IF(V$121="6차중도금",$F177*70%-SUM($G177:U177)-$F177*10%,0)))</f>
        <v>0</v>
      </c>
      <c r="W177" s="605">
        <f>IF(W$121="입주/잔금",($F177-SUM($G177:V177))*30%,IF(V$121="입주/잔금",($F177-SUM($G177:U177))*50%,IF(U$121="입주/잔금",($F177-SUM($G177:T177))*20%,IF(W$121=0,0,IF(W$121="2차중도금",$F177*30%-SUM($G177:V177),IF(W$121="3차중도금",$F177*40%-SUM($G177:V177),IF(W$121="4차중도금",$F177*50%-SUM($G177:V177),$F177*10%)))))))+(IF(W$121="5차중도금",$F177*60%-SUM($G177:V177)-$F177*10%,IF(W$121="6차중도금",$F177*70%-SUM($G177:V177)-$F177*10%,0)))</f>
        <v>0</v>
      </c>
      <c r="X177" s="605">
        <f>IF(X$121="입주/잔금",($F177-SUM($G177:W177))*30%,IF(W$121="입주/잔금",($F177-SUM($G177:V177))*50%,IF(V$121="입주/잔금",($F177-SUM($G177:U177))*20%,IF(X$121=0,0,IF(X$121="2차중도금",$F177*30%-SUM($G177:W177),IF(X$121="3차중도금",$F177*40%-SUM($G177:W177),IF(X$121="4차중도금",$F177*50%-SUM($G177:W177),$F177*10%)))))))+(IF(X$121="5차중도금",$F177*60%-SUM($G177:W177)-$F177*10%,IF(X$121="6차중도금",$F177*70%-SUM($G177:W177)-$F177*10%,0)))</f>
        <v>0</v>
      </c>
      <c r="Y177" s="605">
        <f>IF(Y$121="입주/잔금",($F177-SUM($G177:X177))*30%,IF(X$121="입주/잔금",($F177-SUM($G177:W177))*50%,IF(W$121="입주/잔금",($F177-SUM($G177:V177))*20%,IF(Y$121=0,0,IF(Y$121="2차중도금",$F177*30%-SUM($G177:X177),IF(Y$121="3차중도금",$F177*40%-SUM($G177:X177),IF(Y$121="4차중도금",$F177*50%-SUM($G177:X177),$F177*10%)))))))+(IF(Y$121="5차중도금",$F177*60%-SUM($G177:X177)-$F177*10%,IF(Y$121="6차중도금",$F177*70%-SUM($G177:X177)-$F177*10%,0)))</f>
        <v>0</v>
      </c>
      <c r="Z177" s="605">
        <f>IF(Z$121="입주/잔금",($F177-SUM($G177:Y177))*30%,IF(Y$121="입주/잔금",($F177-SUM($G177:X177))*50%,IF(X$121="입주/잔금",($F177-SUM($G177:W177))*20%,IF(Z$121=0,0,IF(Z$121="2차중도금",$F177*30%-SUM($G177:Y177),IF(Z$121="3차중도금",$F177*40%-SUM($G177:Y177),IF(Z$121="4차중도금",$F177*50%-SUM($G177:Y177),$F177*10%)))))))+(IF(Z$121="5차중도금",$F177*60%-SUM($G177:Y177)-$F177*10%,IF(Z$121="6차중도금",$F177*70%-SUM($G177:Y177)-$F177*10%,0)))</f>
        <v>0</v>
      </c>
      <c r="AA177" s="605">
        <f>IF(AA$121="입주/잔금",($F177-SUM($G177:Z177))*30%,IF(Z$121="입주/잔금",($F177-SUM($G177:Y177))*50%,IF(Y$121="입주/잔금",($F177-SUM($G177:X177))*20%,IF(AA$121=0,0,IF(AA$121="2차중도금",$F177*30%-SUM($G177:Z177),IF(AA$121="3차중도금",$F177*40%-SUM($G177:Z177),IF(AA$121="4차중도금",$F177*50%-SUM($G177:Z177),$F177*10%)))))))+(IF(AA$121="5차중도금",$F177*60%-SUM($G177:Z177)-$F177*10%,IF(AA$121="6차중도금",$F177*70%-SUM($G177:Z177)-$F177*10%,0)))</f>
        <v>0</v>
      </c>
      <c r="AB177" s="605">
        <f>IF(AB$121="입주/잔금",($F177-SUM($G177:AA177))*30%,IF(AA$121="입주/잔금",($F177-SUM($G177:Z177))*50%,IF(Z$121="입주/잔금",($F177-SUM($G177:Y177))*20%,IF(AB$121=0,0,IF(AB$121="2차중도금",$F177*30%-SUM($G177:AA177),IF(AB$121="3차중도금",$F177*40%-SUM($G177:AA177),IF(AB$121="4차중도금",$F177*50%-SUM($G177:AA177),$F177*10%)))))))+(IF(AB$121="5차중도금",$F177*60%-SUM($G177:AA177)-$F177*10%,IF(AB$121="6차중도금",$F177*70%-SUM($G177:AA177)-$F177*10%,0)))</f>
        <v>0</v>
      </c>
      <c r="AC177" s="605">
        <f>IF(AC$121="입주/잔금",($F177-SUM($G177:AB177))*30%,IF(AB$121="입주/잔금",($F177-SUM($G177:AA177))*50%,IF(AA$121="입주/잔금",($F177-SUM($G177:Z177))*20%,IF(AC$121=0,0,IF(AC$121="2차중도금",$F177*30%-SUM($G177:AB177),IF(AC$121="3차중도금",$F177*40%-SUM($G177:AB177),IF(AC$121="4차중도금",$F177*50%-SUM($G177:AB177),$F177*10%)))))))+(IF(AC$121="5차중도금",$F177*60%-SUM($G177:AB177)-$F177*10%,IF(AC$121="6차중도금",$F177*70%-SUM($G177:AB177)-$F177*10%,0)))</f>
        <v>0</v>
      </c>
      <c r="AD177" s="605">
        <f>IF(AD$121="입주/잔금",($F177-SUM($G177:AC177))*30%,IF(AC$121="입주/잔금",($F177-SUM($G177:AB177))*50%,IF(AB$121="입주/잔금",($F177-SUM($G177:AA177))*20%,IF(AD$121=0,0,IF(AD$121="2차중도금",$F177*30%-SUM($G177:AC177),IF(AD$121="3차중도금",$F177*40%-SUM($G177:AC177),IF(AD$121="4차중도금",$F177*50%-SUM($G177:AC177),$F177*10%)))))))+(IF(AD$121="5차중도금",$F177*60%-SUM($G177:AC177)-$F177*10%,IF(AD$121="6차중도금",$F177*70%-SUM($G177:AC177)-$F177*10%,0)))</f>
        <v>0</v>
      </c>
      <c r="AE177" s="605">
        <f>IF(AE$121="입주/잔금",($F177-SUM($G177:AD177))*30%,IF(AD$121="입주/잔금",($F177-SUM($G177:AC177))*50%,IF(AC$121="입주/잔금",($F177-SUM($G177:AB177))*20%,IF(AE$121=0,0,IF(AE$121="2차중도금",$F177*30%-SUM($G177:AD177),IF(AE$121="3차중도금",$F177*40%-SUM($G177:AD177),IF(AE$121="4차중도금",$F177*50%-SUM($G177:AD177),$F177*10%)))))))+(IF(AE$121="5차중도금",$F177*60%-SUM($G177:AD177)-$F177*10%,IF(AE$121="6차중도금",$F177*70%-SUM($G177:AD177)-$F177*10%,0)))</f>
        <v>0</v>
      </c>
      <c r="AF177" s="605">
        <f>IF(AF$121="입주/잔금",($F177-SUM($G177:AE177))*30%,IF(AE$121="입주/잔금",($F177-SUM($G177:AD177))*50%,IF(AD$121="입주/잔금",($F177-SUM($G177:AC177))*20%,IF(AF$121=0,0,IF(AF$121="2차중도금",$F177*30%-SUM($G177:AE177),IF(AF$121="3차중도금",$F177*40%-SUM($G177:AE177),IF(AF$121="4차중도금",$F177*50%-SUM($G177:AE177),$F177*10%)))))))+(IF(AF$121="5차중도금",$F177*60%-SUM($G177:AE177)-$F177*10%,IF(AF$121="6차중도금",$F177*70%-SUM($G177:AE177)-$F177*10%,0)))</f>
        <v>0</v>
      </c>
      <c r="AG177" s="605">
        <f>IF(AG$121="입주/잔금",($F177-SUM($G177:AF177))*30%,IF(AF$121="입주/잔금",($F177-SUM($G177:AE177))*50%,IF(AE$121="입주/잔금",($F177-SUM($G177:AD177))*20%,IF(AG$121=0,0,IF(AG$121="2차중도금",$F177*30%-SUM($G177:AF177),IF(AG$121="3차중도금",$F177*40%-SUM($G177:AF177),IF(AG$121="4차중도금",$F177*50%-SUM($G177:AF177),$F177*10%)))))))+(IF(AG$121="5차중도금",$F177*60%-SUM($G177:AF177)-$F177*10%,IF(AG$121="6차중도금",$F177*70%-SUM($G177:AF177)-$F177*10%,0)))</f>
        <v>0</v>
      </c>
      <c r="AH177" s="605">
        <f>IF(AH$121="입주/잔금",($F177-SUM($G177:AG177))*30%,IF(AG$121="입주/잔금",($F177-SUM($G177:AF177))*50%,IF(AF$121="입주/잔금",($F177-SUM($G177:AE177))*20%,IF(AH$121=0,0,IF(AH$121="2차중도금",$F177*30%-SUM($G177:AG177),IF(AH$121="3차중도금",$F177*40%-SUM($G177:AG177),IF(AH$121="4차중도금",$F177*50%-SUM($G177:AG177),$F177*10%)))))))+(IF(AH$121="5차중도금",$F177*60%-SUM($G177:AG177)-$F177*10%,IF(AH$121="6차중도금",$F177*70%-SUM($G177:AG177)-$F177*10%,0)))</f>
        <v>0</v>
      </c>
      <c r="AI177" s="605">
        <f>IF(AI$121="입주/잔금",($F177-SUM($G177:AH177))*30%,IF(AH$121="입주/잔금",($F177-SUM($G177:AG177))*50%,IF(AG$121="입주/잔금",($F177-SUM($G177:AF177))*20%,IF(AI$121=0,0,IF(AI$121="2차중도금",$F177*30%-SUM($G177:AH177),IF(AI$121="3차중도금",$F177*40%-SUM($G177:AH177),IF(AI$121="4차중도금",$F177*50%-SUM($G177:AH177),$F177*10%)))))))+(IF(AI$121="5차중도금",$F177*60%-SUM($G177:AH177)-$F177*10%,IF(AI$121="6차중도금",$F177*70%-SUM($G177:AH177)-$F177*10%,0)))</f>
        <v>0</v>
      </c>
      <c r="AJ177" s="605">
        <f>IF(AJ$121="입주/잔금",($F177-SUM($G177:AI177))*30%,IF(AI$121="입주/잔금",($F177-SUM($G177:AH177))*50%,IF(AH$121="입주/잔금",($F177-SUM($G177:AG177))*20%,IF(AJ$121=0,0,IF(AJ$121="2차중도금",$F177*30%-SUM($G177:AI177),IF(AJ$121="3차중도금",$F177*40%-SUM($G177:AI177),IF(AJ$121="4차중도금",$F177*50%-SUM($G177:AI177),$F177*10%)))))))+(IF(AJ$121="5차중도금",$F177*60%-SUM($G177:AI177)-$F177*10%,IF(AJ$121="6차중도금",$F177*70%-SUM($G177:AI177)-$F177*10%,0)))</f>
        <v>0</v>
      </c>
      <c r="AK177" s="605">
        <f>IF(AK$121="입주/잔금",($F177-SUM($G177:AJ177))*30%,IF(AJ$121="입주/잔금",($F177-SUM($G177:AI177))*50%,IF(AI$121="입주/잔금",($F177-SUM($G177:AH177))*20%,IF(AK$121=0,0,IF(AK$121="2차중도금",$F177*30%-SUM($G177:AJ177),IF(AK$121="3차중도금",$F177*40%-SUM($G177:AJ177),IF(AK$121="4차중도금",$F177*50%-SUM($G177:AJ177),$F177*10%)))))))+(IF(AK$121="5차중도금",$F177*60%-SUM($G177:AJ177)-$F177*10%,IF(AK$121="6차중도금",$F177*70%-SUM($G177:AJ177)-$F177*10%,0)))</f>
        <v>0</v>
      </c>
      <c r="AL177" s="605">
        <f>IF(AL$121="입주/잔금",($F177-SUM($G177:AK177))*30%,IF(AK$121="입주/잔금",($F177-SUM($G177:AJ177))*50%,IF(AJ$121="입주/잔금",($F177-SUM($G177:AI177))*20%,IF(AL$121=0,0,IF(AL$121="2차중도금",$F177*30%-SUM($G177:AK177),IF(AL$121="3차중도금",$F177*40%-SUM($G177:AK177),IF(AL$121="4차중도금",$F177*50%-SUM($G177:AK177),$F177*10%)))))))+(IF(AL$121="5차중도금",$F177*60%-SUM($G177:AK177)-$F177*10%,IF(AL$121="6차중도금",$F177*70%-SUM($G177:AK177)-$F177*10%,0)))</f>
        <v>0</v>
      </c>
      <c r="AM177" s="605">
        <f>IF(AM$121="입주/잔금",($F177-SUM($G177:AL177))*30%,IF(AL$121="입주/잔금",($F177-SUM($G177:AK177))*50%,IF(AK$121="입주/잔금",($F177-SUM($G177:AJ177))*20%,IF(AM$121=0,0,IF(AM$121="2차중도금",$F177*30%-SUM($G177:AL177),IF(AM$121="3차중도금",$F177*40%-SUM($G177:AL177),IF(AM$121="4차중도금",$F177*50%-SUM($G177:AL177),$F177*10%)))))))+(IF(AM$121="5차중도금",$F177*60%-SUM($G177:AL177)-$F177*10%,IF(AM$121="6차중도금",$F177*70%-SUM($G177:AL177)-$F177*10%,0)))</f>
        <v>0</v>
      </c>
      <c r="AN177" s="605">
        <f>IF(AN$121="입주/잔금",($F177-SUM($G177:AM177))*30%,IF(AM$121="입주/잔금",($F177-SUM($G177:AL177))*50%,IF(AL$121="입주/잔금",($F177-SUM($G177:AK177))*20%,IF(AN$121=0,0,IF(AN$121="2차중도금",$F177*30%-SUM($G177:AM177),IF(AN$121="3차중도금",$F177*40%-SUM($G177:AM177),IF(AN$121="4차중도금",$F177*50%-SUM($G177:AM177),$F177*10%)))))))+(IF(AN$121="5차중도금",$F177*60%-SUM($G177:AM177)-$F177*10%,IF(AN$121="6차중도금",$F177*70%-SUM($G177:AM177)-$F177*10%,0)))</f>
        <v>0</v>
      </c>
      <c r="AO177" s="605">
        <f>IF(AO$121="입주/잔금",($F177-SUM($G177:AN177))*30%,IF(AN$121="입주/잔금",($F177-SUM($G177:AM177))*50%,IF(AM$121="입주/잔금",($F177-SUM($G177:AL177))*20%,IF(AO$121=0,0,IF(AO$121="2차중도금",$F177*30%-SUM($G177:AN177),IF(AO$121="3차중도금",$F177*40%-SUM($G177:AN177),IF(AO$121="4차중도금",$F177*50%-SUM($G177:AN177),$F177*10%)))))))+(IF(AO$121="5차중도금",$F177*60%-SUM($G177:AN177)-$F177*10%,IF(AO$121="6차중도금",$F177*70%-SUM($G177:AN177)-$F177*10%,0)))</f>
        <v>0</v>
      </c>
      <c r="AP177" s="605">
        <f>IF(AP$121="입주/잔금",($F177-SUM($G177:AO177))*30%,IF(AO$121="입주/잔금",($F177-SUM($G177:AN177))*50%,IF(AN$121="입주/잔금",($F177-SUM($G177:AM177))*20%,IF(AP$121=0,0,IF(AP$121="2차중도금",$F177*30%-SUM($G177:AO177),IF(AP$121="3차중도금",$F177*40%-SUM($G177:AO177),IF(AP$121="4차중도금",$F177*50%-SUM($G177:AO177),$F177*10%)))))))+(IF(AP$121="5차중도금",$F177*60%-SUM($G177:AO177)-$F177*10%,IF(AP$121="6차중도금",$F177*70%-SUM($G177:AO177)-$F177*10%,0)))</f>
        <v>0</v>
      </c>
      <c r="AQ177" s="605">
        <f>IF(AQ$121="입주/잔금",($F177-SUM($G177:AP177))*30%,IF(AP$121="입주/잔금",($F177-SUM($G177:AO177))*50%,IF(AO$121="입주/잔금",($F177-SUM($G177:AN177))*20%,IF(AQ$121=0,0,IF(AQ$121="2차중도금",$F177*30%-SUM($G177:AP177),IF(AQ$121="3차중도금",$F177*40%-SUM($G177:AP177),IF(AQ$121="4차중도금",$F177*50%-SUM($G177:AP177),$F177*10%)))))))+(IF(AQ$121="5차중도금",$F177*60%-SUM($G177:AP177)-$F177*10%,IF(AQ$121="6차중도금",$F177*70%-SUM($G177:AP177)-$F177*10%,0)))</f>
        <v>0</v>
      </c>
      <c r="AR177" s="605">
        <f>IF(AR$121="입주/잔금",($F177-SUM($G177:AQ177))*30%,IF(AQ$121="입주/잔금",($F177-SUM($G177:AP177))*50%,IF(AP$121="입주/잔금",($F177-SUM($G177:AO177))*20%,IF(AR$121=0,0,IF(AR$121="2차중도금",$F177*30%-SUM($G177:AQ177),IF(AR$121="3차중도금",$F177*40%-SUM($G177:AQ177),IF(AR$121="4차중도금",$F177*50%-SUM($G177:AQ177),$F177*10%)))))))+(IF(AR$121="5차중도금",$F177*60%-SUM($G177:AQ177)-$F177*10%,IF(AR$121="6차중도금",$F177*70%-SUM($G177:AQ177)-$F177*10%,0)))</f>
        <v>0</v>
      </c>
      <c r="AS177" s="605">
        <f>IF(AS$121="입주/잔금",($F177-SUM($G177:AR177))*30%,IF(AR$121="입주/잔금",($F177-SUM($G177:AQ177))*50%,IF(AQ$121="입주/잔금",($F177-SUM($G177:AP177))*20%,IF(AS$121=0,0,IF(AS$121="2차중도금",$F177*30%-SUM($G177:AR177),IF(AS$121="3차중도금",$F177*40%-SUM($G177:AR177),IF(AS$121="4차중도금",$F177*50%-SUM($G177:AR177),$F177*10%)))))))+(IF(AS$121="5차중도금",$F177*60%-SUM($G177:AR177)-$F177*10%,IF(AS$121="6차중도금",$F177*70%-SUM($G177:AR177)-$F177*10%,0)))</f>
        <v>0</v>
      </c>
      <c r="AT177" s="605">
        <f>IF(AT$121="입주/잔금",($F177-SUM($G177:AS177))*30%,IF(AS$121="입주/잔금",($F177-SUM($G177:AR177))*50%,IF(AR$121="입주/잔금",($F177-SUM($G177:AQ177))*20%,IF(AT$121=0,0,IF(AT$121="2차중도금",$F177*30%-SUM($G177:AS177),IF(AT$121="3차중도금",$F177*40%-SUM($G177:AS177),IF(AT$121="4차중도금",$F177*50%-SUM($G177:AS177),$F177*10%)))))))+(IF(AT$121="5차중도금",$F177*60%-SUM($G177:AS177)-$F177*10%,IF(AT$121="6차중도금",$F177*70%-SUM($G177:AS177)-$F177*10%,0)))</f>
        <v>0</v>
      </c>
      <c r="AU177" s="605">
        <f>IF(AU$121="입주/잔금",($F177-SUM($G177:AT177))*30%,IF(AT$121="입주/잔금",($F177-SUM($G177:AS177))*50%,IF(AS$121="입주/잔금",($F177-SUM($G177:AR177))*20%,IF(AU$121=0,0,IF(AU$121="2차중도금",$F177*30%-SUM($G177:AT177),IF(AU$121="3차중도금",$F177*40%-SUM($G177:AT177),IF(AU$121="4차중도금",$F177*50%-SUM($G177:AT177),$F177*10%)))))))+(IF(AU$121="5차중도금",$F177*60%-SUM($G177:AT177)-$F177*10%,IF(AU$121="6차중도금",$F177*70%-SUM($G177:AT177)-$F177*10%,0)))</f>
        <v>0</v>
      </c>
      <c r="AV177" s="605">
        <f>IF(AV$121="입주/잔금",($F177-SUM($G177:AU177))*30%,IF(AU$121="입주/잔금",($F177-SUM($G177:AT177))*50%,IF(AT$121="입주/잔금",($F177-SUM($G177:AS177))*20%,IF(AV$121=0,0,IF(AV$121="2차중도금",$F177*30%-SUM($G177:AU177),IF(AV$121="3차중도금",$F177*40%-SUM($G177:AU177),IF(AV$121="4차중도금",$F177*50%-SUM($G177:AU177),$F177*10%)))))))+(IF(AV$121="5차중도금",$F177*60%-SUM($G177:AU177)-$F177*10%,IF(AV$121="6차중도금",$F177*70%-SUM($G177:AU177)-$F177*10%,0)))</f>
        <v>0</v>
      </c>
      <c r="AW177" s="605">
        <f>IF(AW$121="입주/잔금",($F177-SUM($G177:AV177))*30%,IF(AV$121="입주/잔금",($F177-SUM($G177:AU177))*50%,IF(AU$121="입주/잔금",($F177-SUM($G177:AT177))*20%,IF(AW$121=0,0,IF(AW$121="2차중도금",$F177*30%-SUM($G177:AV177),IF(AW$121="3차중도금",$F177*40%-SUM($G177:AV177),IF(AW$121="4차중도금",$F177*50%-SUM($G177:AV177),$F177*10%)))))))+(IF(AW$121="5차중도금",$F177*60%-SUM($G177:AV177)-$F177*10%,IF(AW$121="6차중도금",$F177*70%-SUM($G177:AV177)-$F177*10%,0)))</f>
        <v>0</v>
      </c>
      <c r="AX177" s="605">
        <f>IF(AX$121="입주/잔금",($F177-SUM($G177:AW177))*30%,IF(AW$121="입주/잔금",($F177-SUM($G177:AV177))*50%,IF(AV$121="입주/잔금",($F177-SUM($G177:AU177))*20%,IF(AX$121=0,0,IF(AX$121="2차중도금",$F177*30%-SUM($G177:AW177),IF(AX$121="3차중도금",$F177*40%-SUM($G177:AW177),IF(AX$121="4차중도금",$F177*50%-SUM($G177:AW177),$F177*10%)))))))+(IF(AX$121="5차중도금",$F177*60%-SUM($G177:AW177)-$F177*10%,IF(AX$121="6차중도금",$F177*70%-SUM($G177:AW177)-$F177*10%,0)))</f>
        <v>0</v>
      </c>
      <c r="AY177" s="605">
        <f>IF(AY$121="입주/잔금",($F177-SUM($G177:AX177))*30%,IF(AX$121="입주/잔금",($F177-SUM($G177:AW177))*50%,IF(AW$121="입주/잔금",($F177-SUM($G177:AV177))*20%,IF(AY$121=0,0,IF(AY$121="2차중도금",$F177*30%-SUM($G177:AX177),IF(AY$121="3차중도금",$F177*40%-SUM($G177:AX177),IF(AY$121="4차중도금",$F177*50%-SUM($G177:AX177),$F177*10%)))))))+(IF(AY$121="5차중도금",$F177*60%-SUM($G177:AX177)-$F177*10%,IF(AY$121="6차중도금",$F177*70%-SUM($G177:AX177)-$F177*10%,0)))</f>
        <v>0</v>
      </c>
      <c r="AZ177" s="605">
        <f>IF(AZ$121="입주/잔금",($F177-SUM($G177:AY177))*30%,IF(AY$121="입주/잔금",($F177-SUM($G177:AX177))*50%,IF(AX$121="입주/잔금",($F177-SUM($G177:AW177))*20%,IF(AZ$121=0,0,IF(AZ$121="2차중도금",$F177*30%-SUM($G177:AY177),IF(AZ$121="3차중도금",$F177*40%-SUM($G177:AY177),IF(AZ$121="4차중도금",$F177*50%-SUM($G177:AY177),$F177*10%)))))))+(IF(AZ$121="5차중도금",$F177*60%-SUM($G177:AY177)-$F177*10%,IF(AZ$121="6차중도금",$F177*70%-SUM($G177:AY177)-$F177*10%,0)))</f>
        <v>0</v>
      </c>
      <c r="BA177" s="605">
        <f>IF(BA$121="입주/잔금",($F177-SUM($G177:AZ177))*30%,IF(AZ$121="입주/잔금",($F177-SUM($G177:AY177))*50%,IF(AY$121="입주/잔금",($F177-SUM($G177:AX177))*20%,IF(BA$121=0,0,IF(BA$121="2차중도금",$F177*30%-SUM($G177:AZ177),IF(BA$121="3차중도금",$F177*40%-SUM($G177:AZ177),IF(BA$121="4차중도금",$F177*50%-SUM($G177:AZ177),$F177*10%)))))))+(IF(BA$121="5차중도금",$F177*60%-SUM($G177:AZ177)-$F177*10%,IF(BA$121="6차중도금",$F177*70%-SUM($G177:AZ177)-$F177*10%,0)))</f>
        <v>0</v>
      </c>
      <c r="BB177" s="605">
        <f>IF(BB$121="입주/잔금",($F177-SUM($G177:BA177))*30%,IF(BA$121="입주/잔금",($F177-SUM($G177:AZ177))*50%,IF(AZ$121="입주/잔금",($F177-SUM($G177:AY177))*20%,IF(BB$121=0,0,IF(BB$121="2차중도금",$F177*30%-SUM($G177:BA177),IF(BB$121="3차중도금",$F177*40%-SUM($G177:BA177),IF(BB$121="4차중도금",$F177*50%-SUM($G177:BA177),$F177*10%)))))))+(IF(BB$121="5차중도금",$F177*60%-SUM($G177:BA177)-$F177*10%,IF(BB$121="6차중도금",$F177*70%-SUM($G177:BA177)-$F177*10%,0)))</f>
        <v>0</v>
      </c>
      <c r="BC177" s="605">
        <f>IF(BC$121="입주/잔금",($F177-SUM($G177:BB177))*30%,IF(BB$121="입주/잔금",($F177-SUM($G177:BA177))*50%,IF(BA$121="입주/잔금",($F177-SUM($G177:AZ177))*20%,IF(BC$121=0,0,IF(BC$121="2차중도금",$F177*30%-SUM($G177:BB177),IF(BC$121="3차중도금",$F177*40%-SUM($G177:BB177),IF(BC$121="4차중도금",$F177*50%-SUM($G177:BB177),$F177*10%)))))))+(IF(BC$121="5차중도금",$F177*60%-SUM($G177:BB177)-$F177*10%,IF(BC$121="6차중도금",$F177*70%-SUM($G177:BB177)-$F177*10%,0)))</f>
        <v>0</v>
      </c>
      <c r="BD177" s="605">
        <f>IF(BD$121="입주/잔금",($F177-SUM($G177:BC177))*30%,IF(BC$121="입주/잔금",($F177-SUM($G177:BB177))*50%,IF(BB$121="입주/잔금",($F177-SUM($G177:BA177))*20%,IF(BD$121=0,0,IF(BD$121="2차중도금",$F177*30%-SUM($G177:BC177),IF(BD$121="3차중도금",$F177*40%-SUM($G177:BC177),IF(BD$121="4차중도금",$F177*50%-SUM($G177:BC177),$F177*10%)))))))+(IF(BD$121="5차중도금",$F177*60%-SUM($G177:BC177)-$F177*10%,IF(BD$121="6차중도금",$F177*70%-SUM($G177:BC177)-$F177*10%,0)))</f>
        <v>0</v>
      </c>
      <c r="BE177" s="605">
        <f>IF(BE$121="입주/잔금",($F177-SUM($G177:BD177))*30%,IF(BD$121="입주/잔금",($F177-SUM($G177:BC177))*50%,IF(BC$121="입주/잔금",($F177-SUM($G177:BB177))*20%,IF(BE$121=0,0,IF(BE$121="2차중도금",$F177*30%-SUM($G177:BD177),IF(BE$121="3차중도금",$F177*40%-SUM($G177:BD177),IF(BE$121="4차중도금",$F177*50%-SUM($G177:BD177),$F177*10%)))))))+(IF(BE$121="5차중도금",$F177*60%-SUM($G177:BD177)-$F177*10%,IF(BE$121="6차중도금",$F177*70%-SUM($G177:BD177)-$F177*10%,0)))</f>
        <v>0</v>
      </c>
      <c r="BF177" s="609">
        <f t="shared" si="57"/>
        <v>0</v>
      </c>
      <c r="BG177" s="556">
        <f t="shared" ref="BG177:BG228" si="59">+F177-BF177</f>
        <v>0</v>
      </c>
      <c r="BH177" s="610"/>
    </row>
    <row r="178" spans="1:60" hidden="1">
      <c r="A178" s="1853"/>
      <c r="B178" s="611">
        <f t="shared" ref="B178:B227" si="60">DATE(YEAR(B177),MONTH(B177)+1,DAY(B177))</f>
        <v>44866</v>
      </c>
      <c r="C178" s="605">
        <f t="shared" ref="C178:C200" si="61">C177</f>
        <v>0</v>
      </c>
      <c r="D178" s="606"/>
      <c r="E178" s="607">
        <f>E177+D178</f>
        <v>0</v>
      </c>
      <c r="F178" s="608">
        <f t="shared" si="58"/>
        <v>0</v>
      </c>
      <c r="G178" s="605"/>
      <c r="H178" s="605">
        <f>$F178*10%</f>
        <v>0</v>
      </c>
      <c r="I178" s="605">
        <f>IF(I$121="입주/잔금",($F178-SUM($G178:H178))*30%,IF(H$121="입주/잔금",($F178-SUM(G178:$G178))*50%,IF(G$121="입주/잔금",($F178-SUM(F178:$G178))*20%,IF(I$121=0,0,IF(I$121="2차중도금",$F178*30%-SUM($G178:H178),IF(I$121="3차중도금",$F178*40%-SUM($G178:H178),IF(I$121="4차중도금",$F178*50%-SUM($G178:H178),$F178*10%)))))))+(IF(I$121="5차중도금",$F178*60%-SUM($G178:H178)-$F178*10%,IF(I$121="6차중도금",$F178*70%-SUM($G178:H178)-$F178*10%,0)))</f>
        <v>0</v>
      </c>
      <c r="J178" s="605">
        <f>IF(J$121="입주/잔금",($F178-SUM($G178:I178))*30%,IF(I$121="입주/잔금",($F178-SUM($G178:H178))*50%,IF(H$121="입주/잔금",($F178-SUM(G178:$G178))*20%,IF(J$121=0,0,IF(J$121="2차중도금",$F178*30%-SUM($G178:I178),IF(J$121="3차중도금",$F178*40%-SUM($G178:I178),IF(J$121="4차중도금",$F178*50%-SUM($G178:I178),$F178*10%)))))))+(IF(J$121="5차중도금",$F178*60%-SUM($G178:I178)-$F178*10%,IF(J$121="6차중도금",$F178*70%-SUM($G178:I178)-$F178*10%,0)))</f>
        <v>0</v>
      </c>
      <c r="K178" s="605">
        <f>IF(K$121="입주/잔금",($F178-SUM($G178:J178))*30%,IF(J$121="입주/잔금",($F178-SUM($G178:I178))*50%,IF(I$121="입주/잔금",($F178-SUM($G178:H178))*20%,IF(K$121=0,0,IF(K$121="2차중도금",$F178*30%-SUM($G178:J178),IF(K$121="3차중도금",$F178*40%-SUM($G178:J178),IF(K$121="4차중도금",$F178*50%-SUM($G178:J178),$F178*10%)))))))+(IF(K$121="5차중도금",$F178*60%-SUM($G178:J178)-$F178*10%,IF(K$121="6차중도금",$F178*70%-SUM($G178:J178)-$F178*10%,0)))</f>
        <v>0</v>
      </c>
      <c r="L178" s="605">
        <f>IF(L$121="입주/잔금",($F178-SUM($G178:K178))*30%,IF(K$121="입주/잔금",($F178-SUM($G178:J178))*50%,IF(J$121="입주/잔금",($F178-SUM($G178:I178))*20%,IF(L$121=0,0,IF(L$121="2차중도금",$F178*30%-SUM($G178:K178),IF(L$121="3차중도금",$F178*40%-SUM($G178:K178),IF(L$121="4차중도금",$F178*50%-SUM($G178:K178),$F178*10%)))))))+(IF(L$121="5차중도금",$F178*60%-SUM($G178:K178)-$F178*10%,IF(L$121="6차중도금",$F178*70%-SUM($G178:K178)-$F178*10%,0)))</f>
        <v>0</v>
      </c>
      <c r="M178" s="605">
        <f>IF(M$121="입주/잔금",($F178-SUM($G178:L178))*30%,IF(L$121="입주/잔금",($F178-SUM($G178:K178))*50%,IF(K$121="입주/잔금",($F178-SUM($G178:J178))*20%,IF(M$121=0,0,IF(M$121="2차중도금",$F178*30%-SUM($G178:L178),IF(M$121="3차중도금",$F178*40%-SUM($G178:L178),IF(M$121="4차중도금",$F178*50%-SUM($G178:L178),$F178*10%)))))))+(IF(M$121="5차중도금",$F178*60%-SUM($G178:L178)-$F178*10%,IF(M$121="6차중도금",$F178*70%-SUM($G178:L178)-$F178*10%,0)))</f>
        <v>0</v>
      </c>
      <c r="N178" s="605">
        <f>IF(N$121="입주/잔금",($F178-SUM($G178:M178))*30%,IF(M$121="입주/잔금",($F178-SUM($G178:L178))*50%,IF(L$121="입주/잔금",($F178-SUM($G178:K178))*20%,IF(N$121=0,0,IF(N$121="2차중도금",$F178*30%-SUM($G178:M178),IF(N$121="3차중도금",$F178*40%-SUM($G178:M178),IF(N$121="4차중도금",$F178*50%-SUM($G178:M178),$F178*10%)))))))+(IF(N$121="5차중도금",$F178*60%-SUM($G178:M178)-$F178*10%,IF(N$121="6차중도금",$F178*70%-SUM($G178:M178)-$F178*10%,0)))</f>
        <v>0</v>
      </c>
      <c r="O178" s="605">
        <f>IF(O$121="입주/잔금",($F178-SUM($G178:N178))*30%,IF(N$121="입주/잔금",($F178-SUM($G178:M178))*50%,IF(M$121="입주/잔금",($F178-SUM($G178:L178))*20%,IF(O$121=0,0,IF(O$121="2차중도금",$F178*30%-SUM($G178:N178),IF(O$121="3차중도금",$F178*40%-SUM($G178:N178),IF(O$121="4차중도금",$F178*50%-SUM($G178:N178),$F178*10%)))))))+(IF(O$121="5차중도금",$F178*60%-SUM($G178:N178)-$F178*10%,IF(O$121="6차중도금",$F178*70%-SUM($G178:N178)-$F178*10%,0)))</f>
        <v>0</v>
      </c>
      <c r="P178" s="605">
        <f>IF(P$121="입주/잔금",($F178-SUM($G178:O178))*30%,IF(O$121="입주/잔금",($F178-SUM($G178:N178))*50%,IF(N$121="입주/잔금",($F178-SUM($G178:M178))*20%,IF(P$121=0,0,IF(P$121="2차중도금",$F178*30%-SUM($G178:O178),IF(P$121="3차중도금",$F178*40%-SUM($G178:O178),IF(P$121="4차중도금",$F178*50%-SUM($G178:O178),$F178*10%)))))))+(IF(P$121="5차중도금",$F178*60%-SUM($G178:O178)-$F178*10%,IF(P$121="6차중도금",$F178*70%-SUM($G178:O178)-$F178*10%,0)))</f>
        <v>0</v>
      </c>
      <c r="Q178" s="605">
        <f>IF(Q$121="입주/잔금",($F178-SUM($G178:P178))*30%,IF(P$121="입주/잔금",($F178-SUM($G178:O178))*50%,IF(O$121="입주/잔금",($F178-SUM($G178:N178))*20%,IF(Q$121=0,0,IF(Q$121="2차중도금",$F178*30%-SUM($G178:P178),IF(Q$121="3차중도금",$F178*40%-SUM($G178:P178),IF(Q$121="4차중도금",$F178*50%-SUM($G178:P178),$F178*10%)))))))+(IF(Q$121="5차중도금",$F178*60%-SUM($G178:P178)-$F178*10%,IF(Q$121="6차중도금",$F178*70%-SUM($G178:P178)-$F178*10%,0)))</f>
        <v>0</v>
      </c>
      <c r="R178" s="605">
        <f>IF(R$121="입주/잔금",($F178-SUM($G178:Q178))*30%,IF(Q$121="입주/잔금",($F178-SUM($G178:P178))*50%,IF(P$121="입주/잔금",($F178-SUM($G178:O178))*20%,IF(R$121=0,0,IF(R$121="2차중도금",$F178*30%-SUM($G178:Q178),IF(R$121="3차중도금",$F178*40%-SUM($G178:Q178),IF(R$121="4차중도금",$F178*50%-SUM($G178:Q178),$F178*10%)))))))+(IF(R$121="5차중도금",$F178*60%-SUM($G178:Q178)-$F178*10%,IF(R$121="6차중도금",$F178*70%-SUM($G178:Q178)-$F178*10%,0)))</f>
        <v>0</v>
      </c>
      <c r="S178" s="605">
        <f>IF(S$121="입주/잔금",($F178-SUM($G178:R178))*30%,IF(R$121="입주/잔금",($F178-SUM($G178:Q178))*50%,IF(Q$121="입주/잔금",($F178-SUM($G178:P178))*20%,IF(S$121=0,0,IF(S$121="2차중도금",$F178*30%-SUM($G178:R178),IF(S$121="3차중도금",$F178*40%-SUM($G178:R178),IF(S$121="4차중도금",$F178*50%-SUM($G178:R178),$F178*10%)))))))+(IF(S$121="5차중도금",$F178*60%-SUM($G178:R178)-$F178*10%,IF(S$121="6차중도금",$F178*70%-SUM($G178:R178)-$F178*10%,0)))</f>
        <v>0</v>
      </c>
      <c r="T178" s="605">
        <f>IF(T$121="입주/잔금",($F178-SUM($G178:S178))*30%,IF(S$121="입주/잔금",($F178-SUM($G178:R178))*50%,IF(R$121="입주/잔금",($F178-SUM($G178:Q178))*20%,IF(T$121=0,0,IF(T$121="2차중도금",$F178*30%-SUM($G178:S178),IF(T$121="3차중도금",$F178*40%-SUM($G178:S178),IF(T$121="4차중도금",$F178*50%-SUM($G178:S178),$F178*10%)))))))+(IF(T$121="5차중도금",$F178*60%-SUM($G178:S178)-$F178*10%,IF(T$121="6차중도금",$F178*70%-SUM($G178:S178)-$F178*10%,0)))</f>
        <v>0</v>
      </c>
      <c r="U178" s="605">
        <f>IF(U$121="입주/잔금",($F178-SUM($G178:T178))*30%,IF(T$121="입주/잔금",($F178-SUM($G178:S178))*50%,IF(S$121="입주/잔금",($F178-SUM($G178:R178))*20%,IF(U$121=0,0,IF(U$121="2차중도금",$F178*30%-SUM($G178:T178),IF(U$121="3차중도금",$F178*40%-SUM($G178:T178),IF(U$121="4차중도금",$F178*50%-SUM($G178:T178),$F178*10%)))))))+(IF(U$121="5차중도금",$F178*60%-SUM($G178:T178)-$F178*10%,IF(U$121="6차중도금",$F178*70%-SUM($G178:T178)-$F178*10%,0)))</f>
        <v>0</v>
      </c>
      <c r="V178" s="605">
        <f>IF(V$121="입주/잔금",($F178-SUM($G178:U178))*30%,IF(U$121="입주/잔금",($F178-SUM($G178:T178))*50%,IF(T$121="입주/잔금",($F178-SUM($G178:S178))*20%,IF(V$121=0,0,IF(V$121="2차중도금",$F178*30%-SUM($G178:U178),IF(V$121="3차중도금",$F178*40%-SUM($G178:U178),IF(V$121="4차중도금",$F178*50%-SUM($G178:U178),$F178*10%)))))))+(IF(V$121="5차중도금",$F178*60%-SUM($G178:U178)-$F178*10%,IF(V$121="6차중도금",$F178*70%-SUM($G178:U178)-$F178*10%,0)))</f>
        <v>0</v>
      </c>
      <c r="W178" s="605">
        <f>IF(W$121="입주/잔금",($F178-SUM($G178:V178))*30%,IF(V$121="입주/잔금",($F178-SUM($G178:U178))*50%,IF(U$121="입주/잔금",($F178-SUM($G178:T178))*20%,IF(W$121=0,0,IF(W$121="2차중도금",$F178*30%-SUM($G178:V178),IF(W$121="3차중도금",$F178*40%-SUM($G178:V178),IF(W$121="4차중도금",$F178*50%-SUM($G178:V178),$F178*10%)))))))+(IF(W$121="5차중도금",$F178*60%-SUM($G178:V178)-$F178*10%,IF(W$121="6차중도금",$F178*70%-SUM($G178:V178)-$F178*10%,0)))</f>
        <v>0</v>
      </c>
      <c r="X178" s="605">
        <f>IF(X$121="입주/잔금",($F178-SUM($G178:W178))*30%,IF(W$121="입주/잔금",($F178-SUM($G178:V178))*50%,IF(V$121="입주/잔금",($F178-SUM($G178:U178))*20%,IF(X$121=0,0,IF(X$121="2차중도금",$F178*30%-SUM($G178:W178),IF(X$121="3차중도금",$F178*40%-SUM($G178:W178),IF(X$121="4차중도금",$F178*50%-SUM($G178:W178),$F178*10%)))))))+(IF(X$121="5차중도금",$F178*60%-SUM($G178:W178)-$F178*10%,IF(X$121="6차중도금",$F178*70%-SUM($G178:W178)-$F178*10%,0)))</f>
        <v>0</v>
      </c>
      <c r="Y178" s="605">
        <f>IF(Y$121="입주/잔금",($F178-SUM($G178:X178))*30%,IF(X$121="입주/잔금",($F178-SUM($G178:W178))*50%,IF(W$121="입주/잔금",($F178-SUM($G178:V178))*20%,IF(Y$121=0,0,IF(Y$121="2차중도금",$F178*30%-SUM($G178:X178),IF(Y$121="3차중도금",$F178*40%-SUM($G178:X178),IF(Y$121="4차중도금",$F178*50%-SUM($G178:X178),$F178*10%)))))))+(IF(Y$121="5차중도금",$F178*60%-SUM($G178:X178)-$F178*10%,IF(Y$121="6차중도금",$F178*70%-SUM($G178:X178)-$F178*10%,0)))</f>
        <v>0</v>
      </c>
      <c r="Z178" s="605">
        <f>IF(Z$121="입주/잔금",($F178-SUM($G178:Y178))*30%,IF(Y$121="입주/잔금",($F178-SUM($G178:X178))*50%,IF(X$121="입주/잔금",($F178-SUM($G178:W178))*20%,IF(Z$121=0,0,IF(Z$121="2차중도금",$F178*30%-SUM($G178:Y178),IF(Z$121="3차중도금",$F178*40%-SUM($G178:Y178),IF(Z$121="4차중도금",$F178*50%-SUM($G178:Y178),$F178*10%)))))))+(IF(Z$121="5차중도금",$F178*60%-SUM($G178:Y178)-$F178*10%,IF(Z$121="6차중도금",$F178*70%-SUM($G178:Y178)-$F178*10%,0)))</f>
        <v>0</v>
      </c>
      <c r="AA178" s="605">
        <f>IF(AA$121="입주/잔금",($F178-SUM($G178:Z178))*30%,IF(Z$121="입주/잔금",($F178-SUM($G178:Y178))*50%,IF(Y$121="입주/잔금",($F178-SUM($G178:X178))*20%,IF(AA$121=0,0,IF(AA$121="2차중도금",$F178*30%-SUM($G178:Z178),IF(AA$121="3차중도금",$F178*40%-SUM($G178:Z178),IF(AA$121="4차중도금",$F178*50%-SUM($G178:Z178),$F178*10%)))))))+(IF(AA$121="5차중도금",$F178*60%-SUM($G178:Z178)-$F178*10%,IF(AA$121="6차중도금",$F178*70%-SUM($G178:Z178)-$F178*10%,0)))</f>
        <v>0</v>
      </c>
      <c r="AB178" s="605">
        <f>IF(AB$121="입주/잔금",($F178-SUM($G178:AA178))*30%,IF(AA$121="입주/잔금",($F178-SUM($G178:Z178))*50%,IF(Z$121="입주/잔금",($F178-SUM($G178:Y178))*20%,IF(AB$121=0,0,IF(AB$121="2차중도금",$F178*30%-SUM($G178:AA178),IF(AB$121="3차중도금",$F178*40%-SUM($G178:AA178),IF(AB$121="4차중도금",$F178*50%-SUM($G178:AA178),$F178*10%)))))))+(IF(AB$121="5차중도금",$F178*60%-SUM($G178:AA178)-$F178*10%,IF(AB$121="6차중도금",$F178*70%-SUM($G178:AA178)-$F178*10%,0)))</f>
        <v>0</v>
      </c>
      <c r="AC178" s="605">
        <f>IF(AC$121="입주/잔금",($F178-SUM($G178:AB178))*30%,IF(AB$121="입주/잔금",($F178-SUM($G178:AA178))*50%,IF(AA$121="입주/잔금",($F178-SUM($G178:Z178))*20%,IF(AC$121=0,0,IF(AC$121="2차중도금",$F178*30%-SUM($G178:AB178),IF(AC$121="3차중도금",$F178*40%-SUM($G178:AB178),IF(AC$121="4차중도금",$F178*50%-SUM($G178:AB178),$F178*10%)))))))+(IF(AC$121="5차중도금",$F178*60%-SUM($G178:AB178)-$F178*10%,IF(AC$121="6차중도금",$F178*70%-SUM($G178:AB178)-$F178*10%,0)))</f>
        <v>0</v>
      </c>
      <c r="AD178" s="605">
        <f>IF(AD$121="입주/잔금",($F178-SUM($G178:AC178))*30%,IF(AC$121="입주/잔금",($F178-SUM($G178:AB178))*50%,IF(AB$121="입주/잔금",($F178-SUM($G178:AA178))*20%,IF(AD$121=0,0,IF(AD$121="2차중도금",$F178*30%-SUM($G178:AC178),IF(AD$121="3차중도금",$F178*40%-SUM($G178:AC178),IF(AD$121="4차중도금",$F178*50%-SUM($G178:AC178),$F178*10%)))))))+(IF(AD$121="5차중도금",$F178*60%-SUM($G178:AC178)-$F178*10%,IF(AD$121="6차중도금",$F178*70%-SUM($G178:AC178)-$F178*10%,0)))</f>
        <v>0</v>
      </c>
      <c r="AE178" s="605">
        <f>IF(AE$121="입주/잔금",($F178-SUM($G178:AD178))*30%,IF(AD$121="입주/잔금",($F178-SUM($G178:AC178))*50%,IF(AC$121="입주/잔금",($F178-SUM($G178:AB178))*20%,IF(AE$121=0,0,IF(AE$121="2차중도금",$F178*30%-SUM($G178:AD178),IF(AE$121="3차중도금",$F178*40%-SUM($G178:AD178),IF(AE$121="4차중도금",$F178*50%-SUM($G178:AD178),$F178*10%)))))))+(IF(AE$121="5차중도금",$F178*60%-SUM($G178:AD178)-$F178*10%,IF(AE$121="6차중도금",$F178*70%-SUM($G178:AD178)-$F178*10%,0)))</f>
        <v>0</v>
      </c>
      <c r="AF178" s="605">
        <f>IF(AF$121="입주/잔금",($F178-SUM($G178:AE178))*30%,IF(AE$121="입주/잔금",($F178-SUM($G178:AD178))*50%,IF(AD$121="입주/잔금",($F178-SUM($G178:AC178))*20%,IF(AF$121=0,0,IF(AF$121="2차중도금",$F178*30%-SUM($G178:AE178),IF(AF$121="3차중도금",$F178*40%-SUM($G178:AE178),IF(AF$121="4차중도금",$F178*50%-SUM($G178:AE178),$F178*10%)))))))+(IF(AF$121="5차중도금",$F178*60%-SUM($G178:AE178)-$F178*10%,IF(AF$121="6차중도금",$F178*70%-SUM($G178:AE178)-$F178*10%,0)))</f>
        <v>0</v>
      </c>
      <c r="AG178" s="605">
        <f>IF(AG$121="입주/잔금",($F178-SUM($G178:AF178))*30%,IF(AF$121="입주/잔금",($F178-SUM($G178:AE178))*50%,IF(AE$121="입주/잔금",($F178-SUM($G178:AD178))*20%,IF(AG$121=0,0,IF(AG$121="2차중도금",$F178*30%-SUM($G178:AF178),IF(AG$121="3차중도금",$F178*40%-SUM($G178:AF178),IF(AG$121="4차중도금",$F178*50%-SUM($G178:AF178),$F178*10%)))))))+(IF(AG$121="5차중도금",$F178*60%-SUM($G178:AF178)-$F178*10%,IF(AG$121="6차중도금",$F178*70%-SUM($G178:AF178)-$F178*10%,0)))</f>
        <v>0</v>
      </c>
      <c r="AH178" s="605">
        <f>IF(AH$121="입주/잔금",($F178-SUM($G178:AG178))*30%,IF(AG$121="입주/잔금",($F178-SUM($G178:AF178))*50%,IF(AF$121="입주/잔금",($F178-SUM($G178:AE178))*20%,IF(AH$121=0,0,IF(AH$121="2차중도금",$F178*30%-SUM($G178:AG178),IF(AH$121="3차중도금",$F178*40%-SUM($G178:AG178),IF(AH$121="4차중도금",$F178*50%-SUM($G178:AG178),$F178*10%)))))))+(IF(AH$121="5차중도금",$F178*60%-SUM($G178:AG178)-$F178*10%,IF(AH$121="6차중도금",$F178*70%-SUM($G178:AG178)-$F178*10%,0)))</f>
        <v>0</v>
      </c>
      <c r="AI178" s="605">
        <f>IF(AI$121="입주/잔금",($F178-SUM($G178:AH178))*30%,IF(AH$121="입주/잔금",($F178-SUM($G178:AG178))*50%,IF(AG$121="입주/잔금",($F178-SUM($G178:AF178))*20%,IF(AI$121=0,0,IF(AI$121="2차중도금",$F178*30%-SUM($G178:AH178),IF(AI$121="3차중도금",$F178*40%-SUM($G178:AH178),IF(AI$121="4차중도금",$F178*50%-SUM($G178:AH178),$F178*10%)))))))+(IF(AI$121="5차중도금",$F178*60%-SUM($G178:AH178)-$F178*10%,IF(AI$121="6차중도금",$F178*70%-SUM($G178:AH178)-$F178*10%,0)))</f>
        <v>0</v>
      </c>
      <c r="AJ178" s="605">
        <f>IF(AJ$121="입주/잔금",($F178-SUM($G178:AI178))*30%,IF(AI$121="입주/잔금",($F178-SUM($G178:AH178))*50%,IF(AH$121="입주/잔금",($F178-SUM($G178:AG178))*20%,IF(AJ$121=0,0,IF(AJ$121="2차중도금",$F178*30%-SUM($G178:AI178),IF(AJ$121="3차중도금",$F178*40%-SUM($G178:AI178),IF(AJ$121="4차중도금",$F178*50%-SUM($G178:AI178),$F178*10%)))))))+(IF(AJ$121="5차중도금",$F178*60%-SUM($G178:AI178)-$F178*10%,IF(AJ$121="6차중도금",$F178*70%-SUM($G178:AI178)-$F178*10%,0)))</f>
        <v>0</v>
      </c>
      <c r="AK178" s="605">
        <f>IF(AK$121="입주/잔금",($F178-SUM($G178:AJ178))*30%,IF(AJ$121="입주/잔금",($F178-SUM($G178:AI178))*50%,IF(AI$121="입주/잔금",($F178-SUM($G178:AH178))*20%,IF(AK$121=0,0,IF(AK$121="2차중도금",$F178*30%-SUM($G178:AJ178),IF(AK$121="3차중도금",$F178*40%-SUM($G178:AJ178),IF(AK$121="4차중도금",$F178*50%-SUM($G178:AJ178),$F178*10%)))))))+(IF(AK$121="5차중도금",$F178*60%-SUM($G178:AJ178)-$F178*10%,IF(AK$121="6차중도금",$F178*70%-SUM($G178:AJ178)-$F178*10%,0)))</f>
        <v>0</v>
      </c>
      <c r="AL178" s="605">
        <f>IF(AL$121="입주/잔금",($F178-SUM($G178:AK178))*30%,IF(AK$121="입주/잔금",($F178-SUM($G178:AJ178))*50%,IF(AJ$121="입주/잔금",($F178-SUM($G178:AI178))*20%,IF(AL$121=0,0,IF(AL$121="2차중도금",$F178*30%-SUM($G178:AK178),IF(AL$121="3차중도금",$F178*40%-SUM($G178:AK178),IF(AL$121="4차중도금",$F178*50%-SUM($G178:AK178),$F178*10%)))))))+(IF(AL$121="5차중도금",$F178*60%-SUM($G178:AK178)-$F178*10%,IF(AL$121="6차중도금",$F178*70%-SUM($G178:AK178)-$F178*10%,0)))</f>
        <v>0</v>
      </c>
      <c r="AM178" s="605">
        <f>IF(AM$121="입주/잔금",($F178-SUM($G178:AL178))*30%,IF(AL$121="입주/잔금",($F178-SUM($G178:AK178))*50%,IF(AK$121="입주/잔금",($F178-SUM($G178:AJ178))*20%,IF(AM$121=0,0,IF(AM$121="2차중도금",$F178*30%-SUM($G178:AL178),IF(AM$121="3차중도금",$F178*40%-SUM($G178:AL178),IF(AM$121="4차중도금",$F178*50%-SUM($G178:AL178),$F178*10%)))))))+(IF(AM$121="5차중도금",$F178*60%-SUM($G178:AL178)-$F178*10%,IF(AM$121="6차중도금",$F178*70%-SUM($G178:AL178)-$F178*10%,0)))</f>
        <v>0</v>
      </c>
      <c r="AN178" s="605">
        <f>IF(AN$121="입주/잔금",($F178-SUM($G178:AM178))*30%,IF(AM$121="입주/잔금",($F178-SUM($G178:AL178))*50%,IF(AL$121="입주/잔금",($F178-SUM($G178:AK178))*20%,IF(AN$121=0,0,IF(AN$121="2차중도금",$F178*30%-SUM($G178:AM178),IF(AN$121="3차중도금",$F178*40%-SUM($G178:AM178),IF(AN$121="4차중도금",$F178*50%-SUM($G178:AM178),$F178*10%)))))))+(IF(AN$121="5차중도금",$F178*60%-SUM($G178:AM178)-$F178*10%,IF(AN$121="6차중도금",$F178*70%-SUM($G178:AM178)-$F178*10%,0)))</f>
        <v>0</v>
      </c>
      <c r="AO178" s="605">
        <f>IF(AO$121="입주/잔금",($F178-SUM($G178:AN178))*30%,IF(AN$121="입주/잔금",($F178-SUM($G178:AM178))*50%,IF(AM$121="입주/잔금",($F178-SUM($G178:AL178))*20%,IF(AO$121=0,0,IF(AO$121="2차중도금",$F178*30%-SUM($G178:AN178),IF(AO$121="3차중도금",$F178*40%-SUM($G178:AN178),IF(AO$121="4차중도금",$F178*50%-SUM($G178:AN178),$F178*10%)))))))+(IF(AO$121="5차중도금",$F178*60%-SUM($G178:AN178)-$F178*10%,IF(AO$121="6차중도금",$F178*70%-SUM($G178:AN178)-$F178*10%,0)))</f>
        <v>0</v>
      </c>
      <c r="AP178" s="605">
        <f>IF(AP$121="입주/잔금",($F178-SUM($G178:AO178))*30%,IF(AO$121="입주/잔금",($F178-SUM($G178:AN178))*50%,IF(AN$121="입주/잔금",($F178-SUM($G178:AM178))*20%,IF(AP$121=0,0,IF(AP$121="2차중도금",$F178*30%-SUM($G178:AO178),IF(AP$121="3차중도금",$F178*40%-SUM($G178:AO178),IF(AP$121="4차중도금",$F178*50%-SUM($G178:AO178),$F178*10%)))))))+(IF(AP$121="5차중도금",$F178*60%-SUM($G178:AO178)-$F178*10%,IF(AP$121="6차중도금",$F178*70%-SUM($G178:AO178)-$F178*10%,0)))</f>
        <v>0</v>
      </c>
      <c r="AQ178" s="605">
        <f>IF(AQ$121="입주/잔금",($F178-SUM($G178:AP178))*30%,IF(AP$121="입주/잔금",($F178-SUM($G178:AO178))*50%,IF(AO$121="입주/잔금",($F178-SUM($G178:AN178))*20%,IF(AQ$121=0,0,IF(AQ$121="2차중도금",$F178*30%-SUM($G178:AP178),IF(AQ$121="3차중도금",$F178*40%-SUM($G178:AP178),IF(AQ$121="4차중도금",$F178*50%-SUM($G178:AP178),$F178*10%)))))))+(IF(AQ$121="5차중도금",$F178*60%-SUM($G178:AP178)-$F178*10%,IF(AQ$121="6차중도금",$F178*70%-SUM($G178:AP178)-$F178*10%,0)))</f>
        <v>0</v>
      </c>
      <c r="AR178" s="605">
        <f>IF(AR$121="입주/잔금",($F178-SUM($G178:AQ178))*30%,IF(AQ$121="입주/잔금",($F178-SUM($G178:AP178))*50%,IF(AP$121="입주/잔금",($F178-SUM($G178:AO178))*20%,IF(AR$121=0,0,IF(AR$121="2차중도금",$F178*30%-SUM($G178:AQ178),IF(AR$121="3차중도금",$F178*40%-SUM($G178:AQ178),IF(AR$121="4차중도금",$F178*50%-SUM($G178:AQ178),$F178*10%)))))))+(IF(AR$121="5차중도금",$F178*60%-SUM($G178:AQ178)-$F178*10%,IF(AR$121="6차중도금",$F178*70%-SUM($G178:AQ178)-$F178*10%,0)))</f>
        <v>0</v>
      </c>
      <c r="AS178" s="605">
        <f>IF(AS$121="입주/잔금",($F178-SUM($G178:AR178))*30%,IF(AR$121="입주/잔금",($F178-SUM($G178:AQ178))*50%,IF(AQ$121="입주/잔금",($F178-SUM($G178:AP178))*20%,IF(AS$121=0,0,IF(AS$121="2차중도금",$F178*30%-SUM($G178:AR178),IF(AS$121="3차중도금",$F178*40%-SUM($G178:AR178),IF(AS$121="4차중도금",$F178*50%-SUM($G178:AR178),$F178*10%)))))))+(IF(AS$121="5차중도금",$F178*60%-SUM($G178:AR178)-$F178*10%,IF(AS$121="6차중도금",$F178*70%-SUM($G178:AR178)-$F178*10%,0)))</f>
        <v>0</v>
      </c>
      <c r="AT178" s="605">
        <f>IF(AT$121="입주/잔금",($F178-SUM($G178:AS178))*30%,IF(AS$121="입주/잔금",($F178-SUM($G178:AR178))*50%,IF(AR$121="입주/잔금",($F178-SUM($G178:AQ178))*20%,IF(AT$121=0,0,IF(AT$121="2차중도금",$F178*30%-SUM($G178:AS178),IF(AT$121="3차중도금",$F178*40%-SUM($G178:AS178),IF(AT$121="4차중도금",$F178*50%-SUM($G178:AS178),$F178*10%)))))))+(IF(AT$121="5차중도금",$F178*60%-SUM($G178:AS178)-$F178*10%,IF(AT$121="6차중도금",$F178*70%-SUM($G178:AS178)-$F178*10%,0)))</f>
        <v>0</v>
      </c>
      <c r="AU178" s="605">
        <f>IF(AU$121="입주/잔금",($F178-SUM($G178:AT178))*30%,IF(AT$121="입주/잔금",($F178-SUM($G178:AS178))*50%,IF(AS$121="입주/잔금",($F178-SUM($G178:AR178))*20%,IF(AU$121=0,0,IF(AU$121="2차중도금",$F178*30%-SUM($G178:AT178),IF(AU$121="3차중도금",$F178*40%-SUM($G178:AT178),IF(AU$121="4차중도금",$F178*50%-SUM($G178:AT178),$F178*10%)))))))+(IF(AU$121="5차중도금",$F178*60%-SUM($G178:AT178)-$F178*10%,IF(AU$121="6차중도금",$F178*70%-SUM($G178:AT178)-$F178*10%,0)))</f>
        <v>0</v>
      </c>
      <c r="AV178" s="605">
        <f>IF(AV$121="입주/잔금",($F178-SUM($G178:AU178))*30%,IF(AU$121="입주/잔금",($F178-SUM($G178:AT178))*50%,IF(AT$121="입주/잔금",($F178-SUM($G178:AS178))*20%,IF(AV$121=0,0,IF(AV$121="2차중도금",$F178*30%-SUM($G178:AU178),IF(AV$121="3차중도금",$F178*40%-SUM($G178:AU178),IF(AV$121="4차중도금",$F178*50%-SUM($G178:AU178),$F178*10%)))))))+(IF(AV$121="5차중도금",$F178*60%-SUM($G178:AU178)-$F178*10%,IF(AV$121="6차중도금",$F178*70%-SUM($G178:AU178)-$F178*10%,0)))</f>
        <v>0</v>
      </c>
      <c r="AW178" s="605">
        <f>IF(AW$121="입주/잔금",($F178-SUM($G178:AV178))*30%,IF(AV$121="입주/잔금",($F178-SUM($G178:AU178))*50%,IF(AU$121="입주/잔금",($F178-SUM($G178:AT178))*20%,IF(AW$121=0,0,IF(AW$121="2차중도금",$F178*30%-SUM($G178:AV178),IF(AW$121="3차중도금",$F178*40%-SUM($G178:AV178),IF(AW$121="4차중도금",$F178*50%-SUM($G178:AV178),$F178*10%)))))))+(IF(AW$121="5차중도금",$F178*60%-SUM($G178:AV178)-$F178*10%,IF(AW$121="6차중도금",$F178*70%-SUM($G178:AV178)-$F178*10%,0)))</f>
        <v>0</v>
      </c>
      <c r="AX178" s="605">
        <f>IF(AX$121="입주/잔금",($F178-SUM($G178:AW178))*30%,IF(AW$121="입주/잔금",($F178-SUM($G178:AV178))*50%,IF(AV$121="입주/잔금",($F178-SUM($G178:AU178))*20%,IF(AX$121=0,0,IF(AX$121="2차중도금",$F178*30%-SUM($G178:AW178),IF(AX$121="3차중도금",$F178*40%-SUM($G178:AW178),IF(AX$121="4차중도금",$F178*50%-SUM($G178:AW178),$F178*10%)))))))+(IF(AX$121="5차중도금",$F178*60%-SUM($G178:AW178)-$F178*10%,IF(AX$121="6차중도금",$F178*70%-SUM($G178:AW178)-$F178*10%,0)))</f>
        <v>0</v>
      </c>
      <c r="AY178" s="605">
        <f>IF(AY$121="입주/잔금",($F178-SUM($G178:AX178))*30%,IF(AX$121="입주/잔금",($F178-SUM($G178:AW178))*50%,IF(AW$121="입주/잔금",($F178-SUM($G178:AV178))*20%,IF(AY$121=0,0,IF(AY$121="2차중도금",$F178*30%-SUM($G178:AX178),IF(AY$121="3차중도금",$F178*40%-SUM($G178:AX178),IF(AY$121="4차중도금",$F178*50%-SUM($G178:AX178),$F178*10%)))))))+(IF(AY$121="5차중도금",$F178*60%-SUM($G178:AX178)-$F178*10%,IF(AY$121="6차중도금",$F178*70%-SUM($G178:AX178)-$F178*10%,0)))</f>
        <v>0</v>
      </c>
      <c r="AZ178" s="605">
        <f>IF(AZ$121="입주/잔금",($F178-SUM($G178:AY178))*30%,IF(AY$121="입주/잔금",($F178-SUM($G178:AX178))*50%,IF(AX$121="입주/잔금",($F178-SUM($G178:AW178))*20%,IF(AZ$121=0,0,IF(AZ$121="2차중도금",$F178*30%-SUM($G178:AY178),IF(AZ$121="3차중도금",$F178*40%-SUM($G178:AY178),IF(AZ$121="4차중도금",$F178*50%-SUM($G178:AY178),$F178*10%)))))))+(IF(AZ$121="5차중도금",$F178*60%-SUM($G178:AY178)-$F178*10%,IF(AZ$121="6차중도금",$F178*70%-SUM($G178:AY178)-$F178*10%,0)))</f>
        <v>0</v>
      </c>
      <c r="BA178" s="605">
        <f>IF(BA$121="입주/잔금",($F178-SUM($G178:AZ178))*30%,IF(AZ$121="입주/잔금",($F178-SUM($G178:AY178))*50%,IF(AY$121="입주/잔금",($F178-SUM($G178:AX178))*20%,IF(BA$121=0,0,IF(BA$121="2차중도금",$F178*30%-SUM($G178:AZ178),IF(BA$121="3차중도금",$F178*40%-SUM($G178:AZ178),IF(BA$121="4차중도금",$F178*50%-SUM($G178:AZ178),$F178*10%)))))))+(IF(BA$121="5차중도금",$F178*60%-SUM($G178:AZ178)-$F178*10%,IF(BA$121="6차중도금",$F178*70%-SUM($G178:AZ178)-$F178*10%,0)))</f>
        <v>0</v>
      </c>
      <c r="BB178" s="605">
        <f>IF(BB$121="입주/잔금",($F178-SUM($G178:BA178))*30%,IF(BA$121="입주/잔금",($F178-SUM($G178:AZ178))*50%,IF(AZ$121="입주/잔금",($F178-SUM($G178:AY178))*20%,IF(BB$121=0,0,IF(BB$121="2차중도금",$F178*30%-SUM($G178:BA178),IF(BB$121="3차중도금",$F178*40%-SUM($G178:BA178),IF(BB$121="4차중도금",$F178*50%-SUM($G178:BA178),$F178*10%)))))))+(IF(BB$121="5차중도금",$F178*60%-SUM($G178:BA178)-$F178*10%,IF(BB$121="6차중도금",$F178*70%-SUM($G178:BA178)-$F178*10%,0)))</f>
        <v>0</v>
      </c>
      <c r="BC178" s="605">
        <f>IF(BC$121="입주/잔금",($F178-SUM($G178:BB178))*30%,IF(BB$121="입주/잔금",($F178-SUM($G178:BA178))*50%,IF(BA$121="입주/잔금",($F178-SUM($G178:AZ178))*20%,IF(BC$121=0,0,IF(BC$121="2차중도금",$F178*30%-SUM($G178:BB178),IF(BC$121="3차중도금",$F178*40%-SUM($G178:BB178),IF(BC$121="4차중도금",$F178*50%-SUM($G178:BB178),$F178*10%)))))))+(IF(BC$121="5차중도금",$F178*60%-SUM($G178:BB178)-$F178*10%,IF(BC$121="6차중도금",$F178*70%-SUM($G178:BB178)-$F178*10%,0)))</f>
        <v>0</v>
      </c>
      <c r="BD178" s="605">
        <f>IF(BD$121="입주/잔금",($F178-SUM($G178:BC178))*30%,IF(BC$121="입주/잔금",($F178-SUM($G178:BB178))*50%,IF(BB$121="입주/잔금",($F178-SUM($G178:BA178))*20%,IF(BD$121=0,0,IF(BD$121="2차중도금",$F178*30%-SUM($G178:BC178),IF(BD$121="3차중도금",$F178*40%-SUM($G178:BC178),IF(BD$121="4차중도금",$F178*50%-SUM($G178:BC178),$F178*10%)))))))+(IF(BD$121="5차중도금",$F178*60%-SUM($G178:BC178)-$F178*10%,IF(BD$121="6차중도금",$F178*70%-SUM($G178:BC178)-$F178*10%,0)))</f>
        <v>0</v>
      </c>
      <c r="BE178" s="605">
        <f>IF(BE$121="입주/잔금",($F178-SUM($G178:BD178))*30%,IF(BD$121="입주/잔금",($F178-SUM($G178:BC178))*50%,IF(BC$121="입주/잔금",($F178-SUM($G178:BB178))*20%,IF(BE$121=0,0,IF(BE$121="2차중도금",$F178*30%-SUM($G178:BD178),IF(BE$121="3차중도금",$F178*40%-SUM($G178:BD178),IF(BE$121="4차중도금",$F178*50%-SUM($G178:BD178),$F178*10%)))))))+(IF(BE$121="5차중도금",$F178*60%-SUM($G178:BD178)-$F178*10%,IF(BE$121="6차중도금",$F178*70%-SUM($G178:BD178)-$F178*10%,0)))</f>
        <v>0</v>
      </c>
      <c r="BF178" s="609">
        <f t="shared" si="57"/>
        <v>0</v>
      </c>
      <c r="BG178" s="556">
        <f t="shared" si="59"/>
        <v>0</v>
      </c>
      <c r="BH178" s="610"/>
    </row>
    <row r="179" spans="1:60" hidden="1">
      <c r="A179" s="1853"/>
      <c r="B179" s="611">
        <f t="shared" si="60"/>
        <v>44896</v>
      </c>
      <c r="C179" s="605">
        <f t="shared" si="61"/>
        <v>0</v>
      </c>
      <c r="D179" s="606"/>
      <c r="E179" s="612">
        <f t="shared" ref="E179:E222" si="62">E178+D179</f>
        <v>0</v>
      </c>
      <c r="F179" s="608">
        <f t="shared" si="58"/>
        <v>0</v>
      </c>
      <c r="G179" s="605"/>
      <c r="H179" s="605"/>
      <c r="I179" s="605">
        <f>$F179*10%</f>
        <v>0</v>
      </c>
      <c r="J179" s="605">
        <f>IF(J$121="입주/잔금",($F179-SUM($G179:I179))*30%,IF(I$121="입주/잔금",($F179-SUM($G179:H179))*50%,IF(H$121="입주/잔금",($F179-SUM(G179:$G179))*20%,IF(J$121=0,0,IF(J$121="2차중도금",$F179*30%-SUM($G179:I179),IF(J$121="3차중도금",$F179*40%-SUM($G179:I179),IF(J$121="4차중도금",$F179*50%-SUM($G179:I179),$F179*10%)))))))+(IF(J$121="5차중도금",$F179*60%-SUM($G179:I179)-$F179*10%,IF(J$121="6차중도금",$F179*70%-SUM($G179:I179)-$F179*10%,0)))</f>
        <v>0</v>
      </c>
      <c r="K179" s="605">
        <f>IF(K$121="입주/잔금",($F179-SUM($G179:J179))*30%,IF(J$121="입주/잔금",($F179-SUM($G179:I179))*50%,IF(I$121="입주/잔금",($F179-SUM($G179:H179))*20%,IF(K$121=0,0,IF(K$121="2차중도금",$F179*30%-SUM($G179:J179),IF(K$121="3차중도금",$F179*40%-SUM($G179:J179),IF(K$121="4차중도금",$F179*50%-SUM($G179:J179),$F179*10%)))))))+(IF(K$121="5차중도금",$F179*60%-SUM($G179:J179)-$F179*10%,IF(K$121="6차중도금",$F179*70%-SUM($G179:J179)-$F179*10%,0)))</f>
        <v>0</v>
      </c>
      <c r="L179" s="605">
        <f>IF(L$121="입주/잔금",($F179-SUM($G179:K179))*30%,IF(K$121="입주/잔금",($F179-SUM($G179:J179))*50%,IF(J$121="입주/잔금",($F179-SUM($G179:I179))*20%,IF(L$121=0,0,IF(L$121="2차중도금",$F179*30%-SUM($G179:K179),IF(L$121="3차중도금",$F179*40%-SUM($G179:K179),IF(L$121="4차중도금",$F179*50%-SUM($G179:K179),$F179*10%)))))))+(IF(L$121="5차중도금",$F179*60%-SUM($G179:K179)-$F179*10%,IF(L$121="6차중도금",$F179*70%-SUM($G179:K179)-$F179*10%,0)))</f>
        <v>0</v>
      </c>
      <c r="M179" s="605">
        <f>IF(M$121="입주/잔금",($F179-SUM($G179:L179))*30%,IF(L$121="입주/잔금",($F179-SUM($G179:K179))*50%,IF(K$121="입주/잔금",($F179-SUM($G179:J179))*20%,IF(M$121=0,0,IF(M$121="2차중도금",$F179*30%-SUM($G179:L179),IF(M$121="3차중도금",$F179*40%-SUM($G179:L179),IF(M$121="4차중도금",$F179*50%-SUM($G179:L179),$F179*10%)))))))+(IF(M$121="5차중도금",$F179*60%-SUM($G179:L179)-$F179*10%,IF(M$121="6차중도금",$F179*70%-SUM($G179:L179)-$F179*10%,0)))</f>
        <v>0</v>
      </c>
      <c r="N179" s="605">
        <f>IF(N$121="입주/잔금",($F179-SUM($G179:M179))*30%,IF(M$121="입주/잔금",($F179-SUM($G179:L179))*50%,IF(L$121="입주/잔금",($F179-SUM($G179:K179))*20%,IF(N$121=0,0,IF(N$121="2차중도금",$F179*30%-SUM($G179:M179),IF(N$121="3차중도금",$F179*40%-SUM($G179:M179),IF(N$121="4차중도금",$F179*50%-SUM($G179:M179),$F179*10%)))))))+(IF(N$121="5차중도금",$F179*60%-SUM($G179:M179)-$F179*10%,IF(N$121="6차중도금",$F179*70%-SUM($G179:M179)-$F179*10%,0)))</f>
        <v>0</v>
      </c>
      <c r="O179" s="605">
        <f>IF(O$121="입주/잔금",($F179-SUM($G179:N179))*30%,IF(N$121="입주/잔금",($F179-SUM($G179:M179))*50%,IF(M$121="입주/잔금",($F179-SUM($G179:L179))*20%,IF(O$121=0,0,IF(O$121="2차중도금",$F179*30%-SUM($G179:N179),IF(O$121="3차중도금",$F179*40%-SUM($G179:N179),IF(O$121="4차중도금",$F179*50%-SUM($G179:N179),$F179*10%)))))))+(IF(O$121="5차중도금",$F179*60%-SUM($G179:N179)-$F179*10%,IF(O$121="6차중도금",$F179*70%-SUM($G179:N179)-$F179*10%,0)))</f>
        <v>0</v>
      </c>
      <c r="P179" s="605">
        <f>IF(P$121="입주/잔금",($F179-SUM($G179:O179))*30%,IF(O$121="입주/잔금",($F179-SUM($G179:N179))*50%,IF(N$121="입주/잔금",($F179-SUM($G179:M179))*20%,IF(P$121=0,0,IF(P$121="2차중도금",$F179*30%-SUM($G179:O179),IF(P$121="3차중도금",$F179*40%-SUM($G179:O179),IF(P$121="4차중도금",$F179*50%-SUM($G179:O179),$F179*10%)))))))+(IF(P$121="5차중도금",$F179*60%-SUM($G179:O179)-$F179*10%,IF(P$121="6차중도금",$F179*70%-SUM($G179:O179)-$F179*10%,0)))</f>
        <v>0</v>
      </c>
      <c r="Q179" s="605">
        <f>IF(Q$121="입주/잔금",($F179-SUM($G179:P179))*30%,IF(P$121="입주/잔금",($F179-SUM($G179:O179))*50%,IF(O$121="입주/잔금",($F179-SUM($G179:N179))*20%,IF(Q$121=0,0,IF(Q$121="2차중도금",$F179*30%-SUM($G179:P179),IF(Q$121="3차중도금",$F179*40%-SUM($G179:P179),IF(Q$121="4차중도금",$F179*50%-SUM($G179:P179),$F179*10%)))))))+(IF(Q$121="5차중도금",$F179*60%-SUM($G179:P179)-$F179*10%,IF(Q$121="6차중도금",$F179*70%-SUM($G179:P179)-$F179*10%,0)))</f>
        <v>0</v>
      </c>
      <c r="R179" s="605">
        <f>IF(R$121="입주/잔금",($F179-SUM($G179:Q179))*30%,IF(Q$121="입주/잔금",($F179-SUM($G179:P179))*50%,IF(P$121="입주/잔금",($F179-SUM($G179:O179))*20%,IF(R$121=0,0,IF(R$121="2차중도금",$F179*30%-SUM($G179:Q179),IF(R$121="3차중도금",$F179*40%-SUM($G179:Q179),IF(R$121="4차중도금",$F179*50%-SUM($G179:Q179),$F179*10%)))))))+(IF(R$121="5차중도금",$F179*60%-SUM($G179:Q179)-$F179*10%,IF(R$121="6차중도금",$F179*70%-SUM($G179:Q179)-$F179*10%,0)))</f>
        <v>0</v>
      </c>
      <c r="S179" s="605">
        <f>IF(S$121="입주/잔금",($F179-SUM($G179:R179))*30%,IF(R$121="입주/잔금",($F179-SUM($G179:Q179))*50%,IF(Q$121="입주/잔금",($F179-SUM($G179:P179))*20%,IF(S$121=0,0,IF(S$121="2차중도금",$F179*30%-SUM($G179:R179),IF(S$121="3차중도금",$F179*40%-SUM($G179:R179),IF(S$121="4차중도금",$F179*50%-SUM($G179:R179),$F179*10%)))))))+(IF(S$121="5차중도금",$F179*60%-SUM($G179:R179)-$F179*10%,IF(S$121="6차중도금",$F179*70%-SUM($G179:R179)-$F179*10%,0)))</f>
        <v>0</v>
      </c>
      <c r="T179" s="605">
        <f>IF(T$121="입주/잔금",($F179-SUM($G179:S179))*30%,IF(S$121="입주/잔금",($F179-SUM($G179:R179))*50%,IF(R$121="입주/잔금",($F179-SUM($G179:Q179))*20%,IF(T$121=0,0,IF(T$121="2차중도금",$F179*30%-SUM($G179:S179),IF(T$121="3차중도금",$F179*40%-SUM($G179:S179),IF(T$121="4차중도금",$F179*50%-SUM($G179:S179),$F179*10%)))))))+(IF(T$121="5차중도금",$F179*60%-SUM($G179:S179)-$F179*10%,IF(T$121="6차중도금",$F179*70%-SUM($G179:S179)-$F179*10%,0)))</f>
        <v>0</v>
      </c>
      <c r="U179" s="605">
        <f>IF(U$121="입주/잔금",($F179-SUM($G179:T179))*30%,IF(T$121="입주/잔금",($F179-SUM($G179:S179))*50%,IF(S$121="입주/잔금",($F179-SUM($G179:R179))*20%,IF(U$121=0,0,IF(U$121="2차중도금",$F179*30%-SUM($G179:T179),IF(U$121="3차중도금",$F179*40%-SUM($G179:T179),IF(U$121="4차중도금",$F179*50%-SUM($G179:T179),$F179*10%)))))))+(IF(U$121="5차중도금",$F179*60%-SUM($G179:T179)-$F179*10%,IF(U$121="6차중도금",$F179*70%-SUM($G179:T179)-$F179*10%,0)))</f>
        <v>0</v>
      </c>
      <c r="V179" s="605">
        <f>IF(V$121="입주/잔금",($F179-SUM($G179:U179))*30%,IF(U$121="입주/잔금",($F179-SUM($G179:T179))*50%,IF(T$121="입주/잔금",($F179-SUM($G179:S179))*20%,IF(V$121=0,0,IF(V$121="2차중도금",$F179*30%-SUM($G179:U179),IF(V$121="3차중도금",$F179*40%-SUM($G179:U179),IF(V$121="4차중도금",$F179*50%-SUM($G179:U179),$F179*10%)))))))+(IF(V$121="5차중도금",$F179*60%-SUM($G179:U179)-$F179*10%,IF(V$121="6차중도금",$F179*70%-SUM($G179:U179)-$F179*10%,0)))</f>
        <v>0</v>
      </c>
      <c r="W179" s="605">
        <f>IF(W$121="입주/잔금",($F179-SUM($G179:V179))*30%,IF(V$121="입주/잔금",($F179-SUM($G179:U179))*50%,IF(U$121="입주/잔금",($F179-SUM($G179:T179))*20%,IF(W$121=0,0,IF(W$121="2차중도금",$F179*30%-SUM($G179:V179),IF(W$121="3차중도금",$F179*40%-SUM($G179:V179),IF(W$121="4차중도금",$F179*50%-SUM($G179:V179),$F179*10%)))))))+(IF(W$121="5차중도금",$F179*60%-SUM($G179:V179)-$F179*10%,IF(W$121="6차중도금",$F179*70%-SUM($G179:V179)-$F179*10%,0)))</f>
        <v>0</v>
      </c>
      <c r="X179" s="605">
        <f>IF(X$121="입주/잔금",($F179-SUM($G179:W179))*30%,IF(W$121="입주/잔금",($F179-SUM($G179:V179))*50%,IF(V$121="입주/잔금",($F179-SUM($G179:U179))*20%,IF(X$121=0,0,IF(X$121="2차중도금",$F179*30%-SUM($G179:W179),IF(X$121="3차중도금",$F179*40%-SUM($G179:W179),IF(X$121="4차중도금",$F179*50%-SUM($G179:W179),$F179*10%)))))))+(IF(X$121="5차중도금",$F179*60%-SUM($G179:W179)-$F179*10%,IF(X$121="6차중도금",$F179*70%-SUM($G179:W179)-$F179*10%,0)))</f>
        <v>0</v>
      </c>
      <c r="Y179" s="605">
        <f>IF(Y$121="입주/잔금",($F179-SUM($G179:X179))*30%,IF(X$121="입주/잔금",($F179-SUM($G179:W179))*50%,IF(W$121="입주/잔금",($F179-SUM($G179:V179))*20%,IF(Y$121=0,0,IF(Y$121="2차중도금",$F179*30%-SUM($G179:X179),IF(Y$121="3차중도금",$F179*40%-SUM($G179:X179),IF(Y$121="4차중도금",$F179*50%-SUM($G179:X179),$F179*10%)))))))+(IF(Y$121="5차중도금",$F179*60%-SUM($G179:X179)-$F179*10%,IF(Y$121="6차중도금",$F179*70%-SUM($G179:X179)-$F179*10%,0)))</f>
        <v>0</v>
      </c>
      <c r="Z179" s="605">
        <f>IF(Z$121="입주/잔금",($F179-SUM($G179:Y179))*30%,IF(Y$121="입주/잔금",($F179-SUM($G179:X179))*50%,IF(X$121="입주/잔금",($F179-SUM($G179:W179))*20%,IF(Z$121=0,0,IF(Z$121="2차중도금",$F179*30%-SUM($G179:Y179),IF(Z$121="3차중도금",$F179*40%-SUM($G179:Y179),IF(Z$121="4차중도금",$F179*50%-SUM($G179:Y179),$F179*10%)))))))+(IF(Z$121="5차중도금",$F179*60%-SUM($G179:Y179)-$F179*10%,IF(Z$121="6차중도금",$F179*70%-SUM($G179:Y179)-$F179*10%,0)))</f>
        <v>0</v>
      </c>
      <c r="AA179" s="605">
        <f>IF(AA$121="입주/잔금",($F179-SUM($G179:Z179))*30%,IF(Z$121="입주/잔금",($F179-SUM($G179:Y179))*50%,IF(Y$121="입주/잔금",($F179-SUM($G179:X179))*20%,IF(AA$121=0,0,IF(AA$121="2차중도금",$F179*30%-SUM($G179:Z179),IF(AA$121="3차중도금",$F179*40%-SUM($G179:Z179),IF(AA$121="4차중도금",$F179*50%-SUM($G179:Z179),$F179*10%)))))))+(IF(AA$121="5차중도금",$F179*60%-SUM($G179:Z179)-$F179*10%,IF(AA$121="6차중도금",$F179*70%-SUM($G179:Z179)-$F179*10%,0)))</f>
        <v>0</v>
      </c>
      <c r="AB179" s="605">
        <f>IF(AB$121="입주/잔금",($F179-SUM($G179:AA179))*30%,IF(AA$121="입주/잔금",($F179-SUM($G179:Z179))*50%,IF(Z$121="입주/잔금",($F179-SUM($G179:Y179))*20%,IF(AB$121=0,0,IF(AB$121="2차중도금",$F179*30%-SUM($G179:AA179),IF(AB$121="3차중도금",$F179*40%-SUM($G179:AA179),IF(AB$121="4차중도금",$F179*50%-SUM($G179:AA179),$F179*10%)))))))+(IF(AB$121="5차중도금",$F179*60%-SUM($G179:AA179)-$F179*10%,IF(AB$121="6차중도금",$F179*70%-SUM($G179:AA179)-$F179*10%,0)))</f>
        <v>0</v>
      </c>
      <c r="AC179" s="605">
        <f>IF(AC$121="입주/잔금",($F179-SUM($G179:AB179))*30%,IF(AB$121="입주/잔금",($F179-SUM($G179:AA179))*50%,IF(AA$121="입주/잔금",($F179-SUM($G179:Z179))*20%,IF(AC$121=0,0,IF(AC$121="2차중도금",$F179*30%-SUM($G179:AB179),IF(AC$121="3차중도금",$F179*40%-SUM($G179:AB179),IF(AC$121="4차중도금",$F179*50%-SUM($G179:AB179),$F179*10%)))))))+(IF(AC$121="5차중도금",$F179*60%-SUM($G179:AB179)-$F179*10%,IF(AC$121="6차중도금",$F179*70%-SUM($G179:AB179)-$F179*10%,0)))</f>
        <v>0</v>
      </c>
      <c r="AD179" s="605">
        <f>IF(AD$121="입주/잔금",($F179-SUM($G179:AC179))*30%,IF(AC$121="입주/잔금",($F179-SUM($G179:AB179))*50%,IF(AB$121="입주/잔금",($F179-SUM($G179:AA179))*20%,IF(AD$121=0,0,IF(AD$121="2차중도금",$F179*30%-SUM($G179:AC179),IF(AD$121="3차중도금",$F179*40%-SUM($G179:AC179),IF(AD$121="4차중도금",$F179*50%-SUM($G179:AC179),$F179*10%)))))))+(IF(AD$121="5차중도금",$F179*60%-SUM($G179:AC179)-$F179*10%,IF(AD$121="6차중도금",$F179*70%-SUM($G179:AC179)-$F179*10%,0)))</f>
        <v>0</v>
      </c>
      <c r="AE179" s="605">
        <f>IF(AE$121="입주/잔금",($F179-SUM($G179:AD179))*30%,IF(AD$121="입주/잔금",($F179-SUM($G179:AC179))*50%,IF(AC$121="입주/잔금",($F179-SUM($G179:AB179))*20%,IF(AE$121=0,0,IF(AE$121="2차중도금",$F179*30%-SUM($G179:AD179),IF(AE$121="3차중도금",$F179*40%-SUM($G179:AD179),IF(AE$121="4차중도금",$F179*50%-SUM($G179:AD179),$F179*10%)))))))+(IF(AE$121="5차중도금",$F179*60%-SUM($G179:AD179)-$F179*10%,IF(AE$121="6차중도금",$F179*70%-SUM($G179:AD179)-$F179*10%,0)))</f>
        <v>0</v>
      </c>
      <c r="AF179" s="605">
        <f>IF(AF$121="입주/잔금",($F179-SUM($G179:AE179))*30%,IF(AE$121="입주/잔금",($F179-SUM($G179:AD179))*50%,IF(AD$121="입주/잔금",($F179-SUM($G179:AC179))*20%,IF(AF$121=0,0,IF(AF$121="2차중도금",$F179*30%-SUM($G179:AE179),IF(AF$121="3차중도금",$F179*40%-SUM($G179:AE179),IF(AF$121="4차중도금",$F179*50%-SUM($G179:AE179),$F179*10%)))))))+(IF(AF$121="5차중도금",$F179*60%-SUM($G179:AE179)-$F179*10%,IF(AF$121="6차중도금",$F179*70%-SUM($G179:AE179)-$F179*10%,0)))</f>
        <v>0</v>
      </c>
      <c r="AG179" s="605">
        <f>IF(AG$121="입주/잔금",($F179-SUM($G179:AF179))*30%,IF(AF$121="입주/잔금",($F179-SUM($G179:AE179))*50%,IF(AE$121="입주/잔금",($F179-SUM($G179:AD179))*20%,IF(AG$121=0,0,IF(AG$121="2차중도금",$F179*30%-SUM($G179:AF179),IF(AG$121="3차중도금",$F179*40%-SUM($G179:AF179),IF(AG$121="4차중도금",$F179*50%-SUM($G179:AF179),$F179*10%)))))))+(IF(AG$121="5차중도금",$F179*60%-SUM($G179:AF179)-$F179*10%,IF(AG$121="6차중도금",$F179*70%-SUM($G179:AF179)-$F179*10%,0)))</f>
        <v>0</v>
      </c>
      <c r="AH179" s="605">
        <f>IF(AH$121="입주/잔금",($F179-SUM($G179:AG179))*30%,IF(AG$121="입주/잔금",($F179-SUM($G179:AF179))*50%,IF(AF$121="입주/잔금",($F179-SUM($G179:AE179))*20%,IF(AH$121=0,0,IF(AH$121="2차중도금",$F179*30%-SUM($G179:AG179),IF(AH$121="3차중도금",$F179*40%-SUM($G179:AG179),IF(AH$121="4차중도금",$F179*50%-SUM($G179:AG179),$F179*10%)))))))+(IF(AH$121="5차중도금",$F179*60%-SUM($G179:AG179)-$F179*10%,IF(AH$121="6차중도금",$F179*70%-SUM($G179:AG179)-$F179*10%,0)))</f>
        <v>0</v>
      </c>
      <c r="AI179" s="605">
        <f>IF(AI$121="입주/잔금",($F179-SUM($G179:AH179))*30%,IF(AH$121="입주/잔금",($F179-SUM($G179:AG179))*50%,IF(AG$121="입주/잔금",($F179-SUM($G179:AF179))*20%,IF(AI$121=0,0,IF(AI$121="2차중도금",$F179*30%-SUM($G179:AH179),IF(AI$121="3차중도금",$F179*40%-SUM($G179:AH179),IF(AI$121="4차중도금",$F179*50%-SUM($G179:AH179),$F179*10%)))))))+(IF(AI$121="5차중도금",$F179*60%-SUM($G179:AH179)-$F179*10%,IF(AI$121="6차중도금",$F179*70%-SUM($G179:AH179)-$F179*10%,0)))</f>
        <v>0</v>
      </c>
      <c r="AJ179" s="605">
        <f>IF(AJ$121="입주/잔금",($F179-SUM($G179:AI179))*30%,IF(AI$121="입주/잔금",($F179-SUM($G179:AH179))*50%,IF(AH$121="입주/잔금",($F179-SUM($G179:AG179))*20%,IF(AJ$121=0,0,IF(AJ$121="2차중도금",$F179*30%-SUM($G179:AI179),IF(AJ$121="3차중도금",$F179*40%-SUM($G179:AI179),IF(AJ$121="4차중도금",$F179*50%-SUM($G179:AI179),$F179*10%)))))))+(IF(AJ$121="5차중도금",$F179*60%-SUM($G179:AI179)-$F179*10%,IF(AJ$121="6차중도금",$F179*70%-SUM($G179:AI179)-$F179*10%,0)))</f>
        <v>0</v>
      </c>
      <c r="AK179" s="605">
        <f>IF(AK$121="입주/잔금",($F179-SUM($G179:AJ179))*30%,IF(AJ$121="입주/잔금",($F179-SUM($G179:AI179))*50%,IF(AI$121="입주/잔금",($F179-SUM($G179:AH179))*20%,IF(AK$121=0,0,IF(AK$121="2차중도금",$F179*30%-SUM($G179:AJ179),IF(AK$121="3차중도금",$F179*40%-SUM($G179:AJ179),IF(AK$121="4차중도금",$F179*50%-SUM($G179:AJ179),$F179*10%)))))))+(IF(AK$121="5차중도금",$F179*60%-SUM($G179:AJ179)-$F179*10%,IF(AK$121="6차중도금",$F179*70%-SUM($G179:AJ179)-$F179*10%,0)))</f>
        <v>0</v>
      </c>
      <c r="AL179" s="605">
        <f>IF(AL$121="입주/잔금",($F179-SUM($G179:AK179))*30%,IF(AK$121="입주/잔금",($F179-SUM($G179:AJ179))*50%,IF(AJ$121="입주/잔금",($F179-SUM($G179:AI179))*20%,IF(AL$121=0,0,IF(AL$121="2차중도금",$F179*30%-SUM($G179:AK179),IF(AL$121="3차중도금",$F179*40%-SUM($G179:AK179),IF(AL$121="4차중도금",$F179*50%-SUM($G179:AK179),$F179*10%)))))))+(IF(AL$121="5차중도금",$F179*60%-SUM($G179:AK179)-$F179*10%,IF(AL$121="6차중도금",$F179*70%-SUM($G179:AK179)-$F179*10%,0)))</f>
        <v>0</v>
      </c>
      <c r="AM179" s="605">
        <f>IF(AM$121="입주/잔금",($F179-SUM($G179:AL179))*30%,IF(AL$121="입주/잔금",($F179-SUM($G179:AK179))*50%,IF(AK$121="입주/잔금",($F179-SUM($G179:AJ179))*20%,IF(AM$121=0,0,IF(AM$121="2차중도금",$F179*30%-SUM($G179:AL179),IF(AM$121="3차중도금",$F179*40%-SUM($G179:AL179),IF(AM$121="4차중도금",$F179*50%-SUM($G179:AL179),$F179*10%)))))))+(IF(AM$121="5차중도금",$F179*60%-SUM($G179:AL179)-$F179*10%,IF(AM$121="6차중도금",$F179*70%-SUM($G179:AL179)-$F179*10%,0)))</f>
        <v>0</v>
      </c>
      <c r="AN179" s="605">
        <f>IF(AN$121="입주/잔금",($F179-SUM($G179:AM179))*30%,IF(AM$121="입주/잔금",($F179-SUM($G179:AL179))*50%,IF(AL$121="입주/잔금",($F179-SUM($G179:AK179))*20%,IF(AN$121=0,0,IF(AN$121="2차중도금",$F179*30%-SUM($G179:AM179),IF(AN$121="3차중도금",$F179*40%-SUM($G179:AM179),IF(AN$121="4차중도금",$F179*50%-SUM($G179:AM179),$F179*10%)))))))+(IF(AN$121="5차중도금",$F179*60%-SUM($G179:AM179)-$F179*10%,IF(AN$121="6차중도금",$F179*70%-SUM($G179:AM179)-$F179*10%,0)))</f>
        <v>0</v>
      </c>
      <c r="AO179" s="605">
        <f>IF(AO$121="입주/잔금",($F179-SUM($G179:AN179))*30%,IF(AN$121="입주/잔금",($F179-SUM($G179:AM179))*50%,IF(AM$121="입주/잔금",($F179-SUM($G179:AL179))*20%,IF(AO$121=0,0,IF(AO$121="2차중도금",$F179*30%-SUM($G179:AN179),IF(AO$121="3차중도금",$F179*40%-SUM($G179:AN179),IF(AO$121="4차중도금",$F179*50%-SUM($G179:AN179),$F179*10%)))))))+(IF(AO$121="5차중도금",$F179*60%-SUM($G179:AN179)-$F179*10%,IF(AO$121="6차중도금",$F179*70%-SUM($G179:AN179)-$F179*10%,0)))</f>
        <v>0</v>
      </c>
      <c r="AP179" s="605">
        <f>IF(AP$121="입주/잔금",($F179-SUM($G179:AO179))*30%,IF(AO$121="입주/잔금",($F179-SUM($G179:AN179))*50%,IF(AN$121="입주/잔금",($F179-SUM($G179:AM179))*20%,IF(AP$121=0,0,IF(AP$121="2차중도금",$F179*30%-SUM($G179:AO179),IF(AP$121="3차중도금",$F179*40%-SUM($G179:AO179),IF(AP$121="4차중도금",$F179*50%-SUM($G179:AO179),$F179*10%)))))))+(IF(AP$121="5차중도금",$F179*60%-SUM($G179:AO179)-$F179*10%,IF(AP$121="6차중도금",$F179*70%-SUM($G179:AO179)-$F179*10%,0)))</f>
        <v>0</v>
      </c>
      <c r="AQ179" s="605">
        <f>IF(AQ$121="입주/잔금",($F179-SUM($G179:AP179))*30%,IF(AP$121="입주/잔금",($F179-SUM($G179:AO179))*50%,IF(AO$121="입주/잔금",($F179-SUM($G179:AN179))*20%,IF(AQ$121=0,0,IF(AQ$121="2차중도금",$F179*30%-SUM($G179:AP179),IF(AQ$121="3차중도금",$F179*40%-SUM($G179:AP179),IF(AQ$121="4차중도금",$F179*50%-SUM($G179:AP179),$F179*10%)))))))+(IF(AQ$121="5차중도금",$F179*60%-SUM($G179:AP179)-$F179*10%,IF(AQ$121="6차중도금",$F179*70%-SUM($G179:AP179)-$F179*10%,0)))</f>
        <v>0</v>
      </c>
      <c r="AR179" s="605">
        <f>IF(AR$121="입주/잔금",($F179-SUM($G179:AQ179))*30%,IF(AQ$121="입주/잔금",($F179-SUM($G179:AP179))*50%,IF(AP$121="입주/잔금",($F179-SUM($G179:AO179))*20%,IF(AR$121=0,0,IF(AR$121="2차중도금",$F179*30%-SUM($G179:AQ179),IF(AR$121="3차중도금",$F179*40%-SUM($G179:AQ179),IF(AR$121="4차중도금",$F179*50%-SUM($G179:AQ179),$F179*10%)))))))+(IF(AR$121="5차중도금",$F179*60%-SUM($G179:AQ179)-$F179*10%,IF(AR$121="6차중도금",$F179*70%-SUM($G179:AQ179)-$F179*10%,0)))</f>
        <v>0</v>
      </c>
      <c r="AS179" s="605">
        <f>IF(AS$121="입주/잔금",($F179-SUM($G179:AR179))*30%,IF(AR$121="입주/잔금",($F179-SUM($G179:AQ179))*50%,IF(AQ$121="입주/잔금",($F179-SUM($G179:AP179))*20%,IF(AS$121=0,0,IF(AS$121="2차중도금",$F179*30%-SUM($G179:AR179),IF(AS$121="3차중도금",$F179*40%-SUM($G179:AR179),IF(AS$121="4차중도금",$F179*50%-SUM($G179:AR179),$F179*10%)))))))+(IF(AS$121="5차중도금",$F179*60%-SUM($G179:AR179)-$F179*10%,IF(AS$121="6차중도금",$F179*70%-SUM($G179:AR179)-$F179*10%,0)))</f>
        <v>0</v>
      </c>
      <c r="AT179" s="605">
        <f>IF(AT$121="입주/잔금",($F179-SUM($G179:AS179))*30%,IF(AS$121="입주/잔금",($F179-SUM($G179:AR179))*50%,IF(AR$121="입주/잔금",($F179-SUM($G179:AQ179))*20%,IF(AT$121=0,0,IF(AT$121="2차중도금",$F179*30%-SUM($G179:AS179),IF(AT$121="3차중도금",$F179*40%-SUM($G179:AS179),IF(AT$121="4차중도금",$F179*50%-SUM($G179:AS179),$F179*10%)))))))+(IF(AT$121="5차중도금",$F179*60%-SUM($G179:AS179)-$F179*10%,IF(AT$121="6차중도금",$F179*70%-SUM($G179:AS179)-$F179*10%,0)))</f>
        <v>0</v>
      </c>
      <c r="AU179" s="605">
        <f>IF(AU$121="입주/잔금",($F179-SUM($G179:AT179))*30%,IF(AT$121="입주/잔금",($F179-SUM($G179:AS179))*50%,IF(AS$121="입주/잔금",($F179-SUM($G179:AR179))*20%,IF(AU$121=0,0,IF(AU$121="2차중도금",$F179*30%-SUM($G179:AT179),IF(AU$121="3차중도금",$F179*40%-SUM($G179:AT179),IF(AU$121="4차중도금",$F179*50%-SUM($G179:AT179),$F179*10%)))))))+(IF(AU$121="5차중도금",$F179*60%-SUM($G179:AT179)-$F179*10%,IF(AU$121="6차중도금",$F179*70%-SUM($G179:AT179)-$F179*10%,0)))</f>
        <v>0</v>
      </c>
      <c r="AV179" s="605">
        <f>IF(AV$121="입주/잔금",($F179-SUM($G179:AU179))*30%,IF(AU$121="입주/잔금",($F179-SUM($G179:AT179))*50%,IF(AT$121="입주/잔금",($F179-SUM($G179:AS179))*20%,IF(AV$121=0,0,IF(AV$121="2차중도금",$F179*30%-SUM($G179:AU179),IF(AV$121="3차중도금",$F179*40%-SUM($G179:AU179),IF(AV$121="4차중도금",$F179*50%-SUM($G179:AU179),$F179*10%)))))))+(IF(AV$121="5차중도금",$F179*60%-SUM($G179:AU179)-$F179*10%,IF(AV$121="6차중도금",$F179*70%-SUM($G179:AU179)-$F179*10%,0)))</f>
        <v>0</v>
      </c>
      <c r="AW179" s="605">
        <f>IF(AW$121="입주/잔금",($F179-SUM($G179:AV179))*30%,IF(AV$121="입주/잔금",($F179-SUM($G179:AU179))*50%,IF(AU$121="입주/잔금",($F179-SUM($G179:AT179))*20%,IF(AW$121=0,0,IF(AW$121="2차중도금",$F179*30%-SUM($G179:AV179),IF(AW$121="3차중도금",$F179*40%-SUM($G179:AV179),IF(AW$121="4차중도금",$F179*50%-SUM($G179:AV179),$F179*10%)))))))+(IF(AW$121="5차중도금",$F179*60%-SUM($G179:AV179)-$F179*10%,IF(AW$121="6차중도금",$F179*70%-SUM($G179:AV179)-$F179*10%,0)))</f>
        <v>0</v>
      </c>
      <c r="AX179" s="605">
        <f>IF(AX$121="입주/잔금",($F179-SUM($G179:AW179))*30%,IF(AW$121="입주/잔금",($F179-SUM($G179:AV179))*50%,IF(AV$121="입주/잔금",($F179-SUM($G179:AU179))*20%,IF(AX$121=0,0,IF(AX$121="2차중도금",$F179*30%-SUM($G179:AW179),IF(AX$121="3차중도금",$F179*40%-SUM($G179:AW179),IF(AX$121="4차중도금",$F179*50%-SUM($G179:AW179),$F179*10%)))))))+(IF(AX$121="5차중도금",$F179*60%-SUM($G179:AW179)-$F179*10%,IF(AX$121="6차중도금",$F179*70%-SUM($G179:AW179)-$F179*10%,0)))</f>
        <v>0</v>
      </c>
      <c r="AY179" s="605">
        <f>IF(AY$121="입주/잔금",($F179-SUM($G179:AX179))*30%,IF(AX$121="입주/잔금",($F179-SUM($G179:AW179))*50%,IF(AW$121="입주/잔금",($F179-SUM($G179:AV179))*20%,IF(AY$121=0,0,IF(AY$121="2차중도금",$F179*30%-SUM($G179:AX179),IF(AY$121="3차중도금",$F179*40%-SUM($G179:AX179),IF(AY$121="4차중도금",$F179*50%-SUM($G179:AX179),$F179*10%)))))))+(IF(AY$121="5차중도금",$F179*60%-SUM($G179:AX179)-$F179*10%,IF(AY$121="6차중도금",$F179*70%-SUM($G179:AX179)-$F179*10%,0)))</f>
        <v>0</v>
      </c>
      <c r="AZ179" s="605">
        <f>IF(AZ$121="입주/잔금",($F179-SUM($G179:AY179))*30%,IF(AY$121="입주/잔금",($F179-SUM($G179:AX179))*50%,IF(AX$121="입주/잔금",($F179-SUM($G179:AW179))*20%,IF(AZ$121=0,0,IF(AZ$121="2차중도금",$F179*30%-SUM($G179:AY179),IF(AZ$121="3차중도금",$F179*40%-SUM($G179:AY179),IF(AZ$121="4차중도금",$F179*50%-SUM($G179:AY179),$F179*10%)))))))+(IF(AZ$121="5차중도금",$F179*60%-SUM($G179:AY179)-$F179*10%,IF(AZ$121="6차중도금",$F179*70%-SUM($G179:AY179)-$F179*10%,0)))</f>
        <v>0</v>
      </c>
      <c r="BA179" s="605">
        <f>IF(BA$121="입주/잔금",($F179-SUM($G179:AZ179))*30%,IF(AZ$121="입주/잔금",($F179-SUM($G179:AY179))*50%,IF(AY$121="입주/잔금",($F179-SUM($G179:AX179))*20%,IF(BA$121=0,0,IF(BA$121="2차중도금",$F179*30%-SUM($G179:AZ179),IF(BA$121="3차중도금",$F179*40%-SUM($G179:AZ179),IF(BA$121="4차중도금",$F179*50%-SUM($G179:AZ179),$F179*10%)))))))+(IF(BA$121="5차중도금",$F179*60%-SUM($G179:AZ179)-$F179*10%,IF(BA$121="6차중도금",$F179*70%-SUM($G179:AZ179)-$F179*10%,0)))</f>
        <v>0</v>
      </c>
      <c r="BB179" s="605">
        <f>IF(BB$121="입주/잔금",($F179-SUM($G179:BA179))*30%,IF(BA$121="입주/잔금",($F179-SUM($G179:AZ179))*50%,IF(AZ$121="입주/잔금",($F179-SUM($G179:AY179))*20%,IF(BB$121=0,0,IF(BB$121="2차중도금",$F179*30%-SUM($G179:BA179),IF(BB$121="3차중도금",$F179*40%-SUM($G179:BA179),IF(BB$121="4차중도금",$F179*50%-SUM($G179:BA179),$F179*10%)))))))+(IF(BB$121="5차중도금",$F179*60%-SUM($G179:BA179)-$F179*10%,IF(BB$121="6차중도금",$F179*70%-SUM($G179:BA179)-$F179*10%,0)))</f>
        <v>0</v>
      </c>
      <c r="BC179" s="605">
        <f>IF(BC$121="입주/잔금",($F179-SUM($G179:BB179))*30%,IF(BB$121="입주/잔금",($F179-SUM($G179:BA179))*50%,IF(BA$121="입주/잔금",($F179-SUM($G179:AZ179))*20%,IF(BC$121=0,0,IF(BC$121="2차중도금",$F179*30%-SUM($G179:BB179),IF(BC$121="3차중도금",$F179*40%-SUM($G179:BB179),IF(BC$121="4차중도금",$F179*50%-SUM($G179:BB179),$F179*10%)))))))+(IF(BC$121="5차중도금",$F179*60%-SUM($G179:BB179)-$F179*10%,IF(BC$121="6차중도금",$F179*70%-SUM($G179:BB179)-$F179*10%,0)))</f>
        <v>0</v>
      </c>
      <c r="BD179" s="605">
        <f>IF(BD$121="입주/잔금",($F179-SUM($G179:BC179))*30%,IF(BC$121="입주/잔금",($F179-SUM($G179:BB179))*50%,IF(BB$121="입주/잔금",($F179-SUM($G179:BA179))*20%,IF(BD$121=0,0,IF(BD$121="2차중도금",$F179*30%-SUM($G179:BC179),IF(BD$121="3차중도금",$F179*40%-SUM($G179:BC179),IF(BD$121="4차중도금",$F179*50%-SUM($G179:BC179),$F179*10%)))))))+(IF(BD$121="5차중도금",$F179*60%-SUM($G179:BC179)-$F179*10%,IF(BD$121="6차중도금",$F179*70%-SUM($G179:BC179)-$F179*10%,0)))</f>
        <v>0</v>
      </c>
      <c r="BE179" s="605">
        <f>IF(BE$121="입주/잔금",($F179-SUM($G179:BD179))*30%,IF(BD$121="입주/잔금",($F179-SUM($G179:BC179))*50%,IF(BC$121="입주/잔금",($F179-SUM($G179:BB179))*20%,IF(BE$121=0,0,IF(BE$121="2차중도금",$F179*30%-SUM($G179:BD179),IF(BE$121="3차중도금",$F179*40%-SUM($G179:BD179),IF(BE$121="4차중도금",$F179*50%-SUM($G179:BD179),$F179*10%)))))))+(IF(BE$121="5차중도금",$F179*60%-SUM($G179:BD179)-$F179*10%,IF(BE$121="6차중도금",$F179*70%-SUM($G179:BD179)-$F179*10%,0)))</f>
        <v>0</v>
      </c>
      <c r="BF179" s="609">
        <f t="shared" si="57"/>
        <v>0</v>
      </c>
      <c r="BG179" s="556">
        <f t="shared" si="59"/>
        <v>0</v>
      </c>
      <c r="BH179" s="610"/>
    </row>
    <row r="180" spans="1:60" hidden="1">
      <c r="A180" s="1853"/>
      <c r="B180" s="611">
        <f t="shared" si="60"/>
        <v>44927</v>
      </c>
      <c r="C180" s="605">
        <f t="shared" si="61"/>
        <v>0</v>
      </c>
      <c r="D180" s="606"/>
      <c r="E180" s="607">
        <f t="shared" si="62"/>
        <v>0</v>
      </c>
      <c r="F180" s="608">
        <f t="shared" si="58"/>
        <v>0</v>
      </c>
      <c r="G180" s="605"/>
      <c r="H180" s="605"/>
      <c r="I180" s="605"/>
      <c r="J180" s="605">
        <f>$F180*10%</f>
        <v>0</v>
      </c>
      <c r="K180" s="605">
        <f>IF(K$121="입주/잔금",($F180-SUM($G180:J180))*30%,IF(J$121="입주/잔금",($F180-SUM($G180:I180))*50%,IF(I$121="입주/잔금",($F180-SUM($G180:H180))*20%,IF(K$121=0,0,IF(K$121="2차중도금",$F180*30%-SUM($G180:J180),IF(K$121="3차중도금",$F180*40%-SUM($G180:J180),IF(K$121="4차중도금",$F180*50%-SUM($G180:J180),$F180*10%)))))))+(IF(K$121="5차중도금",$F180*60%-SUM($G180:J180)-$F180*10%,IF(K$121="6차중도금",$F180*70%-SUM($G180:J180)-$F180*10%,0)))</f>
        <v>0</v>
      </c>
      <c r="L180" s="605">
        <f>IF(L$121="입주/잔금",($F180-SUM($G180:K180))*30%,IF(K$121="입주/잔금",($F180-SUM($G180:J180))*50%,IF(J$121="입주/잔금",($F180-SUM($G180:I180))*20%,IF(L$121=0,0,IF(L$121="2차중도금",$F180*30%-SUM($G180:K180),IF(L$121="3차중도금",$F180*40%-SUM($G180:K180),IF(L$121="4차중도금",$F180*50%-SUM($G180:K180),$F180*10%)))))))+(IF(L$121="5차중도금",$F180*60%-SUM($G180:K180)-$F180*10%,IF(L$121="6차중도금",$F180*70%-SUM($G180:K180)-$F180*10%,0)))</f>
        <v>0</v>
      </c>
      <c r="M180" s="605">
        <f>IF(M$121="입주/잔금",($F180-SUM($G180:L180))*30%,IF(L$121="입주/잔금",($F180-SUM($G180:K180))*50%,IF(K$121="입주/잔금",($F180-SUM($G180:J180))*20%,IF(M$121=0,0,IF(M$121="2차중도금",$F180*30%-SUM($G180:L180),IF(M$121="3차중도금",$F180*40%-SUM($G180:L180),IF(M$121="4차중도금",$F180*50%-SUM($G180:L180),$F180*10%)))))))+(IF(M$121="5차중도금",$F180*60%-SUM($G180:L180)-$F180*10%,IF(M$121="6차중도금",$F180*70%-SUM($G180:L180)-$F180*10%,0)))</f>
        <v>0</v>
      </c>
      <c r="N180" s="605">
        <f>IF(N$121="입주/잔금",($F180-SUM($G180:M180))*30%,IF(M$121="입주/잔금",($F180-SUM($G180:L180))*50%,IF(L$121="입주/잔금",($F180-SUM($G180:K180))*20%,IF(N$121=0,0,IF(N$121="2차중도금",$F180*30%-SUM($G180:M180),IF(N$121="3차중도금",$F180*40%-SUM($G180:M180),IF(N$121="4차중도금",$F180*50%-SUM($G180:M180),$F180*10%)))))))+(IF(N$121="5차중도금",$F180*60%-SUM($G180:M180)-$F180*10%,IF(N$121="6차중도금",$F180*70%-SUM($G180:M180)-$F180*10%,0)))</f>
        <v>0</v>
      </c>
      <c r="O180" s="605">
        <f>IF(O$121="입주/잔금",($F180-SUM($G180:N180))*30%,IF(N$121="입주/잔금",($F180-SUM($G180:M180))*50%,IF(M$121="입주/잔금",($F180-SUM($G180:L180))*20%,IF(O$121=0,0,IF(O$121="2차중도금",$F180*30%-SUM($G180:N180),IF(O$121="3차중도금",$F180*40%-SUM($G180:N180),IF(O$121="4차중도금",$F180*50%-SUM($G180:N180),$F180*10%)))))))+(IF(O$121="5차중도금",$F180*60%-SUM($G180:N180)-$F180*10%,IF(O$121="6차중도금",$F180*70%-SUM($G180:N180)-$F180*10%,0)))</f>
        <v>0</v>
      </c>
      <c r="P180" s="605">
        <f>IF(P$121="입주/잔금",($F180-SUM($G180:O180))*30%,IF(O$121="입주/잔금",($F180-SUM($G180:N180))*50%,IF(N$121="입주/잔금",($F180-SUM($G180:M180))*20%,IF(P$121=0,0,IF(P$121="2차중도금",$F180*30%-SUM($G180:O180),IF(P$121="3차중도금",$F180*40%-SUM($G180:O180),IF(P$121="4차중도금",$F180*50%-SUM($G180:O180),$F180*10%)))))))+(IF(P$121="5차중도금",$F180*60%-SUM($G180:O180)-$F180*10%,IF(P$121="6차중도금",$F180*70%-SUM($G180:O180)-$F180*10%,0)))</f>
        <v>0</v>
      </c>
      <c r="Q180" s="605">
        <f>IF(Q$121="입주/잔금",($F180-SUM($G180:P180))*30%,IF(P$121="입주/잔금",($F180-SUM($G180:O180))*50%,IF(O$121="입주/잔금",($F180-SUM($G180:N180))*20%,IF(Q$121=0,0,IF(Q$121="2차중도금",$F180*30%-SUM($G180:P180),IF(Q$121="3차중도금",$F180*40%-SUM($G180:P180),IF(Q$121="4차중도금",$F180*50%-SUM($G180:P180),$F180*10%)))))))+(IF(Q$121="5차중도금",$F180*60%-SUM($G180:P180)-$F180*10%,IF(Q$121="6차중도금",$F180*70%-SUM($G180:P180)-$F180*10%,0)))</f>
        <v>0</v>
      </c>
      <c r="R180" s="605">
        <f>IF(R$121="입주/잔금",($F180-SUM($G180:Q180))*30%,IF(Q$121="입주/잔금",($F180-SUM($G180:P180))*50%,IF(P$121="입주/잔금",($F180-SUM($G180:O180))*20%,IF(R$121=0,0,IF(R$121="2차중도금",$F180*30%-SUM($G180:Q180),IF(R$121="3차중도금",$F180*40%-SUM($G180:Q180),IF(R$121="4차중도금",$F180*50%-SUM($G180:Q180),$F180*10%)))))))+(IF(R$121="5차중도금",$F180*60%-SUM($G180:Q180)-$F180*10%,IF(R$121="6차중도금",$F180*70%-SUM($G180:Q180)-$F180*10%,0)))</f>
        <v>0</v>
      </c>
      <c r="S180" s="605">
        <f>IF(S$121="입주/잔금",($F180-SUM($G180:R180))*30%,IF(R$121="입주/잔금",($F180-SUM($G180:Q180))*50%,IF(Q$121="입주/잔금",($F180-SUM($G180:P180))*20%,IF(S$121=0,0,IF(S$121="2차중도금",$F180*30%-SUM($G180:R180),IF(S$121="3차중도금",$F180*40%-SUM($G180:R180),IF(S$121="4차중도금",$F180*50%-SUM($G180:R180),$F180*10%)))))))+(IF(S$121="5차중도금",$F180*60%-SUM($G180:R180)-$F180*10%,IF(S$121="6차중도금",$F180*70%-SUM($G180:R180)-$F180*10%,0)))</f>
        <v>0</v>
      </c>
      <c r="T180" s="605">
        <f>IF(T$121="입주/잔금",($F180-SUM($G180:S180))*30%,IF(S$121="입주/잔금",($F180-SUM($G180:R180))*50%,IF(R$121="입주/잔금",($F180-SUM($G180:Q180))*20%,IF(T$121=0,0,IF(T$121="2차중도금",$F180*30%-SUM($G180:S180),IF(T$121="3차중도금",$F180*40%-SUM($G180:S180),IF(T$121="4차중도금",$F180*50%-SUM($G180:S180),$F180*10%)))))))+(IF(T$121="5차중도금",$F180*60%-SUM($G180:S180)-$F180*10%,IF(T$121="6차중도금",$F180*70%-SUM($G180:S180)-$F180*10%,0)))</f>
        <v>0</v>
      </c>
      <c r="U180" s="605">
        <f>IF(U$121="입주/잔금",($F180-SUM($G180:T180))*30%,IF(T$121="입주/잔금",($F180-SUM($G180:S180))*50%,IF(S$121="입주/잔금",($F180-SUM($G180:R180))*20%,IF(U$121=0,0,IF(U$121="2차중도금",$F180*30%-SUM($G180:T180),IF(U$121="3차중도금",$F180*40%-SUM($G180:T180),IF(U$121="4차중도금",$F180*50%-SUM($G180:T180),$F180*10%)))))))+(IF(U$121="5차중도금",$F180*60%-SUM($G180:T180)-$F180*10%,IF(U$121="6차중도금",$F180*70%-SUM($G180:T180)-$F180*10%,0)))</f>
        <v>0</v>
      </c>
      <c r="V180" s="605">
        <f>IF(V$121="입주/잔금",($F180-SUM($G180:U180))*30%,IF(U$121="입주/잔금",($F180-SUM($G180:T180))*50%,IF(T$121="입주/잔금",($F180-SUM($G180:S180))*20%,IF(V$121=0,0,IF(V$121="2차중도금",$F180*30%-SUM($G180:U180),IF(V$121="3차중도금",$F180*40%-SUM($G180:U180),IF(V$121="4차중도금",$F180*50%-SUM($G180:U180),$F180*10%)))))))+(IF(V$121="5차중도금",$F180*60%-SUM($G180:U180)-$F180*10%,IF(V$121="6차중도금",$F180*70%-SUM($G180:U180)-$F180*10%,0)))</f>
        <v>0</v>
      </c>
      <c r="W180" s="605">
        <f>IF(W$121="입주/잔금",($F180-SUM($G180:V180))*30%,IF(V$121="입주/잔금",($F180-SUM($G180:U180))*50%,IF(U$121="입주/잔금",($F180-SUM($G180:T180))*20%,IF(W$121=0,0,IF(W$121="2차중도금",$F180*30%-SUM($G180:V180),IF(W$121="3차중도금",$F180*40%-SUM($G180:V180),IF(W$121="4차중도금",$F180*50%-SUM($G180:V180),$F180*10%)))))))+(IF(W$121="5차중도금",$F180*60%-SUM($G180:V180)-$F180*10%,IF(W$121="6차중도금",$F180*70%-SUM($G180:V180)-$F180*10%,0)))</f>
        <v>0</v>
      </c>
      <c r="X180" s="605">
        <f>IF(X$121="입주/잔금",($F180-SUM($G180:W180))*30%,IF(W$121="입주/잔금",($F180-SUM($G180:V180))*50%,IF(V$121="입주/잔금",($F180-SUM($G180:U180))*20%,IF(X$121=0,0,IF(X$121="2차중도금",$F180*30%-SUM($G180:W180),IF(X$121="3차중도금",$F180*40%-SUM($G180:W180),IF(X$121="4차중도금",$F180*50%-SUM($G180:W180),$F180*10%)))))))+(IF(X$121="5차중도금",$F180*60%-SUM($G180:W180)-$F180*10%,IF(X$121="6차중도금",$F180*70%-SUM($G180:W180)-$F180*10%,0)))</f>
        <v>0</v>
      </c>
      <c r="Y180" s="605">
        <f>IF(Y$121="입주/잔금",($F180-SUM($G180:X180))*30%,IF(X$121="입주/잔금",($F180-SUM($G180:W180))*50%,IF(W$121="입주/잔금",($F180-SUM($G180:V180))*20%,IF(Y$121=0,0,IF(Y$121="2차중도금",$F180*30%-SUM($G180:X180),IF(Y$121="3차중도금",$F180*40%-SUM($G180:X180),IF(Y$121="4차중도금",$F180*50%-SUM($G180:X180),$F180*10%)))))))+(IF(Y$121="5차중도금",$F180*60%-SUM($G180:X180)-$F180*10%,IF(Y$121="6차중도금",$F180*70%-SUM($G180:X180)-$F180*10%,0)))</f>
        <v>0</v>
      </c>
      <c r="Z180" s="605">
        <f>IF(Z$121="입주/잔금",($F180-SUM($G180:Y180))*30%,IF(Y$121="입주/잔금",($F180-SUM($G180:X180))*50%,IF(X$121="입주/잔금",($F180-SUM($G180:W180))*20%,IF(Z$121=0,0,IF(Z$121="2차중도금",$F180*30%-SUM($G180:Y180),IF(Z$121="3차중도금",$F180*40%-SUM($G180:Y180),IF(Z$121="4차중도금",$F180*50%-SUM($G180:Y180),$F180*10%)))))))+(IF(Z$121="5차중도금",$F180*60%-SUM($G180:Y180)-$F180*10%,IF(Z$121="6차중도금",$F180*70%-SUM($G180:Y180)-$F180*10%,0)))</f>
        <v>0</v>
      </c>
      <c r="AA180" s="605">
        <f>IF(AA$121="입주/잔금",($F180-SUM($G180:Z180))*30%,IF(Z$121="입주/잔금",($F180-SUM($G180:Y180))*50%,IF(Y$121="입주/잔금",($F180-SUM($G180:X180))*20%,IF(AA$121=0,0,IF(AA$121="2차중도금",$F180*30%-SUM($G180:Z180),IF(AA$121="3차중도금",$F180*40%-SUM($G180:Z180),IF(AA$121="4차중도금",$F180*50%-SUM($G180:Z180),$F180*10%)))))))+(IF(AA$121="5차중도금",$F180*60%-SUM($G180:Z180)-$F180*10%,IF(AA$121="6차중도금",$F180*70%-SUM($G180:Z180)-$F180*10%,0)))</f>
        <v>0</v>
      </c>
      <c r="AB180" s="605">
        <f>IF(AB$121="입주/잔금",($F180-SUM($G180:AA180))*30%,IF(AA$121="입주/잔금",($F180-SUM($G180:Z180))*50%,IF(Z$121="입주/잔금",($F180-SUM($G180:Y180))*20%,IF(AB$121=0,0,IF(AB$121="2차중도금",$F180*30%-SUM($G180:AA180),IF(AB$121="3차중도금",$F180*40%-SUM($G180:AA180),IF(AB$121="4차중도금",$F180*50%-SUM($G180:AA180),$F180*10%)))))))+(IF(AB$121="5차중도금",$F180*60%-SUM($G180:AA180)-$F180*10%,IF(AB$121="6차중도금",$F180*70%-SUM($G180:AA180)-$F180*10%,0)))</f>
        <v>0</v>
      </c>
      <c r="AC180" s="605">
        <f>IF(AC$121="입주/잔금",($F180-SUM($G180:AB180))*30%,IF(AB$121="입주/잔금",($F180-SUM($G180:AA180))*50%,IF(AA$121="입주/잔금",($F180-SUM($G180:Z180))*20%,IF(AC$121=0,0,IF(AC$121="2차중도금",$F180*30%-SUM($G180:AB180),IF(AC$121="3차중도금",$F180*40%-SUM($G180:AB180),IF(AC$121="4차중도금",$F180*50%-SUM($G180:AB180),$F180*10%)))))))+(IF(AC$121="5차중도금",$F180*60%-SUM($G180:AB180)-$F180*10%,IF(AC$121="6차중도금",$F180*70%-SUM($G180:AB180)-$F180*10%,0)))</f>
        <v>0</v>
      </c>
      <c r="AD180" s="605">
        <f>IF(AD$121="입주/잔금",($F180-SUM($G180:AC180))*30%,IF(AC$121="입주/잔금",($F180-SUM($G180:AB180))*50%,IF(AB$121="입주/잔금",($F180-SUM($G180:AA180))*20%,IF(AD$121=0,0,IF(AD$121="2차중도금",$F180*30%-SUM($G180:AC180),IF(AD$121="3차중도금",$F180*40%-SUM($G180:AC180),IF(AD$121="4차중도금",$F180*50%-SUM($G180:AC180),$F180*10%)))))))+(IF(AD$121="5차중도금",$F180*60%-SUM($G180:AC180)-$F180*10%,IF(AD$121="6차중도금",$F180*70%-SUM($G180:AC180)-$F180*10%,0)))</f>
        <v>0</v>
      </c>
      <c r="AE180" s="605">
        <f>IF(AE$121="입주/잔금",($F180-SUM($G180:AD180))*30%,IF(AD$121="입주/잔금",($F180-SUM($G180:AC180))*50%,IF(AC$121="입주/잔금",($F180-SUM($G180:AB180))*20%,IF(AE$121=0,0,IF(AE$121="2차중도금",$F180*30%-SUM($G180:AD180),IF(AE$121="3차중도금",$F180*40%-SUM($G180:AD180),IF(AE$121="4차중도금",$F180*50%-SUM($G180:AD180),$F180*10%)))))))+(IF(AE$121="5차중도금",$F180*60%-SUM($G180:AD180)-$F180*10%,IF(AE$121="6차중도금",$F180*70%-SUM($G180:AD180)-$F180*10%,0)))</f>
        <v>0</v>
      </c>
      <c r="AF180" s="605">
        <f>IF(AF$121="입주/잔금",($F180-SUM($G180:AE180))*30%,IF(AE$121="입주/잔금",($F180-SUM($G180:AD180))*50%,IF(AD$121="입주/잔금",($F180-SUM($G180:AC180))*20%,IF(AF$121=0,0,IF(AF$121="2차중도금",$F180*30%-SUM($G180:AE180),IF(AF$121="3차중도금",$F180*40%-SUM($G180:AE180),IF(AF$121="4차중도금",$F180*50%-SUM($G180:AE180),$F180*10%)))))))+(IF(AF$121="5차중도금",$F180*60%-SUM($G180:AE180)-$F180*10%,IF(AF$121="6차중도금",$F180*70%-SUM($G180:AE180)-$F180*10%,0)))</f>
        <v>0</v>
      </c>
      <c r="AG180" s="605">
        <f>IF(AG$121="입주/잔금",($F180-SUM($G180:AF180))*30%,IF(AF$121="입주/잔금",($F180-SUM($G180:AE180))*50%,IF(AE$121="입주/잔금",($F180-SUM($G180:AD180))*20%,IF(AG$121=0,0,IF(AG$121="2차중도금",$F180*30%-SUM($G180:AF180),IF(AG$121="3차중도금",$F180*40%-SUM($G180:AF180),IF(AG$121="4차중도금",$F180*50%-SUM($G180:AF180),$F180*10%)))))))+(IF(AG$121="5차중도금",$F180*60%-SUM($G180:AF180)-$F180*10%,IF(AG$121="6차중도금",$F180*70%-SUM($G180:AF180)-$F180*10%,0)))</f>
        <v>0</v>
      </c>
      <c r="AH180" s="605">
        <f>IF(AH$121="입주/잔금",($F180-SUM($G180:AG180))*30%,IF(AG$121="입주/잔금",($F180-SUM($G180:AF180))*50%,IF(AF$121="입주/잔금",($F180-SUM($G180:AE180))*20%,IF(AH$121=0,0,IF(AH$121="2차중도금",$F180*30%-SUM($G180:AG180),IF(AH$121="3차중도금",$F180*40%-SUM($G180:AG180),IF(AH$121="4차중도금",$F180*50%-SUM($G180:AG180),$F180*10%)))))))+(IF(AH$121="5차중도금",$F180*60%-SUM($G180:AG180)-$F180*10%,IF(AH$121="6차중도금",$F180*70%-SUM($G180:AG180)-$F180*10%,0)))</f>
        <v>0</v>
      </c>
      <c r="AI180" s="605">
        <f>IF(AI$121="입주/잔금",($F180-SUM($G180:AH180))*30%,IF(AH$121="입주/잔금",($F180-SUM($G180:AG180))*50%,IF(AG$121="입주/잔금",($F180-SUM($G180:AF180))*20%,IF(AI$121=0,0,IF(AI$121="2차중도금",$F180*30%-SUM($G180:AH180),IF(AI$121="3차중도금",$F180*40%-SUM($G180:AH180),IF(AI$121="4차중도금",$F180*50%-SUM($G180:AH180),$F180*10%)))))))+(IF(AI$121="5차중도금",$F180*60%-SUM($G180:AH180)-$F180*10%,IF(AI$121="6차중도금",$F180*70%-SUM($G180:AH180)-$F180*10%,0)))</f>
        <v>0</v>
      </c>
      <c r="AJ180" s="605">
        <f>IF(AJ$121="입주/잔금",($F180-SUM($G180:AI180))*30%,IF(AI$121="입주/잔금",($F180-SUM($G180:AH180))*50%,IF(AH$121="입주/잔금",($F180-SUM($G180:AG180))*20%,IF(AJ$121=0,0,IF(AJ$121="2차중도금",$F180*30%-SUM($G180:AI180),IF(AJ$121="3차중도금",$F180*40%-SUM($G180:AI180),IF(AJ$121="4차중도금",$F180*50%-SUM($G180:AI180),$F180*10%)))))))+(IF(AJ$121="5차중도금",$F180*60%-SUM($G180:AI180)-$F180*10%,IF(AJ$121="6차중도금",$F180*70%-SUM($G180:AI180)-$F180*10%,0)))</f>
        <v>0</v>
      </c>
      <c r="AK180" s="605">
        <f>IF(AK$121="입주/잔금",($F180-SUM($G180:AJ180))*30%,IF(AJ$121="입주/잔금",($F180-SUM($G180:AI180))*50%,IF(AI$121="입주/잔금",($F180-SUM($G180:AH180))*20%,IF(AK$121=0,0,IF(AK$121="2차중도금",$F180*30%-SUM($G180:AJ180),IF(AK$121="3차중도금",$F180*40%-SUM($G180:AJ180),IF(AK$121="4차중도금",$F180*50%-SUM($G180:AJ180),$F180*10%)))))))+(IF(AK$121="5차중도금",$F180*60%-SUM($G180:AJ180)-$F180*10%,IF(AK$121="6차중도금",$F180*70%-SUM($G180:AJ180)-$F180*10%,0)))</f>
        <v>0</v>
      </c>
      <c r="AL180" s="605">
        <f>IF(AL$121="입주/잔금",($F180-SUM($G180:AK180))*30%,IF(AK$121="입주/잔금",($F180-SUM($G180:AJ180))*50%,IF(AJ$121="입주/잔금",($F180-SUM($G180:AI180))*20%,IF(AL$121=0,0,IF(AL$121="2차중도금",$F180*30%-SUM($G180:AK180),IF(AL$121="3차중도금",$F180*40%-SUM($G180:AK180),IF(AL$121="4차중도금",$F180*50%-SUM($G180:AK180),$F180*10%)))))))+(IF(AL$121="5차중도금",$F180*60%-SUM($G180:AK180)-$F180*10%,IF(AL$121="6차중도금",$F180*70%-SUM($G180:AK180)-$F180*10%,0)))</f>
        <v>0</v>
      </c>
      <c r="AM180" s="605">
        <f>IF(AM$121="입주/잔금",($F180-SUM($G180:AL180))*30%,IF(AL$121="입주/잔금",($F180-SUM($G180:AK180))*50%,IF(AK$121="입주/잔금",($F180-SUM($G180:AJ180))*20%,IF(AM$121=0,0,IF(AM$121="2차중도금",$F180*30%-SUM($G180:AL180),IF(AM$121="3차중도금",$F180*40%-SUM($G180:AL180),IF(AM$121="4차중도금",$F180*50%-SUM($G180:AL180),$F180*10%)))))))+(IF(AM$121="5차중도금",$F180*60%-SUM($G180:AL180)-$F180*10%,IF(AM$121="6차중도금",$F180*70%-SUM($G180:AL180)-$F180*10%,0)))</f>
        <v>0</v>
      </c>
      <c r="AN180" s="605">
        <f>IF(AN$121="입주/잔금",($F180-SUM($G180:AM180))*30%,IF(AM$121="입주/잔금",($F180-SUM($G180:AL180))*50%,IF(AL$121="입주/잔금",($F180-SUM($G180:AK180))*20%,IF(AN$121=0,0,IF(AN$121="2차중도금",$F180*30%-SUM($G180:AM180),IF(AN$121="3차중도금",$F180*40%-SUM($G180:AM180),IF(AN$121="4차중도금",$F180*50%-SUM($G180:AM180),$F180*10%)))))))+(IF(AN$121="5차중도금",$F180*60%-SUM($G180:AM180)-$F180*10%,IF(AN$121="6차중도금",$F180*70%-SUM($G180:AM180)-$F180*10%,0)))</f>
        <v>0</v>
      </c>
      <c r="AO180" s="605">
        <f>IF(AO$121="입주/잔금",($F180-SUM($G180:AN180))*30%,IF(AN$121="입주/잔금",($F180-SUM($G180:AM180))*50%,IF(AM$121="입주/잔금",($F180-SUM($G180:AL180))*20%,IF(AO$121=0,0,IF(AO$121="2차중도금",$F180*30%-SUM($G180:AN180),IF(AO$121="3차중도금",$F180*40%-SUM($G180:AN180),IF(AO$121="4차중도금",$F180*50%-SUM($G180:AN180),$F180*10%)))))))+(IF(AO$121="5차중도금",$F180*60%-SUM($G180:AN180)-$F180*10%,IF(AO$121="6차중도금",$F180*70%-SUM($G180:AN180)-$F180*10%,0)))</f>
        <v>0</v>
      </c>
      <c r="AP180" s="605">
        <f>IF(AP$121="입주/잔금",($F180-SUM($G180:AO180))*30%,IF(AO$121="입주/잔금",($F180-SUM($G180:AN180))*50%,IF(AN$121="입주/잔금",($F180-SUM($G180:AM180))*20%,IF(AP$121=0,0,IF(AP$121="2차중도금",$F180*30%-SUM($G180:AO180),IF(AP$121="3차중도금",$F180*40%-SUM($G180:AO180),IF(AP$121="4차중도금",$F180*50%-SUM($G180:AO180),$F180*10%)))))))+(IF(AP$121="5차중도금",$F180*60%-SUM($G180:AO180)-$F180*10%,IF(AP$121="6차중도금",$F180*70%-SUM($G180:AO180)-$F180*10%,0)))</f>
        <v>0</v>
      </c>
      <c r="AQ180" s="605">
        <f>IF(AQ$121="입주/잔금",($F180-SUM($G180:AP180))*30%,IF(AP$121="입주/잔금",($F180-SUM($G180:AO180))*50%,IF(AO$121="입주/잔금",($F180-SUM($G180:AN180))*20%,IF(AQ$121=0,0,IF(AQ$121="2차중도금",$F180*30%-SUM($G180:AP180),IF(AQ$121="3차중도금",$F180*40%-SUM($G180:AP180),IF(AQ$121="4차중도금",$F180*50%-SUM($G180:AP180),$F180*10%)))))))+(IF(AQ$121="5차중도금",$F180*60%-SUM($G180:AP180)-$F180*10%,IF(AQ$121="6차중도금",$F180*70%-SUM($G180:AP180)-$F180*10%,0)))</f>
        <v>0</v>
      </c>
      <c r="AR180" s="605">
        <f>IF(AR$121="입주/잔금",($F180-SUM($G180:AQ180))*30%,IF(AQ$121="입주/잔금",($F180-SUM($G180:AP180))*50%,IF(AP$121="입주/잔금",($F180-SUM($G180:AO180))*20%,IF(AR$121=0,0,IF(AR$121="2차중도금",$F180*30%-SUM($G180:AQ180),IF(AR$121="3차중도금",$F180*40%-SUM($G180:AQ180),IF(AR$121="4차중도금",$F180*50%-SUM($G180:AQ180),$F180*10%)))))))+(IF(AR$121="5차중도금",$F180*60%-SUM($G180:AQ180)-$F180*10%,IF(AR$121="6차중도금",$F180*70%-SUM($G180:AQ180)-$F180*10%,0)))</f>
        <v>0</v>
      </c>
      <c r="AS180" s="605">
        <f>IF(AS$121="입주/잔금",($F180-SUM($G180:AR180))*30%,IF(AR$121="입주/잔금",($F180-SUM($G180:AQ180))*50%,IF(AQ$121="입주/잔금",($F180-SUM($G180:AP180))*20%,IF(AS$121=0,0,IF(AS$121="2차중도금",$F180*30%-SUM($G180:AR180),IF(AS$121="3차중도금",$F180*40%-SUM($G180:AR180),IF(AS$121="4차중도금",$F180*50%-SUM($G180:AR180),$F180*10%)))))))+(IF(AS$121="5차중도금",$F180*60%-SUM($G180:AR180)-$F180*10%,IF(AS$121="6차중도금",$F180*70%-SUM($G180:AR180)-$F180*10%,0)))</f>
        <v>0</v>
      </c>
      <c r="AT180" s="605">
        <f>IF(AT$121="입주/잔금",($F180-SUM($G180:AS180))*30%,IF(AS$121="입주/잔금",($F180-SUM($G180:AR180))*50%,IF(AR$121="입주/잔금",($F180-SUM($G180:AQ180))*20%,IF(AT$121=0,0,IF(AT$121="2차중도금",$F180*30%-SUM($G180:AS180),IF(AT$121="3차중도금",$F180*40%-SUM($G180:AS180),IF(AT$121="4차중도금",$F180*50%-SUM($G180:AS180),$F180*10%)))))))+(IF(AT$121="5차중도금",$F180*60%-SUM($G180:AS180)-$F180*10%,IF(AT$121="6차중도금",$F180*70%-SUM($G180:AS180)-$F180*10%,0)))</f>
        <v>0</v>
      </c>
      <c r="AU180" s="605">
        <f>IF(AU$121="입주/잔금",($F180-SUM($G180:AT180))*30%,IF(AT$121="입주/잔금",($F180-SUM($G180:AS180))*50%,IF(AS$121="입주/잔금",($F180-SUM($G180:AR180))*20%,IF(AU$121=0,0,IF(AU$121="2차중도금",$F180*30%-SUM($G180:AT180),IF(AU$121="3차중도금",$F180*40%-SUM($G180:AT180),IF(AU$121="4차중도금",$F180*50%-SUM($G180:AT180),$F180*10%)))))))+(IF(AU$121="5차중도금",$F180*60%-SUM($G180:AT180)-$F180*10%,IF(AU$121="6차중도금",$F180*70%-SUM($G180:AT180)-$F180*10%,0)))</f>
        <v>0</v>
      </c>
      <c r="AV180" s="605">
        <f>IF(AV$121="입주/잔금",($F180-SUM($G180:AU180))*30%,IF(AU$121="입주/잔금",($F180-SUM($G180:AT180))*50%,IF(AT$121="입주/잔금",($F180-SUM($G180:AS180))*20%,IF(AV$121=0,0,IF(AV$121="2차중도금",$F180*30%-SUM($G180:AU180),IF(AV$121="3차중도금",$F180*40%-SUM($G180:AU180),IF(AV$121="4차중도금",$F180*50%-SUM($G180:AU180),$F180*10%)))))))+(IF(AV$121="5차중도금",$F180*60%-SUM($G180:AU180)-$F180*10%,IF(AV$121="6차중도금",$F180*70%-SUM($G180:AU180)-$F180*10%,0)))</f>
        <v>0</v>
      </c>
      <c r="AW180" s="605">
        <f>IF(AW$121="입주/잔금",($F180-SUM($G180:AV180))*30%,IF(AV$121="입주/잔금",($F180-SUM($G180:AU180))*50%,IF(AU$121="입주/잔금",($F180-SUM($G180:AT180))*20%,IF(AW$121=0,0,IF(AW$121="2차중도금",$F180*30%-SUM($G180:AV180),IF(AW$121="3차중도금",$F180*40%-SUM($G180:AV180),IF(AW$121="4차중도금",$F180*50%-SUM($G180:AV180),$F180*10%)))))))+(IF(AW$121="5차중도금",$F180*60%-SUM($G180:AV180)-$F180*10%,IF(AW$121="6차중도금",$F180*70%-SUM($G180:AV180)-$F180*10%,0)))</f>
        <v>0</v>
      </c>
      <c r="AX180" s="605">
        <f>IF(AX$121="입주/잔금",($F180-SUM($G180:AW180))*30%,IF(AW$121="입주/잔금",($F180-SUM($G180:AV180))*50%,IF(AV$121="입주/잔금",($F180-SUM($G180:AU180))*20%,IF(AX$121=0,0,IF(AX$121="2차중도금",$F180*30%-SUM($G180:AW180),IF(AX$121="3차중도금",$F180*40%-SUM($G180:AW180),IF(AX$121="4차중도금",$F180*50%-SUM($G180:AW180),$F180*10%)))))))+(IF(AX$121="5차중도금",$F180*60%-SUM($G180:AW180)-$F180*10%,IF(AX$121="6차중도금",$F180*70%-SUM($G180:AW180)-$F180*10%,0)))</f>
        <v>0</v>
      </c>
      <c r="AY180" s="605">
        <f>IF(AY$121="입주/잔금",($F180-SUM($G180:AX180))*30%,IF(AX$121="입주/잔금",($F180-SUM($G180:AW180))*50%,IF(AW$121="입주/잔금",($F180-SUM($G180:AV180))*20%,IF(AY$121=0,0,IF(AY$121="2차중도금",$F180*30%-SUM($G180:AX180),IF(AY$121="3차중도금",$F180*40%-SUM($G180:AX180),IF(AY$121="4차중도금",$F180*50%-SUM($G180:AX180),$F180*10%)))))))+(IF(AY$121="5차중도금",$F180*60%-SUM($G180:AX180)-$F180*10%,IF(AY$121="6차중도금",$F180*70%-SUM($G180:AX180)-$F180*10%,0)))</f>
        <v>0</v>
      </c>
      <c r="AZ180" s="605">
        <f>IF(AZ$121="입주/잔금",($F180-SUM($G180:AY180))*30%,IF(AY$121="입주/잔금",($F180-SUM($G180:AX180))*50%,IF(AX$121="입주/잔금",($F180-SUM($G180:AW180))*20%,IF(AZ$121=0,0,IF(AZ$121="2차중도금",$F180*30%-SUM($G180:AY180),IF(AZ$121="3차중도금",$F180*40%-SUM($G180:AY180),IF(AZ$121="4차중도금",$F180*50%-SUM($G180:AY180),$F180*10%)))))))+(IF(AZ$121="5차중도금",$F180*60%-SUM($G180:AY180)-$F180*10%,IF(AZ$121="6차중도금",$F180*70%-SUM($G180:AY180)-$F180*10%,0)))</f>
        <v>0</v>
      </c>
      <c r="BA180" s="605">
        <f>IF(BA$121="입주/잔금",($F180-SUM($G180:AZ180))*30%,IF(AZ$121="입주/잔금",($F180-SUM($G180:AY180))*50%,IF(AY$121="입주/잔금",($F180-SUM($G180:AX180))*20%,IF(BA$121=0,0,IF(BA$121="2차중도금",$F180*30%-SUM($G180:AZ180),IF(BA$121="3차중도금",$F180*40%-SUM($G180:AZ180),IF(BA$121="4차중도금",$F180*50%-SUM($G180:AZ180),$F180*10%)))))))+(IF(BA$121="5차중도금",$F180*60%-SUM($G180:AZ180)-$F180*10%,IF(BA$121="6차중도금",$F180*70%-SUM($G180:AZ180)-$F180*10%,0)))</f>
        <v>0</v>
      </c>
      <c r="BB180" s="605">
        <f>IF(BB$121="입주/잔금",($F180-SUM($G180:BA180))*30%,IF(BA$121="입주/잔금",($F180-SUM($G180:AZ180))*50%,IF(AZ$121="입주/잔금",($F180-SUM($G180:AY180))*20%,IF(BB$121=0,0,IF(BB$121="2차중도금",$F180*30%-SUM($G180:BA180),IF(BB$121="3차중도금",$F180*40%-SUM($G180:BA180),IF(BB$121="4차중도금",$F180*50%-SUM($G180:BA180),$F180*10%)))))))+(IF(BB$121="5차중도금",$F180*60%-SUM($G180:BA180)-$F180*10%,IF(BB$121="6차중도금",$F180*70%-SUM($G180:BA180)-$F180*10%,0)))</f>
        <v>0</v>
      </c>
      <c r="BC180" s="605">
        <f>IF(BC$121="입주/잔금",($F180-SUM($G180:BB180))*30%,IF(BB$121="입주/잔금",($F180-SUM($G180:BA180))*50%,IF(BA$121="입주/잔금",($F180-SUM($G180:AZ180))*20%,IF(BC$121=0,0,IF(BC$121="2차중도금",$F180*30%-SUM($G180:BB180),IF(BC$121="3차중도금",$F180*40%-SUM($G180:BB180),IF(BC$121="4차중도금",$F180*50%-SUM($G180:BB180),$F180*10%)))))))+(IF(BC$121="5차중도금",$F180*60%-SUM($G180:BB180)-$F180*10%,IF(BC$121="6차중도금",$F180*70%-SUM($G180:BB180)-$F180*10%,0)))</f>
        <v>0</v>
      </c>
      <c r="BD180" s="605">
        <f>IF(BD$121="입주/잔금",($F180-SUM($G180:BC180))*30%,IF(BC$121="입주/잔금",($F180-SUM($G180:BB180))*50%,IF(BB$121="입주/잔금",($F180-SUM($G180:BA180))*20%,IF(BD$121=0,0,IF(BD$121="2차중도금",$F180*30%-SUM($G180:BC180),IF(BD$121="3차중도금",$F180*40%-SUM($G180:BC180),IF(BD$121="4차중도금",$F180*50%-SUM($G180:BC180),$F180*10%)))))))+(IF(BD$121="5차중도금",$F180*60%-SUM($G180:BC180)-$F180*10%,IF(BD$121="6차중도금",$F180*70%-SUM($G180:BC180)-$F180*10%,0)))</f>
        <v>0</v>
      </c>
      <c r="BE180" s="605">
        <f>IF(BE$121="입주/잔금",($F180-SUM($G180:BD180))*30%,IF(BD$121="입주/잔금",($F180-SUM($G180:BC180))*50%,IF(BC$121="입주/잔금",($F180-SUM($G180:BB180))*20%,IF(BE$121=0,0,IF(BE$121="2차중도금",$F180*30%-SUM($G180:BD180),IF(BE$121="3차중도금",$F180*40%-SUM($G180:BD180),IF(BE$121="4차중도금",$F180*50%-SUM($G180:BD180),$F180*10%)))))))+(IF(BE$121="5차중도금",$F180*60%-SUM($G180:BD180)-$F180*10%,IF(BE$121="6차중도금",$F180*70%-SUM($G180:BD180)-$F180*10%,0)))</f>
        <v>0</v>
      </c>
      <c r="BF180" s="609">
        <f t="shared" si="57"/>
        <v>0</v>
      </c>
      <c r="BG180" s="556">
        <f t="shared" si="59"/>
        <v>0</v>
      </c>
      <c r="BH180" s="610"/>
    </row>
    <row r="181" spans="1:60" hidden="1">
      <c r="A181" s="1853"/>
      <c r="B181" s="611">
        <f t="shared" si="60"/>
        <v>44958</v>
      </c>
      <c r="C181" s="605">
        <f t="shared" si="61"/>
        <v>0</v>
      </c>
      <c r="D181" s="606"/>
      <c r="E181" s="607">
        <f t="shared" si="62"/>
        <v>0</v>
      </c>
      <c r="F181" s="608">
        <f t="shared" si="58"/>
        <v>0</v>
      </c>
      <c r="G181" s="605"/>
      <c r="H181" s="605"/>
      <c r="I181" s="605"/>
      <c r="J181" s="605"/>
      <c r="K181" s="605">
        <f>$F181*10%</f>
        <v>0</v>
      </c>
      <c r="L181" s="605">
        <f>IF(L$121="입주/잔금",($F181-SUM($G181:K181))*30%,IF(K$121="입주/잔금",($F181-SUM($G181:J181))*50%,IF(J$121="입주/잔금",($F181-SUM($G181:I181))*20%,IF(L$121=0,0,IF(L$121="2차중도금",$F181*30%-SUM($G181:K181),IF(L$121="3차중도금",$F181*40%-SUM($G181:K181),IF(L$121="4차중도금",$F181*50%-SUM($G181:K181),$F181*10%)))))))+(IF(L$121="5차중도금",$F181*60%-SUM($G181:K181)-$F181*10%,IF(L$121="6차중도금",$F181*70%-SUM($G181:K181)-$F181*10%,0)))</f>
        <v>0</v>
      </c>
      <c r="M181" s="605">
        <f>IF(M$121="입주/잔금",($F181-SUM($G181:L181))*30%,IF(L$121="입주/잔금",($F181-SUM($G181:K181))*50%,IF(K$121="입주/잔금",($F181-SUM($G181:J181))*20%,IF(M$121=0,0,IF(M$121="2차중도금",$F181*30%-SUM($G181:L181),IF(M$121="3차중도금",$F181*40%-SUM($G181:L181),IF(M$121="4차중도금",$F181*50%-SUM($G181:L181),$F181*10%)))))))+(IF(M$121="5차중도금",$F181*60%-SUM($G181:L181)-$F181*10%,IF(M$121="6차중도금",$F181*70%-SUM($G181:L181)-$F181*10%,0)))</f>
        <v>0</v>
      </c>
      <c r="N181" s="605">
        <f>IF(N$121="입주/잔금",($F181-SUM($G181:M181))*30%,IF(M$121="입주/잔금",($F181-SUM($G181:L181))*50%,IF(L$121="입주/잔금",($F181-SUM($G181:K181))*20%,IF(N$121=0,0,IF(N$121="2차중도금",$F181*30%-SUM($G181:M181),IF(N$121="3차중도금",$F181*40%-SUM($G181:M181),IF(N$121="4차중도금",$F181*50%-SUM($G181:M181),$F181*10%)))))))+(IF(N$121="5차중도금",$F181*60%-SUM($G181:M181)-$F181*10%,IF(N$121="6차중도금",$F181*70%-SUM($G181:M181)-$F181*10%,0)))</f>
        <v>0</v>
      </c>
      <c r="O181" s="605">
        <f>IF(O$121="입주/잔금",($F181-SUM($G181:N181))*30%,IF(N$121="입주/잔금",($F181-SUM($G181:M181))*50%,IF(M$121="입주/잔금",($F181-SUM($G181:L181))*20%,IF(O$121=0,0,IF(O$121="2차중도금",$F181*30%-SUM($G181:N181),IF(O$121="3차중도금",$F181*40%-SUM($G181:N181),IF(O$121="4차중도금",$F181*50%-SUM($G181:N181),$F181*10%)))))))+(IF(O$121="5차중도금",$F181*60%-SUM($G181:N181)-$F181*10%,IF(O$121="6차중도금",$F181*70%-SUM($G181:N181)-$F181*10%,0)))</f>
        <v>0</v>
      </c>
      <c r="P181" s="605">
        <f>IF(P$121="입주/잔금",($F181-SUM($G181:O181))*30%,IF(O$121="입주/잔금",($F181-SUM($G181:N181))*50%,IF(N$121="입주/잔금",($F181-SUM($G181:M181))*20%,IF(P$121=0,0,IF(P$121="2차중도금",$F181*30%-SUM($G181:O181),IF(P$121="3차중도금",$F181*40%-SUM($G181:O181),IF(P$121="4차중도금",$F181*50%-SUM($G181:O181),$F181*10%)))))))+(IF(P$121="5차중도금",$F181*60%-SUM($G181:O181)-$F181*10%,IF(P$121="6차중도금",$F181*70%-SUM($G181:O181)-$F181*10%,0)))</f>
        <v>0</v>
      </c>
      <c r="Q181" s="605">
        <f>IF(Q$121="입주/잔금",($F181-SUM($G181:P181))*30%,IF(P$121="입주/잔금",($F181-SUM($G181:O181))*50%,IF(O$121="입주/잔금",($F181-SUM($G181:N181))*20%,IF(Q$121=0,0,IF(Q$121="2차중도금",$F181*30%-SUM($G181:P181),IF(Q$121="3차중도금",$F181*40%-SUM($G181:P181),IF(Q$121="4차중도금",$F181*50%-SUM($G181:P181),$F181*10%)))))))+(IF(Q$121="5차중도금",$F181*60%-SUM($G181:P181)-$F181*10%,IF(Q$121="6차중도금",$F181*70%-SUM($G181:P181)-$F181*10%,0)))</f>
        <v>0</v>
      </c>
      <c r="R181" s="605">
        <f>IF(R$121="입주/잔금",($F181-SUM($G181:Q181))*30%,IF(Q$121="입주/잔금",($F181-SUM($G181:P181))*50%,IF(P$121="입주/잔금",($F181-SUM($G181:O181))*20%,IF(R$121=0,0,IF(R$121="2차중도금",$F181*30%-SUM($G181:Q181),IF(R$121="3차중도금",$F181*40%-SUM($G181:Q181),IF(R$121="4차중도금",$F181*50%-SUM($G181:Q181),$F181*10%)))))))+(IF(R$121="5차중도금",$F181*60%-SUM($G181:Q181)-$F181*10%,IF(R$121="6차중도금",$F181*70%-SUM($G181:Q181)-$F181*10%,0)))</f>
        <v>0</v>
      </c>
      <c r="S181" s="605">
        <f>IF(S$121="입주/잔금",($F181-SUM($G181:R181))*30%,IF(R$121="입주/잔금",($F181-SUM($G181:Q181))*50%,IF(Q$121="입주/잔금",($F181-SUM($G181:P181))*20%,IF(S$121=0,0,IF(S$121="2차중도금",$F181*30%-SUM($G181:R181),IF(S$121="3차중도금",$F181*40%-SUM($G181:R181),IF(S$121="4차중도금",$F181*50%-SUM($G181:R181),$F181*10%)))))))+(IF(S$121="5차중도금",$F181*60%-SUM($G181:R181)-$F181*10%,IF(S$121="6차중도금",$F181*70%-SUM($G181:R181)-$F181*10%,0)))</f>
        <v>0</v>
      </c>
      <c r="T181" s="605">
        <f>IF(T$121="입주/잔금",($F181-SUM($G181:S181))*30%,IF(S$121="입주/잔금",($F181-SUM($G181:R181))*50%,IF(R$121="입주/잔금",($F181-SUM($G181:Q181))*20%,IF(T$121=0,0,IF(T$121="2차중도금",$F181*30%-SUM($G181:S181),IF(T$121="3차중도금",$F181*40%-SUM($G181:S181),IF(T$121="4차중도금",$F181*50%-SUM($G181:S181),$F181*10%)))))))+(IF(T$121="5차중도금",$F181*60%-SUM($G181:S181)-$F181*10%,IF(T$121="6차중도금",$F181*70%-SUM($G181:S181)-$F181*10%,0)))</f>
        <v>0</v>
      </c>
      <c r="U181" s="605">
        <f>IF(U$121="입주/잔금",($F181-SUM($G181:T181))*30%,IF(T$121="입주/잔금",($F181-SUM($G181:S181))*50%,IF(S$121="입주/잔금",($F181-SUM($G181:R181))*20%,IF(U$121=0,0,IF(U$121="2차중도금",$F181*30%-SUM($G181:T181),IF(U$121="3차중도금",$F181*40%-SUM($G181:T181),IF(U$121="4차중도금",$F181*50%-SUM($G181:T181),$F181*10%)))))))+(IF(U$121="5차중도금",$F181*60%-SUM($G181:T181)-$F181*10%,IF(U$121="6차중도금",$F181*70%-SUM($G181:T181)-$F181*10%,0)))</f>
        <v>0</v>
      </c>
      <c r="V181" s="605">
        <f>IF(V$121="입주/잔금",($F181-SUM($G181:U181))*30%,IF(U$121="입주/잔금",($F181-SUM($G181:T181))*50%,IF(T$121="입주/잔금",($F181-SUM($G181:S181))*20%,IF(V$121=0,0,IF(V$121="2차중도금",$F181*30%-SUM($G181:U181),IF(V$121="3차중도금",$F181*40%-SUM($G181:U181),IF(V$121="4차중도금",$F181*50%-SUM($G181:U181),$F181*10%)))))))+(IF(V$121="5차중도금",$F181*60%-SUM($G181:U181)-$F181*10%,IF(V$121="6차중도금",$F181*70%-SUM($G181:U181)-$F181*10%,0)))</f>
        <v>0</v>
      </c>
      <c r="W181" s="605">
        <f>IF(W$121="입주/잔금",($F181-SUM($G181:V181))*30%,IF(V$121="입주/잔금",($F181-SUM($G181:U181))*50%,IF(U$121="입주/잔금",($F181-SUM($G181:T181))*20%,IF(W$121=0,0,IF(W$121="2차중도금",$F181*30%-SUM($G181:V181),IF(W$121="3차중도금",$F181*40%-SUM($G181:V181),IF(W$121="4차중도금",$F181*50%-SUM($G181:V181),$F181*10%)))))))+(IF(W$121="5차중도금",$F181*60%-SUM($G181:V181)-$F181*10%,IF(W$121="6차중도금",$F181*70%-SUM($G181:V181)-$F181*10%,0)))</f>
        <v>0</v>
      </c>
      <c r="X181" s="605">
        <f>IF(X$121="입주/잔금",($F181-SUM($G181:W181))*30%,IF(W$121="입주/잔금",($F181-SUM($G181:V181))*50%,IF(V$121="입주/잔금",($F181-SUM($G181:U181))*20%,IF(X$121=0,0,IF(X$121="2차중도금",$F181*30%-SUM($G181:W181),IF(X$121="3차중도금",$F181*40%-SUM($G181:W181),IF(X$121="4차중도금",$F181*50%-SUM($G181:W181),$F181*10%)))))))+(IF(X$121="5차중도금",$F181*60%-SUM($G181:W181)-$F181*10%,IF(X$121="6차중도금",$F181*70%-SUM($G181:W181)-$F181*10%,0)))</f>
        <v>0</v>
      </c>
      <c r="Y181" s="605">
        <f>IF(Y$121="입주/잔금",($F181-SUM($G181:X181))*30%,IF(X$121="입주/잔금",($F181-SUM($G181:W181))*50%,IF(W$121="입주/잔금",($F181-SUM($G181:V181))*20%,IF(Y$121=0,0,IF(Y$121="2차중도금",$F181*30%-SUM($G181:X181),IF(Y$121="3차중도금",$F181*40%-SUM($G181:X181),IF(Y$121="4차중도금",$F181*50%-SUM($G181:X181),$F181*10%)))))))+(IF(Y$121="5차중도금",$F181*60%-SUM($G181:X181)-$F181*10%,IF(Y$121="6차중도금",$F181*70%-SUM($G181:X181)-$F181*10%,0)))</f>
        <v>0</v>
      </c>
      <c r="Z181" s="605">
        <f>IF(Z$121="입주/잔금",($F181-SUM($G181:Y181))*30%,IF(Y$121="입주/잔금",($F181-SUM($G181:X181))*50%,IF(X$121="입주/잔금",($F181-SUM($G181:W181))*20%,IF(Z$121=0,0,IF(Z$121="2차중도금",$F181*30%-SUM($G181:Y181),IF(Z$121="3차중도금",$F181*40%-SUM($G181:Y181),IF(Z$121="4차중도금",$F181*50%-SUM($G181:Y181),$F181*10%)))))))+(IF(Z$121="5차중도금",$F181*60%-SUM($G181:Y181)-$F181*10%,IF(Z$121="6차중도금",$F181*70%-SUM($G181:Y181)-$F181*10%,0)))</f>
        <v>0</v>
      </c>
      <c r="AA181" s="605">
        <f>IF(AA$121="입주/잔금",($F181-SUM($G181:Z181))*30%,IF(Z$121="입주/잔금",($F181-SUM($G181:Y181))*50%,IF(Y$121="입주/잔금",($F181-SUM($G181:X181))*20%,IF(AA$121=0,0,IF(AA$121="2차중도금",$F181*30%-SUM($G181:Z181),IF(AA$121="3차중도금",$F181*40%-SUM($G181:Z181),IF(AA$121="4차중도금",$F181*50%-SUM($G181:Z181),$F181*10%)))))))+(IF(AA$121="5차중도금",$F181*60%-SUM($G181:Z181)-$F181*10%,IF(AA$121="6차중도금",$F181*70%-SUM($G181:Z181)-$F181*10%,0)))</f>
        <v>0</v>
      </c>
      <c r="AB181" s="605">
        <f>IF(AB$121="입주/잔금",($F181-SUM($G181:AA181))*30%,IF(AA$121="입주/잔금",($F181-SUM($G181:Z181))*50%,IF(Z$121="입주/잔금",($F181-SUM($G181:Y181))*20%,IF(AB$121=0,0,IF(AB$121="2차중도금",$F181*30%-SUM($G181:AA181),IF(AB$121="3차중도금",$F181*40%-SUM($G181:AA181),IF(AB$121="4차중도금",$F181*50%-SUM($G181:AA181),$F181*10%)))))))+(IF(AB$121="5차중도금",$F181*60%-SUM($G181:AA181)-$F181*10%,IF(AB$121="6차중도금",$F181*70%-SUM($G181:AA181)-$F181*10%,0)))</f>
        <v>0</v>
      </c>
      <c r="AC181" s="605">
        <f>IF(AC$121="입주/잔금",($F181-SUM($G181:AB181))*30%,IF(AB$121="입주/잔금",($F181-SUM($G181:AA181))*50%,IF(AA$121="입주/잔금",($F181-SUM($G181:Z181))*20%,IF(AC$121=0,0,IF(AC$121="2차중도금",$F181*30%-SUM($G181:AB181),IF(AC$121="3차중도금",$F181*40%-SUM($G181:AB181),IF(AC$121="4차중도금",$F181*50%-SUM($G181:AB181),$F181*10%)))))))+(IF(AC$121="5차중도금",$F181*60%-SUM($G181:AB181)-$F181*10%,IF(AC$121="6차중도금",$F181*70%-SUM($G181:AB181)-$F181*10%,0)))</f>
        <v>0</v>
      </c>
      <c r="AD181" s="605">
        <f>IF(AD$121="입주/잔금",($F181-SUM($G181:AC181))*30%,IF(AC$121="입주/잔금",($F181-SUM($G181:AB181))*50%,IF(AB$121="입주/잔금",($F181-SUM($G181:AA181))*20%,IF(AD$121=0,0,IF(AD$121="2차중도금",$F181*30%-SUM($G181:AC181),IF(AD$121="3차중도금",$F181*40%-SUM($G181:AC181),IF(AD$121="4차중도금",$F181*50%-SUM($G181:AC181),$F181*10%)))))))+(IF(AD$121="5차중도금",$F181*60%-SUM($G181:AC181)-$F181*10%,IF(AD$121="6차중도금",$F181*70%-SUM($G181:AC181)-$F181*10%,0)))</f>
        <v>0</v>
      </c>
      <c r="AE181" s="605">
        <f>IF(AE$121="입주/잔금",($F181-SUM($G181:AD181))*30%,IF(AD$121="입주/잔금",($F181-SUM($G181:AC181))*50%,IF(AC$121="입주/잔금",($F181-SUM($G181:AB181))*20%,IF(AE$121=0,0,IF(AE$121="2차중도금",$F181*30%-SUM($G181:AD181),IF(AE$121="3차중도금",$F181*40%-SUM($G181:AD181),IF(AE$121="4차중도금",$F181*50%-SUM($G181:AD181),$F181*10%)))))))+(IF(AE$121="5차중도금",$F181*60%-SUM($G181:AD181)-$F181*10%,IF(AE$121="6차중도금",$F181*70%-SUM($G181:AD181)-$F181*10%,0)))</f>
        <v>0</v>
      </c>
      <c r="AF181" s="605">
        <f>IF(AF$121="입주/잔금",($F181-SUM($G181:AE181))*30%,IF(AE$121="입주/잔금",($F181-SUM($G181:AD181))*50%,IF(AD$121="입주/잔금",($F181-SUM($G181:AC181))*20%,IF(AF$121=0,0,IF(AF$121="2차중도금",$F181*30%-SUM($G181:AE181),IF(AF$121="3차중도금",$F181*40%-SUM($G181:AE181),IF(AF$121="4차중도금",$F181*50%-SUM($G181:AE181),$F181*10%)))))))+(IF(AF$121="5차중도금",$F181*60%-SUM($G181:AE181)-$F181*10%,IF(AF$121="6차중도금",$F181*70%-SUM($G181:AE181)-$F181*10%,0)))</f>
        <v>0</v>
      </c>
      <c r="AG181" s="605">
        <f>IF(AG$121="입주/잔금",($F181-SUM($G181:AF181))*30%,IF(AF$121="입주/잔금",($F181-SUM($G181:AE181))*50%,IF(AE$121="입주/잔금",($F181-SUM($G181:AD181))*20%,IF(AG$121=0,0,IF(AG$121="2차중도금",$F181*30%-SUM($G181:AF181),IF(AG$121="3차중도금",$F181*40%-SUM($G181:AF181),IF(AG$121="4차중도금",$F181*50%-SUM($G181:AF181),$F181*10%)))))))+(IF(AG$121="5차중도금",$F181*60%-SUM($G181:AF181)-$F181*10%,IF(AG$121="6차중도금",$F181*70%-SUM($G181:AF181)-$F181*10%,0)))</f>
        <v>0</v>
      </c>
      <c r="AH181" s="605">
        <f>IF(AH$121="입주/잔금",($F181-SUM($G181:AG181))*30%,IF(AG$121="입주/잔금",($F181-SUM($G181:AF181))*50%,IF(AF$121="입주/잔금",($F181-SUM($G181:AE181))*20%,IF(AH$121=0,0,IF(AH$121="2차중도금",$F181*30%-SUM($G181:AG181),IF(AH$121="3차중도금",$F181*40%-SUM($G181:AG181),IF(AH$121="4차중도금",$F181*50%-SUM($G181:AG181),$F181*10%)))))))+(IF(AH$121="5차중도금",$F181*60%-SUM($G181:AG181)-$F181*10%,IF(AH$121="6차중도금",$F181*70%-SUM($G181:AG181)-$F181*10%,0)))</f>
        <v>0</v>
      </c>
      <c r="AI181" s="605">
        <f>IF(AI$121="입주/잔금",($F181-SUM($G181:AH181))*30%,IF(AH$121="입주/잔금",($F181-SUM($G181:AG181))*50%,IF(AG$121="입주/잔금",($F181-SUM($G181:AF181))*20%,IF(AI$121=0,0,IF(AI$121="2차중도금",$F181*30%-SUM($G181:AH181),IF(AI$121="3차중도금",$F181*40%-SUM($G181:AH181),IF(AI$121="4차중도금",$F181*50%-SUM($G181:AH181),$F181*10%)))))))+(IF(AI$121="5차중도금",$F181*60%-SUM($G181:AH181)-$F181*10%,IF(AI$121="6차중도금",$F181*70%-SUM($G181:AH181)-$F181*10%,0)))</f>
        <v>0</v>
      </c>
      <c r="AJ181" s="605">
        <f>IF(AJ$121="입주/잔금",($F181-SUM($G181:AI181))*30%,IF(AI$121="입주/잔금",($F181-SUM($G181:AH181))*50%,IF(AH$121="입주/잔금",($F181-SUM($G181:AG181))*20%,IF(AJ$121=0,0,IF(AJ$121="2차중도금",$F181*30%-SUM($G181:AI181),IF(AJ$121="3차중도금",$F181*40%-SUM($G181:AI181),IF(AJ$121="4차중도금",$F181*50%-SUM($G181:AI181),$F181*10%)))))))+(IF(AJ$121="5차중도금",$F181*60%-SUM($G181:AI181)-$F181*10%,IF(AJ$121="6차중도금",$F181*70%-SUM($G181:AI181)-$F181*10%,0)))</f>
        <v>0</v>
      </c>
      <c r="AK181" s="605">
        <f>IF(AK$121="입주/잔금",($F181-SUM($G181:AJ181))*30%,IF(AJ$121="입주/잔금",($F181-SUM($G181:AI181))*50%,IF(AI$121="입주/잔금",($F181-SUM($G181:AH181))*20%,IF(AK$121=0,0,IF(AK$121="2차중도금",$F181*30%-SUM($G181:AJ181),IF(AK$121="3차중도금",$F181*40%-SUM($G181:AJ181),IF(AK$121="4차중도금",$F181*50%-SUM($G181:AJ181),$F181*10%)))))))+(IF(AK$121="5차중도금",$F181*60%-SUM($G181:AJ181)-$F181*10%,IF(AK$121="6차중도금",$F181*70%-SUM($G181:AJ181)-$F181*10%,0)))</f>
        <v>0</v>
      </c>
      <c r="AL181" s="605">
        <f>IF(AL$121="입주/잔금",($F181-SUM($G181:AK181))*30%,IF(AK$121="입주/잔금",($F181-SUM($G181:AJ181))*50%,IF(AJ$121="입주/잔금",($F181-SUM($G181:AI181))*20%,IF(AL$121=0,0,IF(AL$121="2차중도금",$F181*30%-SUM($G181:AK181),IF(AL$121="3차중도금",$F181*40%-SUM($G181:AK181),IF(AL$121="4차중도금",$F181*50%-SUM($G181:AK181),$F181*10%)))))))+(IF(AL$121="5차중도금",$F181*60%-SUM($G181:AK181)-$F181*10%,IF(AL$121="6차중도금",$F181*70%-SUM($G181:AK181)-$F181*10%,0)))</f>
        <v>0</v>
      </c>
      <c r="AM181" s="605">
        <f>IF(AM$121="입주/잔금",($F181-SUM($G181:AL181))*30%,IF(AL$121="입주/잔금",($F181-SUM($G181:AK181))*50%,IF(AK$121="입주/잔금",($F181-SUM($G181:AJ181))*20%,IF(AM$121=0,0,IF(AM$121="2차중도금",$F181*30%-SUM($G181:AL181),IF(AM$121="3차중도금",$F181*40%-SUM($G181:AL181),IF(AM$121="4차중도금",$F181*50%-SUM($G181:AL181),$F181*10%)))))))+(IF(AM$121="5차중도금",$F181*60%-SUM($G181:AL181)-$F181*10%,IF(AM$121="6차중도금",$F181*70%-SUM($G181:AL181)-$F181*10%,0)))</f>
        <v>0</v>
      </c>
      <c r="AN181" s="605">
        <f>IF(AN$121="입주/잔금",($F181-SUM($G181:AM181))*30%,IF(AM$121="입주/잔금",($F181-SUM($G181:AL181))*50%,IF(AL$121="입주/잔금",($F181-SUM($G181:AK181))*20%,IF(AN$121=0,0,IF(AN$121="2차중도금",$F181*30%-SUM($G181:AM181),IF(AN$121="3차중도금",$F181*40%-SUM($G181:AM181),IF(AN$121="4차중도금",$F181*50%-SUM($G181:AM181),$F181*10%)))))))+(IF(AN$121="5차중도금",$F181*60%-SUM($G181:AM181)-$F181*10%,IF(AN$121="6차중도금",$F181*70%-SUM($G181:AM181)-$F181*10%,0)))</f>
        <v>0</v>
      </c>
      <c r="AO181" s="605">
        <f>IF(AO$121="입주/잔금",($F181-SUM($G181:AN181))*30%,IF(AN$121="입주/잔금",($F181-SUM($G181:AM181))*50%,IF(AM$121="입주/잔금",($F181-SUM($G181:AL181))*20%,IF(AO$121=0,0,IF(AO$121="2차중도금",$F181*30%-SUM($G181:AN181),IF(AO$121="3차중도금",$F181*40%-SUM($G181:AN181),IF(AO$121="4차중도금",$F181*50%-SUM($G181:AN181),$F181*10%)))))))+(IF(AO$121="5차중도금",$F181*60%-SUM($G181:AN181)-$F181*10%,IF(AO$121="6차중도금",$F181*70%-SUM($G181:AN181)-$F181*10%,0)))</f>
        <v>0</v>
      </c>
      <c r="AP181" s="605">
        <f>IF(AP$121="입주/잔금",($F181-SUM($G181:AO181))*30%,IF(AO$121="입주/잔금",($F181-SUM($G181:AN181))*50%,IF(AN$121="입주/잔금",($F181-SUM($G181:AM181))*20%,IF(AP$121=0,0,IF(AP$121="2차중도금",$F181*30%-SUM($G181:AO181),IF(AP$121="3차중도금",$F181*40%-SUM($G181:AO181),IF(AP$121="4차중도금",$F181*50%-SUM($G181:AO181),$F181*10%)))))))+(IF(AP$121="5차중도금",$F181*60%-SUM($G181:AO181)-$F181*10%,IF(AP$121="6차중도금",$F181*70%-SUM($G181:AO181)-$F181*10%,0)))</f>
        <v>0</v>
      </c>
      <c r="AQ181" s="605">
        <f>IF(AQ$121="입주/잔금",($F181-SUM($G181:AP181))*30%,IF(AP$121="입주/잔금",($F181-SUM($G181:AO181))*50%,IF(AO$121="입주/잔금",($F181-SUM($G181:AN181))*20%,IF(AQ$121=0,0,IF(AQ$121="2차중도금",$F181*30%-SUM($G181:AP181),IF(AQ$121="3차중도금",$F181*40%-SUM($G181:AP181),IF(AQ$121="4차중도금",$F181*50%-SUM($G181:AP181),$F181*10%)))))))+(IF(AQ$121="5차중도금",$F181*60%-SUM($G181:AP181)-$F181*10%,IF(AQ$121="6차중도금",$F181*70%-SUM($G181:AP181)-$F181*10%,0)))</f>
        <v>0</v>
      </c>
      <c r="AR181" s="605">
        <f>IF(AR$121="입주/잔금",($F181-SUM($G181:AQ181))*30%,IF(AQ$121="입주/잔금",($F181-SUM($G181:AP181))*50%,IF(AP$121="입주/잔금",($F181-SUM($G181:AO181))*20%,IF(AR$121=0,0,IF(AR$121="2차중도금",$F181*30%-SUM($G181:AQ181),IF(AR$121="3차중도금",$F181*40%-SUM($G181:AQ181),IF(AR$121="4차중도금",$F181*50%-SUM($G181:AQ181),$F181*10%)))))))+(IF(AR$121="5차중도금",$F181*60%-SUM($G181:AQ181)-$F181*10%,IF(AR$121="6차중도금",$F181*70%-SUM($G181:AQ181)-$F181*10%,0)))</f>
        <v>0</v>
      </c>
      <c r="AS181" s="605">
        <f>IF(AS$121="입주/잔금",($F181-SUM($G181:AR181))*30%,IF(AR$121="입주/잔금",($F181-SUM($G181:AQ181))*50%,IF(AQ$121="입주/잔금",($F181-SUM($G181:AP181))*20%,IF(AS$121=0,0,IF(AS$121="2차중도금",$F181*30%-SUM($G181:AR181),IF(AS$121="3차중도금",$F181*40%-SUM($G181:AR181),IF(AS$121="4차중도금",$F181*50%-SUM($G181:AR181),$F181*10%)))))))+(IF(AS$121="5차중도금",$F181*60%-SUM($G181:AR181)-$F181*10%,IF(AS$121="6차중도금",$F181*70%-SUM($G181:AR181)-$F181*10%,0)))</f>
        <v>0</v>
      </c>
      <c r="AT181" s="605">
        <f>IF(AT$121="입주/잔금",($F181-SUM($G181:AS181))*30%,IF(AS$121="입주/잔금",($F181-SUM($G181:AR181))*50%,IF(AR$121="입주/잔금",($F181-SUM($G181:AQ181))*20%,IF(AT$121=0,0,IF(AT$121="2차중도금",$F181*30%-SUM($G181:AS181),IF(AT$121="3차중도금",$F181*40%-SUM($G181:AS181),IF(AT$121="4차중도금",$F181*50%-SUM($G181:AS181),$F181*10%)))))))+(IF(AT$121="5차중도금",$F181*60%-SUM($G181:AS181)-$F181*10%,IF(AT$121="6차중도금",$F181*70%-SUM($G181:AS181)-$F181*10%,0)))</f>
        <v>0</v>
      </c>
      <c r="AU181" s="605">
        <f>IF(AU$121="입주/잔금",($F181-SUM($G181:AT181))*30%,IF(AT$121="입주/잔금",($F181-SUM($G181:AS181))*50%,IF(AS$121="입주/잔금",($F181-SUM($G181:AR181))*20%,IF(AU$121=0,0,IF(AU$121="2차중도금",$F181*30%-SUM($G181:AT181),IF(AU$121="3차중도금",$F181*40%-SUM($G181:AT181),IF(AU$121="4차중도금",$F181*50%-SUM($G181:AT181),$F181*10%)))))))+(IF(AU$121="5차중도금",$F181*60%-SUM($G181:AT181)-$F181*10%,IF(AU$121="6차중도금",$F181*70%-SUM($G181:AT181)-$F181*10%,0)))</f>
        <v>0</v>
      </c>
      <c r="AV181" s="605">
        <f>IF(AV$121="입주/잔금",($F181-SUM($G181:AU181))*30%,IF(AU$121="입주/잔금",($F181-SUM($G181:AT181))*50%,IF(AT$121="입주/잔금",($F181-SUM($G181:AS181))*20%,IF(AV$121=0,0,IF(AV$121="2차중도금",$F181*30%-SUM($G181:AU181),IF(AV$121="3차중도금",$F181*40%-SUM($G181:AU181),IF(AV$121="4차중도금",$F181*50%-SUM($G181:AU181),$F181*10%)))))))+(IF(AV$121="5차중도금",$F181*60%-SUM($G181:AU181)-$F181*10%,IF(AV$121="6차중도금",$F181*70%-SUM($G181:AU181)-$F181*10%,0)))</f>
        <v>0</v>
      </c>
      <c r="AW181" s="605">
        <f>IF(AW$121="입주/잔금",($F181-SUM($G181:AV181))*30%,IF(AV$121="입주/잔금",($F181-SUM($G181:AU181))*50%,IF(AU$121="입주/잔금",($F181-SUM($G181:AT181))*20%,IF(AW$121=0,0,IF(AW$121="2차중도금",$F181*30%-SUM($G181:AV181),IF(AW$121="3차중도금",$F181*40%-SUM($G181:AV181),IF(AW$121="4차중도금",$F181*50%-SUM($G181:AV181),$F181*10%)))))))+(IF(AW$121="5차중도금",$F181*60%-SUM($G181:AV181)-$F181*10%,IF(AW$121="6차중도금",$F181*70%-SUM($G181:AV181)-$F181*10%,0)))</f>
        <v>0</v>
      </c>
      <c r="AX181" s="605">
        <f>IF(AX$121="입주/잔금",($F181-SUM($G181:AW181))*30%,IF(AW$121="입주/잔금",($F181-SUM($G181:AV181))*50%,IF(AV$121="입주/잔금",($F181-SUM($G181:AU181))*20%,IF(AX$121=0,0,IF(AX$121="2차중도금",$F181*30%-SUM($G181:AW181),IF(AX$121="3차중도금",$F181*40%-SUM($G181:AW181),IF(AX$121="4차중도금",$F181*50%-SUM($G181:AW181),$F181*10%)))))))+(IF(AX$121="5차중도금",$F181*60%-SUM($G181:AW181)-$F181*10%,IF(AX$121="6차중도금",$F181*70%-SUM($G181:AW181)-$F181*10%,0)))</f>
        <v>0</v>
      </c>
      <c r="AY181" s="605">
        <f>IF(AY$121="입주/잔금",($F181-SUM($G181:AX181))*30%,IF(AX$121="입주/잔금",($F181-SUM($G181:AW181))*50%,IF(AW$121="입주/잔금",($F181-SUM($G181:AV181))*20%,IF(AY$121=0,0,IF(AY$121="2차중도금",$F181*30%-SUM($G181:AX181),IF(AY$121="3차중도금",$F181*40%-SUM($G181:AX181),IF(AY$121="4차중도금",$F181*50%-SUM($G181:AX181),$F181*10%)))))))+(IF(AY$121="5차중도금",$F181*60%-SUM($G181:AX181)-$F181*10%,IF(AY$121="6차중도금",$F181*70%-SUM($G181:AX181)-$F181*10%,0)))</f>
        <v>0</v>
      </c>
      <c r="AZ181" s="605">
        <f>IF(AZ$121="입주/잔금",($F181-SUM($G181:AY181))*30%,IF(AY$121="입주/잔금",($F181-SUM($G181:AX181))*50%,IF(AX$121="입주/잔금",($F181-SUM($G181:AW181))*20%,IF(AZ$121=0,0,IF(AZ$121="2차중도금",$F181*30%-SUM($G181:AY181),IF(AZ$121="3차중도금",$F181*40%-SUM($G181:AY181),IF(AZ$121="4차중도금",$F181*50%-SUM($G181:AY181),$F181*10%)))))))+(IF(AZ$121="5차중도금",$F181*60%-SUM($G181:AY181)-$F181*10%,IF(AZ$121="6차중도금",$F181*70%-SUM($G181:AY181)-$F181*10%,0)))</f>
        <v>0</v>
      </c>
      <c r="BA181" s="605">
        <f>IF(BA$121="입주/잔금",($F181-SUM($G181:AZ181))*30%,IF(AZ$121="입주/잔금",($F181-SUM($G181:AY181))*50%,IF(AY$121="입주/잔금",($F181-SUM($G181:AX181))*20%,IF(BA$121=0,0,IF(BA$121="2차중도금",$F181*30%-SUM($G181:AZ181),IF(BA$121="3차중도금",$F181*40%-SUM($G181:AZ181),IF(BA$121="4차중도금",$F181*50%-SUM($G181:AZ181),$F181*10%)))))))+(IF(BA$121="5차중도금",$F181*60%-SUM($G181:AZ181)-$F181*10%,IF(BA$121="6차중도금",$F181*70%-SUM($G181:AZ181)-$F181*10%,0)))</f>
        <v>0</v>
      </c>
      <c r="BB181" s="605">
        <f>IF(BB$121="입주/잔금",($F181-SUM($G181:BA181))*30%,IF(BA$121="입주/잔금",($F181-SUM($G181:AZ181))*50%,IF(AZ$121="입주/잔금",($F181-SUM($G181:AY181))*20%,IF(BB$121=0,0,IF(BB$121="2차중도금",$F181*30%-SUM($G181:BA181),IF(BB$121="3차중도금",$F181*40%-SUM($G181:BA181),IF(BB$121="4차중도금",$F181*50%-SUM($G181:BA181),$F181*10%)))))))+(IF(BB$121="5차중도금",$F181*60%-SUM($G181:BA181)-$F181*10%,IF(BB$121="6차중도금",$F181*70%-SUM($G181:BA181)-$F181*10%,0)))</f>
        <v>0</v>
      </c>
      <c r="BC181" s="605">
        <f>IF(BC$121="입주/잔금",($F181-SUM($G181:BB181))*30%,IF(BB$121="입주/잔금",($F181-SUM($G181:BA181))*50%,IF(BA$121="입주/잔금",($F181-SUM($G181:AZ181))*20%,IF(BC$121=0,0,IF(BC$121="2차중도금",$F181*30%-SUM($G181:BB181),IF(BC$121="3차중도금",$F181*40%-SUM($G181:BB181),IF(BC$121="4차중도금",$F181*50%-SUM($G181:BB181),$F181*10%)))))))+(IF(BC$121="5차중도금",$F181*60%-SUM($G181:BB181)-$F181*10%,IF(BC$121="6차중도금",$F181*70%-SUM($G181:BB181)-$F181*10%,0)))</f>
        <v>0</v>
      </c>
      <c r="BD181" s="605">
        <f>IF(BD$121="입주/잔금",($F181-SUM($G181:BC181))*30%,IF(BC$121="입주/잔금",($F181-SUM($G181:BB181))*50%,IF(BB$121="입주/잔금",($F181-SUM($G181:BA181))*20%,IF(BD$121=0,0,IF(BD$121="2차중도금",$F181*30%-SUM($G181:BC181),IF(BD$121="3차중도금",$F181*40%-SUM($G181:BC181),IF(BD$121="4차중도금",$F181*50%-SUM($G181:BC181),$F181*10%)))))))+(IF(BD$121="5차중도금",$F181*60%-SUM($G181:BC181)-$F181*10%,IF(BD$121="6차중도금",$F181*70%-SUM($G181:BC181)-$F181*10%,0)))</f>
        <v>0</v>
      </c>
      <c r="BE181" s="605">
        <f>IF(BE$121="입주/잔금",($F181-SUM($G181:BD181))*30%,IF(BD$121="입주/잔금",($F181-SUM($G181:BC181))*50%,IF(BC$121="입주/잔금",($F181-SUM($G181:BB181))*20%,IF(BE$121=0,0,IF(BE$121="2차중도금",$F181*30%-SUM($G181:BD181),IF(BE$121="3차중도금",$F181*40%-SUM($G181:BD181),IF(BE$121="4차중도금",$F181*50%-SUM($G181:BD181),$F181*10%)))))))+(IF(BE$121="5차중도금",$F181*60%-SUM($G181:BD181)-$F181*10%,IF(BE$121="6차중도금",$F181*70%-SUM($G181:BD181)-$F181*10%,0)))</f>
        <v>0</v>
      </c>
      <c r="BF181" s="609">
        <f t="shared" si="57"/>
        <v>0</v>
      </c>
      <c r="BG181" s="556">
        <f t="shared" si="59"/>
        <v>0</v>
      </c>
      <c r="BH181" s="610"/>
    </row>
    <row r="182" spans="1:60" hidden="1">
      <c r="A182" s="1853"/>
      <c r="B182" s="611">
        <f t="shared" si="60"/>
        <v>44986</v>
      </c>
      <c r="C182" s="605">
        <f t="shared" si="61"/>
        <v>0</v>
      </c>
      <c r="D182" s="606"/>
      <c r="E182" s="612">
        <f t="shared" si="62"/>
        <v>0</v>
      </c>
      <c r="F182" s="608">
        <f t="shared" si="58"/>
        <v>0</v>
      </c>
      <c r="G182" s="605"/>
      <c r="H182" s="605"/>
      <c r="I182" s="605"/>
      <c r="J182" s="605"/>
      <c r="K182" s="605"/>
      <c r="L182" s="605">
        <f>$F182*10%</f>
        <v>0</v>
      </c>
      <c r="M182" s="605">
        <f>IF(M$121="입주/잔금",($F182-SUM($G182:L182))*30%,IF(L$121="입주/잔금",($F182-SUM($G182:K182))*50%,IF(K$121="입주/잔금",($F182-SUM($G182:J182))*20%,IF(M$121=0,0,IF(M$121="2차중도금",$F182*30%-SUM($G182:L182),IF(M$121="3차중도금",$F182*40%-SUM($G182:L182),IF(M$121="4차중도금",$F182*50%-SUM($G182:L182),$F182*10%)))))))+(IF(M$121="5차중도금",$F182*60%-SUM($G182:L182)-$F182*10%,IF(M$121="6차중도금",$F182*70%-SUM($G182:L182)-$F182*10%,0)))</f>
        <v>0</v>
      </c>
      <c r="N182" s="605">
        <f>IF(N$121="입주/잔금",($F182-SUM($G182:M182))*30%,IF(M$121="입주/잔금",($F182-SUM($G182:L182))*50%,IF(L$121="입주/잔금",($F182-SUM($G182:K182))*20%,IF(N$121=0,0,IF(N$121="2차중도금",$F182*30%-SUM($G182:M182),IF(N$121="3차중도금",$F182*40%-SUM($G182:M182),IF(N$121="4차중도금",$F182*50%-SUM($G182:M182),$F182*10%)))))))+(IF(N$121="5차중도금",$F182*60%-SUM($G182:M182)-$F182*10%,IF(N$121="6차중도금",$F182*70%-SUM($G182:M182)-$F182*10%,0)))</f>
        <v>0</v>
      </c>
      <c r="O182" s="605">
        <f>IF(O$121="입주/잔금",($F182-SUM($G182:N182))*30%,IF(N$121="입주/잔금",($F182-SUM($G182:M182))*50%,IF(M$121="입주/잔금",($F182-SUM($G182:L182))*20%,IF(O$121=0,0,IF(O$121="2차중도금",$F182*30%-SUM($G182:N182),IF(O$121="3차중도금",$F182*40%-SUM($G182:N182),IF(O$121="4차중도금",$F182*50%-SUM($G182:N182),$F182*10%)))))))+(IF(O$121="5차중도금",$F182*60%-SUM($G182:N182)-$F182*10%,IF(O$121="6차중도금",$F182*70%-SUM($G182:N182)-$F182*10%,0)))</f>
        <v>0</v>
      </c>
      <c r="P182" s="605">
        <f>IF(P$121="입주/잔금",($F182-SUM($G182:O182))*30%,IF(O$121="입주/잔금",($F182-SUM($G182:N182))*50%,IF(N$121="입주/잔금",($F182-SUM($G182:M182))*20%,IF(P$121=0,0,IF(P$121="2차중도금",$F182*30%-SUM($G182:O182),IF(P$121="3차중도금",$F182*40%-SUM($G182:O182),IF(P$121="4차중도금",$F182*50%-SUM($G182:O182),$F182*10%)))))))+(IF(P$121="5차중도금",$F182*60%-SUM($G182:O182)-$F182*10%,IF(P$121="6차중도금",$F182*70%-SUM($G182:O182)-$F182*10%,0)))</f>
        <v>0</v>
      </c>
      <c r="Q182" s="605">
        <f>IF(Q$121="입주/잔금",($F182-SUM($G182:P182))*30%,IF(P$121="입주/잔금",($F182-SUM($G182:O182))*50%,IF(O$121="입주/잔금",($F182-SUM($G182:N182))*20%,IF(Q$121=0,0,IF(Q$121="2차중도금",$F182*30%-SUM($G182:P182),IF(Q$121="3차중도금",$F182*40%-SUM($G182:P182),IF(Q$121="4차중도금",$F182*50%-SUM($G182:P182),$F182*10%)))))))+(IF(Q$121="5차중도금",$F182*60%-SUM($G182:P182)-$F182*10%,IF(Q$121="6차중도금",$F182*70%-SUM($G182:P182)-$F182*10%,0)))</f>
        <v>0</v>
      </c>
      <c r="R182" s="605">
        <f>IF(R$121="입주/잔금",($F182-SUM($G182:Q182))*30%,IF(Q$121="입주/잔금",($F182-SUM($G182:P182))*50%,IF(P$121="입주/잔금",($F182-SUM($G182:O182))*20%,IF(R$121=0,0,IF(R$121="2차중도금",$F182*30%-SUM($G182:Q182),IF(R$121="3차중도금",$F182*40%-SUM($G182:Q182),IF(R$121="4차중도금",$F182*50%-SUM($G182:Q182),$F182*10%)))))))+(IF(R$121="5차중도금",$F182*60%-SUM($G182:Q182)-$F182*10%,IF(R$121="6차중도금",$F182*70%-SUM($G182:Q182)-$F182*10%,0)))</f>
        <v>0</v>
      </c>
      <c r="S182" s="605">
        <f>IF(S$121="입주/잔금",($F182-SUM($G182:R182))*30%,IF(R$121="입주/잔금",($F182-SUM($G182:Q182))*50%,IF(Q$121="입주/잔금",($F182-SUM($G182:P182))*20%,IF(S$121=0,0,IF(S$121="2차중도금",$F182*30%-SUM($G182:R182),IF(S$121="3차중도금",$F182*40%-SUM($G182:R182),IF(S$121="4차중도금",$F182*50%-SUM($G182:R182),$F182*10%)))))))+(IF(S$121="5차중도금",$F182*60%-SUM($G182:R182)-$F182*10%,IF(S$121="6차중도금",$F182*70%-SUM($G182:R182)-$F182*10%,0)))</f>
        <v>0</v>
      </c>
      <c r="T182" s="605">
        <f>IF(T$121="입주/잔금",($F182-SUM($G182:S182))*30%,IF(S$121="입주/잔금",($F182-SUM($G182:R182))*50%,IF(R$121="입주/잔금",($F182-SUM($G182:Q182))*20%,IF(T$121=0,0,IF(T$121="2차중도금",$F182*30%-SUM($G182:S182),IF(T$121="3차중도금",$F182*40%-SUM($G182:S182),IF(T$121="4차중도금",$F182*50%-SUM($G182:S182),$F182*10%)))))))+(IF(T$121="5차중도금",$F182*60%-SUM($G182:S182)-$F182*10%,IF(T$121="6차중도금",$F182*70%-SUM($G182:S182)-$F182*10%,0)))</f>
        <v>0</v>
      </c>
      <c r="U182" s="605">
        <f>IF(U$121="입주/잔금",($F182-SUM($G182:T182))*30%,IF(T$121="입주/잔금",($F182-SUM($G182:S182))*50%,IF(S$121="입주/잔금",($F182-SUM($G182:R182))*20%,IF(U$121=0,0,IF(U$121="2차중도금",$F182*30%-SUM($G182:T182),IF(U$121="3차중도금",$F182*40%-SUM($G182:T182),IF(U$121="4차중도금",$F182*50%-SUM($G182:T182),$F182*10%)))))))+(IF(U$121="5차중도금",$F182*60%-SUM($G182:T182)-$F182*10%,IF(U$121="6차중도금",$F182*70%-SUM($G182:T182)-$F182*10%,0)))</f>
        <v>0</v>
      </c>
      <c r="V182" s="605">
        <f>IF(V$121="입주/잔금",($F182-SUM($G182:U182))*30%,IF(U$121="입주/잔금",($F182-SUM($G182:T182))*50%,IF(T$121="입주/잔금",($F182-SUM($G182:S182))*20%,IF(V$121=0,0,IF(V$121="2차중도금",$F182*30%-SUM($G182:U182),IF(V$121="3차중도금",$F182*40%-SUM($G182:U182),IF(V$121="4차중도금",$F182*50%-SUM($G182:U182),$F182*10%)))))))+(IF(V$121="5차중도금",$F182*60%-SUM($G182:U182)-$F182*10%,IF(V$121="6차중도금",$F182*70%-SUM($G182:U182)-$F182*10%,0)))</f>
        <v>0</v>
      </c>
      <c r="W182" s="605">
        <f>IF(W$121="입주/잔금",($F182-SUM($G182:V182))*30%,IF(V$121="입주/잔금",($F182-SUM($G182:U182))*50%,IF(U$121="입주/잔금",($F182-SUM($G182:T182))*20%,IF(W$121=0,0,IF(W$121="2차중도금",$F182*30%-SUM($G182:V182),IF(W$121="3차중도금",$F182*40%-SUM($G182:V182),IF(W$121="4차중도금",$F182*50%-SUM($G182:V182),$F182*10%)))))))+(IF(W$121="5차중도금",$F182*60%-SUM($G182:V182)-$F182*10%,IF(W$121="6차중도금",$F182*70%-SUM($G182:V182)-$F182*10%,0)))</f>
        <v>0</v>
      </c>
      <c r="X182" s="605">
        <f>IF(X$121="입주/잔금",($F182-SUM($G182:W182))*30%,IF(W$121="입주/잔금",($F182-SUM($G182:V182))*50%,IF(V$121="입주/잔금",($F182-SUM($G182:U182))*20%,IF(X$121=0,0,IF(X$121="2차중도금",$F182*30%-SUM($G182:W182),IF(X$121="3차중도금",$F182*40%-SUM($G182:W182),IF(X$121="4차중도금",$F182*50%-SUM($G182:W182),$F182*10%)))))))+(IF(X$121="5차중도금",$F182*60%-SUM($G182:W182)-$F182*10%,IF(X$121="6차중도금",$F182*70%-SUM($G182:W182)-$F182*10%,0)))</f>
        <v>0</v>
      </c>
      <c r="Y182" s="605">
        <f>IF(Y$121="입주/잔금",($F182-SUM($G182:X182))*30%,IF(X$121="입주/잔금",($F182-SUM($G182:W182))*50%,IF(W$121="입주/잔금",($F182-SUM($G182:V182))*20%,IF(Y$121=0,0,IF(Y$121="2차중도금",$F182*30%-SUM($G182:X182),IF(Y$121="3차중도금",$F182*40%-SUM($G182:X182),IF(Y$121="4차중도금",$F182*50%-SUM($G182:X182),$F182*10%)))))))+(IF(Y$121="5차중도금",$F182*60%-SUM($G182:X182)-$F182*10%,IF(Y$121="6차중도금",$F182*70%-SUM($G182:X182)-$F182*10%,0)))</f>
        <v>0</v>
      </c>
      <c r="Z182" s="605">
        <f>IF(Z$121="입주/잔금",($F182-SUM($G182:Y182))*30%,IF(Y$121="입주/잔금",($F182-SUM($G182:X182))*50%,IF(X$121="입주/잔금",($F182-SUM($G182:W182))*20%,IF(Z$121=0,0,IF(Z$121="2차중도금",$F182*30%-SUM($G182:Y182),IF(Z$121="3차중도금",$F182*40%-SUM($G182:Y182),IF(Z$121="4차중도금",$F182*50%-SUM($G182:Y182),$F182*10%)))))))+(IF(Z$121="5차중도금",$F182*60%-SUM($G182:Y182)-$F182*10%,IF(Z$121="6차중도금",$F182*70%-SUM($G182:Y182)-$F182*10%,0)))</f>
        <v>0</v>
      </c>
      <c r="AA182" s="605">
        <f>IF(AA$121="입주/잔금",($F182-SUM($G182:Z182))*30%,IF(Z$121="입주/잔금",($F182-SUM($G182:Y182))*50%,IF(Y$121="입주/잔금",($F182-SUM($G182:X182))*20%,IF(AA$121=0,0,IF(AA$121="2차중도금",$F182*30%-SUM($G182:Z182),IF(AA$121="3차중도금",$F182*40%-SUM($G182:Z182),IF(AA$121="4차중도금",$F182*50%-SUM($G182:Z182),$F182*10%)))))))+(IF(AA$121="5차중도금",$F182*60%-SUM($G182:Z182)-$F182*10%,IF(AA$121="6차중도금",$F182*70%-SUM($G182:Z182)-$F182*10%,0)))</f>
        <v>0</v>
      </c>
      <c r="AB182" s="605">
        <f>IF(AB$121="입주/잔금",($F182-SUM($G182:AA182))*30%,IF(AA$121="입주/잔금",($F182-SUM($G182:Z182))*50%,IF(Z$121="입주/잔금",($F182-SUM($G182:Y182))*20%,IF(AB$121=0,0,IF(AB$121="2차중도금",$F182*30%-SUM($G182:AA182),IF(AB$121="3차중도금",$F182*40%-SUM($G182:AA182),IF(AB$121="4차중도금",$F182*50%-SUM($G182:AA182),$F182*10%)))))))+(IF(AB$121="5차중도금",$F182*60%-SUM($G182:AA182)-$F182*10%,IF(AB$121="6차중도금",$F182*70%-SUM($G182:AA182)-$F182*10%,0)))</f>
        <v>0</v>
      </c>
      <c r="AC182" s="605">
        <f>IF(AC$121="입주/잔금",($F182-SUM($G182:AB182))*30%,IF(AB$121="입주/잔금",($F182-SUM($G182:AA182))*50%,IF(AA$121="입주/잔금",($F182-SUM($G182:Z182))*20%,IF(AC$121=0,0,IF(AC$121="2차중도금",$F182*30%-SUM($G182:AB182),IF(AC$121="3차중도금",$F182*40%-SUM($G182:AB182),IF(AC$121="4차중도금",$F182*50%-SUM($G182:AB182),$F182*10%)))))))+(IF(AC$121="5차중도금",$F182*60%-SUM($G182:AB182)-$F182*10%,IF(AC$121="6차중도금",$F182*70%-SUM($G182:AB182)-$F182*10%,0)))</f>
        <v>0</v>
      </c>
      <c r="AD182" s="605">
        <f>IF(AD$121="입주/잔금",($F182-SUM($G182:AC182))*30%,IF(AC$121="입주/잔금",($F182-SUM($G182:AB182))*50%,IF(AB$121="입주/잔금",($F182-SUM($G182:AA182))*20%,IF(AD$121=0,0,IF(AD$121="2차중도금",$F182*30%-SUM($G182:AC182),IF(AD$121="3차중도금",$F182*40%-SUM($G182:AC182),IF(AD$121="4차중도금",$F182*50%-SUM($G182:AC182),$F182*10%)))))))+(IF(AD$121="5차중도금",$F182*60%-SUM($G182:AC182)-$F182*10%,IF(AD$121="6차중도금",$F182*70%-SUM($G182:AC182)-$F182*10%,0)))</f>
        <v>0</v>
      </c>
      <c r="AE182" s="605">
        <f>IF(AE$121="입주/잔금",($F182-SUM($G182:AD182))*30%,IF(AD$121="입주/잔금",($F182-SUM($G182:AC182))*50%,IF(AC$121="입주/잔금",($F182-SUM($G182:AB182))*20%,IF(AE$121=0,0,IF(AE$121="2차중도금",$F182*30%-SUM($G182:AD182),IF(AE$121="3차중도금",$F182*40%-SUM($G182:AD182),IF(AE$121="4차중도금",$F182*50%-SUM($G182:AD182),$F182*10%)))))))+(IF(AE$121="5차중도금",$F182*60%-SUM($G182:AD182)-$F182*10%,IF(AE$121="6차중도금",$F182*70%-SUM($G182:AD182)-$F182*10%,0)))</f>
        <v>0</v>
      </c>
      <c r="AF182" s="605">
        <f>IF(AF$121="입주/잔금",($F182-SUM($G182:AE182))*30%,IF(AE$121="입주/잔금",($F182-SUM($G182:AD182))*50%,IF(AD$121="입주/잔금",($F182-SUM($G182:AC182))*20%,IF(AF$121=0,0,IF(AF$121="2차중도금",$F182*30%-SUM($G182:AE182),IF(AF$121="3차중도금",$F182*40%-SUM($G182:AE182),IF(AF$121="4차중도금",$F182*50%-SUM($G182:AE182),$F182*10%)))))))+(IF(AF$121="5차중도금",$F182*60%-SUM($G182:AE182)-$F182*10%,IF(AF$121="6차중도금",$F182*70%-SUM($G182:AE182)-$F182*10%,0)))</f>
        <v>0</v>
      </c>
      <c r="AG182" s="605">
        <f>IF(AG$121="입주/잔금",($F182-SUM($G182:AF182))*30%,IF(AF$121="입주/잔금",($F182-SUM($G182:AE182))*50%,IF(AE$121="입주/잔금",($F182-SUM($G182:AD182))*20%,IF(AG$121=0,0,IF(AG$121="2차중도금",$F182*30%-SUM($G182:AF182),IF(AG$121="3차중도금",$F182*40%-SUM($G182:AF182),IF(AG$121="4차중도금",$F182*50%-SUM($G182:AF182),$F182*10%)))))))+(IF(AG$121="5차중도금",$F182*60%-SUM($G182:AF182)-$F182*10%,IF(AG$121="6차중도금",$F182*70%-SUM($G182:AF182)-$F182*10%,0)))</f>
        <v>0</v>
      </c>
      <c r="AH182" s="605">
        <f>IF(AH$121="입주/잔금",($F182-SUM($G182:AG182))*30%,IF(AG$121="입주/잔금",($F182-SUM($G182:AF182))*50%,IF(AF$121="입주/잔금",($F182-SUM($G182:AE182))*20%,IF(AH$121=0,0,IF(AH$121="2차중도금",$F182*30%-SUM($G182:AG182),IF(AH$121="3차중도금",$F182*40%-SUM($G182:AG182),IF(AH$121="4차중도금",$F182*50%-SUM($G182:AG182),$F182*10%)))))))+(IF(AH$121="5차중도금",$F182*60%-SUM($G182:AG182)-$F182*10%,IF(AH$121="6차중도금",$F182*70%-SUM($G182:AG182)-$F182*10%,0)))</f>
        <v>0</v>
      </c>
      <c r="AI182" s="605">
        <f>IF(AI$121="입주/잔금",($F182-SUM($G182:AH182))*30%,IF(AH$121="입주/잔금",($F182-SUM($G182:AG182))*50%,IF(AG$121="입주/잔금",($F182-SUM($G182:AF182))*20%,IF(AI$121=0,0,IF(AI$121="2차중도금",$F182*30%-SUM($G182:AH182),IF(AI$121="3차중도금",$F182*40%-SUM($G182:AH182),IF(AI$121="4차중도금",$F182*50%-SUM($G182:AH182),$F182*10%)))))))+(IF(AI$121="5차중도금",$F182*60%-SUM($G182:AH182)-$F182*10%,IF(AI$121="6차중도금",$F182*70%-SUM($G182:AH182)-$F182*10%,0)))</f>
        <v>0</v>
      </c>
      <c r="AJ182" s="605">
        <f>IF(AJ$121="입주/잔금",($F182-SUM($G182:AI182))*30%,IF(AI$121="입주/잔금",($F182-SUM($G182:AH182))*50%,IF(AH$121="입주/잔금",($F182-SUM($G182:AG182))*20%,IF(AJ$121=0,0,IF(AJ$121="2차중도금",$F182*30%-SUM($G182:AI182),IF(AJ$121="3차중도금",$F182*40%-SUM($G182:AI182),IF(AJ$121="4차중도금",$F182*50%-SUM($G182:AI182),$F182*10%)))))))+(IF(AJ$121="5차중도금",$F182*60%-SUM($G182:AI182)-$F182*10%,IF(AJ$121="6차중도금",$F182*70%-SUM($G182:AI182)-$F182*10%,0)))</f>
        <v>0</v>
      </c>
      <c r="AK182" s="605">
        <f>IF(AK$121="입주/잔금",($F182-SUM($G182:AJ182))*30%,IF(AJ$121="입주/잔금",($F182-SUM($G182:AI182))*50%,IF(AI$121="입주/잔금",($F182-SUM($G182:AH182))*20%,IF(AK$121=0,0,IF(AK$121="2차중도금",$F182*30%-SUM($G182:AJ182),IF(AK$121="3차중도금",$F182*40%-SUM($G182:AJ182),IF(AK$121="4차중도금",$F182*50%-SUM($G182:AJ182),$F182*10%)))))))+(IF(AK$121="5차중도금",$F182*60%-SUM($G182:AJ182)-$F182*10%,IF(AK$121="6차중도금",$F182*70%-SUM($G182:AJ182)-$F182*10%,0)))</f>
        <v>0</v>
      </c>
      <c r="AL182" s="605">
        <f>IF(AL$121="입주/잔금",($F182-SUM($G182:AK182))*30%,IF(AK$121="입주/잔금",($F182-SUM($G182:AJ182))*50%,IF(AJ$121="입주/잔금",($F182-SUM($G182:AI182))*20%,IF(AL$121=0,0,IF(AL$121="2차중도금",$F182*30%-SUM($G182:AK182),IF(AL$121="3차중도금",$F182*40%-SUM($G182:AK182),IF(AL$121="4차중도금",$F182*50%-SUM($G182:AK182),$F182*10%)))))))+(IF(AL$121="5차중도금",$F182*60%-SUM($G182:AK182)-$F182*10%,IF(AL$121="6차중도금",$F182*70%-SUM($G182:AK182)-$F182*10%,0)))</f>
        <v>0</v>
      </c>
      <c r="AM182" s="605">
        <f>IF(AM$121="입주/잔금",($F182-SUM($G182:AL182))*30%,IF(AL$121="입주/잔금",($F182-SUM($G182:AK182))*50%,IF(AK$121="입주/잔금",($F182-SUM($G182:AJ182))*20%,IF(AM$121=0,0,IF(AM$121="2차중도금",$F182*30%-SUM($G182:AL182),IF(AM$121="3차중도금",$F182*40%-SUM($G182:AL182),IF(AM$121="4차중도금",$F182*50%-SUM($G182:AL182),$F182*10%)))))))+(IF(AM$121="5차중도금",$F182*60%-SUM($G182:AL182)-$F182*10%,IF(AM$121="6차중도금",$F182*70%-SUM($G182:AL182)-$F182*10%,0)))</f>
        <v>0</v>
      </c>
      <c r="AN182" s="605">
        <f>IF(AN$121="입주/잔금",($F182-SUM($G182:AM182))*30%,IF(AM$121="입주/잔금",($F182-SUM($G182:AL182))*50%,IF(AL$121="입주/잔금",($F182-SUM($G182:AK182))*20%,IF(AN$121=0,0,IF(AN$121="2차중도금",$F182*30%-SUM($G182:AM182),IF(AN$121="3차중도금",$F182*40%-SUM($G182:AM182),IF(AN$121="4차중도금",$F182*50%-SUM($G182:AM182),$F182*10%)))))))+(IF(AN$121="5차중도금",$F182*60%-SUM($G182:AM182)-$F182*10%,IF(AN$121="6차중도금",$F182*70%-SUM($G182:AM182)-$F182*10%,0)))</f>
        <v>0</v>
      </c>
      <c r="AO182" s="605">
        <f>IF(AO$121="입주/잔금",($F182-SUM($G182:AN182))*30%,IF(AN$121="입주/잔금",($F182-SUM($G182:AM182))*50%,IF(AM$121="입주/잔금",($F182-SUM($G182:AL182))*20%,IF(AO$121=0,0,IF(AO$121="2차중도금",$F182*30%-SUM($G182:AN182),IF(AO$121="3차중도금",$F182*40%-SUM($G182:AN182),IF(AO$121="4차중도금",$F182*50%-SUM($G182:AN182),$F182*10%)))))))+(IF(AO$121="5차중도금",$F182*60%-SUM($G182:AN182)-$F182*10%,IF(AO$121="6차중도금",$F182*70%-SUM($G182:AN182)-$F182*10%,0)))</f>
        <v>0</v>
      </c>
      <c r="AP182" s="605">
        <f>IF(AP$121="입주/잔금",($F182-SUM($G182:AO182))*30%,IF(AO$121="입주/잔금",($F182-SUM($G182:AN182))*50%,IF(AN$121="입주/잔금",($F182-SUM($G182:AM182))*20%,IF(AP$121=0,0,IF(AP$121="2차중도금",$F182*30%-SUM($G182:AO182),IF(AP$121="3차중도금",$F182*40%-SUM($G182:AO182),IF(AP$121="4차중도금",$F182*50%-SUM($G182:AO182),$F182*10%)))))))+(IF(AP$121="5차중도금",$F182*60%-SUM($G182:AO182)-$F182*10%,IF(AP$121="6차중도금",$F182*70%-SUM($G182:AO182)-$F182*10%,0)))</f>
        <v>0</v>
      </c>
      <c r="AQ182" s="605">
        <f>IF(AQ$121="입주/잔금",($F182-SUM($G182:AP182))*30%,IF(AP$121="입주/잔금",($F182-SUM($G182:AO182))*50%,IF(AO$121="입주/잔금",($F182-SUM($G182:AN182))*20%,IF(AQ$121=0,0,IF(AQ$121="2차중도금",$F182*30%-SUM($G182:AP182),IF(AQ$121="3차중도금",$F182*40%-SUM($G182:AP182),IF(AQ$121="4차중도금",$F182*50%-SUM($G182:AP182),$F182*10%)))))))+(IF(AQ$121="5차중도금",$F182*60%-SUM($G182:AP182)-$F182*10%,IF(AQ$121="6차중도금",$F182*70%-SUM($G182:AP182)-$F182*10%,0)))</f>
        <v>0</v>
      </c>
      <c r="AR182" s="605">
        <f>IF(AR$121="입주/잔금",($F182-SUM($G182:AQ182))*30%,IF(AQ$121="입주/잔금",($F182-SUM($G182:AP182))*50%,IF(AP$121="입주/잔금",($F182-SUM($G182:AO182))*20%,IF(AR$121=0,0,IF(AR$121="2차중도금",$F182*30%-SUM($G182:AQ182),IF(AR$121="3차중도금",$F182*40%-SUM($G182:AQ182),IF(AR$121="4차중도금",$F182*50%-SUM($G182:AQ182),$F182*10%)))))))+(IF(AR$121="5차중도금",$F182*60%-SUM($G182:AQ182)-$F182*10%,IF(AR$121="6차중도금",$F182*70%-SUM($G182:AQ182)-$F182*10%,0)))</f>
        <v>0</v>
      </c>
      <c r="AS182" s="605">
        <f>IF(AS$121="입주/잔금",($F182-SUM($G182:AR182))*30%,IF(AR$121="입주/잔금",($F182-SUM($G182:AQ182))*50%,IF(AQ$121="입주/잔금",($F182-SUM($G182:AP182))*20%,IF(AS$121=0,0,IF(AS$121="2차중도금",$F182*30%-SUM($G182:AR182),IF(AS$121="3차중도금",$F182*40%-SUM($G182:AR182),IF(AS$121="4차중도금",$F182*50%-SUM($G182:AR182),$F182*10%)))))))+(IF(AS$121="5차중도금",$F182*60%-SUM($G182:AR182)-$F182*10%,IF(AS$121="6차중도금",$F182*70%-SUM($G182:AR182)-$F182*10%,0)))</f>
        <v>0</v>
      </c>
      <c r="AT182" s="605">
        <f>IF(AT$121="입주/잔금",($F182-SUM($G182:AS182))*30%,IF(AS$121="입주/잔금",($F182-SUM($G182:AR182))*50%,IF(AR$121="입주/잔금",($F182-SUM($G182:AQ182))*20%,IF(AT$121=0,0,IF(AT$121="2차중도금",$F182*30%-SUM($G182:AS182),IF(AT$121="3차중도금",$F182*40%-SUM($G182:AS182),IF(AT$121="4차중도금",$F182*50%-SUM($G182:AS182),$F182*10%)))))))+(IF(AT$121="5차중도금",$F182*60%-SUM($G182:AS182)-$F182*10%,IF(AT$121="6차중도금",$F182*70%-SUM($G182:AS182)-$F182*10%,0)))</f>
        <v>0</v>
      </c>
      <c r="AU182" s="605">
        <f>IF(AU$121="입주/잔금",($F182-SUM($G182:AT182))*30%,IF(AT$121="입주/잔금",($F182-SUM($G182:AS182))*50%,IF(AS$121="입주/잔금",($F182-SUM($G182:AR182))*20%,IF(AU$121=0,0,IF(AU$121="2차중도금",$F182*30%-SUM($G182:AT182),IF(AU$121="3차중도금",$F182*40%-SUM($G182:AT182),IF(AU$121="4차중도금",$F182*50%-SUM($G182:AT182),$F182*10%)))))))+(IF(AU$121="5차중도금",$F182*60%-SUM($G182:AT182)-$F182*10%,IF(AU$121="6차중도금",$F182*70%-SUM($G182:AT182)-$F182*10%,0)))</f>
        <v>0</v>
      </c>
      <c r="AV182" s="605">
        <f>IF(AV$121="입주/잔금",($F182-SUM($G182:AU182))*30%,IF(AU$121="입주/잔금",($F182-SUM($G182:AT182))*50%,IF(AT$121="입주/잔금",($F182-SUM($G182:AS182))*20%,IF(AV$121=0,0,IF(AV$121="2차중도금",$F182*30%-SUM($G182:AU182),IF(AV$121="3차중도금",$F182*40%-SUM($G182:AU182),IF(AV$121="4차중도금",$F182*50%-SUM($G182:AU182),$F182*10%)))))))+(IF(AV$121="5차중도금",$F182*60%-SUM($G182:AU182)-$F182*10%,IF(AV$121="6차중도금",$F182*70%-SUM($G182:AU182)-$F182*10%,0)))</f>
        <v>0</v>
      </c>
      <c r="AW182" s="605">
        <f>IF(AW$121="입주/잔금",($F182-SUM($G182:AV182))*30%,IF(AV$121="입주/잔금",($F182-SUM($G182:AU182))*50%,IF(AU$121="입주/잔금",($F182-SUM($G182:AT182))*20%,IF(AW$121=0,0,IF(AW$121="2차중도금",$F182*30%-SUM($G182:AV182),IF(AW$121="3차중도금",$F182*40%-SUM($G182:AV182),IF(AW$121="4차중도금",$F182*50%-SUM($G182:AV182),$F182*10%)))))))+(IF(AW$121="5차중도금",$F182*60%-SUM($G182:AV182)-$F182*10%,IF(AW$121="6차중도금",$F182*70%-SUM($G182:AV182)-$F182*10%,0)))</f>
        <v>0</v>
      </c>
      <c r="AX182" s="605">
        <f>IF(AX$121="입주/잔금",($F182-SUM($G182:AW182))*30%,IF(AW$121="입주/잔금",($F182-SUM($G182:AV182))*50%,IF(AV$121="입주/잔금",($F182-SUM($G182:AU182))*20%,IF(AX$121=0,0,IF(AX$121="2차중도금",$F182*30%-SUM($G182:AW182),IF(AX$121="3차중도금",$F182*40%-SUM($G182:AW182),IF(AX$121="4차중도금",$F182*50%-SUM($G182:AW182),$F182*10%)))))))+(IF(AX$121="5차중도금",$F182*60%-SUM($G182:AW182)-$F182*10%,IF(AX$121="6차중도금",$F182*70%-SUM($G182:AW182)-$F182*10%,0)))</f>
        <v>0</v>
      </c>
      <c r="AY182" s="605">
        <f>IF(AY$121="입주/잔금",($F182-SUM($G182:AX182))*30%,IF(AX$121="입주/잔금",($F182-SUM($G182:AW182))*50%,IF(AW$121="입주/잔금",($F182-SUM($G182:AV182))*20%,IF(AY$121=0,0,IF(AY$121="2차중도금",$F182*30%-SUM($G182:AX182),IF(AY$121="3차중도금",$F182*40%-SUM($G182:AX182),IF(AY$121="4차중도금",$F182*50%-SUM($G182:AX182),$F182*10%)))))))+(IF(AY$121="5차중도금",$F182*60%-SUM($G182:AX182)-$F182*10%,IF(AY$121="6차중도금",$F182*70%-SUM($G182:AX182)-$F182*10%,0)))</f>
        <v>0</v>
      </c>
      <c r="AZ182" s="605">
        <f>IF(AZ$121="입주/잔금",($F182-SUM($G182:AY182))*30%,IF(AY$121="입주/잔금",($F182-SUM($G182:AX182))*50%,IF(AX$121="입주/잔금",($F182-SUM($G182:AW182))*20%,IF(AZ$121=0,0,IF(AZ$121="2차중도금",$F182*30%-SUM($G182:AY182),IF(AZ$121="3차중도금",$F182*40%-SUM($G182:AY182),IF(AZ$121="4차중도금",$F182*50%-SUM($G182:AY182),$F182*10%)))))))+(IF(AZ$121="5차중도금",$F182*60%-SUM($G182:AY182)-$F182*10%,IF(AZ$121="6차중도금",$F182*70%-SUM($G182:AY182)-$F182*10%,0)))</f>
        <v>0</v>
      </c>
      <c r="BA182" s="605">
        <f>IF(BA$121="입주/잔금",($F182-SUM($G182:AZ182))*30%,IF(AZ$121="입주/잔금",($F182-SUM($G182:AY182))*50%,IF(AY$121="입주/잔금",($F182-SUM($G182:AX182))*20%,IF(BA$121=0,0,IF(BA$121="2차중도금",$F182*30%-SUM($G182:AZ182),IF(BA$121="3차중도금",$F182*40%-SUM($G182:AZ182),IF(BA$121="4차중도금",$F182*50%-SUM($G182:AZ182),$F182*10%)))))))+(IF(BA$121="5차중도금",$F182*60%-SUM($G182:AZ182)-$F182*10%,IF(BA$121="6차중도금",$F182*70%-SUM($G182:AZ182)-$F182*10%,0)))</f>
        <v>0</v>
      </c>
      <c r="BB182" s="605">
        <f>IF(BB$121="입주/잔금",($F182-SUM($G182:BA182))*30%,IF(BA$121="입주/잔금",($F182-SUM($G182:AZ182))*50%,IF(AZ$121="입주/잔금",($F182-SUM($G182:AY182))*20%,IF(BB$121=0,0,IF(BB$121="2차중도금",$F182*30%-SUM($G182:BA182),IF(BB$121="3차중도금",$F182*40%-SUM($G182:BA182),IF(BB$121="4차중도금",$F182*50%-SUM($G182:BA182),$F182*10%)))))))+(IF(BB$121="5차중도금",$F182*60%-SUM($G182:BA182)-$F182*10%,IF(BB$121="6차중도금",$F182*70%-SUM($G182:BA182)-$F182*10%,0)))</f>
        <v>0</v>
      </c>
      <c r="BC182" s="605">
        <f>IF(BC$121="입주/잔금",($F182-SUM($G182:BB182))*30%,IF(BB$121="입주/잔금",($F182-SUM($G182:BA182))*50%,IF(BA$121="입주/잔금",($F182-SUM($G182:AZ182))*20%,IF(BC$121=0,0,IF(BC$121="2차중도금",$F182*30%-SUM($G182:BB182),IF(BC$121="3차중도금",$F182*40%-SUM($G182:BB182),IF(BC$121="4차중도금",$F182*50%-SUM($G182:BB182),$F182*10%)))))))+(IF(BC$121="5차중도금",$F182*60%-SUM($G182:BB182)-$F182*10%,IF(BC$121="6차중도금",$F182*70%-SUM($G182:BB182)-$F182*10%,0)))</f>
        <v>0</v>
      </c>
      <c r="BD182" s="605">
        <f>IF(BD$121="입주/잔금",($F182-SUM($G182:BC182))*30%,IF(BC$121="입주/잔금",($F182-SUM($G182:BB182))*50%,IF(BB$121="입주/잔금",($F182-SUM($G182:BA182))*20%,IF(BD$121=0,0,IF(BD$121="2차중도금",$F182*30%-SUM($G182:BC182),IF(BD$121="3차중도금",$F182*40%-SUM($G182:BC182),IF(BD$121="4차중도금",$F182*50%-SUM($G182:BC182),$F182*10%)))))))+(IF(BD$121="5차중도금",$F182*60%-SUM($G182:BC182)-$F182*10%,IF(BD$121="6차중도금",$F182*70%-SUM($G182:BC182)-$F182*10%,0)))</f>
        <v>0</v>
      </c>
      <c r="BE182" s="605">
        <f>IF(BE$121="입주/잔금",($F182-SUM($G182:BD182))*30%,IF(BD$121="입주/잔금",($F182-SUM($G182:BC182))*50%,IF(BC$121="입주/잔금",($F182-SUM($G182:BB182))*20%,IF(BE$121=0,0,IF(BE$121="2차중도금",$F182*30%-SUM($G182:BD182),IF(BE$121="3차중도금",$F182*40%-SUM($G182:BD182),IF(BE$121="4차중도금",$F182*50%-SUM($G182:BD182),$F182*10%)))))))+(IF(BE$121="5차중도금",$F182*60%-SUM($G182:BD182)-$F182*10%,IF(BE$121="6차중도금",$F182*70%-SUM($G182:BD182)-$F182*10%,0)))</f>
        <v>0</v>
      </c>
      <c r="BF182" s="609">
        <f t="shared" si="57"/>
        <v>0</v>
      </c>
      <c r="BG182" s="556">
        <f t="shared" si="59"/>
        <v>0</v>
      </c>
      <c r="BH182" s="610"/>
    </row>
    <row r="183" spans="1:60" hidden="1">
      <c r="A183" s="1853"/>
      <c r="B183" s="611">
        <f t="shared" si="60"/>
        <v>45017</v>
      </c>
      <c r="C183" s="605">
        <f t="shared" si="61"/>
        <v>0</v>
      </c>
      <c r="D183" s="606"/>
      <c r="E183" s="607">
        <f t="shared" si="62"/>
        <v>0</v>
      </c>
      <c r="F183" s="608">
        <f t="shared" si="58"/>
        <v>0</v>
      </c>
      <c r="G183" s="605"/>
      <c r="H183" s="605"/>
      <c r="I183" s="605"/>
      <c r="J183" s="605"/>
      <c r="K183" s="605"/>
      <c r="L183" s="605"/>
      <c r="M183" s="605">
        <f>$F183*10%</f>
        <v>0</v>
      </c>
      <c r="N183" s="605">
        <f>IF(N$121="입주/잔금",($F183-SUM($G183:M183))*30%,IF(M$121="입주/잔금",($F183-SUM($G183:L183))*50%,IF(L$121="입주/잔금",($F183-SUM($G183:K183))*20%,IF(N$121=0,0,IF(N$121="2차중도금",$F183*30%-SUM($G183:M183),IF(N$121="3차중도금",$F183*40%-SUM($G183:M183),IF(N$121="4차중도금",$F183*50%-SUM($G183:M183),$F183*10%)))))))+(IF(N$121="5차중도금",$F183*60%-SUM($G183:M183)-$F183*10%,IF(N$121="6차중도금",$F183*70%-SUM($G183:M183)-$F183*10%,0)))</f>
        <v>0</v>
      </c>
      <c r="O183" s="605">
        <f>IF(O$121="입주/잔금",($F183-SUM($G183:N183))*30%,IF(N$121="입주/잔금",($F183-SUM($G183:M183))*50%,IF(M$121="입주/잔금",($F183-SUM($G183:L183))*20%,IF(O$121=0,0,IF(O$121="2차중도금",$F183*30%-SUM($G183:N183),IF(O$121="3차중도금",$F183*40%-SUM($G183:N183),IF(O$121="4차중도금",$F183*50%-SUM($G183:N183),$F183*10%)))))))+(IF(O$121="5차중도금",$F183*60%-SUM($G183:N183)-$F183*10%,IF(O$121="6차중도금",$F183*70%-SUM($G183:N183)-$F183*10%,0)))</f>
        <v>0</v>
      </c>
      <c r="P183" s="605">
        <f>IF(P$121="입주/잔금",($F183-SUM($G183:O183))*30%,IF(O$121="입주/잔금",($F183-SUM($G183:N183))*50%,IF(N$121="입주/잔금",($F183-SUM($G183:M183))*20%,IF(P$121=0,0,IF(P$121="2차중도금",$F183*30%-SUM($G183:O183),IF(P$121="3차중도금",$F183*40%-SUM($G183:O183),IF(P$121="4차중도금",$F183*50%-SUM($G183:O183),$F183*10%)))))))+(IF(P$121="5차중도금",$F183*60%-SUM($G183:O183)-$F183*10%,IF(P$121="6차중도금",$F183*70%-SUM($G183:O183)-$F183*10%,0)))</f>
        <v>0</v>
      </c>
      <c r="Q183" s="605">
        <f>IF(Q$121="입주/잔금",($F183-SUM($G183:P183))*30%,IF(P$121="입주/잔금",($F183-SUM($G183:O183))*50%,IF(O$121="입주/잔금",($F183-SUM($G183:N183))*20%,IF(Q$121=0,0,IF(Q$121="2차중도금",$F183*30%-SUM($G183:P183),IF(Q$121="3차중도금",$F183*40%-SUM($G183:P183),IF(Q$121="4차중도금",$F183*50%-SUM($G183:P183),$F183*10%)))))))+(IF(Q$121="5차중도금",$F183*60%-SUM($G183:P183)-$F183*10%,IF(Q$121="6차중도금",$F183*70%-SUM($G183:P183)-$F183*10%,0)))</f>
        <v>0</v>
      </c>
      <c r="R183" s="605">
        <f>IF(R$121="입주/잔금",($F183-SUM($G183:Q183))*30%,IF(Q$121="입주/잔금",($F183-SUM($G183:P183))*50%,IF(P$121="입주/잔금",($F183-SUM($G183:O183))*20%,IF(R$121=0,0,IF(R$121="2차중도금",$F183*30%-SUM($G183:Q183),IF(R$121="3차중도금",$F183*40%-SUM($G183:Q183),IF(R$121="4차중도금",$F183*50%-SUM($G183:Q183),$F183*10%)))))))+(IF(R$121="5차중도금",$F183*60%-SUM($G183:Q183)-$F183*10%,IF(R$121="6차중도금",$F183*70%-SUM($G183:Q183)-$F183*10%,0)))</f>
        <v>0</v>
      </c>
      <c r="S183" s="605">
        <f>IF(S$121="입주/잔금",($F183-SUM($G183:R183))*30%,IF(R$121="입주/잔금",($F183-SUM($G183:Q183))*50%,IF(Q$121="입주/잔금",($F183-SUM($G183:P183))*20%,IF(S$121=0,0,IF(S$121="2차중도금",$F183*30%-SUM($G183:R183),IF(S$121="3차중도금",$F183*40%-SUM($G183:R183),IF(S$121="4차중도금",$F183*50%-SUM($G183:R183),$F183*10%)))))))+(IF(S$121="5차중도금",$F183*60%-SUM($G183:R183)-$F183*10%,IF(S$121="6차중도금",$F183*70%-SUM($G183:R183)-$F183*10%,0)))</f>
        <v>0</v>
      </c>
      <c r="T183" s="605">
        <f>IF(T$121="입주/잔금",($F183-SUM($G183:S183))*30%,IF(S$121="입주/잔금",($F183-SUM($G183:R183))*50%,IF(R$121="입주/잔금",($F183-SUM($G183:Q183))*20%,IF(T$121=0,0,IF(T$121="2차중도금",$F183*30%-SUM($G183:S183),IF(T$121="3차중도금",$F183*40%-SUM($G183:S183),IF(T$121="4차중도금",$F183*50%-SUM($G183:S183),$F183*10%)))))))+(IF(T$121="5차중도금",$F183*60%-SUM($G183:S183)-$F183*10%,IF(T$121="6차중도금",$F183*70%-SUM($G183:S183)-$F183*10%,0)))</f>
        <v>0</v>
      </c>
      <c r="U183" s="605">
        <f>IF(U$121="입주/잔금",($F183-SUM($G183:T183))*30%,IF(T$121="입주/잔금",($F183-SUM($G183:S183))*50%,IF(S$121="입주/잔금",($F183-SUM($G183:R183))*20%,IF(U$121=0,0,IF(U$121="2차중도금",$F183*30%-SUM($G183:T183),IF(U$121="3차중도금",$F183*40%-SUM($G183:T183),IF(U$121="4차중도금",$F183*50%-SUM($G183:T183),$F183*10%)))))))+(IF(U$121="5차중도금",$F183*60%-SUM($G183:T183)-$F183*10%,IF(U$121="6차중도금",$F183*70%-SUM($G183:T183)-$F183*10%,0)))</f>
        <v>0</v>
      </c>
      <c r="V183" s="605">
        <f>IF(V$121="입주/잔금",($F183-SUM($G183:U183))*30%,IF(U$121="입주/잔금",($F183-SUM($G183:T183))*50%,IF(T$121="입주/잔금",($F183-SUM($G183:S183))*20%,IF(V$121=0,0,IF(V$121="2차중도금",$F183*30%-SUM($G183:U183),IF(V$121="3차중도금",$F183*40%-SUM($G183:U183),IF(V$121="4차중도금",$F183*50%-SUM($G183:U183),$F183*10%)))))))+(IF(V$121="5차중도금",$F183*60%-SUM($G183:U183)-$F183*10%,IF(V$121="6차중도금",$F183*70%-SUM($G183:U183)-$F183*10%,0)))</f>
        <v>0</v>
      </c>
      <c r="W183" s="605">
        <f>IF(W$121="입주/잔금",($F183-SUM($G183:V183))*30%,IF(V$121="입주/잔금",($F183-SUM($G183:U183))*50%,IF(U$121="입주/잔금",($F183-SUM($G183:T183))*20%,IF(W$121=0,0,IF(W$121="2차중도금",$F183*30%-SUM($G183:V183),IF(W$121="3차중도금",$F183*40%-SUM($G183:V183),IF(W$121="4차중도금",$F183*50%-SUM($G183:V183),$F183*10%)))))))+(IF(W$121="5차중도금",$F183*60%-SUM($G183:V183)-$F183*10%,IF(W$121="6차중도금",$F183*70%-SUM($G183:V183)-$F183*10%,0)))</f>
        <v>0</v>
      </c>
      <c r="X183" s="605">
        <f>IF(X$121="입주/잔금",($F183-SUM($G183:W183))*30%,IF(W$121="입주/잔금",($F183-SUM($G183:V183))*50%,IF(V$121="입주/잔금",($F183-SUM($G183:U183))*20%,IF(X$121=0,0,IF(X$121="2차중도금",$F183*30%-SUM($G183:W183),IF(X$121="3차중도금",$F183*40%-SUM($G183:W183),IF(X$121="4차중도금",$F183*50%-SUM($G183:W183),$F183*10%)))))))+(IF(X$121="5차중도금",$F183*60%-SUM($G183:W183)-$F183*10%,IF(X$121="6차중도금",$F183*70%-SUM($G183:W183)-$F183*10%,0)))</f>
        <v>0</v>
      </c>
      <c r="Y183" s="605">
        <f>IF(Y$121="입주/잔금",($F183-SUM($G183:X183))*30%,IF(X$121="입주/잔금",($F183-SUM($G183:W183))*50%,IF(W$121="입주/잔금",($F183-SUM($G183:V183))*20%,IF(Y$121=0,0,IF(Y$121="2차중도금",$F183*30%-SUM($G183:X183),IF(Y$121="3차중도금",$F183*40%-SUM($G183:X183),IF(Y$121="4차중도금",$F183*50%-SUM($G183:X183),$F183*10%)))))))+(IF(Y$121="5차중도금",$F183*60%-SUM($G183:X183)-$F183*10%,IF(Y$121="6차중도금",$F183*70%-SUM($G183:X183)-$F183*10%,0)))</f>
        <v>0</v>
      </c>
      <c r="Z183" s="605">
        <f>IF(Z$121="입주/잔금",($F183-SUM($G183:Y183))*30%,IF(Y$121="입주/잔금",($F183-SUM($G183:X183))*50%,IF(X$121="입주/잔금",($F183-SUM($G183:W183))*20%,IF(Z$121=0,0,IF(Z$121="2차중도금",$F183*30%-SUM($G183:Y183),IF(Z$121="3차중도금",$F183*40%-SUM($G183:Y183),IF(Z$121="4차중도금",$F183*50%-SUM($G183:Y183),$F183*10%)))))))+(IF(Z$121="5차중도금",$F183*60%-SUM($G183:Y183)-$F183*10%,IF(Z$121="6차중도금",$F183*70%-SUM($G183:Y183)-$F183*10%,0)))</f>
        <v>0</v>
      </c>
      <c r="AA183" s="605">
        <f>IF(AA$121="입주/잔금",($F183-SUM($G183:Z183))*30%,IF(Z$121="입주/잔금",($F183-SUM($G183:Y183))*50%,IF(Y$121="입주/잔금",($F183-SUM($G183:X183))*20%,IF(AA$121=0,0,IF(AA$121="2차중도금",$F183*30%-SUM($G183:Z183),IF(AA$121="3차중도금",$F183*40%-SUM($G183:Z183),IF(AA$121="4차중도금",$F183*50%-SUM($G183:Z183),$F183*10%)))))))+(IF(AA$121="5차중도금",$F183*60%-SUM($G183:Z183)-$F183*10%,IF(AA$121="6차중도금",$F183*70%-SUM($G183:Z183)-$F183*10%,0)))</f>
        <v>0</v>
      </c>
      <c r="AB183" s="605">
        <f>IF(AB$121="입주/잔금",($F183-SUM($G183:AA183))*30%,IF(AA$121="입주/잔금",($F183-SUM($G183:Z183))*50%,IF(Z$121="입주/잔금",($F183-SUM($G183:Y183))*20%,IF(AB$121=0,0,IF(AB$121="2차중도금",$F183*30%-SUM($G183:AA183),IF(AB$121="3차중도금",$F183*40%-SUM($G183:AA183),IF(AB$121="4차중도금",$F183*50%-SUM($G183:AA183),$F183*10%)))))))+(IF(AB$121="5차중도금",$F183*60%-SUM($G183:AA183)-$F183*10%,IF(AB$121="6차중도금",$F183*70%-SUM($G183:AA183)-$F183*10%,0)))</f>
        <v>0</v>
      </c>
      <c r="AC183" s="605">
        <f>IF(AC$121="입주/잔금",($F183-SUM($G183:AB183))*30%,IF(AB$121="입주/잔금",($F183-SUM($G183:AA183))*50%,IF(AA$121="입주/잔금",($F183-SUM($G183:Z183))*20%,IF(AC$121=0,0,IF(AC$121="2차중도금",$F183*30%-SUM($G183:AB183),IF(AC$121="3차중도금",$F183*40%-SUM($G183:AB183),IF(AC$121="4차중도금",$F183*50%-SUM($G183:AB183),$F183*10%)))))))+(IF(AC$121="5차중도금",$F183*60%-SUM($G183:AB183)-$F183*10%,IF(AC$121="6차중도금",$F183*70%-SUM($G183:AB183)-$F183*10%,0)))</f>
        <v>0</v>
      </c>
      <c r="AD183" s="605">
        <f>IF(AD$121="입주/잔금",($F183-SUM($G183:AC183))*30%,IF(AC$121="입주/잔금",($F183-SUM($G183:AB183))*50%,IF(AB$121="입주/잔금",($F183-SUM($G183:AA183))*20%,IF(AD$121=0,0,IF(AD$121="2차중도금",$F183*30%-SUM($G183:AC183),IF(AD$121="3차중도금",$F183*40%-SUM($G183:AC183),IF(AD$121="4차중도금",$F183*50%-SUM($G183:AC183),$F183*10%)))))))+(IF(AD$121="5차중도금",$F183*60%-SUM($G183:AC183)-$F183*10%,IF(AD$121="6차중도금",$F183*70%-SUM($G183:AC183)-$F183*10%,0)))</f>
        <v>0</v>
      </c>
      <c r="AE183" s="605">
        <f>IF(AE$121="입주/잔금",($F183-SUM($G183:AD183))*30%,IF(AD$121="입주/잔금",($F183-SUM($G183:AC183))*50%,IF(AC$121="입주/잔금",($F183-SUM($G183:AB183))*20%,IF(AE$121=0,0,IF(AE$121="2차중도금",$F183*30%-SUM($G183:AD183),IF(AE$121="3차중도금",$F183*40%-SUM($G183:AD183),IF(AE$121="4차중도금",$F183*50%-SUM($G183:AD183),$F183*10%)))))))+(IF(AE$121="5차중도금",$F183*60%-SUM($G183:AD183)-$F183*10%,IF(AE$121="6차중도금",$F183*70%-SUM($G183:AD183)-$F183*10%,0)))</f>
        <v>0</v>
      </c>
      <c r="AF183" s="605">
        <f>IF(AF$121="입주/잔금",($F183-SUM($G183:AE183))*30%,IF(AE$121="입주/잔금",($F183-SUM($G183:AD183))*50%,IF(AD$121="입주/잔금",($F183-SUM($G183:AC183))*20%,IF(AF$121=0,0,IF(AF$121="2차중도금",$F183*30%-SUM($G183:AE183),IF(AF$121="3차중도금",$F183*40%-SUM($G183:AE183),IF(AF$121="4차중도금",$F183*50%-SUM($G183:AE183),$F183*10%)))))))+(IF(AF$121="5차중도금",$F183*60%-SUM($G183:AE183)-$F183*10%,IF(AF$121="6차중도금",$F183*70%-SUM($G183:AE183)-$F183*10%,0)))</f>
        <v>0</v>
      </c>
      <c r="AG183" s="605">
        <f>IF(AG$121="입주/잔금",($F183-SUM($G183:AF183))*30%,IF(AF$121="입주/잔금",($F183-SUM($G183:AE183))*50%,IF(AE$121="입주/잔금",($F183-SUM($G183:AD183))*20%,IF(AG$121=0,0,IF(AG$121="2차중도금",$F183*30%-SUM($G183:AF183),IF(AG$121="3차중도금",$F183*40%-SUM($G183:AF183),IF(AG$121="4차중도금",$F183*50%-SUM($G183:AF183),$F183*10%)))))))+(IF(AG$121="5차중도금",$F183*60%-SUM($G183:AF183)-$F183*10%,IF(AG$121="6차중도금",$F183*70%-SUM($G183:AF183)-$F183*10%,0)))</f>
        <v>0</v>
      </c>
      <c r="AH183" s="605">
        <f>IF(AH$121="입주/잔금",($F183-SUM($G183:AG183))*30%,IF(AG$121="입주/잔금",($F183-SUM($G183:AF183))*50%,IF(AF$121="입주/잔금",($F183-SUM($G183:AE183))*20%,IF(AH$121=0,0,IF(AH$121="2차중도금",$F183*30%-SUM($G183:AG183),IF(AH$121="3차중도금",$F183*40%-SUM($G183:AG183),IF(AH$121="4차중도금",$F183*50%-SUM($G183:AG183),$F183*10%)))))))+(IF(AH$121="5차중도금",$F183*60%-SUM($G183:AG183)-$F183*10%,IF(AH$121="6차중도금",$F183*70%-SUM($G183:AG183)-$F183*10%,0)))</f>
        <v>0</v>
      </c>
      <c r="AI183" s="605">
        <f>IF(AI$121="입주/잔금",($F183-SUM($G183:AH183))*30%,IF(AH$121="입주/잔금",($F183-SUM($G183:AG183))*50%,IF(AG$121="입주/잔금",($F183-SUM($G183:AF183))*20%,IF(AI$121=0,0,IF(AI$121="2차중도금",$F183*30%-SUM($G183:AH183),IF(AI$121="3차중도금",$F183*40%-SUM($G183:AH183),IF(AI$121="4차중도금",$F183*50%-SUM($G183:AH183),$F183*10%)))))))+(IF(AI$121="5차중도금",$F183*60%-SUM($G183:AH183)-$F183*10%,IF(AI$121="6차중도금",$F183*70%-SUM($G183:AH183)-$F183*10%,0)))</f>
        <v>0</v>
      </c>
      <c r="AJ183" s="605">
        <f>IF(AJ$121="입주/잔금",($F183-SUM($G183:AI183))*30%,IF(AI$121="입주/잔금",($F183-SUM($G183:AH183))*50%,IF(AH$121="입주/잔금",($F183-SUM($G183:AG183))*20%,IF(AJ$121=0,0,IF(AJ$121="2차중도금",$F183*30%-SUM($G183:AI183),IF(AJ$121="3차중도금",$F183*40%-SUM($G183:AI183),IF(AJ$121="4차중도금",$F183*50%-SUM($G183:AI183),$F183*10%)))))))+(IF(AJ$121="5차중도금",$F183*60%-SUM($G183:AI183)-$F183*10%,IF(AJ$121="6차중도금",$F183*70%-SUM($G183:AI183)-$F183*10%,0)))</f>
        <v>0</v>
      </c>
      <c r="AK183" s="605">
        <f>IF(AK$121="입주/잔금",($F183-SUM($G183:AJ183))*30%,IF(AJ$121="입주/잔금",($F183-SUM($G183:AI183))*50%,IF(AI$121="입주/잔금",($F183-SUM($G183:AH183))*20%,IF(AK$121=0,0,IF(AK$121="2차중도금",$F183*30%-SUM($G183:AJ183),IF(AK$121="3차중도금",$F183*40%-SUM($G183:AJ183),IF(AK$121="4차중도금",$F183*50%-SUM($G183:AJ183),$F183*10%)))))))+(IF(AK$121="5차중도금",$F183*60%-SUM($G183:AJ183)-$F183*10%,IF(AK$121="6차중도금",$F183*70%-SUM($G183:AJ183)-$F183*10%,0)))</f>
        <v>0</v>
      </c>
      <c r="AL183" s="605">
        <f>IF(AL$121="입주/잔금",($F183-SUM($G183:AK183))*30%,IF(AK$121="입주/잔금",($F183-SUM($G183:AJ183))*50%,IF(AJ$121="입주/잔금",($F183-SUM($G183:AI183))*20%,IF(AL$121=0,0,IF(AL$121="2차중도금",$F183*30%-SUM($G183:AK183),IF(AL$121="3차중도금",$F183*40%-SUM($G183:AK183),IF(AL$121="4차중도금",$F183*50%-SUM($G183:AK183),$F183*10%)))))))+(IF(AL$121="5차중도금",$F183*60%-SUM($G183:AK183)-$F183*10%,IF(AL$121="6차중도금",$F183*70%-SUM($G183:AK183)-$F183*10%,0)))</f>
        <v>0</v>
      </c>
      <c r="AM183" s="605">
        <f>IF(AM$121="입주/잔금",($F183-SUM($G183:AL183))*30%,IF(AL$121="입주/잔금",($F183-SUM($G183:AK183))*50%,IF(AK$121="입주/잔금",($F183-SUM($G183:AJ183))*20%,IF(AM$121=0,0,IF(AM$121="2차중도금",$F183*30%-SUM($G183:AL183),IF(AM$121="3차중도금",$F183*40%-SUM($G183:AL183),IF(AM$121="4차중도금",$F183*50%-SUM($G183:AL183),$F183*10%)))))))+(IF(AM$121="5차중도금",$F183*60%-SUM($G183:AL183)-$F183*10%,IF(AM$121="6차중도금",$F183*70%-SUM($G183:AL183)-$F183*10%,0)))</f>
        <v>0</v>
      </c>
      <c r="AN183" s="605">
        <f>IF(AN$121="입주/잔금",($F183-SUM($G183:AM183))*30%,IF(AM$121="입주/잔금",($F183-SUM($G183:AL183))*50%,IF(AL$121="입주/잔금",($F183-SUM($G183:AK183))*20%,IF(AN$121=0,0,IF(AN$121="2차중도금",$F183*30%-SUM($G183:AM183),IF(AN$121="3차중도금",$F183*40%-SUM($G183:AM183),IF(AN$121="4차중도금",$F183*50%-SUM($G183:AM183),$F183*10%)))))))+(IF(AN$121="5차중도금",$F183*60%-SUM($G183:AM183)-$F183*10%,IF(AN$121="6차중도금",$F183*70%-SUM($G183:AM183)-$F183*10%,0)))</f>
        <v>0</v>
      </c>
      <c r="AO183" s="605">
        <f>IF(AO$121="입주/잔금",($F183-SUM($G183:AN183))*30%,IF(AN$121="입주/잔금",($F183-SUM($G183:AM183))*50%,IF(AM$121="입주/잔금",($F183-SUM($G183:AL183))*20%,IF(AO$121=0,0,IF(AO$121="2차중도금",$F183*30%-SUM($G183:AN183),IF(AO$121="3차중도금",$F183*40%-SUM($G183:AN183),IF(AO$121="4차중도금",$F183*50%-SUM($G183:AN183),$F183*10%)))))))+(IF(AO$121="5차중도금",$F183*60%-SUM($G183:AN183)-$F183*10%,IF(AO$121="6차중도금",$F183*70%-SUM($G183:AN183)-$F183*10%,0)))</f>
        <v>0</v>
      </c>
      <c r="AP183" s="605">
        <f>IF(AP$121="입주/잔금",($F183-SUM($G183:AO183))*30%,IF(AO$121="입주/잔금",($F183-SUM($G183:AN183))*50%,IF(AN$121="입주/잔금",($F183-SUM($G183:AM183))*20%,IF(AP$121=0,0,IF(AP$121="2차중도금",$F183*30%-SUM($G183:AO183),IF(AP$121="3차중도금",$F183*40%-SUM($G183:AO183),IF(AP$121="4차중도금",$F183*50%-SUM($G183:AO183),$F183*10%)))))))+(IF(AP$121="5차중도금",$F183*60%-SUM($G183:AO183)-$F183*10%,IF(AP$121="6차중도금",$F183*70%-SUM($G183:AO183)-$F183*10%,0)))</f>
        <v>0</v>
      </c>
      <c r="AQ183" s="605">
        <f>IF(AQ$121="입주/잔금",($F183-SUM($G183:AP183))*30%,IF(AP$121="입주/잔금",($F183-SUM($G183:AO183))*50%,IF(AO$121="입주/잔금",($F183-SUM($G183:AN183))*20%,IF(AQ$121=0,0,IF(AQ$121="2차중도금",$F183*30%-SUM($G183:AP183),IF(AQ$121="3차중도금",$F183*40%-SUM($G183:AP183),IF(AQ$121="4차중도금",$F183*50%-SUM($G183:AP183),$F183*10%)))))))+(IF(AQ$121="5차중도금",$F183*60%-SUM($G183:AP183)-$F183*10%,IF(AQ$121="6차중도금",$F183*70%-SUM($G183:AP183)-$F183*10%,0)))</f>
        <v>0</v>
      </c>
      <c r="AR183" s="605">
        <f>IF(AR$121="입주/잔금",($F183-SUM($G183:AQ183))*30%,IF(AQ$121="입주/잔금",($F183-SUM($G183:AP183))*50%,IF(AP$121="입주/잔금",($F183-SUM($G183:AO183))*20%,IF(AR$121=0,0,IF(AR$121="2차중도금",$F183*30%-SUM($G183:AQ183),IF(AR$121="3차중도금",$F183*40%-SUM($G183:AQ183),IF(AR$121="4차중도금",$F183*50%-SUM($G183:AQ183),$F183*10%)))))))+(IF(AR$121="5차중도금",$F183*60%-SUM($G183:AQ183)-$F183*10%,IF(AR$121="6차중도금",$F183*70%-SUM($G183:AQ183)-$F183*10%,0)))</f>
        <v>0</v>
      </c>
      <c r="AS183" s="605">
        <f>IF(AS$121="입주/잔금",($F183-SUM($G183:AR183))*30%,IF(AR$121="입주/잔금",($F183-SUM($G183:AQ183))*50%,IF(AQ$121="입주/잔금",($F183-SUM($G183:AP183))*20%,IF(AS$121=0,0,IF(AS$121="2차중도금",$F183*30%-SUM($G183:AR183),IF(AS$121="3차중도금",$F183*40%-SUM($G183:AR183),IF(AS$121="4차중도금",$F183*50%-SUM($G183:AR183),$F183*10%)))))))+(IF(AS$121="5차중도금",$F183*60%-SUM($G183:AR183)-$F183*10%,IF(AS$121="6차중도금",$F183*70%-SUM($G183:AR183)-$F183*10%,0)))</f>
        <v>0</v>
      </c>
      <c r="AT183" s="605">
        <f>IF(AT$121="입주/잔금",($F183-SUM($G183:AS183))*30%,IF(AS$121="입주/잔금",($F183-SUM($G183:AR183))*50%,IF(AR$121="입주/잔금",($F183-SUM($G183:AQ183))*20%,IF(AT$121=0,0,IF(AT$121="2차중도금",$F183*30%-SUM($G183:AS183),IF(AT$121="3차중도금",$F183*40%-SUM($G183:AS183),IF(AT$121="4차중도금",$F183*50%-SUM($G183:AS183),$F183*10%)))))))+(IF(AT$121="5차중도금",$F183*60%-SUM($G183:AS183)-$F183*10%,IF(AT$121="6차중도금",$F183*70%-SUM($G183:AS183)-$F183*10%,0)))</f>
        <v>0</v>
      </c>
      <c r="AU183" s="605">
        <f>IF(AU$121="입주/잔금",($F183-SUM($G183:AT183))*30%,IF(AT$121="입주/잔금",($F183-SUM($G183:AS183))*50%,IF(AS$121="입주/잔금",($F183-SUM($G183:AR183))*20%,IF(AU$121=0,0,IF(AU$121="2차중도금",$F183*30%-SUM($G183:AT183),IF(AU$121="3차중도금",$F183*40%-SUM($G183:AT183),IF(AU$121="4차중도금",$F183*50%-SUM($G183:AT183),$F183*10%)))))))+(IF(AU$121="5차중도금",$F183*60%-SUM($G183:AT183)-$F183*10%,IF(AU$121="6차중도금",$F183*70%-SUM($G183:AT183)-$F183*10%,0)))</f>
        <v>0</v>
      </c>
      <c r="AV183" s="605">
        <f>IF(AV$121="입주/잔금",($F183-SUM($G183:AU183))*30%,IF(AU$121="입주/잔금",($F183-SUM($G183:AT183))*50%,IF(AT$121="입주/잔금",($F183-SUM($G183:AS183))*20%,IF(AV$121=0,0,IF(AV$121="2차중도금",$F183*30%-SUM($G183:AU183),IF(AV$121="3차중도금",$F183*40%-SUM($G183:AU183),IF(AV$121="4차중도금",$F183*50%-SUM($G183:AU183),$F183*10%)))))))+(IF(AV$121="5차중도금",$F183*60%-SUM($G183:AU183)-$F183*10%,IF(AV$121="6차중도금",$F183*70%-SUM($G183:AU183)-$F183*10%,0)))</f>
        <v>0</v>
      </c>
      <c r="AW183" s="605">
        <f>IF(AW$121="입주/잔금",($F183-SUM($G183:AV183))*30%,IF(AV$121="입주/잔금",($F183-SUM($G183:AU183))*50%,IF(AU$121="입주/잔금",($F183-SUM($G183:AT183))*20%,IF(AW$121=0,0,IF(AW$121="2차중도금",$F183*30%-SUM($G183:AV183),IF(AW$121="3차중도금",$F183*40%-SUM($G183:AV183),IF(AW$121="4차중도금",$F183*50%-SUM($G183:AV183),$F183*10%)))))))+(IF(AW$121="5차중도금",$F183*60%-SUM($G183:AV183)-$F183*10%,IF(AW$121="6차중도금",$F183*70%-SUM($G183:AV183)-$F183*10%,0)))</f>
        <v>0</v>
      </c>
      <c r="AX183" s="605">
        <f>IF(AX$121="입주/잔금",($F183-SUM($G183:AW183))*30%,IF(AW$121="입주/잔금",($F183-SUM($G183:AV183))*50%,IF(AV$121="입주/잔금",($F183-SUM($G183:AU183))*20%,IF(AX$121=0,0,IF(AX$121="2차중도금",$F183*30%-SUM($G183:AW183),IF(AX$121="3차중도금",$F183*40%-SUM($G183:AW183),IF(AX$121="4차중도금",$F183*50%-SUM($G183:AW183),$F183*10%)))))))+(IF(AX$121="5차중도금",$F183*60%-SUM($G183:AW183)-$F183*10%,IF(AX$121="6차중도금",$F183*70%-SUM($G183:AW183)-$F183*10%,0)))</f>
        <v>0</v>
      </c>
      <c r="AY183" s="605">
        <f>IF(AY$121="입주/잔금",($F183-SUM($G183:AX183))*30%,IF(AX$121="입주/잔금",($F183-SUM($G183:AW183))*50%,IF(AW$121="입주/잔금",($F183-SUM($G183:AV183))*20%,IF(AY$121=0,0,IF(AY$121="2차중도금",$F183*30%-SUM($G183:AX183),IF(AY$121="3차중도금",$F183*40%-SUM($G183:AX183),IF(AY$121="4차중도금",$F183*50%-SUM($G183:AX183),$F183*10%)))))))+(IF(AY$121="5차중도금",$F183*60%-SUM($G183:AX183)-$F183*10%,IF(AY$121="6차중도금",$F183*70%-SUM($G183:AX183)-$F183*10%,0)))</f>
        <v>0</v>
      </c>
      <c r="AZ183" s="605">
        <f>IF(AZ$121="입주/잔금",($F183-SUM($G183:AY183))*30%,IF(AY$121="입주/잔금",($F183-SUM($G183:AX183))*50%,IF(AX$121="입주/잔금",($F183-SUM($G183:AW183))*20%,IF(AZ$121=0,0,IF(AZ$121="2차중도금",$F183*30%-SUM($G183:AY183),IF(AZ$121="3차중도금",$F183*40%-SUM($G183:AY183),IF(AZ$121="4차중도금",$F183*50%-SUM($G183:AY183),$F183*10%)))))))+(IF(AZ$121="5차중도금",$F183*60%-SUM($G183:AY183)-$F183*10%,IF(AZ$121="6차중도금",$F183*70%-SUM($G183:AY183)-$F183*10%,0)))</f>
        <v>0</v>
      </c>
      <c r="BA183" s="605">
        <f>IF(BA$121="입주/잔금",($F183-SUM($G183:AZ183))*30%,IF(AZ$121="입주/잔금",($F183-SUM($G183:AY183))*50%,IF(AY$121="입주/잔금",($F183-SUM($G183:AX183))*20%,IF(BA$121=0,0,IF(BA$121="2차중도금",$F183*30%-SUM($G183:AZ183),IF(BA$121="3차중도금",$F183*40%-SUM($G183:AZ183),IF(BA$121="4차중도금",$F183*50%-SUM($G183:AZ183),$F183*10%)))))))+(IF(BA$121="5차중도금",$F183*60%-SUM($G183:AZ183)-$F183*10%,IF(BA$121="6차중도금",$F183*70%-SUM($G183:AZ183)-$F183*10%,0)))</f>
        <v>0</v>
      </c>
      <c r="BB183" s="605">
        <f>IF(BB$121="입주/잔금",($F183-SUM($G183:BA183))*30%,IF(BA$121="입주/잔금",($F183-SUM($G183:AZ183))*50%,IF(AZ$121="입주/잔금",($F183-SUM($G183:AY183))*20%,IF(BB$121=0,0,IF(BB$121="2차중도금",$F183*30%-SUM($G183:BA183),IF(BB$121="3차중도금",$F183*40%-SUM($G183:BA183),IF(BB$121="4차중도금",$F183*50%-SUM($G183:BA183),$F183*10%)))))))+(IF(BB$121="5차중도금",$F183*60%-SUM($G183:BA183)-$F183*10%,IF(BB$121="6차중도금",$F183*70%-SUM($G183:BA183)-$F183*10%,0)))</f>
        <v>0</v>
      </c>
      <c r="BC183" s="605">
        <f>IF(BC$121="입주/잔금",($F183-SUM($G183:BB183))*30%,IF(BB$121="입주/잔금",($F183-SUM($G183:BA183))*50%,IF(BA$121="입주/잔금",($F183-SUM($G183:AZ183))*20%,IF(BC$121=0,0,IF(BC$121="2차중도금",$F183*30%-SUM($G183:BB183),IF(BC$121="3차중도금",$F183*40%-SUM($G183:BB183),IF(BC$121="4차중도금",$F183*50%-SUM($G183:BB183),$F183*10%)))))))+(IF(BC$121="5차중도금",$F183*60%-SUM($G183:BB183)-$F183*10%,IF(BC$121="6차중도금",$F183*70%-SUM($G183:BB183)-$F183*10%,0)))</f>
        <v>0</v>
      </c>
      <c r="BD183" s="605">
        <f>IF(BD$121="입주/잔금",($F183-SUM($G183:BC183))*30%,IF(BC$121="입주/잔금",($F183-SUM($G183:BB183))*50%,IF(BB$121="입주/잔금",($F183-SUM($G183:BA183))*20%,IF(BD$121=0,0,IF(BD$121="2차중도금",$F183*30%-SUM($G183:BC183),IF(BD$121="3차중도금",$F183*40%-SUM($G183:BC183),IF(BD$121="4차중도금",$F183*50%-SUM($G183:BC183),$F183*10%)))))))+(IF(BD$121="5차중도금",$F183*60%-SUM($G183:BC183)-$F183*10%,IF(BD$121="6차중도금",$F183*70%-SUM($G183:BC183)-$F183*10%,0)))</f>
        <v>0</v>
      </c>
      <c r="BE183" s="605">
        <f>IF(BE$121="입주/잔금",($F183-SUM($G183:BD183))*30%,IF(BD$121="입주/잔금",($F183-SUM($G183:BC183))*50%,IF(BC$121="입주/잔금",($F183-SUM($G183:BB183))*20%,IF(BE$121=0,0,IF(BE$121="2차중도금",$F183*30%-SUM($G183:BD183),IF(BE$121="3차중도금",$F183*40%-SUM($G183:BD183),IF(BE$121="4차중도금",$F183*50%-SUM($G183:BD183),$F183*10%)))))))+(IF(BE$121="5차중도금",$F183*60%-SUM($G183:BD183)-$F183*10%,IF(BE$121="6차중도금",$F183*70%-SUM($G183:BD183)-$F183*10%,0)))</f>
        <v>0</v>
      </c>
      <c r="BF183" s="609">
        <f t="shared" si="57"/>
        <v>0</v>
      </c>
      <c r="BG183" s="556">
        <f t="shared" si="59"/>
        <v>0</v>
      </c>
      <c r="BH183" s="610"/>
    </row>
    <row r="184" spans="1:60" hidden="1">
      <c r="A184" s="1853"/>
      <c r="B184" s="611">
        <f t="shared" si="60"/>
        <v>45047</v>
      </c>
      <c r="C184" s="605">
        <f t="shared" si="61"/>
        <v>0</v>
      </c>
      <c r="D184" s="606"/>
      <c r="E184" s="607">
        <f t="shared" si="62"/>
        <v>0</v>
      </c>
      <c r="F184" s="608">
        <f t="shared" si="58"/>
        <v>0</v>
      </c>
      <c r="G184" s="605"/>
      <c r="H184" s="605"/>
      <c r="I184" s="605"/>
      <c r="J184" s="605"/>
      <c r="K184" s="605"/>
      <c r="L184" s="605"/>
      <c r="M184" s="605"/>
      <c r="N184" s="605">
        <f>$F184*10%</f>
        <v>0</v>
      </c>
      <c r="O184" s="605">
        <f>IF(O$121="입주/잔금",($F184-SUM($G184:N184))*30%,IF(N$121="입주/잔금",($F184-SUM($G184:M184))*50%,IF(M$121="입주/잔금",($F184-SUM($G184:L184))*20%,IF(O$121=0,0,IF(O$121="2차중도금",$F184*30%-SUM($G184:N184),IF(O$121="3차중도금",$F184*40%-SUM($G184:N184),IF(O$121="4차중도금",$F184*50%-SUM($G184:N184),$F184*10%)))))))+(IF(O$121="5차중도금",$F184*60%-SUM($G184:N184)-$F184*10%,IF(O$121="6차중도금",$F184*70%-SUM($G184:N184)-$F184*10%,0)))</f>
        <v>0</v>
      </c>
      <c r="P184" s="605">
        <f>IF(P$121="입주/잔금",($F184-SUM($G184:O184))*30%,IF(O$121="입주/잔금",($F184-SUM($G184:N184))*50%,IF(N$121="입주/잔금",($F184-SUM($G184:M184))*20%,IF(P$121=0,0,IF(P$121="2차중도금",$F184*30%-SUM($G184:O184),IF(P$121="3차중도금",$F184*40%-SUM($G184:O184),IF(P$121="4차중도금",$F184*50%-SUM($G184:O184),$F184*10%)))))))+(IF(P$121="5차중도금",$F184*60%-SUM($G184:O184)-$F184*10%,IF(P$121="6차중도금",$F184*70%-SUM($G184:O184)-$F184*10%,0)))</f>
        <v>0</v>
      </c>
      <c r="Q184" s="605">
        <f>IF(Q$121="입주/잔금",($F184-SUM($G184:P184))*30%,IF(P$121="입주/잔금",($F184-SUM($G184:O184))*50%,IF(O$121="입주/잔금",($F184-SUM($G184:N184))*20%,IF(Q$121=0,0,IF(Q$121="2차중도금",$F184*30%-SUM($G184:P184),IF(Q$121="3차중도금",$F184*40%-SUM($G184:P184),IF(Q$121="4차중도금",$F184*50%-SUM($G184:P184),$F184*10%)))))))+(IF(Q$121="5차중도금",$F184*60%-SUM($G184:P184)-$F184*10%,IF(Q$121="6차중도금",$F184*70%-SUM($G184:P184)-$F184*10%,0)))</f>
        <v>0</v>
      </c>
      <c r="R184" s="605">
        <f>IF(R$121="입주/잔금",($F184-SUM($G184:Q184))*30%,IF(Q$121="입주/잔금",($F184-SUM($G184:P184))*50%,IF(P$121="입주/잔금",($F184-SUM($G184:O184))*20%,IF(R$121=0,0,IF(R$121="2차중도금",$F184*30%-SUM($G184:Q184),IF(R$121="3차중도금",$F184*40%-SUM($G184:Q184),IF(R$121="4차중도금",$F184*50%-SUM($G184:Q184),$F184*10%)))))))+(IF(R$121="5차중도금",$F184*60%-SUM($G184:Q184)-$F184*10%,IF(R$121="6차중도금",$F184*70%-SUM($G184:Q184)-$F184*10%,0)))</f>
        <v>0</v>
      </c>
      <c r="S184" s="605">
        <f>IF(S$121="입주/잔금",($F184-SUM($G184:R184))*30%,IF(R$121="입주/잔금",($F184-SUM($G184:Q184))*50%,IF(Q$121="입주/잔금",($F184-SUM($G184:P184))*20%,IF(S$121=0,0,IF(S$121="2차중도금",$F184*30%-SUM($G184:R184),IF(S$121="3차중도금",$F184*40%-SUM($G184:R184),IF(S$121="4차중도금",$F184*50%-SUM($G184:R184),$F184*10%)))))))+(IF(S$121="5차중도금",$F184*60%-SUM($G184:R184)-$F184*10%,IF(S$121="6차중도금",$F184*70%-SUM($G184:R184)-$F184*10%,0)))</f>
        <v>0</v>
      </c>
      <c r="T184" s="605">
        <f>IF(T$121="입주/잔금",($F184-SUM($G184:S184))*30%,IF(S$121="입주/잔금",($F184-SUM($G184:R184))*50%,IF(R$121="입주/잔금",($F184-SUM($G184:Q184))*20%,IF(T$121=0,0,IF(T$121="2차중도금",$F184*30%-SUM($G184:S184),IF(T$121="3차중도금",$F184*40%-SUM($G184:S184),IF(T$121="4차중도금",$F184*50%-SUM($G184:S184),$F184*10%)))))))+(IF(T$121="5차중도금",$F184*60%-SUM($G184:S184)-$F184*10%,IF(T$121="6차중도금",$F184*70%-SUM($G184:S184)-$F184*10%,0)))</f>
        <v>0</v>
      </c>
      <c r="U184" s="605">
        <f>IF(U$121="입주/잔금",($F184-SUM($G184:T184))*30%,IF(T$121="입주/잔금",($F184-SUM($G184:S184))*50%,IF(S$121="입주/잔금",($F184-SUM($G184:R184))*20%,IF(U$121=0,0,IF(U$121="2차중도금",$F184*30%-SUM($G184:T184),IF(U$121="3차중도금",$F184*40%-SUM($G184:T184),IF(U$121="4차중도금",$F184*50%-SUM($G184:T184),$F184*10%)))))))+(IF(U$121="5차중도금",$F184*60%-SUM($G184:T184)-$F184*10%,IF(U$121="6차중도금",$F184*70%-SUM($G184:T184)-$F184*10%,0)))</f>
        <v>0</v>
      </c>
      <c r="V184" s="605">
        <f>IF(V$121="입주/잔금",($F184-SUM($G184:U184))*30%,IF(U$121="입주/잔금",($F184-SUM($G184:T184))*50%,IF(T$121="입주/잔금",($F184-SUM($G184:S184))*20%,IF(V$121=0,0,IF(V$121="2차중도금",$F184*30%-SUM($G184:U184),IF(V$121="3차중도금",$F184*40%-SUM($G184:U184),IF(V$121="4차중도금",$F184*50%-SUM($G184:U184),$F184*10%)))))))+(IF(V$121="5차중도금",$F184*60%-SUM($G184:U184)-$F184*10%,IF(V$121="6차중도금",$F184*70%-SUM($G184:U184)-$F184*10%,0)))</f>
        <v>0</v>
      </c>
      <c r="W184" s="605">
        <f>IF(W$121="입주/잔금",($F184-SUM($G184:V184))*30%,IF(V$121="입주/잔금",($F184-SUM($G184:U184))*50%,IF(U$121="입주/잔금",($F184-SUM($G184:T184))*20%,IF(W$121=0,0,IF(W$121="2차중도금",$F184*30%-SUM($G184:V184),IF(W$121="3차중도금",$F184*40%-SUM($G184:V184),IF(W$121="4차중도금",$F184*50%-SUM($G184:V184),$F184*10%)))))))+(IF(W$121="5차중도금",$F184*60%-SUM($G184:V184)-$F184*10%,IF(W$121="6차중도금",$F184*70%-SUM($G184:V184)-$F184*10%,0)))</f>
        <v>0</v>
      </c>
      <c r="X184" s="605">
        <f>IF(X$121="입주/잔금",($F184-SUM($G184:W184))*30%,IF(W$121="입주/잔금",($F184-SUM($G184:V184))*50%,IF(V$121="입주/잔금",($F184-SUM($G184:U184))*20%,IF(X$121=0,0,IF(X$121="2차중도금",$F184*30%-SUM($G184:W184),IF(X$121="3차중도금",$F184*40%-SUM($G184:W184),IF(X$121="4차중도금",$F184*50%-SUM($G184:W184),$F184*10%)))))))+(IF(X$121="5차중도금",$F184*60%-SUM($G184:W184)-$F184*10%,IF(X$121="6차중도금",$F184*70%-SUM($G184:W184)-$F184*10%,0)))</f>
        <v>0</v>
      </c>
      <c r="Y184" s="605">
        <f>IF(Y$121="입주/잔금",($F184-SUM($G184:X184))*30%,IF(X$121="입주/잔금",($F184-SUM($G184:W184))*50%,IF(W$121="입주/잔금",($F184-SUM($G184:V184))*20%,IF(Y$121=0,0,IF(Y$121="2차중도금",$F184*30%-SUM($G184:X184),IF(Y$121="3차중도금",$F184*40%-SUM($G184:X184),IF(Y$121="4차중도금",$F184*50%-SUM($G184:X184),$F184*10%)))))))+(IF(Y$121="5차중도금",$F184*60%-SUM($G184:X184)-$F184*10%,IF(Y$121="6차중도금",$F184*70%-SUM($G184:X184)-$F184*10%,0)))</f>
        <v>0</v>
      </c>
      <c r="Z184" s="605">
        <f>IF(Z$121="입주/잔금",($F184-SUM($G184:Y184))*30%,IF(Y$121="입주/잔금",($F184-SUM($G184:X184))*50%,IF(X$121="입주/잔금",($F184-SUM($G184:W184))*20%,IF(Z$121=0,0,IF(Z$121="2차중도금",$F184*30%-SUM($G184:Y184),IF(Z$121="3차중도금",$F184*40%-SUM($G184:Y184),IF(Z$121="4차중도금",$F184*50%-SUM($G184:Y184),$F184*10%)))))))+(IF(Z$121="5차중도금",$F184*60%-SUM($G184:Y184)-$F184*10%,IF(Z$121="6차중도금",$F184*70%-SUM($G184:Y184)-$F184*10%,0)))</f>
        <v>0</v>
      </c>
      <c r="AA184" s="605">
        <f>IF(AA$121="입주/잔금",($F184-SUM($G184:Z184))*30%,IF(Z$121="입주/잔금",($F184-SUM($G184:Y184))*50%,IF(Y$121="입주/잔금",($F184-SUM($G184:X184))*20%,IF(AA$121=0,0,IF(AA$121="2차중도금",$F184*30%-SUM($G184:Z184),IF(AA$121="3차중도금",$F184*40%-SUM($G184:Z184),IF(AA$121="4차중도금",$F184*50%-SUM($G184:Z184),$F184*10%)))))))+(IF(AA$121="5차중도금",$F184*60%-SUM($G184:Z184)-$F184*10%,IF(AA$121="6차중도금",$F184*70%-SUM($G184:Z184)-$F184*10%,0)))</f>
        <v>0</v>
      </c>
      <c r="AB184" s="605">
        <f>IF(AB$121="입주/잔금",($F184-SUM($G184:AA184))*30%,IF(AA$121="입주/잔금",($F184-SUM($G184:Z184))*50%,IF(Z$121="입주/잔금",($F184-SUM($G184:Y184))*20%,IF(AB$121=0,0,IF(AB$121="2차중도금",$F184*30%-SUM($G184:AA184),IF(AB$121="3차중도금",$F184*40%-SUM($G184:AA184),IF(AB$121="4차중도금",$F184*50%-SUM($G184:AA184),$F184*10%)))))))+(IF(AB$121="5차중도금",$F184*60%-SUM($G184:AA184)-$F184*10%,IF(AB$121="6차중도금",$F184*70%-SUM($G184:AA184)-$F184*10%,0)))</f>
        <v>0</v>
      </c>
      <c r="AC184" s="605">
        <f>IF(AC$121="입주/잔금",($F184-SUM($G184:AB184))*30%,IF(AB$121="입주/잔금",($F184-SUM($G184:AA184))*50%,IF(AA$121="입주/잔금",($F184-SUM($G184:Z184))*20%,IF(AC$121=0,0,IF(AC$121="2차중도금",$F184*30%-SUM($G184:AB184),IF(AC$121="3차중도금",$F184*40%-SUM($G184:AB184),IF(AC$121="4차중도금",$F184*50%-SUM($G184:AB184),$F184*10%)))))))+(IF(AC$121="5차중도금",$F184*60%-SUM($G184:AB184)-$F184*10%,IF(AC$121="6차중도금",$F184*70%-SUM($G184:AB184)-$F184*10%,0)))</f>
        <v>0</v>
      </c>
      <c r="AD184" s="605">
        <f>IF(AD$121="입주/잔금",($F184-SUM($G184:AC184))*30%,IF(AC$121="입주/잔금",($F184-SUM($G184:AB184))*50%,IF(AB$121="입주/잔금",($F184-SUM($G184:AA184))*20%,IF(AD$121=0,0,IF(AD$121="2차중도금",$F184*30%-SUM($G184:AC184),IF(AD$121="3차중도금",$F184*40%-SUM($G184:AC184),IF(AD$121="4차중도금",$F184*50%-SUM($G184:AC184),$F184*10%)))))))+(IF(AD$121="5차중도금",$F184*60%-SUM($G184:AC184)-$F184*10%,IF(AD$121="6차중도금",$F184*70%-SUM($G184:AC184)-$F184*10%,0)))</f>
        <v>0</v>
      </c>
      <c r="AE184" s="605">
        <f>IF(AE$121="입주/잔금",($F184-SUM($G184:AD184))*30%,IF(AD$121="입주/잔금",($F184-SUM($G184:AC184))*50%,IF(AC$121="입주/잔금",($F184-SUM($G184:AB184))*20%,IF(AE$121=0,0,IF(AE$121="2차중도금",$F184*30%-SUM($G184:AD184),IF(AE$121="3차중도금",$F184*40%-SUM($G184:AD184),IF(AE$121="4차중도금",$F184*50%-SUM($G184:AD184),$F184*10%)))))))+(IF(AE$121="5차중도금",$F184*60%-SUM($G184:AD184)-$F184*10%,IF(AE$121="6차중도금",$F184*70%-SUM($G184:AD184)-$F184*10%,0)))</f>
        <v>0</v>
      </c>
      <c r="AF184" s="605">
        <f>IF(AF$121="입주/잔금",($F184-SUM($G184:AE184))*30%,IF(AE$121="입주/잔금",($F184-SUM($G184:AD184))*50%,IF(AD$121="입주/잔금",($F184-SUM($G184:AC184))*20%,IF(AF$121=0,0,IF(AF$121="2차중도금",$F184*30%-SUM($G184:AE184),IF(AF$121="3차중도금",$F184*40%-SUM($G184:AE184),IF(AF$121="4차중도금",$F184*50%-SUM($G184:AE184),$F184*10%)))))))+(IF(AF$121="5차중도금",$F184*60%-SUM($G184:AE184)-$F184*10%,IF(AF$121="6차중도금",$F184*70%-SUM($G184:AE184)-$F184*10%,0)))</f>
        <v>0</v>
      </c>
      <c r="AG184" s="605">
        <f>IF(AG$121="입주/잔금",($F184-SUM($G184:AF184))*30%,IF(AF$121="입주/잔금",($F184-SUM($G184:AE184))*50%,IF(AE$121="입주/잔금",($F184-SUM($G184:AD184))*20%,IF(AG$121=0,0,IF(AG$121="2차중도금",$F184*30%-SUM($G184:AF184),IF(AG$121="3차중도금",$F184*40%-SUM($G184:AF184),IF(AG$121="4차중도금",$F184*50%-SUM($G184:AF184),$F184*10%)))))))+(IF(AG$121="5차중도금",$F184*60%-SUM($G184:AF184)-$F184*10%,IF(AG$121="6차중도금",$F184*70%-SUM($G184:AF184)-$F184*10%,0)))</f>
        <v>0</v>
      </c>
      <c r="AH184" s="605">
        <f>IF(AH$121="입주/잔금",($F184-SUM($G184:AG184))*30%,IF(AG$121="입주/잔금",($F184-SUM($G184:AF184))*50%,IF(AF$121="입주/잔금",($F184-SUM($G184:AE184))*20%,IF(AH$121=0,0,IF(AH$121="2차중도금",$F184*30%-SUM($G184:AG184),IF(AH$121="3차중도금",$F184*40%-SUM($G184:AG184),IF(AH$121="4차중도금",$F184*50%-SUM($G184:AG184),$F184*10%)))))))+(IF(AH$121="5차중도금",$F184*60%-SUM($G184:AG184)-$F184*10%,IF(AH$121="6차중도금",$F184*70%-SUM($G184:AG184)-$F184*10%,0)))</f>
        <v>0</v>
      </c>
      <c r="AI184" s="605">
        <f>IF(AI$121="입주/잔금",($F184-SUM($G184:AH184))*30%,IF(AH$121="입주/잔금",($F184-SUM($G184:AG184))*50%,IF(AG$121="입주/잔금",($F184-SUM($G184:AF184))*20%,IF(AI$121=0,0,IF(AI$121="2차중도금",$F184*30%-SUM($G184:AH184),IF(AI$121="3차중도금",$F184*40%-SUM($G184:AH184),IF(AI$121="4차중도금",$F184*50%-SUM($G184:AH184),$F184*10%)))))))+(IF(AI$121="5차중도금",$F184*60%-SUM($G184:AH184)-$F184*10%,IF(AI$121="6차중도금",$F184*70%-SUM($G184:AH184)-$F184*10%,0)))</f>
        <v>0</v>
      </c>
      <c r="AJ184" s="605">
        <f>IF(AJ$121="입주/잔금",($F184-SUM($G184:AI184))*30%,IF(AI$121="입주/잔금",($F184-SUM($G184:AH184))*50%,IF(AH$121="입주/잔금",($F184-SUM($G184:AG184))*20%,IF(AJ$121=0,0,IF(AJ$121="2차중도금",$F184*30%-SUM($G184:AI184),IF(AJ$121="3차중도금",$F184*40%-SUM($G184:AI184),IF(AJ$121="4차중도금",$F184*50%-SUM($G184:AI184),$F184*10%)))))))+(IF(AJ$121="5차중도금",$F184*60%-SUM($G184:AI184)-$F184*10%,IF(AJ$121="6차중도금",$F184*70%-SUM($G184:AI184)-$F184*10%,0)))</f>
        <v>0</v>
      </c>
      <c r="AK184" s="605">
        <f>IF(AK$121="입주/잔금",($F184-SUM($G184:AJ184))*30%,IF(AJ$121="입주/잔금",($F184-SUM($G184:AI184))*50%,IF(AI$121="입주/잔금",($F184-SUM($G184:AH184))*20%,IF(AK$121=0,0,IF(AK$121="2차중도금",$F184*30%-SUM($G184:AJ184),IF(AK$121="3차중도금",$F184*40%-SUM($G184:AJ184),IF(AK$121="4차중도금",$F184*50%-SUM($G184:AJ184),$F184*10%)))))))+(IF(AK$121="5차중도금",$F184*60%-SUM($G184:AJ184)-$F184*10%,IF(AK$121="6차중도금",$F184*70%-SUM($G184:AJ184)-$F184*10%,0)))</f>
        <v>0</v>
      </c>
      <c r="AL184" s="605">
        <f>IF(AL$121="입주/잔금",($F184-SUM($G184:AK184))*30%,IF(AK$121="입주/잔금",($F184-SUM($G184:AJ184))*50%,IF(AJ$121="입주/잔금",($F184-SUM($G184:AI184))*20%,IF(AL$121=0,0,IF(AL$121="2차중도금",$F184*30%-SUM($G184:AK184),IF(AL$121="3차중도금",$F184*40%-SUM($G184:AK184),IF(AL$121="4차중도금",$F184*50%-SUM($G184:AK184),$F184*10%)))))))+(IF(AL$121="5차중도금",$F184*60%-SUM($G184:AK184)-$F184*10%,IF(AL$121="6차중도금",$F184*70%-SUM($G184:AK184)-$F184*10%,0)))</f>
        <v>0</v>
      </c>
      <c r="AM184" s="605">
        <f>IF(AM$121="입주/잔금",($F184-SUM($G184:AL184))*30%,IF(AL$121="입주/잔금",($F184-SUM($G184:AK184))*50%,IF(AK$121="입주/잔금",($F184-SUM($G184:AJ184))*20%,IF(AM$121=0,0,IF(AM$121="2차중도금",$F184*30%-SUM($G184:AL184),IF(AM$121="3차중도금",$F184*40%-SUM($G184:AL184),IF(AM$121="4차중도금",$F184*50%-SUM($G184:AL184),$F184*10%)))))))+(IF(AM$121="5차중도금",$F184*60%-SUM($G184:AL184)-$F184*10%,IF(AM$121="6차중도금",$F184*70%-SUM($G184:AL184)-$F184*10%,0)))</f>
        <v>0</v>
      </c>
      <c r="AN184" s="605">
        <f>IF(AN$121="입주/잔금",($F184-SUM($G184:AM184))*30%,IF(AM$121="입주/잔금",($F184-SUM($G184:AL184))*50%,IF(AL$121="입주/잔금",($F184-SUM($G184:AK184))*20%,IF(AN$121=0,0,IF(AN$121="2차중도금",$F184*30%-SUM($G184:AM184),IF(AN$121="3차중도금",$F184*40%-SUM($G184:AM184),IF(AN$121="4차중도금",$F184*50%-SUM($G184:AM184),$F184*10%)))))))+(IF(AN$121="5차중도금",$F184*60%-SUM($G184:AM184)-$F184*10%,IF(AN$121="6차중도금",$F184*70%-SUM($G184:AM184)-$F184*10%,0)))</f>
        <v>0</v>
      </c>
      <c r="AO184" s="605">
        <f>IF(AO$121="입주/잔금",($F184-SUM($G184:AN184))*30%,IF(AN$121="입주/잔금",($F184-SUM($G184:AM184))*50%,IF(AM$121="입주/잔금",($F184-SUM($G184:AL184))*20%,IF(AO$121=0,0,IF(AO$121="2차중도금",$F184*30%-SUM($G184:AN184),IF(AO$121="3차중도금",$F184*40%-SUM($G184:AN184),IF(AO$121="4차중도금",$F184*50%-SUM($G184:AN184),$F184*10%)))))))+(IF(AO$121="5차중도금",$F184*60%-SUM($G184:AN184)-$F184*10%,IF(AO$121="6차중도금",$F184*70%-SUM($G184:AN184)-$F184*10%,0)))</f>
        <v>0</v>
      </c>
      <c r="AP184" s="605">
        <f>IF(AP$121="입주/잔금",($F184-SUM($G184:AO184))*30%,IF(AO$121="입주/잔금",($F184-SUM($G184:AN184))*50%,IF(AN$121="입주/잔금",($F184-SUM($G184:AM184))*20%,IF(AP$121=0,0,IF(AP$121="2차중도금",$F184*30%-SUM($G184:AO184),IF(AP$121="3차중도금",$F184*40%-SUM($G184:AO184),IF(AP$121="4차중도금",$F184*50%-SUM($G184:AO184),$F184*10%)))))))+(IF(AP$121="5차중도금",$F184*60%-SUM($G184:AO184)-$F184*10%,IF(AP$121="6차중도금",$F184*70%-SUM($G184:AO184)-$F184*10%,0)))</f>
        <v>0</v>
      </c>
      <c r="AQ184" s="605">
        <f>IF(AQ$121="입주/잔금",($F184-SUM($G184:AP184))*30%,IF(AP$121="입주/잔금",($F184-SUM($G184:AO184))*50%,IF(AO$121="입주/잔금",($F184-SUM($G184:AN184))*20%,IF(AQ$121=0,0,IF(AQ$121="2차중도금",$F184*30%-SUM($G184:AP184),IF(AQ$121="3차중도금",$F184*40%-SUM($G184:AP184),IF(AQ$121="4차중도금",$F184*50%-SUM($G184:AP184),$F184*10%)))))))+(IF(AQ$121="5차중도금",$F184*60%-SUM($G184:AP184)-$F184*10%,IF(AQ$121="6차중도금",$F184*70%-SUM($G184:AP184)-$F184*10%,0)))</f>
        <v>0</v>
      </c>
      <c r="AR184" s="605">
        <f>IF(AR$121="입주/잔금",($F184-SUM($G184:AQ184))*30%,IF(AQ$121="입주/잔금",($F184-SUM($G184:AP184))*50%,IF(AP$121="입주/잔금",($F184-SUM($G184:AO184))*20%,IF(AR$121=0,0,IF(AR$121="2차중도금",$F184*30%-SUM($G184:AQ184),IF(AR$121="3차중도금",$F184*40%-SUM($G184:AQ184),IF(AR$121="4차중도금",$F184*50%-SUM($G184:AQ184),$F184*10%)))))))+(IF(AR$121="5차중도금",$F184*60%-SUM($G184:AQ184)-$F184*10%,IF(AR$121="6차중도금",$F184*70%-SUM($G184:AQ184)-$F184*10%,0)))</f>
        <v>0</v>
      </c>
      <c r="AS184" s="605">
        <f>IF(AS$121="입주/잔금",($F184-SUM($G184:AR184))*30%,IF(AR$121="입주/잔금",($F184-SUM($G184:AQ184))*50%,IF(AQ$121="입주/잔금",($F184-SUM($G184:AP184))*20%,IF(AS$121=0,0,IF(AS$121="2차중도금",$F184*30%-SUM($G184:AR184),IF(AS$121="3차중도금",$F184*40%-SUM($G184:AR184),IF(AS$121="4차중도금",$F184*50%-SUM($G184:AR184),$F184*10%)))))))+(IF(AS$121="5차중도금",$F184*60%-SUM($G184:AR184)-$F184*10%,IF(AS$121="6차중도금",$F184*70%-SUM($G184:AR184)-$F184*10%,0)))</f>
        <v>0</v>
      </c>
      <c r="AT184" s="605">
        <f>IF(AT$121="입주/잔금",($F184-SUM($G184:AS184))*30%,IF(AS$121="입주/잔금",($F184-SUM($G184:AR184))*50%,IF(AR$121="입주/잔금",($F184-SUM($G184:AQ184))*20%,IF(AT$121=0,0,IF(AT$121="2차중도금",$F184*30%-SUM($G184:AS184),IF(AT$121="3차중도금",$F184*40%-SUM($G184:AS184),IF(AT$121="4차중도금",$F184*50%-SUM($G184:AS184),$F184*10%)))))))+(IF(AT$121="5차중도금",$F184*60%-SUM($G184:AS184)-$F184*10%,IF(AT$121="6차중도금",$F184*70%-SUM($G184:AS184)-$F184*10%,0)))</f>
        <v>0</v>
      </c>
      <c r="AU184" s="605">
        <f>IF(AU$121="입주/잔금",($F184-SUM($G184:AT184))*30%,IF(AT$121="입주/잔금",($F184-SUM($G184:AS184))*50%,IF(AS$121="입주/잔금",($F184-SUM($G184:AR184))*20%,IF(AU$121=0,0,IF(AU$121="2차중도금",$F184*30%-SUM($G184:AT184),IF(AU$121="3차중도금",$F184*40%-SUM($G184:AT184),IF(AU$121="4차중도금",$F184*50%-SUM($G184:AT184),$F184*10%)))))))+(IF(AU$121="5차중도금",$F184*60%-SUM($G184:AT184)-$F184*10%,IF(AU$121="6차중도금",$F184*70%-SUM($G184:AT184)-$F184*10%,0)))</f>
        <v>0</v>
      </c>
      <c r="AV184" s="605">
        <f>IF(AV$121="입주/잔금",($F184-SUM($G184:AU184))*30%,IF(AU$121="입주/잔금",($F184-SUM($G184:AT184))*50%,IF(AT$121="입주/잔금",($F184-SUM($G184:AS184))*20%,IF(AV$121=0,0,IF(AV$121="2차중도금",$F184*30%-SUM($G184:AU184),IF(AV$121="3차중도금",$F184*40%-SUM($G184:AU184),IF(AV$121="4차중도금",$F184*50%-SUM($G184:AU184),$F184*10%)))))))+(IF(AV$121="5차중도금",$F184*60%-SUM($G184:AU184)-$F184*10%,IF(AV$121="6차중도금",$F184*70%-SUM($G184:AU184)-$F184*10%,0)))</f>
        <v>0</v>
      </c>
      <c r="AW184" s="605">
        <f>IF(AW$121="입주/잔금",($F184-SUM($G184:AV184))*30%,IF(AV$121="입주/잔금",($F184-SUM($G184:AU184))*50%,IF(AU$121="입주/잔금",($F184-SUM($G184:AT184))*20%,IF(AW$121=0,0,IF(AW$121="2차중도금",$F184*30%-SUM($G184:AV184),IF(AW$121="3차중도금",$F184*40%-SUM($G184:AV184),IF(AW$121="4차중도금",$F184*50%-SUM($G184:AV184),$F184*10%)))))))+(IF(AW$121="5차중도금",$F184*60%-SUM($G184:AV184)-$F184*10%,IF(AW$121="6차중도금",$F184*70%-SUM($G184:AV184)-$F184*10%,0)))</f>
        <v>0</v>
      </c>
      <c r="AX184" s="605">
        <f>IF(AX$121="입주/잔금",($F184-SUM($G184:AW184))*30%,IF(AW$121="입주/잔금",($F184-SUM($G184:AV184))*50%,IF(AV$121="입주/잔금",($F184-SUM($G184:AU184))*20%,IF(AX$121=0,0,IF(AX$121="2차중도금",$F184*30%-SUM($G184:AW184),IF(AX$121="3차중도금",$F184*40%-SUM($G184:AW184),IF(AX$121="4차중도금",$F184*50%-SUM($G184:AW184),$F184*10%)))))))+(IF(AX$121="5차중도금",$F184*60%-SUM($G184:AW184)-$F184*10%,IF(AX$121="6차중도금",$F184*70%-SUM($G184:AW184)-$F184*10%,0)))</f>
        <v>0</v>
      </c>
      <c r="AY184" s="605">
        <f>IF(AY$121="입주/잔금",($F184-SUM($G184:AX184))*30%,IF(AX$121="입주/잔금",($F184-SUM($G184:AW184))*50%,IF(AW$121="입주/잔금",($F184-SUM($G184:AV184))*20%,IF(AY$121=0,0,IF(AY$121="2차중도금",$F184*30%-SUM($G184:AX184),IF(AY$121="3차중도금",$F184*40%-SUM($G184:AX184),IF(AY$121="4차중도금",$F184*50%-SUM($G184:AX184),$F184*10%)))))))+(IF(AY$121="5차중도금",$F184*60%-SUM($G184:AX184)-$F184*10%,IF(AY$121="6차중도금",$F184*70%-SUM($G184:AX184)-$F184*10%,0)))</f>
        <v>0</v>
      </c>
      <c r="AZ184" s="605">
        <f>IF(AZ$121="입주/잔금",($F184-SUM($G184:AY184))*30%,IF(AY$121="입주/잔금",($F184-SUM($G184:AX184))*50%,IF(AX$121="입주/잔금",($F184-SUM($G184:AW184))*20%,IF(AZ$121=0,0,IF(AZ$121="2차중도금",$F184*30%-SUM($G184:AY184),IF(AZ$121="3차중도금",$F184*40%-SUM($G184:AY184),IF(AZ$121="4차중도금",$F184*50%-SUM($G184:AY184),$F184*10%)))))))+(IF(AZ$121="5차중도금",$F184*60%-SUM($G184:AY184)-$F184*10%,IF(AZ$121="6차중도금",$F184*70%-SUM($G184:AY184)-$F184*10%,0)))</f>
        <v>0</v>
      </c>
      <c r="BA184" s="605">
        <f>IF(BA$121="입주/잔금",($F184-SUM($G184:AZ184))*30%,IF(AZ$121="입주/잔금",($F184-SUM($G184:AY184))*50%,IF(AY$121="입주/잔금",($F184-SUM($G184:AX184))*20%,IF(BA$121=0,0,IF(BA$121="2차중도금",$F184*30%-SUM($G184:AZ184),IF(BA$121="3차중도금",$F184*40%-SUM($G184:AZ184),IF(BA$121="4차중도금",$F184*50%-SUM($G184:AZ184),$F184*10%)))))))+(IF(BA$121="5차중도금",$F184*60%-SUM($G184:AZ184)-$F184*10%,IF(BA$121="6차중도금",$F184*70%-SUM($G184:AZ184)-$F184*10%,0)))</f>
        <v>0</v>
      </c>
      <c r="BB184" s="605">
        <f>IF(BB$121="입주/잔금",($F184-SUM($G184:BA184))*30%,IF(BA$121="입주/잔금",($F184-SUM($G184:AZ184))*50%,IF(AZ$121="입주/잔금",($F184-SUM($G184:AY184))*20%,IF(BB$121=0,0,IF(BB$121="2차중도금",$F184*30%-SUM($G184:BA184),IF(BB$121="3차중도금",$F184*40%-SUM($G184:BA184),IF(BB$121="4차중도금",$F184*50%-SUM($G184:BA184),$F184*10%)))))))+(IF(BB$121="5차중도금",$F184*60%-SUM($G184:BA184)-$F184*10%,IF(BB$121="6차중도금",$F184*70%-SUM($G184:BA184)-$F184*10%,0)))</f>
        <v>0</v>
      </c>
      <c r="BC184" s="605">
        <f>IF(BC$121="입주/잔금",($F184-SUM($G184:BB184))*30%,IF(BB$121="입주/잔금",($F184-SUM($G184:BA184))*50%,IF(BA$121="입주/잔금",($F184-SUM($G184:AZ184))*20%,IF(BC$121=0,0,IF(BC$121="2차중도금",$F184*30%-SUM($G184:BB184),IF(BC$121="3차중도금",$F184*40%-SUM($G184:BB184),IF(BC$121="4차중도금",$F184*50%-SUM($G184:BB184),$F184*10%)))))))+(IF(BC$121="5차중도금",$F184*60%-SUM($G184:BB184)-$F184*10%,IF(BC$121="6차중도금",$F184*70%-SUM($G184:BB184)-$F184*10%,0)))</f>
        <v>0</v>
      </c>
      <c r="BD184" s="605">
        <f>IF(BD$121="입주/잔금",($F184-SUM($G184:BC184))*30%,IF(BC$121="입주/잔금",($F184-SUM($G184:BB184))*50%,IF(BB$121="입주/잔금",($F184-SUM($G184:BA184))*20%,IF(BD$121=0,0,IF(BD$121="2차중도금",$F184*30%-SUM($G184:BC184),IF(BD$121="3차중도금",$F184*40%-SUM($G184:BC184),IF(BD$121="4차중도금",$F184*50%-SUM($G184:BC184),$F184*10%)))))))+(IF(BD$121="5차중도금",$F184*60%-SUM($G184:BC184)-$F184*10%,IF(BD$121="6차중도금",$F184*70%-SUM($G184:BC184)-$F184*10%,0)))</f>
        <v>0</v>
      </c>
      <c r="BE184" s="605">
        <f>IF(BE$121="입주/잔금",($F184-SUM($G184:BD184))*30%,IF(BD$121="입주/잔금",($F184-SUM($G184:BC184))*50%,IF(BC$121="입주/잔금",($F184-SUM($G184:BB184))*20%,IF(BE$121=0,0,IF(BE$121="2차중도금",$F184*30%-SUM($G184:BD184),IF(BE$121="3차중도금",$F184*40%-SUM($G184:BD184),IF(BE$121="4차중도금",$F184*50%-SUM($G184:BD184),$F184*10%)))))))+(IF(BE$121="5차중도금",$F184*60%-SUM($G184:BD184)-$F184*10%,IF(BE$121="6차중도금",$F184*70%-SUM($G184:BD184)-$F184*10%,0)))</f>
        <v>0</v>
      </c>
      <c r="BF184" s="609">
        <f t="shared" si="57"/>
        <v>0</v>
      </c>
      <c r="BG184" s="556">
        <f t="shared" si="59"/>
        <v>0</v>
      </c>
      <c r="BH184" s="610"/>
    </row>
    <row r="185" spans="1:60" hidden="1">
      <c r="A185" s="1853"/>
      <c r="B185" s="613">
        <f t="shared" si="60"/>
        <v>45078</v>
      </c>
      <c r="C185" s="605">
        <f t="shared" si="61"/>
        <v>0</v>
      </c>
      <c r="D185" s="606"/>
      <c r="E185" s="607">
        <f t="shared" si="62"/>
        <v>0</v>
      </c>
      <c r="F185" s="608">
        <f t="shared" si="58"/>
        <v>0</v>
      </c>
      <c r="G185" s="605"/>
      <c r="H185" s="605"/>
      <c r="I185" s="605"/>
      <c r="J185" s="605"/>
      <c r="K185" s="605"/>
      <c r="L185" s="605"/>
      <c r="M185" s="605"/>
      <c r="N185" s="605"/>
      <c r="O185" s="605">
        <f>$F185*10%</f>
        <v>0</v>
      </c>
      <c r="P185" s="605">
        <f>IF(P$121="입주/잔금",($F185-SUM($G185:O185))*30%,IF(O$121="입주/잔금",($F185-SUM($G185:N185))*50%,IF(N$121="입주/잔금",($F185-SUM($G185:M185))*20%,IF(P$121=0,0,IF(P$121="2차중도금",$F185*30%-SUM($G185:O185),IF(P$121="3차중도금",$F185*40%-SUM($G185:O185),IF(P$121="4차중도금",$F185*50%-SUM($G185:O185),$F185*10%)))))))+(IF(P$121="5차중도금",$F185*60%-SUM($G185:O185)-$F185*10%,IF(P$121="6차중도금",$F185*70%-SUM($G185:O185)-$F185*10%,0)))</f>
        <v>0</v>
      </c>
      <c r="Q185" s="605">
        <f>IF(Q$121="입주/잔금",($F185-SUM($G185:P185))*30%,IF(P$121="입주/잔금",($F185-SUM($G185:O185))*50%,IF(O$121="입주/잔금",($F185-SUM($G185:N185))*20%,IF(Q$121=0,0,IF(Q$121="2차중도금",$F185*30%-SUM($G185:P185),IF(Q$121="3차중도금",$F185*40%-SUM($G185:P185),IF(Q$121="4차중도금",$F185*50%-SUM($G185:P185),$F185*10%)))))))+(IF(Q$121="5차중도금",$F185*60%-SUM($G185:P185)-$F185*10%,IF(Q$121="6차중도금",$F185*70%-SUM($G185:P185)-$F185*10%,0)))</f>
        <v>0</v>
      </c>
      <c r="R185" s="605">
        <f>IF(R$121="입주/잔금",($F185-SUM($G185:Q185))*30%,IF(Q$121="입주/잔금",($F185-SUM($G185:P185))*50%,IF(P$121="입주/잔금",($F185-SUM($G185:O185))*20%,IF(R$121=0,0,IF(R$121="2차중도금",$F185*30%-SUM($G185:Q185),IF(R$121="3차중도금",$F185*40%-SUM($G185:Q185),IF(R$121="4차중도금",$F185*50%-SUM($G185:Q185),$F185*10%)))))))+(IF(R$121="5차중도금",$F185*60%-SUM($G185:Q185)-$F185*10%,IF(R$121="6차중도금",$F185*70%-SUM($G185:Q185)-$F185*10%,0)))</f>
        <v>0</v>
      </c>
      <c r="S185" s="605">
        <f>IF(S$121="입주/잔금",($F185-SUM($G185:R185))*30%,IF(R$121="입주/잔금",($F185-SUM($G185:Q185))*50%,IF(Q$121="입주/잔금",($F185-SUM($G185:P185))*20%,IF(S$121=0,0,IF(S$121="2차중도금",$F185*30%-SUM($G185:R185),IF(S$121="3차중도금",$F185*40%-SUM($G185:R185),IF(S$121="4차중도금",$F185*50%-SUM($G185:R185),$F185*10%)))))))+(IF(S$121="5차중도금",$F185*60%-SUM($G185:R185)-$F185*10%,IF(S$121="6차중도금",$F185*70%-SUM($G185:R185)-$F185*10%,0)))</f>
        <v>0</v>
      </c>
      <c r="T185" s="605">
        <f>IF(T$121="입주/잔금",($F185-SUM($G185:S185))*30%,IF(S$121="입주/잔금",($F185-SUM($G185:R185))*50%,IF(R$121="입주/잔금",($F185-SUM($G185:Q185))*20%,IF(T$121=0,0,IF(T$121="2차중도금",$F185*30%-SUM($G185:S185),IF(T$121="3차중도금",$F185*40%-SUM($G185:S185),IF(T$121="4차중도금",$F185*50%-SUM($G185:S185),$F185*10%)))))))+(IF(T$121="5차중도금",$F185*60%-SUM($G185:S185)-$F185*10%,IF(T$121="6차중도금",$F185*70%-SUM($G185:S185)-$F185*10%,0)))</f>
        <v>0</v>
      </c>
      <c r="U185" s="605">
        <f>IF(U$121="입주/잔금",($F185-SUM($G185:T185))*30%,IF(T$121="입주/잔금",($F185-SUM($G185:S185))*50%,IF(S$121="입주/잔금",($F185-SUM($G185:R185))*20%,IF(U$121=0,0,IF(U$121="2차중도금",$F185*30%-SUM($G185:T185),IF(U$121="3차중도금",$F185*40%-SUM($G185:T185),IF(U$121="4차중도금",$F185*50%-SUM($G185:T185),$F185*10%)))))))+(IF(U$121="5차중도금",$F185*60%-SUM($G185:T185)-$F185*10%,IF(U$121="6차중도금",$F185*70%-SUM($G185:T185)-$F185*10%,0)))</f>
        <v>0</v>
      </c>
      <c r="V185" s="605">
        <f>IF(V$121="입주/잔금",($F185-SUM($G185:U185))*30%,IF(U$121="입주/잔금",($F185-SUM($G185:T185))*50%,IF(T$121="입주/잔금",($F185-SUM($G185:S185))*20%,IF(V$121=0,0,IF(V$121="2차중도금",$F185*30%-SUM($G185:U185),IF(V$121="3차중도금",$F185*40%-SUM($G185:U185),IF(V$121="4차중도금",$F185*50%-SUM($G185:U185),$F185*10%)))))))+(IF(V$121="5차중도금",$F185*60%-SUM($G185:U185)-$F185*10%,IF(V$121="6차중도금",$F185*70%-SUM($G185:U185)-$F185*10%,0)))</f>
        <v>0</v>
      </c>
      <c r="W185" s="605">
        <f>IF(W$121="입주/잔금",($F185-SUM($G185:V185))*30%,IF(V$121="입주/잔금",($F185-SUM($G185:U185))*50%,IF(U$121="입주/잔금",($F185-SUM($G185:T185))*20%,IF(W$121=0,0,IF(W$121="2차중도금",$F185*30%-SUM($G185:V185),IF(W$121="3차중도금",$F185*40%-SUM($G185:V185),IF(W$121="4차중도금",$F185*50%-SUM($G185:V185),$F185*10%)))))))+(IF(W$121="5차중도금",$F185*60%-SUM($G185:V185)-$F185*10%,IF(W$121="6차중도금",$F185*70%-SUM($G185:V185)-$F185*10%,0)))</f>
        <v>0</v>
      </c>
      <c r="X185" s="605">
        <f>IF(X$121="입주/잔금",($F185-SUM($G185:W185))*30%,IF(W$121="입주/잔금",($F185-SUM($G185:V185))*50%,IF(V$121="입주/잔금",($F185-SUM($G185:U185))*20%,IF(X$121=0,0,IF(X$121="2차중도금",$F185*30%-SUM($G185:W185),IF(X$121="3차중도금",$F185*40%-SUM($G185:W185),IF(X$121="4차중도금",$F185*50%-SUM($G185:W185),$F185*10%)))))))+(IF(X$121="5차중도금",$F185*60%-SUM($G185:W185)-$F185*10%,IF(X$121="6차중도금",$F185*70%-SUM($G185:W185)-$F185*10%,0)))</f>
        <v>0</v>
      </c>
      <c r="Y185" s="605">
        <f>IF(Y$121="입주/잔금",($F185-SUM($G185:X185))*30%,IF(X$121="입주/잔금",($F185-SUM($G185:W185))*50%,IF(W$121="입주/잔금",($F185-SUM($G185:V185))*20%,IF(Y$121=0,0,IF(Y$121="2차중도금",$F185*30%-SUM($G185:X185),IF(Y$121="3차중도금",$F185*40%-SUM($G185:X185),IF(Y$121="4차중도금",$F185*50%-SUM($G185:X185),$F185*10%)))))))+(IF(Y$121="5차중도금",$F185*60%-SUM($G185:X185)-$F185*10%,IF(Y$121="6차중도금",$F185*70%-SUM($G185:X185)-$F185*10%,0)))</f>
        <v>0</v>
      </c>
      <c r="Z185" s="605">
        <f>IF(Z$121="입주/잔금",($F185-SUM($G185:Y185))*30%,IF(Y$121="입주/잔금",($F185-SUM($G185:X185))*50%,IF(X$121="입주/잔금",($F185-SUM($G185:W185))*20%,IF(Z$121=0,0,IF(Z$121="2차중도금",$F185*30%-SUM($G185:Y185),IF(Z$121="3차중도금",$F185*40%-SUM($G185:Y185),IF(Z$121="4차중도금",$F185*50%-SUM($G185:Y185),$F185*10%)))))))+(IF(Z$121="5차중도금",$F185*60%-SUM($G185:Y185)-$F185*10%,IF(Z$121="6차중도금",$F185*70%-SUM($G185:Y185)-$F185*10%,0)))</f>
        <v>0</v>
      </c>
      <c r="AA185" s="605">
        <f>IF(AA$121="입주/잔금",($F185-SUM($G185:Z185))*30%,IF(Z$121="입주/잔금",($F185-SUM($G185:Y185))*50%,IF(Y$121="입주/잔금",($F185-SUM($G185:X185))*20%,IF(AA$121=0,0,IF(AA$121="2차중도금",$F185*30%-SUM($G185:Z185),IF(AA$121="3차중도금",$F185*40%-SUM($G185:Z185),IF(AA$121="4차중도금",$F185*50%-SUM($G185:Z185),$F185*10%)))))))+(IF(AA$121="5차중도금",$F185*60%-SUM($G185:Z185)-$F185*10%,IF(AA$121="6차중도금",$F185*70%-SUM($G185:Z185)-$F185*10%,0)))</f>
        <v>0</v>
      </c>
      <c r="AB185" s="605">
        <f>IF(AB$121="입주/잔금",($F185-SUM($G185:AA185))*30%,IF(AA$121="입주/잔금",($F185-SUM($G185:Z185))*50%,IF(Z$121="입주/잔금",($F185-SUM($G185:Y185))*20%,IF(AB$121=0,0,IF(AB$121="2차중도금",$F185*30%-SUM($G185:AA185),IF(AB$121="3차중도금",$F185*40%-SUM($G185:AA185),IF(AB$121="4차중도금",$F185*50%-SUM($G185:AA185),$F185*10%)))))))+(IF(AB$121="5차중도금",$F185*60%-SUM($G185:AA185)-$F185*10%,IF(AB$121="6차중도금",$F185*70%-SUM($G185:AA185)-$F185*10%,0)))</f>
        <v>0</v>
      </c>
      <c r="AC185" s="605">
        <f>IF(AC$121="입주/잔금",($F185-SUM($G185:AB185))*30%,IF(AB$121="입주/잔금",($F185-SUM($G185:AA185))*50%,IF(AA$121="입주/잔금",($F185-SUM($G185:Z185))*20%,IF(AC$121=0,0,IF(AC$121="2차중도금",$F185*30%-SUM($G185:AB185),IF(AC$121="3차중도금",$F185*40%-SUM($G185:AB185),IF(AC$121="4차중도금",$F185*50%-SUM($G185:AB185),$F185*10%)))))))+(IF(AC$121="5차중도금",$F185*60%-SUM($G185:AB185)-$F185*10%,IF(AC$121="6차중도금",$F185*70%-SUM($G185:AB185)-$F185*10%,0)))</f>
        <v>0</v>
      </c>
      <c r="AD185" s="605">
        <f>IF(AD$121="입주/잔금",($F185-SUM($G185:AC185))*30%,IF(AC$121="입주/잔금",($F185-SUM($G185:AB185))*50%,IF(AB$121="입주/잔금",($F185-SUM($G185:AA185))*20%,IF(AD$121=0,0,IF(AD$121="2차중도금",$F185*30%-SUM($G185:AC185),IF(AD$121="3차중도금",$F185*40%-SUM($G185:AC185),IF(AD$121="4차중도금",$F185*50%-SUM($G185:AC185),$F185*10%)))))))+(IF(AD$121="5차중도금",$F185*60%-SUM($G185:AC185)-$F185*10%,IF(AD$121="6차중도금",$F185*70%-SUM($G185:AC185)-$F185*10%,0)))</f>
        <v>0</v>
      </c>
      <c r="AE185" s="605">
        <f>IF(AE$121="입주/잔금",($F185-SUM($G185:AD185))*30%,IF(AD$121="입주/잔금",($F185-SUM($G185:AC185))*50%,IF(AC$121="입주/잔금",($F185-SUM($G185:AB185))*20%,IF(AE$121=0,0,IF(AE$121="2차중도금",$F185*30%-SUM($G185:AD185),IF(AE$121="3차중도금",$F185*40%-SUM($G185:AD185),IF(AE$121="4차중도금",$F185*50%-SUM($G185:AD185),$F185*10%)))))))+(IF(AE$121="5차중도금",$F185*60%-SUM($G185:AD185)-$F185*10%,IF(AE$121="6차중도금",$F185*70%-SUM($G185:AD185)-$F185*10%,0)))</f>
        <v>0</v>
      </c>
      <c r="AF185" s="605">
        <f>IF(AF$121="입주/잔금",($F185-SUM($G185:AE185))*30%,IF(AE$121="입주/잔금",($F185-SUM($G185:AD185))*50%,IF(AD$121="입주/잔금",($F185-SUM($G185:AC185))*20%,IF(AF$121=0,0,IF(AF$121="2차중도금",$F185*30%-SUM($G185:AE185),IF(AF$121="3차중도금",$F185*40%-SUM($G185:AE185),IF(AF$121="4차중도금",$F185*50%-SUM($G185:AE185),$F185*10%)))))))+(IF(AF$121="5차중도금",$F185*60%-SUM($G185:AE185)-$F185*10%,IF(AF$121="6차중도금",$F185*70%-SUM($G185:AE185)-$F185*10%,0)))</f>
        <v>0</v>
      </c>
      <c r="AG185" s="605">
        <f>IF(AG$121="입주/잔금",($F185-SUM($G185:AF185))*30%,IF(AF$121="입주/잔금",($F185-SUM($G185:AE185))*50%,IF(AE$121="입주/잔금",($F185-SUM($G185:AD185))*20%,IF(AG$121=0,0,IF(AG$121="2차중도금",$F185*30%-SUM($G185:AF185),IF(AG$121="3차중도금",$F185*40%-SUM($G185:AF185),IF(AG$121="4차중도금",$F185*50%-SUM($G185:AF185),$F185*10%)))))))+(IF(AG$121="5차중도금",$F185*60%-SUM($G185:AF185)-$F185*10%,IF(AG$121="6차중도금",$F185*70%-SUM($G185:AF185)-$F185*10%,0)))</f>
        <v>0</v>
      </c>
      <c r="AH185" s="605">
        <f>IF(AH$121="입주/잔금",($F185-SUM($G185:AG185))*30%,IF(AG$121="입주/잔금",($F185-SUM($G185:AF185))*50%,IF(AF$121="입주/잔금",($F185-SUM($G185:AE185))*20%,IF(AH$121=0,0,IF(AH$121="2차중도금",$F185*30%-SUM($G185:AG185),IF(AH$121="3차중도금",$F185*40%-SUM($G185:AG185),IF(AH$121="4차중도금",$F185*50%-SUM($G185:AG185),$F185*10%)))))))+(IF(AH$121="5차중도금",$F185*60%-SUM($G185:AG185)-$F185*10%,IF(AH$121="6차중도금",$F185*70%-SUM($G185:AG185)-$F185*10%,0)))</f>
        <v>0</v>
      </c>
      <c r="AI185" s="605">
        <f>IF(AI$121="입주/잔금",($F185-SUM($G185:AH185))*30%,IF(AH$121="입주/잔금",($F185-SUM($G185:AG185))*50%,IF(AG$121="입주/잔금",($F185-SUM($G185:AF185))*20%,IF(AI$121=0,0,IF(AI$121="2차중도금",$F185*30%-SUM($G185:AH185),IF(AI$121="3차중도금",$F185*40%-SUM($G185:AH185),IF(AI$121="4차중도금",$F185*50%-SUM($G185:AH185),$F185*10%)))))))+(IF(AI$121="5차중도금",$F185*60%-SUM($G185:AH185)-$F185*10%,IF(AI$121="6차중도금",$F185*70%-SUM($G185:AH185)-$F185*10%,0)))</f>
        <v>0</v>
      </c>
      <c r="AJ185" s="605">
        <f>IF(AJ$121="입주/잔금",($F185-SUM($G185:AI185))*30%,IF(AI$121="입주/잔금",($F185-SUM($G185:AH185))*50%,IF(AH$121="입주/잔금",($F185-SUM($G185:AG185))*20%,IF(AJ$121=0,0,IF(AJ$121="2차중도금",$F185*30%-SUM($G185:AI185),IF(AJ$121="3차중도금",$F185*40%-SUM($G185:AI185),IF(AJ$121="4차중도금",$F185*50%-SUM($G185:AI185),$F185*10%)))))))+(IF(AJ$121="5차중도금",$F185*60%-SUM($G185:AI185)-$F185*10%,IF(AJ$121="6차중도금",$F185*70%-SUM($G185:AI185)-$F185*10%,0)))</f>
        <v>0</v>
      </c>
      <c r="AK185" s="605">
        <f>IF(AK$121="입주/잔금",($F185-SUM($G185:AJ185))*30%,IF(AJ$121="입주/잔금",($F185-SUM($G185:AI185))*50%,IF(AI$121="입주/잔금",($F185-SUM($G185:AH185))*20%,IF(AK$121=0,0,IF(AK$121="2차중도금",$F185*30%-SUM($G185:AJ185),IF(AK$121="3차중도금",$F185*40%-SUM($G185:AJ185),IF(AK$121="4차중도금",$F185*50%-SUM($G185:AJ185),$F185*10%)))))))+(IF(AK$121="5차중도금",$F185*60%-SUM($G185:AJ185)-$F185*10%,IF(AK$121="6차중도금",$F185*70%-SUM($G185:AJ185)-$F185*10%,0)))</f>
        <v>0</v>
      </c>
      <c r="AL185" s="605">
        <f>IF(AL$121="입주/잔금",($F185-SUM($G185:AK185))*30%,IF(AK$121="입주/잔금",($F185-SUM($G185:AJ185))*50%,IF(AJ$121="입주/잔금",($F185-SUM($G185:AI185))*20%,IF(AL$121=0,0,IF(AL$121="2차중도금",$F185*30%-SUM($G185:AK185),IF(AL$121="3차중도금",$F185*40%-SUM($G185:AK185),IF(AL$121="4차중도금",$F185*50%-SUM($G185:AK185),$F185*10%)))))))+(IF(AL$121="5차중도금",$F185*60%-SUM($G185:AK185)-$F185*10%,IF(AL$121="6차중도금",$F185*70%-SUM($G185:AK185)-$F185*10%,0)))</f>
        <v>0</v>
      </c>
      <c r="AM185" s="605">
        <f>IF(AM$121="입주/잔금",($F185-SUM($G185:AL185))*30%,IF(AL$121="입주/잔금",($F185-SUM($G185:AK185))*50%,IF(AK$121="입주/잔금",($F185-SUM($G185:AJ185))*20%,IF(AM$121=0,0,IF(AM$121="2차중도금",$F185*30%-SUM($G185:AL185),IF(AM$121="3차중도금",$F185*40%-SUM($G185:AL185),IF(AM$121="4차중도금",$F185*50%-SUM($G185:AL185),$F185*10%)))))))+(IF(AM$121="5차중도금",$F185*60%-SUM($G185:AL185)-$F185*10%,IF(AM$121="6차중도금",$F185*70%-SUM($G185:AL185)-$F185*10%,0)))</f>
        <v>0</v>
      </c>
      <c r="AN185" s="605">
        <f>IF(AN$121="입주/잔금",($F185-SUM($G185:AM185))*30%,IF(AM$121="입주/잔금",($F185-SUM($G185:AL185))*50%,IF(AL$121="입주/잔금",($F185-SUM($G185:AK185))*20%,IF(AN$121=0,0,IF(AN$121="2차중도금",$F185*30%-SUM($G185:AM185),IF(AN$121="3차중도금",$F185*40%-SUM($G185:AM185),IF(AN$121="4차중도금",$F185*50%-SUM($G185:AM185),$F185*10%)))))))+(IF(AN$121="5차중도금",$F185*60%-SUM($G185:AM185)-$F185*10%,IF(AN$121="6차중도금",$F185*70%-SUM($G185:AM185)-$F185*10%,0)))</f>
        <v>0</v>
      </c>
      <c r="AO185" s="605">
        <f>IF(AO$121="입주/잔금",($F185-SUM($G185:AN185))*30%,IF(AN$121="입주/잔금",($F185-SUM($G185:AM185))*50%,IF(AM$121="입주/잔금",($F185-SUM($G185:AL185))*20%,IF(AO$121=0,0,IF(AO$121="2차중도금",$F185*30%-SUM($G185:AN185),IF(AO$121="3차중도금",$F185*40%-SUM($G185:AN185),IF(AO$121="4차중도금",$F185*50%-SUM($G185:AN185),$F185*10%)))))))+(IF(AO$121="5차중도금",$F185*60%-SUM($G185:AN185)-$F185*10%,IF(AO$121="6차중도금",$F185*70%-SUM($G185:AN185)-$F185*10%,0)))</f>
        <v>0</v>
      </c>
      <c r="AP185" s="605">
        <f>IF(AP$121="입주/잔금",($F185-SUM($G185:AO185))*30%,IF(AO$121="입주/잔금",($F185-SUM($G185:AN185))*50%,IF(AN$121="입주/잔금",($F185-SUM($G185:AM185))*20%,IF(AP$121=0,0,IF(AP$121="2차중도금",$F185*30%-SUM($G185:AO185),IF(AP$121="3차중도금",$F185*40%-SUM($G185:AO185),IF(AP$121="4차중도금",$F185*50%-SUM($G185:AO185),$F185*10%)))))))+(IF(AP$121="5차중도금",$F185*60%-SUM($G185:AO185)-$F185*10%,IF(AP$121="6차중도금",$F185*70%-SUM($G185:AO185)-$F185*10%,0)))</f>
        <v>0</v>
      </c>
      <c r="AQ185" s="605">
        <f>IF(AQ$121="입주/잔금",($F185-SUM($G185:AP185))*30%,IF(AP$121="입주/잔금",($F185-SUM($G185:AO185))*50%,IF(AO$121="입주/잔금",($F185-SUM($G185:AN185))*20%,IF(AQ$121=0,0,IF(AQ$121="2차중도금",$F185*30%-SUM($G185:AP185),IF(AQ$121="3차중도금",$F185*40%-SUM($G185:AP185),IF(AQ$121="4차중도금",$F185*50%-SUM($G185:AP185),$F185*10%)))))))+(IF(AQ$121="5차중도금",$F185*60%-SUM($G185:AP185)-$F185*10%,IF(AQ$121="6차중도금",$F185*70%-SUM($G185:AP185)-$F185*10%,0)))</f>
        <v>0</v>
      </c>
      <c r="AR185" s="605">
        <f>IF(AR$121="입주/잔금",($F185-SUM($G185:AQ185))*30%,IF(AQ$121="입주/잔금",($F185-SUM($G185:AP185))*50%,IF(AP$121="입주/잔금",($F185-SUM($G185:AO185))*20%,IF(AR$121=0,0,IF(AR$121="2차중도금",$F185*30%-SUM($G185:AQ185),IF(AR$121="3차중도금",$F185*40%-SUM($G185:AQ185),IF(AR$121="4차중도금",$F185*50%-SUM($G185:AQ185),$F185*10%)))))))+(IF(AR$121="5차중도금",$F185*60%-SUM($G185:AQ185)-$F185*10%,IF(AR$121="6차중도금",$F185*70%-SUM($G185:AQ185)-$F185*10%,0)))</f>
        <v>0</v>
      </c>
      <c r="AS185" s="605">
        <f>IF(AS$121="입주/잔금",($F185-SUM($G185:AR185))*30%,IF(AR$121="입주/잔금",($F185-SUM($G185:AQ185))*50%,IF(AQ$121="입주/잔금",($F185-SUM($G185:AP185))*20%,IF(AS$121=0,0,IF(AS$121="2차중도금",$F185*30%-SUM($G185:AR185),IF(AS$121="3차중도금",$F185*40%-SUM($G185:AR185),IF(AS$121="4차중도금",$F185*50%-SUM($G185:AR185),$F185*10%)))))))+(IF(AS$121="5차중도금",$F185*60%-SUM($G185:AR185)-$F185*10%,IF(AS$121="6차중도금",$F185*70%-SUM($G185:AR185)-$F185*10%,0)))</f>
        <v>0</v>
      </c>
      <c r="AT185" s="605">
        <f>IF(AT$121="입주/잔금",($F185-SUM($G185:AS185))*30%,IF(AS$121="입주/잔금",($F185-SUM($G185:AR185))*50%,IF(AR$121="입주/잔금",($F185-SUM($G185:AQ185))*20%,IF(AT$121=0,0,IF(AT$121="2차중도금",$F185*30%-SUM($G185:AS185),IF(AT$121="3차중도금",$F185*40%-SUM($G185:AS185),IF(AT$121="4차중도금",$F185*50%-SUM($G185:AS185),$F185*10%)))))))+(IF(AT$121="5차중도금",$F185*60%-SUM($G185:AS185)-$F185*10%,IF(AT$121="6차중도금",$F185*70%-SUM($G185:AS185)-$F185*10%,0)))</f>
        <v>0</v>
      </c>
      <c r="AU185" s="605">
        <f>IF(AU$121="입주/잔금",($F185-SUM($G185:AT185))*30%,IF(AT$121="입주/잔금",($F185-SUM($G185:AS185))*50%,IF(AS$121="입주/잔금",($F185-SUM($G185:AR185))*20%,IF(AU$121=0,0,IF(AU$121="2차중도금",$F185*30%-SUM($G185:AT185),IF(AU$121="3차중도금",$F185*40%-SUM($G185:AT185),IF(AU$121="4차중도금",$F185*50%-SUM($G185:AT185),$F185*10%)))))))+(IF(AU$121="5차중도금",$F185*60%-SUM($G185:AT185)-$F185*10%,IF(AU$121="6차중도금",$F185*70%-SUM($G185:AT185)-$F185*10%,0)))</f>
        <v>0</v>
      </c>
      <c r="AV185" s="605">
        <f>IF(AV$121="입주/잔금",($F185-SUM($G185:AU185))*30%,IF(AU$121="입주/잔금",($F185-SUM($G185:AT185))*50%,IF(AT$121="입주/잔금",($F185-SUM($G185:AS185))*20%,IF(AV$121=0,0,IF(AV$121="2차중도금",$F185*30%-SUM($G185:AU185),IF(AV$121="3차중도금",$F185*40%-SUM($G185:AU185),IF(AV$121="4차중도금",$F185*50%-SUM($G185:AU185),$F185*10%)))))))+(IF(AV$121="5차중도금",$F185*60%-SUM($G185:AU185)-$F185*10%,IF(AV$121="6차중도금",$F185*70%-SUM($G185:AU185)-$F185*10%,0)))</f>
        <v>0</v>
      </c>
      <c r="AW185" s="605">
        <f>IF(AW$121="입주/잔금",($F185-SUM($G185:AV185))*30%,IF(AV$121="입주/잔금",($F185-SUM($G185:AU185))*50%,IF(AU$121="입주/잔금",($F185-SUM($G185:AT185))*20%,IF(AW$121=0,0,IF(AW$121="2차중도금",$F185*30%-SUM($G185:AV185),IF(AW$121="3차중도금",$F185*40%-SUM($G185:AV185),IF(AW$121="4차중도금",$F185*50%-SUM($G185:AV185),$F185*10%)))))))+(IF(AW$121="5차중도금",$F185*60%-SUM($G185:AV185)-$F185*10%,IF(AW$121="6차중도금",$F185*70%-SUM($G185:AV185)-$F185*10%,0)))</f>
        <v>0</v>
      </c>
      <c r="AX185" s="605">
        <f>IF(AX$121="입주/잔금",($F185-SUM($G185:AW185))*30%,IF(AW$121="입주/잔금",($F185-SUM($G185:AV185))*50%,IF(AV$121="입주/잔금",($F185-SUM($G185:AU185))*20%,IF(AX$121=0,0,IF(AX$121="2차중도금",$F185*30%-SUM($G185:AW185),IF(AX$121="3차중도금",$F185*40%-SUM($G185:AW185),IF(AX$121="4차중도금",$F185*50%-SUM($G185:AW185),$F185*10%)))))))+(IF(AX$121="5차중도금",$F185*60%-SUM($G185:AW185)-$F185*10%,IF(AX$121="6차중도금",$F185*70%-SUM($G185:AW185)-$F185*10%,0)))</f>
        <v>0</v>
      </c>
      <c r="AY185" s="605">
        <f>IF(AY$121="입주/잔금",($F185-SUM($G185:AX185))*30%,IF(AX$121="입주/잔금",($F185-SUM($G185:AW185))*50%,IF(AW$121="입주/잔금",($F185-SUM($G185:AV185))*20%,IF(AY$121=0,0,IF(AY$121="2차중도금",$F185*30%-SUM($G185:AX185),IF(AY$121="3차중도금",$F185*40%-SUM($G185:AX185),IF(AY$121="4차중도금",$F185*50%-SUM($G185:AX185),$F185*10%)))))))+(IF(AY$121="5차중도금",$F185*60%-SUM($G185:AX185)-$F185*10%,IF(AY$121="6차중도금",$F185*70%-SUM($G185:AX185)-$F185*10%,0)))</f>
        <v>0</v>
      </c>
      <c r="AZ185" s="605">
        <f>IF(AZ$121="입주/잔금",($F185-SUM($G185:AY185))*30%,IF(AY$121="입주/잔금",($F185-SUM($G185:AX185))*50%,IF(AX$121="입주/잔금",($F185-SUM($G185:AW185))*20%,IF(AZ$121=0,0,IF(AZ$121="2차중도금",$F185*30%-SUM($G185:AY185),IF(AZ$121="3차중도금",$F185*40%-SUM($G185:AY185),IF(AZ$121="4차중도금",$F185*50%-SUM($G185:AY185),$F185*10%)))))))+(IF(AZ$121="5차중도금",$F185*60%-SUM($G185:AY185)-$F185*10%,IF(AZ$121="6차중도금",$F185*70%-SUM($G185:AY185)-$F185*10%,0)))</f>
        <v>0</v>
      </c>
      <c r="BA185" s="605">
        <f>IF(BA$121="입주/잔금",($F185-SUM($G185:AZ185))*30%,IF(AZ$121="입주/잔금",($F185-SUM($G185:AY185))*50%,IF(AY$121="입주/잔금",($F185-SUM($G185:AX185))*20%,IF(BA$121=0,0,IF(BA$121="2차중도금",$F185*30%-SUM($G185:AZ185),IF(BA$121="3차중도금",$F185*40%-SUM($G185:AZ185),IF(BA$121="4차중도금",$F185*50%-SUM($G185:AZ185),$F185*10%)))))))+(IF(BA$121="5차중도금",$F185*60%-SUM($G185:AZ185)-$F185*10%,IF(BA$121="6차중도금",$F185*70%-SUM($G185:AZ185)-$F185*10%,0)))</f>
        <v>0</v>
      </c>
      <c r="BB185" s="605">
        <f>IF(BB$121="입주/잔금",($F185-SUM($G185:BA185))*30%,IF(BA$121="입주/잔금",($F185-SUM($G185:AZ185))*50%,IF(AZ$121="입주/잔금",($F185-SUM($G185:AY185))*20%,IF(BB$121=0,0,IF(BB$121="2차중도금",$F185*30%-SUM($G185:BA185),IF(BB$121="3차중도금",$F185*40%-SUM($G185:BA185),IF(BB$121="4차중도금",$F185*50%-SUM($G185:BA185),$F185*10%)))))))+(IF(BB$121="5차중도금",$F185*60%-SUM($G185:BA185)-$F185*10%,IF(BB$121="6차중도금",$F185*70%-SUM($G185:BA185)-$F185*10%,0)))</f>
        <v>0</v>
      </c>
      <c r="BC185" s="605">
        <f>IF(BC$121="입주/잔금",($F185-SUM($G185:BB185))*30%,IF(BB$121="입주/잔금",($F185-SUM($G185:BA185))*50%,IF(BA$121="입주/잔금",($F185-SUM($G185:AZ185))*20%,IF(BC$121=0,0,IF(BC$121="2차중도금",$F185*30%-SUM($G185:BB185),IF(BC$121="3차중도금",$F185*40%-SUM($G185:BB185),IF(BC$121="4차중도금",$F185*50%-SUM($G185:BB185),$F185*10%)))))))+(IF(BC$121="5차중도금",$F185*60%-SUM($G185:BB185)-$F185*10%,IF(BC$121="6차중도금",$F185*70%-SUM($G185:BB185)-$F185*10%,0)))</f>
        <v>0</v>
      </c>
      <c r="BD185" s="605">
        <f>IF(BD$121="입주/잔금",($F185-SUM($G185:BC185))*30%,IF(BC$121="입주/잔금",($F185-SUM($G185:BB185))*50%,IF(BB$121="입주/잔금",($F185-SUM($G185:BA185))*20%,IF(BD$121=0,0,IF(BD$121="2차중도금",$F185*30%-SUM($G185:BC185),IF(BD$121="3차중도금",$F185*40%-SUM($G185:BC185),IF(BD$121="4차중도금",$F185*50%-SUM($G185:BC185),$F185*10%)))))))+(IF(BD$121="5차중도금",$F185*60%-SUM($G185:BC185)-$F185*10%,IF(BD$121="6차중도금",$F185*70%-SUM($G185:BC185)-$F185*10%,0)))</f>
        <v>0</v>
      </c>
      <c r="BE185" s="605">
        <f>IF(BE$121="입주/잔금",($F185-SUM($G185:BD185))*30%,IF(BD$121="입주/잔금",($F185-SUM($G185:BC185))*50%,IF(BC$121="입주/잔금",($F185-SUM($G185:BB185))*20%,IF(BE$121=0,0,IF(BE$121="2차중도금",$F185*30%-SUM($G185:BD185),IF(BE$121="3차중도금",$F185*40%-SUM($G185:BD185),IF(BE$121="4차중도금",$F185*50%-SUM($G185:BD185),$F185*10%)))))))+(IF(BE$121="5차중도금",$F185*60%-SUM($G185:BD185)-$F185*10%,IF(BE$121="6차중도금",$F185*70%-SUM($G185:BD185)-$F185*10%,0)))</f>
        <v>0</v>
      </c>
      <c r="BF185" s="609">
        <f t="shared" si="57"/>
        <v>0</v>
      </c>
      <c r="BG185" s="556">
        <f t="shared" si="59"/>
        <v>0</v>
      </c>
      <c r="BH185" s="610"/>
    </row>
    <row r="186" spans="1:60" hidden="1">
      <c r="A186" s="1853"/>
      <c r="B186" s="611">
        <f t="shared" si="60"/>
        <v>45108</v>
      </c>
      <c r="C186" s="605">
        <f t="shared" si="61"/>
        <v>0</v>
      </c>
      <c r="D186" s="606"/>
      <c r="E186" s="607">
        <f t="shared" si="62"/>
        <v>0</v>
      </c>
      <c r="F186" s="608">
        <f t="shared" si="58"/>
        <v>0</v>
      </c>
      <c r="G186" s="605"/>
      <c r="H186" s="605"/>
      <c r="I186" s="605"/>
      <c r="J186" s="605"/>
      <c r="K186" s="605"/>
      <c r="L186" s="605"/>
      <c r="M186" s="605"/>
      <c r="N186" s="605"/>
      <c r="O186" s="605"/>
      <c r="P186" s="605">
        <f>$F186*10%</f>
        <v>0</v>
      </c>
      <c r="Q186" s="605">
        <f>IF(Q$121="입주/잔금",($F186-SUM($G186:P186))*30%,IF(P$121="입주/잔금",($F186-SUM($G186:O186))*50%,IF(O$121="입주/잔금",($F186-SUM($G186:N186))*20%,IF(Q$121=0,0,IF(Q$121="2차중도금",$F186*30%-SUM($G186:P186),IF(Q$121="3차중도금",$F186*40%-SUM($G186:P186),IF(Q$121="4차중도금",$F186*50%-SUM($G186:P186),$F186*10%)))))))+(IF(Q$121="5차중도금",$F186*60%-SUM($G186:P186)-$F186*10%,IF(Q$121="6차중도금",$F186*70%-SUM($G186:P186)-$F186*10%,0)))</f>
        <v>0</v>
      </c>
      <c r="R186" s="605">
        <f>IF(R$121="입주/잔금",($F186-SUM($G186:Q186))*30%,IF(Q$121="입주/잔금",($F186-SUM($G186:P186))*50%,IF(P$121="입주/잔금",($F186-SUM($G186:O186))*20%,IF(R$121=0,0,IF(R$121="2차중도금",$F186*30%-SUM($G186:Q186),IF(R$121="3차중도금",$F186*40%-SUM($G186:Q186),IF(R$121="4차중도금",$F186*50%-SUM($G186:Q186),$F186*10%)))))))+(IF(R$121="5차중도금",$F186*60%-SUM($G186:Q186)-$F186*10%,IF(R$121="6차중도금",$F186*70%-SUM($G186:Q186)-$F186*10%,0)))</f>
        <v>0</v>
      </c>
      <c r="S186" s="605">
        <f>IF(S$121="입주/잔금",($F186-SUM($G186:R186))*30%,IF(R$121="입주/잔금",($F186-SUM($G186:Q186))*50%,IF(Q$121="입주/잔금",($F186-SUM($G186:P186))*20%,IF(S$121=0,0,IF(S$121="2차중도금",$F186*30%-SUM($G186:R186),IF(S$121="3차중도금",$F186*40%-SUM($G186:R186),IF(S$121="4차중도금",$F186*50%-SUM($G186:R186),$F186*10%)))))))+(IF(S$121="5차중도금",$F186*60%-SUM($G186:R186)-$F186*10%,IF(S$121="6차중도금",$F186*70%-SUM($G186:R186)-$F186*10%,0)))</f>
        <v>0</v>
      </c>
      <c r="T186" s="605">
        <f>IF(T$121="입주/잔금",($F186-SUM($G186:S186))*30%,IF(S$121="입주/잔금",($F186-SUM($G186:R186))*50%,IF(R$121="입주/잔금",($F186-SUM($G186:Q186))*20%,IF(T$121=0,0,IF(T$121="2차중도금",$F186*30%-SUM($G186:S186),IF(T$121="3차중도금",$F186*40%-SUM($G186:S186),IF(T$121="4차중도금",$F186*50%-SUM($G186:S186),$F186*10%)))))))+(IF(T$121="5차중도금",$F186*60%-SUM($G186:S186)-$F186*10%,IF(T$121="6차중도금",$F186*70%-SUM($G186:S186)-$F186*10%,0)))</f>
        <v>0</v>
      </c>
      <c r="U186" s="605">
        <f>IF(U$121="입주/잔금",($F186-SUM($G186:T186))*30%,IF(T$121="입주/잔금",($F186-SUM($G186:S186))*50%,IF(S$121="입주/잔금",($F186-SUM($G186:R186))*20%,IF(U$121=0,0,IF(U$121="2차중도금",$F186*30%-SUM($G186:T186),IF(U$121="3차중도금",$F186*40%-SUM($G186:T186),IF(U$121="4차중도금",$F186*50%-SUM($G186:T186),$F186*10%)))))))+(IF(U$121="5차중도금",$F186*60%-SUM($G186:T186)-$F186*10%,IF(U$121="6차중도금",$F186*70%-SUM($G186:T186)-$F186*10%,0)))</f>
        <v>0</v>
      </c>
      <c r="V186" s="605">
        <f>IF(V$121="입주/잔금",($F186-SUM($G186:U186))*30%,IF(U$121="입주/잔금",($F186-SUM($G186:T186))*50%,IF(T$121="입주/잔금",($F186-SUM($G186:S186))*20%,IF(V$121=0,0,IF(V$121="2차중도금",$F186*30%-SUM($G186:U186),IF(V$121="3차중도금",$F186*40%-SUM($G186:U186),IF(V$121="4차중도금",$F186*50%-SUM($G186:U186),$F186*10%)))))))+(IF(V$121="5차중도금",$F186*60%-SUM($G186:U186)-$F186*10%,IF(V$121="6차중도금",$F186*70%-SUM($G186:U186)-$F186*10%,0)))</f>
        <v>0</v>
      </c>
      <c r="W186" s="605">
        <f>IF(W$121="입주/잔금",($F186-SUM($G186:V186))*30%,IF(V$121="입주/잔금",($F186-SUM($G186:U186))*50%,IF(U$121="입주/잔금",($F186-SUM($G186:T186))*20%,IF(W$121=0,0,IF(W$121="2차중도금",$F186*30%-SUM($G186:V186),IF(W$121="3차중도금",$F186*40%-SUM($G186:V186),IF(W$121="4차중도금",$F186*50%-SUM($G186:V186),$F186*10%)))))))+(IF(W$121="5차중도금",$F186*60%-SUM($G186:V186)-$F186*10%,IF(W$121="6차중도금",$F186*70%-SUM($G186:V186)-$F186*10%,0)))</f>
        <v>0</v>
      </c>
      <c r="X186" s="605">
        <f>IF(X$121="입주/잔금",($F186-SUM($G186:W186))*30%,IF(W$121="입주/잔금",($F186-SUM($G186:V186))*50%,IF(V$121="입주/잔금",($F186-SUM($G186:U186))*20%,IF(X$121=0,0,IF(X$121="2차중도금",$F186*30%-SUM($G186:W186),IF(X$121="3차중도금",$F186*40%-SUM($G186:W186),IF(X$121="4차중도금",$F186*50%-SUM($G186:W186),$F186*10%)))))))+(IF(X$121="5차중도금",$F186*60%-SUM($G186:W186)-$F186*10%,IF(X$121="6차중도금",$F186*70%-SUM($G186:W186)-$F186*10%,0)))</f>
        <v>0</v>
      </c>
      <c r="Y186" s="605">
        <f>IF(Y$121="입주/잔금",($F186-SUM($G186:X186))*30%,IF(X$121="입주/잔금",($F186-SUM($G186:W186))*50%,IF(W$121="입주/잔금",($F186-SUM($G186:V186))*20%,IF(Y$121=0,0,IF(Y$121="2차중도금",$F186*30%-SUM($G186:X186),IF(Y$121="3차중도금",$F186*40%-SUM($G186:X186),IF(Y$121="4차중도금",$F186*50%-SUM($G186:X186),$F186*10%)))))))+(IF(Y$121="5차중도금",$F186*60%-SUM($G186:X186)-$F186*10%,IF(Y$121="6차중도금",$F186*70%-SUM($G186:X186)-$F186*10%,0)))</f>
        <v>0</v>
      </c>
      <c r="Z186" s="605">
        <f>IF(Z$121="입주/잔금",($F186-SUM($G186:Y186))*30%,IF(Y$121="입주/잔금",($F186-SUM($G186:X186))*50%,IF(X$121="입주/잔금",($F186-SUM($G186:W186))*20%,IF(Z$121=0,0,IF(Z$121="2차중도금",$F186*30%-SUM($G186:Y186),IF(Z$121="3차중도금",$F186*40%-SUM($G186:Y186),IF(Z$121="4차중도금",$F186*50%-SUM($G186:Y186),$F186*10%)))))))+(IF(Z$121="5차중도금",$F186*60%-SUM($G186:Y186)-$F186*10%,IF(Z$121="6차중도금",$F186*70%-SUM($G186:Y186)-$F186*10%,0)))</f>
        <v>0</v>
      </c>
      <c r="AA186" s="605">
        <f>IF(AA$121="입주/잔금",($F186-SUM($G186:Z186))*30%,IF(Z$121="입주/잔금",($F186-SUM($G186:Y186))*50%,IF(Y$121="입주/잔금",($F186-SUM($G186:X186))*20%,IF(AA$121=0,0,IF(AA$121="2차중도금",$F186*30%-SUM($G186:Z186),IF(AA$121="3차중도금",$F186*40%-SUM($G186:Z186),IF(AA$121="4차중도금",$F186*50%-SUM($G186:Z186),$F186*10%)))))))+(IF(AA$121="5차중도금",$F186*60%-SUM($G186:Z186)-$F186*10%,IF(AA$121="6차중도금",$F186*70%-SUM($G186:Z186)-$F186*10%,0)))</f>
        <v>0</v>
      </c>
      <c r="AB186" s="605">
        <f>IF(AB$121="입주/잔금",($F186-SUM($G186:AA186))*30%,IF(AA$121="입주/잔금",($F186-SUM($G186:Z186))*50%,IF(Z$121="입주/잔금",($F186-SUM($G186:Y186))*20%,IF(AB$121=0,0,IF(AB$121="2차중도금",$F186*30%-SUM($G186:AA186),IF(AB$121="3차중도금",$F186*40%-SUM($G186:AA186),IF(AB$121="4차중도금",$F186*50%-SUM($G186:AA186),$F186*10%)))))))+(IF(AB$121="5차중도금",$F186*60%-SUM($G186:AA186)-$F186*10%,IF(AB$121="6차중도금",$F186*70%-SUM($G186:AA186)-$F186*10%,0)))</f>
        <v>0</v>
      </c>
      <c r="AC186" s="605">
        <f>IF(AC$121="입주/잔금",($F186-SUM($G186:AB186))*30%,IF(AB$121="입주/잔금",($F186-SUM($G186:AA186))*50%,IF(AA$121="입주/잔금",($F186-SUM($G186:Z186))*20%,IF(AC$121=0,0,IF(AC$121="2차중도금",$F186*30%-SUM($G186:AB186),IF(AC$121="3차중도금",$F186*40%-SUM($G186:AB186),IF(AC$121="4차중도금",$F186*50%-SUM($G186:AB186),$F186*10%)))))))+(IF(AC$121="5차중도금",$F186*60%-SUM($G186:AB186)-$F186*10%,IF(AC$121="6차중도금",$F186*70%-SUM($G186:AB186)-$F186*10%,0)))</f>
        <v>0</v>
      </c>
      <c r="AD186" s="605">
        <f>IF(AD$121="입주/잔금",($F186-SUM($G186:AC186))*30%,IF(AC$121="입주/잔금",($F186-SUM($G186:AB186))*50%,IF(AB$121="입주/잔금",($F186-SUM($G186:AA186))*20%,IF(AD$121=0,0,IF(AD$121="2차중도금",$F186*30%-SUM($G186:AC186),IF(AD$121="3차중도금",$F186*40%-SUM($G186:AC186),IF(AD$121="4차중도금",$F186*50%-SUM($G186:AC186),$F186*10%)))))))+(IF(AD$121="5차중도금",$F186*60%-SUM($G186:AC186)-$F186*10%,IF(AD$121="6차중도금",$F186*70%-SUM($G186:AC186)-$F186*10%,0)))</f>
        <v>0</v>
      </c>
      <c r="AE186" s="605">
        <f>IF(AE$121="입주/잔금",($F186-SUM($G186:AD186))*30%,IF(AD$121="입주/잔금",($F186-SUM($G186:AC186))*50%,IF(AC$121="입주/잔금",($F186-SUM($G186:AB186))*20%,IF(AE$121=0,0,IF(AE$121="2차중도금",$F186*30%-SUM($G186:AD186),IF(AE$121="3차중도금",$F186*40%-SUM($G186:AD186),IF(AE$121="4차중도금",$F186*50%-SUM($G186:AD186),$F186*10%)))))))+(IF(AE$121="5차중도금",$F186*60%-SUM($G186:AD186)-$F186*10%,IF(AE$121="6차중도금",$F186*70%-SUM($G186:AD186)-$F186*10%,0)))</f>
        <v>0</v>
      </c>
      <c r="AF186" s="605">
        <f>IF(AF$121="입주/잔금",($F186-SUM($G186:AE186))*30%,IF(AE$121="입주/잔금",($F186-SUM($G186:AD186))*50%,IF(AD$121="입주/잔금",($F186-SUM($G186:AC186))*20%,IF(AF$121=0,0,IF(AF$121="2차중도금",$F186*30%-SUM($G186:AE186),IF(AF$121="3차중도금",$F186*40%-SUM($G186:AE186),IF(AF$121="4차중도금",$F186*50%-SUM($G186:AE186),$F186*10%)))))))+(IF(AF$121="5차중도금",$F186*60%-SUM($G186:AE186)-$F186*10%,IF(AF$121="6차중도금",$F186*70%-SUM($G186:AE186)-$F186*10%,0)))</f>
        <v>0</v>
      </c>
      <c r="AG186" s="605">
        <f>IF(AG$121="입주/잔금",($F186-SUM($G186:AF186))*30%,IF(AF$121="입주/잔금",($F186-SUM($G186:AE186))*50%,IF(AE$121="입주/잔금",($F186-SUM($G186:AD186))*20%,IF(AG$121=0,0,IF(AG$121="2차중도금",$F186*30%-SUM($G186:AF186),IF(AG$121="3차중도금",$F186*40%-SUM($G186:AF186),IF(AG$121="4차중도금",$F186*50%-SUM($G186:AF186),$F186*10%)))))))+(IF(AG$121="5차중도금",$F186*60%-SUM($G186:AF186)-$F186*10%,IF(AG$121="6차중도금",$F186*70%-SUM($G186:AF186)-$F186*10%,0)))</f>
        <v>0</v>
      </c>
      <c r="AH186" s="605">
        <f>IF(AH$121="입주/잔금",($F186-SUM($G186:AG186))*30%,IF(AG$121="입주/잔금",($F186-SUM($G186:AF186))*50%,IF(AF$121="입주/잔금",($F186-SUM($G186:AE186))*20%,IF(AH$121=0,0,IF(AH$121="2차중도금",$F186*30%-SUM($G186:AG186),IF(AH$121="3차중도금",$F186*40%-SUM($G186:AG186),IF(AH$121="4차중도금",$F186*50%-SUM($G186:AG186),$F186*10%)))))))+(IF(AH$121="5차중도금",$F186*60%-SUM($G186:AG186)-$F186*10%,IF(AH$121="6차중도금",$F186*70%-SUM($G186:AG186)-$F186*10%,0)))</f>
        <v>0</v>
      </c>
      <c r="AI186" s="605">
        <f>IF(AI$121="입주/잔금",($F186-SUM($G186:AH186))*30%,IF(AH$121="입주/잔금",($F186-SUM($G186:AG186))*50%,IF(AG$121="입주/잔금",($F186-SUM($G186:AF186))*20%,IF(AI$121=0,0,IF(AI$121="2차중도금",$F186*30%-SUM($G186:AH186),IF(AI$121="3차중도금",$F186*40%-SUM($G186:AH186),IF(AI$121="4차중도금",$F186*50%-SUM($G186:AH186),$F186*10%)))))))+(IF(AI$121="5차중도금",$F186*60%-SUM($G186:AH186)-$F186*10%,IF(AI$121="6차중도금",$F186*70%-SUM($G186:AH186)-$F186*10%,0)))</f>
        <v>0</v>
      </c>
      <c r="AJ186" s="605">
        <f>IF(AJ$121="입주/잔금",($F186-SUM($G186:AI186))*30%,IF(AI$121="입주/잔금",($F186-SUM($G186:AH186))*50%,IF(AH$121="입주/잔금",($F186-SUM($G186:AG186))*20%,IF(AJ$121=0,0,IF(AJ$121="2차중도금",$F186*30%-SUM($G186:AI186),IF(AJ$121="3차중도금",$F186*40%-SUM($G186:AI186),IF(AJ$121="4차중도금",$F186*50%-SUM($G186:AI186),$F186*10%)))))))+(IF(AJ$121="5차중도금",$F186*60%-SUM($G186:AI186)-$F186*10%,IF(AJ$121="6차중도금",$F186*70%-SUM($G186:AI186)-$F186*10%,0)))</f>
        <v>0</v>
      </c>
      <c r="AK186" s="605">
        <f>IF(AK$121="입주/잔금",($F186-SUM($G186:AJ186))*30%,IF(AJ$121="입주/잔금",($F186-SUM($G186:AI186))*50%,IF(AI$121="입주/잔금",($F186-SUM($G186:AH186))*20%,IF(AK$121=0,0,IF(AK$121="2차중도금",$F186*30%-SUM($G186:AJ186),IF(AK$121="3차중도금",$F186*40%-SUM($G186:AJ186),IF(AK$121="4차중도금",$F186*50%-SUM($G186:AJ186),$F186*10%)))))))+(IF(AK$121="5차중도금",$F186*60%-SUM($G186:AJ186)-$F186*10%,IF(AK$121="6차중도금",$F186*70%-SUM($G186:AJ186)-$F186*10%,0)))</f>
        <v>0</v>
      </c>
      <c r="AL186" s="605">
        <f>IF(AL$121="입주/잔금",($F186-SUM($G186:AK186))*30%,IF(AK$121="입주/잔금",($F186-SUM($G186:AJ186))*50%,IF(AJ$121="입주/잔금",($F186-SUM($G186:AI186))*20%,IF(AL$121=0,0,IF(AL$121="2차중도금",$F186*30%-SUM($G186:AK186),IF(AL$121="3차중도금",$F186*40%-SUM($G186:AK186),IF(AL$121="4차중도금",$F186*50%-SUM($G186:AK186),$F186*10%)))))))+(IF(AL$121="5차중도금",$F186*60%-SUM($G186:AK186)-$F186*10%,IF(AL$121="6차중도금",$F186*70%-SUM($G186:AK186)-$F186*10%,0)))</f>
        <v>0</v>
      </c>
      <c r="AM186" s="605">
        <f>IF(AM$121="입주/잔금",($F186-SUM($G186:AL186))*30%,IF(AL$121="입주/잔금",($F186-SUM($G186:AK186))*50%,IF(AK$121="입주/잔금",($F186-SUM($G186:AJ186))*20%,IF(AM$121=0,0,IF(AM$121="2차중도금",$F186*30%-SUM($G186:AL186),IF(AM$121="3차중도금",$F186*40%-SUM($G186:AL186),IF(AM$121="4차중도금",$F186*50%-SUM($G186:AL186),$F186*10%)))))))+(IF(AM$121="5차중도금",$F186*60%-SUM($G186:AL186)-$F186*10%,IF(AM$121="6차중도금",$F186*70%-SUM($G186:AL186)-$F186*10%,0)))</f>
        <v>0</v>
      </c>
      <c r="AN186" s="605">
        <f>IF(AN$121="입주/잔금",($F186-SUM($G186:AM186))*30%,IF(AM$121="입주/잔금",($F186-SUM($G186:AL186))*50%,IF(AL$121="입주/잔금",($F186-SUM($G186:AK186))*20%,IF(AN$121=0,0,IF(AN$121="2차중도금",$F186*30%-SUM($G186:AM186),IF(AN$121="3차중도금",$F186*40%-SUM($G186:AM186),IF(AN$121="4차중도금",$F186*50%-SUM($G186:AM186),$F186*10%)))))))+(IF(AN$121="5차중도금",$F186*60%-SUM($G186:AM186)-$F186*10%,IF(AN$121="6차중도금",$F186*70%-SUM($G186:AM186)-$F186*10%,0)))</f>
        <v>0</v>
      </c>
      <c r="AO186" s="605">
        <f>IF(AO$121="입주/잔금",($F186-SUM($G186:AN186))*30%,IF(AN$121="입주/잔금",($F186-SUM($G186:AM186))*50%,IF(AM$121="입주/잔금",($F186-SUM($G186:AL186))*20%,IF(AO$121=0,0,IF(AO$121="2차중도금",$F186*30%-SUM($G186:AN186),IF(AO$121="3차중도금",$F186*40%-SUM($G186:AN186),IF(AO$121="4차중도금",$F186*50%-SUM($G186:AN186),$F186*10%)))))))+(IF(AO$121="5차중도금",$F186*60%-SUM($G186:AN186)-$F186*10%,IF(AO$121="6차중도금",$F186*70%-SUM($G186:AN186)-$F186*10%,0)))</f>
        <v>0</v>
      </c>
      <c r="AP186" s="605">
        <f>IF(AP$121="입주/잔금",($F186-SUM($G186:AO186))*30%,IF(AO$121="입주/잔금",($F186-SUM($G186:AN186))*50%,IF(AN$121="입주/잔금",($F186-SUM($G186:AM186))*20%,IF(AP$121=0,0,IF(AP$121="2차중도금",$F186*30%-SUM($G186:AO186),IF(AP$121="3차중도금",$F186*40%-SUM($G186:AO186),IF(AP$121="4차중도금",$F186*50%-SUM($G186:AO186),$F186*10%)))))))+(IF(AP$121="5차중도금",$F186*60%-SUM($G186:AO186)-$F186*10%,IF(AP$121="6차중도금",$F186*70%-SUM($G186:AO186)-$F186*10%,0)))</f>
        <v>0</v>
      </c>
      <c r="AQ186" s="605">
        <f>IF(AQ$121="입주/잔금",($F186-SUM($G186:AP186))*30%,IF(AP$121="입주/잔금",($F186-SUM($G186:AO186))*50%,IF(AO$121="입주/잔금",($F186-SUM($G186:AN186))*20%,IF(AQ$121=0,0,IF(AQ$121="2차중도금",$F186*30%-SUM($G186:AP186),IF(AQ$121="3차중도금",$F186*40%-SUM($G186:AP186),IF(AQ$121="4차중도금",$F186*50%-SUM($G186:AP186),$F186*10%)))))))+(IF(AQ$121="5차중도금",$F186*60%-SUM($G186:AP186)-$F186*10%,IF(AQ$121="6차중도금",$F186*70%-SUM($G186:AP186)-$F186*10%,0)))</f>
        <v>0</v>
      </c>
      <c r="AR186" s="605">
        <f>IF(AR$121="입주/잔금",($F186-SUM($G186:AQ186))*30%,IF(AQ$121="입주/잔금",($F186-SUM($G186:AP186))*50%,IF(AP$121="입주/잔금",($F186-SUM($G186:AO186))*20%,IF(AR$121=0,0,IF(AR$121="2차중도금",$F186*30%-SUM($G186:AQ186),IF(AR$121="3차중도금",$F186*40%-SUM($G186:AQ186),IF(AR$121="4차중도금",$F186*50%-SUM($G186:AQ186),$F186*10%)))))))+(IF(AR$121="5차중도금",$F186*60%-SUM($G186:AQ186)-$F186*10%,IF(AR$121="6차중도금",$F186*70%-SUM($G186:AQ186)-$F186*10%,0)))</f>
        <v>0</v>
      </c>
      <c r="AS186" s="605">
        <f>IF(AS$121="입주/잔금",($F186-SUM($G186:AR186))*30%,IF(AR$121="입주/잔금",($F186-SUM($G186:AQ186))*50%,IF(AQ$121="입주/잔금",($F186-SUM($G186:AP186))*20%,IF(AS$121=0,0,IF(AS$121="2차중도금",$F186*30%-SUM($G186:AR186),IF(AS$121="3차중도금",$F186*40%-SUM($G186:AR186),IF(AS$121="4차중도금",$F186*50%-SUM($G186:AR186),$F186*10%)))))))+(IF(AS$121="5차중도금",$F186*60%-SUM($G186:AR186)-$F186*10%,IF(AS$121="6차중도금",$F186*70%-SUM($G186:AR186)-$F186*10%,0)))</f>
        <v>0</v>
      </c>
      <c r="AT186" s="605">
        <f>IF(AT$121="입주/잔금",($F186-SUM($G186:AS186))*30%,IF(AS$121="입주/잔금",($F186-SUM($G186:AR186))*50%,IF(AR$121="입주/잔금",($F186-SUM($G186:AQ186))*20%,IF(AT$121=0,0,IF(AT$121="2차중도금",$F186*30%-SUM($G186:AS186),IF(AT$121="3차중도금",$F186*40%-SUM($G186:AS186),IF(AT$121="4차중도금",$F186*50%-SUM($G186:AS186),$F186*10%)))))))+(IF(AT$121="5차중도금",$F186*60%-SUM($G186:AS186)-$F186*10%,IF(AT$121="6차중도금",$F186*70%-SUM($G186:AS186)-$F186*10%,0)))</f>
        <v>0</v>
      </c>
      <c r="AU186" s="605">
        <f>IF(AU$121="입주/잔금",($F186-SUM($G186:AT186))*30%,IF(AT$121="입주/잔금",($F186-SUM($G186:AS186))*50%,IF(AS$121="입주/잔금",($F186-SUM($G186:AR186))*20%,IF(AU$121=0,0,IF(AU$121="2차중도금",$F186*30%-SUM($G186:AT186),IF(AU$121="3차중도금",$F186*40%-SUM($G186:AT186),IF(AU$121="4차중도금",$F186*50%-SUM($G186:AT186),$F186*10%)))))))+(IF(AU$121="5차중도금",$F186*60%-SUM($G186:AT186)-$F186*10%,IF(AU$121="6차중도금",$F186*70%-SUM($G186:AT186)-$F186*10%,0)))</f>
        <v>0</v>
      </c>
      <c r="AV186" s="605">
        <f>IF(AV$121="입주/잔금",($F186-SUM($G186:AU186))*30%,IF(AU$121="입주/잔금",($F186-SUM($G186:AT186))*50%,IF(AT$121="입주/잔금",($F186-SUM($G186:AS186))*20%,IF(AV$121=0,0,IF(AV$121="2차중도금",$F186*30%-SUM($G186:AU186),IF(AV$121="3차중도금",$F186*40%-SUM($G186:AU186),IF(AV$121="4차중도금",$F186*50%-SUM($G186:AU186),$F186*10%)))))))+(IF(AV$121="5차중도금",$F186*60%-SUM($G186:AU186)-$F186*10%,IF(AV$121="6차중도금",$F186*70%-SUM($G186:AU186)-$F186*10%,0)))</f>
        <v>0</v>
      </c>
      <c r="AW186" s="605">
        <f>IF(AW$121="입주/잔금",($F186-SUM($G186:AV186))*30%,IF(AV$121="입주/잔금",($F186-SUM($G186:AU186))*50%,IF(AU$121="입주/잔금",($F186-SUM($G186:AT186))*20%,IF(AW$121=0,0,IF(AW$121="2차중도금",$F186*30%-SUM($G186:AV186),IF(AW$121="3차중도금",$F186*40%-SUM($G186:AV186),IF(AW$121="4차중도금",$F186*50%-SUM($G186:AV186),$F186*10%)))))))+(IF(AW$121="5차중도금",$F186*60%-SUM($G186:AV186)-$F186*10%,IF(AW$121="6차중도금",$F186*70%-SUM($G186:AV186)-$F186*10%,0)))</f>
        <v>0</v>
      </c>
      <c r="AX186" s="605">
        <f>IF(AX$121="입주/잔금",($F186-SUM($G186:AW186))*30%,IF(AW$121="입주/잔금",($F186-SUM($G186:AV186))*50%,IF(AV$121="입주/잔금",($F186-SUM($G186:AU186))*20%,IF(AX$121=0,0,IF(AX$121="2차중도금",$F186*30%-SUM($G186:AW186),IF(AX$121="3차중도금",$F186*40%-SUM($G186:AW186),IF(AX$121="4차중도금",$F186*50%-SUM($G186:AW186),$F186*10%)))))))+(IF(AX$121="5차중도금",$F186*60%-SUM($G186:AW186)-$F186*10%,IF(AX$121="6차중도금",$F186*70%-SUM($G186:AW186)-$F186*10%,0)))</f>
        <v>0</v>
      </c>
      <c r="AY186" s="605">
        <f>IF(AY$121="입주/잔금",($F186-SUM($G186:AX186))*30%,IF(AX$121="입주/잔금",($F186-SUM($G186:AW186))*50%,IF(AW$121="입주/잔금",($F186-SUM($G186:AV186))*20%,IF(AY$121=0,0,IF(AY$121="2차중도금",$F186*30%-SUM($G186:AX186),IF(AY$121="3차중도금",$F186*40%-SUM($G186:AX186),IF(AY$121="4차중도금",$F186*50%-SUM($G186:AX186),$F186*10%)))))))+(IF(AY$121="5차중도금",$F186*60%-SUM($G186:AX186)-$F186*10%,IF(AY$121="6차중도금",$F186*70%-SUM($G186:AX186)-$F186*10%,0)))</f>
        <v>0</v>
      </c>
      <c r="AZ186" s="605">
        <f>IF(AZ$121="입주/잔금",($F186-SUM($G186:AY186))*30%,IF(AY$121="입주/잔금",($F186-SUM($G186:AX186))*50%,IF(AX$121="입주/잔금",($F186-SUM($G186:AW186))*20%,IF(AZ$121=0,0,IF(AZ$121="2차중도금",$F186*30%-SUM($G186:AY186),IF(AZ$121="3차중도금",$F186*40%-SUM($G186:AY186),IF(AZ$121="4차중도금",$F186*50%-SUM($G186:AY186),$F186*10%)))))))+(IF(AZ$121="5차중도금",$F186*60%-SUM($G186:AY186)-$F186*10%,IF(AZ$121="6차중도금",$F186*70%-SUM($G186:AY186)-$F186*10%,0)))</f>
        <v>0</v>
      </c>
      <c r="BA186" s="605">
        <f>IF(BA$121="입주/잔금",($F186-SUM($G186:AZ186))*30%,IF(AZ$121="입주/잔금",($F186-SUM($G186:AY186))*50%,IF(AY$121="입주/잔금",($F186-SUM($G186:AX186))*20%,IF(BA$121=0,0,IF(BA$121="2차중도금",$F186*30%-SUM($G186:AZ186),IF(BA$121="3차중도금",$F186*40%-SUM($G186:AZ186),IF(BA$121="4차중도금",$F186*50%-SUM($G186:AZ186),$F186*10%)))))))+(IF(BA$121="5차중도금",$F186*60%-SUM($G186:AZ186)-$F186*10%,IF(BA$121="6차중도금",$F186*70%-SUM($G186:AZ186)-$F186*10%,0)))</f>
        <v>0</v>
      </c>
      <c r="BB186" s="605">
        <f>IF(BB$121="입주/잔금",($F186-SUM($G186:BA186))*30%,IF(BA$121="입주/잔금",($F186-SUM($G186:AZ186))*50%,IF(AZ$121="입주/잔금",($F186-SUM($G186:AY186))*20%,IF(BB$121=0,0,IF(BB$121="2차중도금",$F186*30%-SUM($G186:BA186),IF(BB$121="3차중도금",$F186*40%-SUM($G186:BA186),IF(BB$121="4차중도금",$F186*50%-SUM($G186:BA186),$F186*10%)))))))+(IF(BB$121="5차중도금",$F186*60%-SUM($G186:BA186)-$F186*10%,IF(BB$121="6차중도금",$F186*70%-SUM($G186:BA186)-$F186*10%,0)))</f>
        <v>0</v>
      </c>
      <c r="BC186" s="605">
        <f>IF(BC$121="입주/잔금",($F186-SUM($G186:BB186))*30%,IF(BB$121="입주/잔금",($F186-SUM($G186:BA186))*50%,IF(BA$121="입주/잔금",($F186-SUM($G186:AZ186))*20%,IF(BC$121=0,0,IF(BC$121="2차중도금",$F186*30%-SUM($G186:BB186),IF(BC$121="3차중도금",$F186*40%-SUM($G186:BB186),IF(BC$121="4차중도금",$F186*50%-SUM($G186:BB186),$F186*10%)))))))+(IF(BC$121="5차중도금",$F186*60%-SUM($G186:BB186)-$F186*10%,IF(BC$121="6차중도금",$F186*70%-SUM($G186:BB186)-$F186*10%,0)))</f>
        <v>0</v>
      </c>
      <c r="BD186" s="605">
        <f>IF(BD$121="입주/잔금",($F186-SUM($G186:BC186))*30%,IF(BC$121="입주/잔금",($F186-SUM($G186:BB186))*50%,IF(BB$121="입주/잔금",($F186-SUM($G186:BA186))*20%,IF(BD$121=0,0,IF(BD$121="2차중도금",$F186*30%-SUM($G186:BC186),IF(BD$121="3차중도금",$F186*40%-SUM($G186:BC186),IF(BD$121="4차중도금",$F186*50%-SUM($G186:BC186),$F186*10%)))))))+(IF(BD$121="5차중도금",$F186*60%-SUM($G186:BC186)-$F186*10%,IF(BD$121="6차중도금",$F186*70%-SUM($G186:BC186)-$F186*10%,0)))</f>
        <v>0</v>
      </c>
      <c r="BE186" s="605">
        <f>IF(BE$121="입주/잔금",($F186-SUM($G186:BD186))*30%,IF(BD$121="입주/잔금",($F186-SUM($G186:BC186))*50%,IF(BC$121="입주/잔금",($F186-SUM($G186:BB186))*20%,IF(BE$121=0,0,IF(BE$121="2차중도금",$F186*30%-SUM($G186:BD186),IF(BE$121="3차중도금",$F186*40%-SUM($G186:BD186),IF(BE$121="4차중도금",$F186*50%-SUM($G186:BD186),$F186*10%)))))))+(IF(BE$121="5차중도금",$F186*60%-SUM($G186:BD186)-$F186*10%,IF(BE$121="6차중도금",$F186*70%-SUM($G186:BD186)-$F186*10%,0)))</f>
        <v>0</v>
      </c>
      <c r="BF186" s="609">
        <f t="shared" si="57"/>
        <v>0</v>
      </c>
      <c r="BG186" s="556">
        <f t="shared" si="59"/>
        <v>0</v>
      </c>
      <c r="BH186" s="610"/>
    </row>
    <row r="187" spans="1:60" hidden="1">
      <c r="A187" s="1853"/>
      <c r="B187" s="611">
        <f t="shared" si="60"/>
        <v>45139</v>
      </c>
      <c r="C187" s="605">
        <f t="shared" si="61"/>
        <v>0</v>
      </c>
      <c r="D187" s="606"/>
      <c r="E187" s="607">
        <f t="shared" si="62"/>
        <v>0</v>
      </c>
      <c r="F187" s="608">
        <f t="shared" si="58"/>
        <v>0</v>
      </c>
      <c r="G187" s="605"/>
      <c r="H187" s="605"/>
      <c r="I187" s="605"/>
      <c r="J187" s="605"/>
      <c r="K187" s="605"/>
      <c r="L187" s="605"/>
      <c r="M187" s="605"/>
      <c r="N187" s="605"/>
      <c r="O187" s="605"/>
      <c r="P187" s="605"/>
      <c r="Q187" s="605">
        <f>$F187*10%</f>
        <v>0</v>
      </c>
      <c r="R187" s="605">
        <f>IF(R$121="입주/잔금",($F187-SUM($G187:Q187))*30%,IF(Q$121="입주/잔금",($F187-SUM($G187:P187))*50%,IF(P$121="입주/잔금",($F187-SUM($G187:O187))*20%,IF(R$121=0,0,IF(R$121="2차중도금",$F187*30%-SUM($G187:Q187),IF(R$121="3차중도금",$F187*40%-SUM($G187:Q187),IF(R$121="4차중도금",$F187*50%-SUM($G187:Q187),$F187*10%)))))))+(IF(R$121="5차중도금",$F187*60%-SUM($G187:Q187)-$F187*10%,IF(R$121="6차중도금",$F187*70%-SUM($G187:Q187)-$F187*10%,0)))</f>
        <v>0</v>
      </c>
      <c r="S187" s="605">
        <f>IF(S$121="입주/잔금",($F187-SUM($G187:R187))*30%,IF(R$121="입주/잔금",($F187-SUM($G187:Q187))*50%,IF(Q$121="입주/잔금",($F187-SUM($G187:P187))*20%,IF(S$121=0,0,IF(S$121="2차중도금",$F187*30%-SUM($G187:R187),IF(S$121="3차중도금",$F187*40%-SUM($G187:R187),IF(S$121="4차중도금",$F187*50%-SUM($G187:R187),$F187*10%)))))))+(IF(S$121="5차중도금",$F187*60%-SUM($G187:R187)-$F187*10%,IF(S$121="6차중도금",$F187*70%-SUM($G187:R187)-$F187*10%,0)))</f>
        <v>0</v>
      </c>
      <c r="T187" s="605">
        <f>IF(T$121="입주/잔금",($F187-SUM($G187:S187))*30%,IF(S$121="입주/잔금",($F187-SUM($G187:R187))*50%,IF(R$121="입주/잔금",($F187-SUM($G187:Q187))*20%,IF(T$121=0,0,IF(T$121="2차중도금",$F187*30%-SUM($G187:S187),IF(T$121="3차중도금",$F187*40%-SUM($G187:S187),IF(T$121="4차중도금",$F187*50%-SUM($G187:S187),$F187*10%)))))))+(IF(T$121="5차중도금",$F187*60%-SUM($G187:S187)-$F187*10%,IF(T$121="6차중도금",$F187*70%-SUM($G187:S187)-$F187*10%,0)))</f>
        <v>0</v>
      </c>
      <c r="U187" s="605">
        <f>IF(U$121="입주/잔금",($F187-SUM($G187:T187))*30%,IF(T$121="입주/잔금",($F187-SUM($G187:S187))*50%,IF(S$121="입주/잔금",($F187-SUM($G187:R187))*20%,IF(U$121=0,0,IF(U$121="2차중도금",$F187*30%-SUM($G187:T187),IF(U$121="3차중도금",$F187*40%-SUM($G187:T187),IF(U$121="4차중도금",$F187*50%-SUM($G187:T187),$F187*10%)))))))+(IF(U$121="5차중도금",$F187*60%-SUM($G187:T187)-$F187*10%,IF(U$121="6차중도금",$F187*70%-SUM($G187:T187)-$F187*10%,0)))</f>
        <v>0</v>
      </c>
      <c r="V187" s="605">
        <f>IF(V$121="입주/잔금",($F187-SUM($G187:U187))*30%,IF(U$121="입주/잔금",($F187-SUM($G187:T187))*50%,IF(T$121="입주/잔금",($F187-SUM($G187:S187))*20%,IF(V$121=0,0,IF(V$121="2차중도금",$F187*30%-SUM($G187:U187),IF(V$121="3차중도금",$F187*40%-SUM($G187:U187),IF(V$121="4차중도금",$F187*50%-SUM($G187:U187),$F187*10%)))))))+(IF(V$121="5차중도금",$F187*60%-SUM($G187:U187)-$F187*10%,IF(V$121="6차중도금",$F187*70%-SUM($G187:U187)-$F187*10%,0)))</f>
        <v>0</v>
      </c>
      <c r="W187" s="605">
        <f>IF(W$121="입주/잔금",($F187-SUM($G187:V187))*30%,IF(V$121="입주/잔금",($F187-SUM($G187:U187))*50%,IF(U$121="입주/잔금",($F187-SUM($G187:T187))*20%,IF(W$121=0,0,IF(W$121="2차중도금",$F187*30%-SUM($G187:V187),IF(W$121="3차중도금",$F187*40%-SUM($G187:V187),IF(W$121="4차중도금",$F187*50%-SUM($G187:V187),$F187*10%)))))))+(IF(W$121="5차중도금",$F187*60%-SUM($G187:V187)-$F187*10%,IF(W$121="6차중도금",$F187*70%-SUM($G187:V187)-$F187*10%,0)))</f>
        <v>0</v>
      </c>
      <c r="X187" s="605">
        <f>IF(X$121="입주/잔금",($F187-SUM($G187:W187))*30%,IF(W$121="입주/잔금",($F187-SUM($G187:V187))*50%,IF(V$121="입주/잔금",($F187-SUM($G187:U187))*20%,IF(X$121=0,0,IF(X$121="2차중도금",$F187*30%-SUM($G187:W187),IF(X$121="3차중도금",$F187*40%-SUM($G187:W187),IF(X$121="4차중도금",$F187*50%-SUM($G187:W187),$F187*10%)))))))+(IF(X$121="5차중도금",$F187*60%-SUM($G187:W187)-$F187*10%,IF(X$121="6차중도금",$F187*70%-SUM($G187:W187)-$F187*10%,0)))</f>
        <v>0</v>
      </c>
      <c r="Y187" s="605">
        <f>IF(Y$121="입주/잔금",($F187-SUM($G187:X187))*30%,IF(X$121="입주/잔금",($F187-SUM($G187:W187))*50%,IF(W$121="입주/잔금",($F187-SUM($G187:V187))*20%,IF(Y$121=0,0,IF(Y$121="2차중도금",$F187*30%-SUM($G187:X187),IF(Y$121="3차중도금",$F187*40%-SUM($G187:X187),IF(Y$121="4차중도금",$F187*50%-SUM($G187:X187),$F187*10%)))))))+(IF(Y$121="5차중도금",$F187*60%-SUM($G187:X187)-$F187*10%,IF(Y$121="6차중도금",$F187*70%-SUM($G187:X187)-$F187*10%,0)))</f>
        <v>0</v>
      </c>
      <c r="Z187" s="605">
        <f>IF(Z$121="입주/잔금",($F187-SUM($G187:Y187))*30%,IF(Y$121="입주/잔금",($F187-SUM($G187:X187))*50%,IF(X$121="입주/잔금",($F187-SUM($G187:W187))*20%,IF(Z$121=0,0,IF(Z$121="2차중도금",$F187*30%-SUM($G187:Y187),IF(Z$121="3차중도금",$F187*40%-SUM($G187:Y187),IF(Z$121="4차중도금",$F187*50%-SUM($G187:Y187),$F187*10%)))))))+(IF(Z$121="5차중도금",$F187*60%-SUM($G187:Y187)-$F187*10%,IF(Z$121="6차중도금",$F187*70%-SUM($G187:Y187)-$F187*10%,0)))</f>
        <v>0</v>
      </c>
      <c r="AA187" s="605">
        <f>IF(AA$121="입주/잔금",($F187-SUM($G187:Z187))*30%,IF(Z$121="입주/잔금",($F187-SUM($G187:Y187))*50%,IF(Y$121="입주/잔금",($F187-SUM($G187:X187))*20%,IF(AA$121=0,0,IF(AA$121="2차중도금",$F187*30%-SUM($G187:Z187),IF(AA$121="3차중도금",$F187*40%-SUM($G187:Z187),IF(AA$121="4차중도금",$F187*50%-SUM($G187:Z187),$F187*10%)))))))+(IF(AA$121="5차중도금",$F187*60%-SUM($G187:Z187)-$F187*10%,IF(AA$121="6차중도금",$F187*70%-SUM($G187:Z187)-$F187*10%,0)))</f>
        <v>0</v>
      </c>
      <c r="AB187" s="605">
        <f>IF(AB$121="입주/잔금",($F187-SUM($G187:AA187))*30%,IF(AA$121="입주/잔금",($F187-SUM($G187:Z187))*50%,IF(Z$121="입주/잔금",($F187-SUM($G187:Y187))*20%,IF(AB$121=0,0,IF(AB$121="2차중도금",$F187*30%-SUM($G187:AA187),IF(AB$121="3차중도금",$F187*40%-SUM($G187:AA187),IF(AB$121="4차중도금",$F187*50%-SUM($G187:AA187),$F187*10%)))))))+(IF(AB$121="5차중도금",$F187*60%-SUM($G187:AA187)-$F187*10%,IF(AB$121="6차중도금",$F187*70%-SUM($G187:AA187)-$F187*10%,0)))</f>
        <v>0</v>
      </c>
      <c r="AC187" s="605">
        <f>IF(AC$121="입주/잔금",($F187-SUM($G187:AB187))*30%,IF(AB$121="입주/잔금",($F187-SUM($G187:AA187))*50%,IF(AA$121="입주/잔금",($F187-SUM($G187:Z187))*20%,IF(AC$121=0,0,IF(AC$121="2차중도금",$F187*30%-SUM($G187:AB187),IF(AC$121="3차중도금",$F187*40%-SUM($G187:AB187),IF(AC$121="4차중도금",$F187*50%-SUM($G187:AB187),$F187*10%)))))))+(IF(AC$121="5차중도금",$F187*60%-SUM($G187:AB187)-$F187*10%,IF(AC$121="6차중도금",$F187*70%-SUM($G187:AB187)-$F187*10%,0)))</f>
        <v>0</v>
      </c>
      <c r="AD187" s="605">
        <f>IF(AD$121="입주/잔금",($F187-SUM($G187:AC187))*30%,IF(AC$121="입주/잔금",($F187-SUM($G187:AB187))*50%,IF(AB$121="입주/잔금",($F187-SUM($G187:AA187))*20%,IF(AD$121=0,0,IF(AD$121="2차중도금",$F187*30%-SUM($G187:AC187),IF(AD$121="3차중도금",$F187*40%-SUM($G187:AC187),IF(AD$121="4차중도금",$F187*50%-SUM($G187:AC187),$F187*10%)))))))+(IF(AD$121="5차중도금",$F187*60%-SUM($G187:AC187)-$F187*10%,IF(AD$121="6차중도금",$F187*70%-SUM($G187:AC187)-$F187*10%,0)))</f>
        <v>0</v>
      </c>
      <c r="AE187" s="605">
        <f>IF(AE$121="입주/잔금",($F187-SUM($G187:AD187))*30%,IF(AD$121="입주/잔금",($F187-SUM($G187:AC187))*50%,IF(AC$121="입주/잔금",($F187-SUM($G187:AB187))*20%,IF(AE$121=0,0,IF(AE$121="2차중도금",$F187*30%-SUM($G187:AD187),IF(AE$121="3차중도금",$F187*40%-SUM($G187:AD187),IF(AE$121="4차중도금",$F187*50%-SUM($G187:AD187),$F187*10%)))))))+(IF(AE$121="5차중도금",$F187*60%-SUM($G187:AD187)-$F187*10%,IF(AE$121="6차중도금",$F187*70%-SUM($G187:AD187)-$F187*10%,0)))</f>
        <v>0</v>
      </c>
      <c r="AF187" s="605">
        <f>IF(AF$121="입주/잔금",($F187-SUM($G187:AE187))*30%,IF(AE$121="입주/잔금",($F187-SUM($G187:AD187))*50%,IF(AD$121="입주/잔금",($F187-SUM($G187:AC187))*20%,IF(AF$121=0,0,IF(AF$121="2차중도금",$F187*30%-SUM($G187:AE187),IF(AF$121="3차중도금",$F187*40%-SUM($G187:AE187),IF(AF$121="4차중도금",$F187*50%-SUM($G187:AE187),$F187*10%)))))))+(IF(AF$121="5차중도금",$F187*60%-SUM($G187:AE187)-$F187*10%,IF(AF$121="6차중도금",$F187*70%-SUM($G187:AE187)-$F187*10%,0)))</f>
        <v>0</v>
      </c>
      <c r="AG187" s="605">
        <f>IF(AG$121="입주/잔금",($F187-SUM($G187:AF187))*30%,IF(AF$121="입주/잔금",($F187-SUM($G187:AE187))*50%,IF(AE$121="입주/잔금",($F187-SUM($G187:AD187))*20%,IF(AG$121=0,0,IF(AG$121="2차중도금",$F187*30%-SUM($G187:AF187),IF(AG$121="3차중도금",$F187*40%-SUM($G187:AF187),IF(AG$121="4차중도금",$F187*50%-SUM($G187:AF187),$F187*10%)))))))+(IF(AG$121="5차중도금",$F187*60%-SUM($G187:AF187)-$F187*10%,IF(AG$121="6차중도금",$F187*70%-SUM($G187:AF187)-$F187*10%,0)))</f>
        <v>0</v>
      </c>
      <c r="AH187" s="605">
        <f>IF(AH$121="입주/잔금",($F187-SUM($G187:AG187))*30%,IF(AG$121="입주/잔금",($F187-SUM($G187:AF187))*50%,IF(AF$121="입주/잔금",($F187-SUM($G187:AE187))*20%,IF(AH$121=0,0,IF(AH$121="2차중도금",$F187*30%-SUM($G187:AG187),IF(AH$121="3차중도금",$F187*40%-SUM($G187:AG187),IF(AH$121="4차중도금",$F187*50%-SUM($G187:AG187),$F187*10%)))))))+(IF(AH$121="5차중도금",$F187*60%-SUM($G187:AG187)-$F187*10%,IF(AH$121="6차중도금",$F187*70%-SUM($G187:AG187)-$F187*10%,0)))</f>
        <v>0</v>
      </c>
      <c r="AI187" s="605">
        <f>IF(AI$121="입주/잔금",($F187-SUM($G187:AH187))*30%,IF(AH$121="입주/잔금",($F187-SUM($G187:AG187))*50%,IF(AG$121="입주/잔금",($F187-SUM($G187:AF187))*20%,IF(AI$121=0,0,IF(AI$121="2차중도금",$F187*30%-SUM($G187:AH187),IF(AI$121="3차중도금",$F187*40%-SUM($G187:AH187),IF(AI$121="4차중도금",$F187*50%-SUM($G187:AH187),$F187*10%)))))))+(IF(AI$121="5차중도금",$F187*60%-SUM($G187:AH187)-$F187*10%,IF(AI$121="6차중도금",$F187*70%-SUM($G187:AH187)-$F187*10%,0)))</f>
        <v>0</v>
      </c>
      <c r="AJ187" s="605">
        <f>IF(AJ$121="입주/잔금",($F187-SUM($G187:AI187))*30%,IF(AI$121="입주/잔금",($F187-SUM($G187:AH187))*50%,IF(AH$121="입주/잔금",($F187-SUM($G187:AG187))*20%,IF(AJ$121=0,0,IF(AJ$121="2차중도금",$F187*30%-SUM($G187:AI187),IF(AJ$121="3차중도금",$F187*40%-SUM($G187:AI187),IF(AJ$121="4차중도금",$F187*50%-SUM($G187:AI187),$F187*10%)))))))+(IF(AJ$121="5차중도금",$F187*60%-SUM($G187:AI187)-$F187*10%,IF(AJ$121="6차중도금",$F187*70%-SUM($G187:AI187)-$F187*10%,0)))</f>
        <v>0</v>
      </c>
      <c r="AK187" s="605">
        <f>IF(AK$121="입주/잔금",($F187-SUM($G187:AJ187))*30%,IF(AJ$121="입주/잔금",($F187-SUM($G187:AI187))*50%,IF(AI$121="입주/잔금",($F187-SUM($G187:AH187))*20%,IF(AK$121=0,0,IF(AK$121="2차중도금",$F187*30%-SUM($G187:AJ187),IF(AK$121="3차중도금",$F187*40%-SUM($G187:AJ187),IF(AK$121="4차중도금",$F187*50%-SUM($G187:AJ187),$F187*10%)))))))+(IF(AK$121="5차중도금",$F187*60%-SUM($G187:AJ187)-$F187*10%,IF(AK$121="6차중도금",$F187*70%-SUM($G187:AJ187)-$F187*10%,0)))</f>
        <v>0</v>
      </c>
      <c r="AL187" s="605">
        <f>IF(AL$121="입주/잔금",($F187-SUM($G187:AK187))*30%,IF(AK$121="입주/잔금",($F187-SUM($G187:AJ187))*50%,IF(AJ$121="입주/잔금",($F187-SUM($G187:AI187))*20%,IF(AL$121=0,0,IF(AL$121="2차중도금",$F187*30%-SUM($G187:AK187),IF(AL$121="3차중도금",$F187*40%-SUM($G187:AK187),IF(AL$121="4차중도금",$F187*50%-SUM($G187:AK187),$F187*10%)))))))+(IF(AL$121="5차중도금",$F187*60%-SUM($G187:AK187)-$F187*10%,IF(AL$121="6차중도금",$F187*70%-SUM($G187:AK187)-$F187*10%,0)))</f>
        <v>0</v>
      </c>
      <c r="AM187" s="605">
        <f>IF(AM$121="입주/잔금",($F187-SUM($G187:AL187))*30%,IF(AL$121="입주/잔금",($F187-SUM($G187:AK187))*50%,IF(AK$121="입주/잔금",($F187-SUM($G187:AJ187))*20%,IF(AM$121=0,0,IF(AM$121="2차중도금",$F187*30%-SUM($G187:AL187),IF(AM$121="3차중도금",$F187*40%-SUM($G187:AL187),IF(AM$121="4차중도금",$F187*50%-SUM($G187:AL187),$F187*10%)))))))+(IF(AM$121="5차중도금",$F187*60%-SUM($G187:AL187)-$F187*10%,IF(AM$121="6차중도금",$F187*70%-SUM($G187:AL187)-$F187*10%,0)))</f>
        <v>0</v>
      </c>
      <c r="AN187" s="605">
        <f>IF(AN$121="입주/잔금",($F187-SUM($G187:AM187))*30%,IF(AM$121="입주/잔금",($F187-SUM($G187:AL187))*50%,IF(AL$121="입주/잔금",($F187-SUM($G187:AK187))*20%,IF(AN$121=0,0,IF(AN$121="2차중도금",$F187*30%-SUM($G187:AM187),IF(AN$121="3차중도금",$F187*40%-SUM($G187:AM187),IF(AN$121="4차중도금",$F187*50%-SUM($G187:AM187),$F187*10%)))))))+(IF(AN$121="5차중도금",$F187*60%-SUM($G187:AM187)-$F187*10%,IF(AN$121="6차중도금",$F187*70%-SUM($G187:AM187)-$F187*10%,0)))</f>
        <v>0</v>
      </c>
      <c r="AO187" s="605">
        <f>IF(AO$121="입주/잔금",($F187-SUM($G187:AN187))*30%,IF(AN$121="입주/잔금",($F187-SUM($G187:AM187))*50%,IF(AM$121="입주/잔금",($F187-SUM($G187:AL187))*20%,IF(AO$121=0,0,IF(AO$121="2차중도금",$F187*30%-SUM($G187:AN187),IF(AO$121="3차중도금",$F187*40%-SUM($G187:AN187),IF(AO$121="4차중도금",$F187*50%-SUM($G187:AN187),$F187*10%)))))))+(IF(AO$121="5차중도금",$F187*60%-SUM($G187:AN187)-$F187*10%,IF(AO$121="6차중도금",$F187*70%-SUM($G187:AN187)-$F187*10%,0)))</f>
        <v>0</v>
      </c>
      <c r="AP187" s="605">
        <f>IF(AP$121="입주/잔금",($F187-SUM($G187:AO187))*30%,IF(AO$121="입주/잔금",($F187-SUM($G187:AN187))*50%,IF(AN$121="입주/잔금",($F187-SUM($G187:AM187))*20%,IF(AP$121=0,0,IF(AP$121="2차중도금",$F187*30%-SUM($G187:AO187),IF(AP$121="3차중도금",$F187*40%-SUM($G187:AO187),IF(AP$121="4차중도금",$F187*50%-SUM($G187:AO187),$F187*10%)))))))+(IF(AP$121="5차중도금",$F187*60%-SUM($G187:AO187)-$F187*10%,IF(AP$121="6차중도금",$F187*70%-SUM($G187:AO187)-$F187*10%,0)))</f>
        <v>0</v>
      </c>
      <c r="AQ187" s="605">
        <f>IF(AQ$121="입주/잔금",($F187-SUM($G187:AP187))*30%,IF(AP$121="입주/잔금",($F187-SUM($G187:AO187))*50%,IF(AO$121="입주/잔금",($F187-SUM($G187:AN187))*20%,IF(AQ$121=0,0,IF(AQ$121="2차중도금",$F187*30%-SUM($G187:AP187),IF(AQ$121="3차중도금",$F187*40%-SUM($G187:AP187),IF(AQ$121="4차중도금",$F187*50%-SUM($G187:AP187),$F187*10%)))))))+(IF(AQ$121="5차중도금",$F187*60%-SUM($G187:AP187)-$F187*10%,IF(AQ$121="6차중도금",$F187*70%-SUM($G187:AP187)-$F187*10%,0)))</f>
        <v>0</v>
      </c>
      <c r="AR187" s="605">
        <f>IF(AR$121="입주/잔금",($F187-SUM($G187:AQ187))*30%,IF(AQ$121="입주/잔금",($F187-SUM($G187:AP187))*50%,IF(AP$121="입주/잔금",($F187-SUM($G187:AO187))*20%,IF(AR$121=0,0,IF(AR$121="2차중도금",$F187*30%-SUM($G187:AQ187),IF(AR$121="3차중도금",$F187*40%-SUM($G187:AQ187),IF(AR$121="4차중도금",$F187*50%-SUM($G187:AQ187),$F187*10%)))))))+(IF(AR$121="5차중도금",$F187*60%-SUM($G187:AQ187)-$F187*10%,IF(AR$121="6차중도금",$F187*70%-SUM($G187:AQ187)-$F187*10%,0)))</f>
        <v>0</v>
      </c>
      <c r="AS187" s="605">
        <f>IF(AS$121="입주/잔금",($F187-SUM($G187:AR187))*30%,IF(AR$121="입주/잔금",($F187-SUM($G187:AQ187))*50%,IF(AQ$121="입주/잔금",($F187-SUM($G187:AP187))*20%,IF(AS$121=0,0,IF(AS$121="2차중도금",$F187*30%-SUM($G187:AR187),IF(AS$121="3차중도금",$F187*40%-SUM($G187:AR187),IF(AS$121="4차중도금",$F187*50%-SUM($G187:AR187),$F187*10%)))))))+(IF(AS$121="5차중도금",$F187*60%-SUM($G187:AR187)-$F187*10%,IF(AS$121="6차중도금",$F187*70%-SUM($G187:AR187)-$F187*10%,0)))</f>
        <v>0</v>
      </c>
      <c r="AT187" s="605">
        <f>IF(AT$121="입주/잔금",($F187-SUM($G187:AS187))*30%,IF(AS$121="입주/잔금",($F187-SUM($G187:AR187))*50%,IF(AR$121="입주/잔금",($F187-SUM($G187:AQ187))*20%,IF(AT$121=0,0,IF(AT$121="2차중도금",$F187*30%-SUM($G187:AS187),IF(AT$121="3차중도금",$F187*40%-SUM($G187:AS187),IF(AT$121="4차중도금",$F187*50%-SUM($G187:AS187),$F187*10%)))))))+(IF(AT$121="5차중도금",$F187*60%-SUM($G187:AS187)-$F187*10%,IF(AT$121="6차중도금",$F187*70%-SUM($G187:AS187)-$F187*10%,0)))</f>
        <v>0</v>
      </c>
      <c r="AU187" s="605">
        <f>IF(AU$121="입주/잔금",($F187-SUM($G187:AT187))*30%,IF(AT$121="입주/잔금",($F187-SUM($G187:AS187))*50%,IF(AS$121="입주/잔금",($F187-SUM($G187:AR187))*20%,IF(AU$121=0,0,IF(AU$121="2차중도금",$F187*30%-SUM($G187:AT187),IF(AU$121="3차중도금",$F187*40%-SUM($G187:AT187),IF(AU$121="4차중도금",$F187*50%-SUM($G187:AT187),$F187*10%)))))))+(IF(AU$121="5차중도금",$F187*60%-SUM($G187:AT187)-$F187*10%,IF(AU$121="6차중도금",$F187*70%-SUM($G187:AT187)-$F187*10%,0)))</f>
        <v>0</v>
      </c>
      <c r="AV187" s="605">
        <f>IF(AV$121="입주/잔금",($F187-SUM($G187:AU187))*30%,IF(AU$121="입주/잔금",($F187-SUM($G187:AT187))*50%,IF(AT$121="입주/잔금",($F187-SUM($G187:AS187))*20%,IF(AV$121=0,0,IF(AV$121="2차중도금",$F187*30%-SUM($G187:AU187),IF(AV$121="3차중도금",$F187*40%-SUM($G187:AU187),IF(AV$121="4차중도금",$F187*50%-SUM($G187:AU187),$F187*10%)))))))+(IF(AV$121="5차중도금",$F187*60%-SUM($G187:AU187)-$F187*10%,IF(AV$121="6차중도금",$F187*70%-SUM($G187:AU187)-$F187*10%,0)))</f>
        <v>0</v>
      </c>
      <c r="AW187" s="605">
        <f>IF(AW$121="입주/잔금",($F187-SUM($G187:AV187))*30%,IF(AV$121="입주/잔금",($F187-SUM($G187:AU187))*50%,IF(AU$121="입주/잔금",($F187-SUM($G187:AT187))*20%,IF(AW$121=0,0,IF(AW$121="2차중도금",$F187*30%-SUM($G187:AV187),IF(AW$121="3차중도금",$F187*40%-SUM($G187:AV187),IF(AW$121="4차중도금",$F187*50%-SUM($G187:AV187),$F187*10%)))))))+(IF(AW$121="5차중도금",$F187*60%-SUM($G187:AV187)-$F187*10%,IF(AW$121="6차중도금",$F187*70%-SUM($G187:AV187)-$F187*10%,0)))</f>
        <v>0</v>
      </c>
      <c r="AX187" s="605">
        <f>IF(AX$121="입주/잔금",($F187-SUM($G187:AW187))*30%,IF(AW$121="입주/잔금",($F187-SUM($G187:AV187))*50%,IF(AV$121="입주/잔금",($F187-SUM($G187:AU187))*20%,IF(AX$121=0,0,IF(AX$121="2차중도금",$F187*30%-SUM($G187:AW187),IF(AX$121="3차중도금",$F187*40%-SUM($G187:AW187),IF(AX$121="4차중도금",$F187*50%-SUM($G187:AW187),$F187*10%)))))))+(IF(AX$121="5차중도금",$F187*60%-SUM($G187:AW187)-$F187*10%,IF(AX$121="6차중도금",$F187*70%-SUM($G187:AW187)-$F187*10%,0)))</f>
        <v>0</v>
      </c>
      <c r="AY187" s="605">
        <f>IF(AY$121="입주/잔금",($F187-SUM($G187:AX187))*30%,IF(AX$121="입주/잔금",($F187-SUM($G187:AW187))*50%,IF(AW$121="입주/잔금",($F187-SUM($G187:AV187))*20%,IF(AY$121=0,0,IF(AY$121="2차중도금",$F187*30%-SUM($G187:AX187),IF(AY$121="3차중도금",$F187*40%-SUM($G187:AX187),IF(AY$121="4차중도금",$F187*50%-SUM($G187:AX187),$F187*10%)))))))+(IF(AY$121="5차중도금",$F187*60%-SUM($G187:AX187)-$F187*10%,IF(AY$121="6차중도금",$F187*70%-SUM($G187:AX187)-$F187*10%,0)))</f>
        <v>0</v>
      </c>
      <c r="AZ187" s="605">
        <f>IF(AZ$121="입주/잔금",($F187-SUM($G187:AY187))*30%,IF(AY$121="입주/잔금",($F187-SUM($G187:AX187))*50%,IF(AX$121="입주/잔금",($F187-SUM($G187:AW187))*20%,IF(AZ$121=0,0,IF(AZ$121="2차중도금",$F187*30%-SUM($G187:AY187),IF(AZ$121="3차중도금",$F187*40%-SUM($G187:AY187),IF(AZ$121="4차중도금",$F187*50%-SUM($G187:AY187),$F187*10%)))))))+(IF(AZ$121="5차중도금",$F187*60%-SUM($G187:AY187)-$F187*10%,IF(AZ$121="6차중도금",$F187*70%-SUM($G187:AY187)-$F187*10%,0)))</f>
        <v>0</v>
      </c>
      <c r="BA187" s="605">
        <f>IF(BA$121="입주/잔금",($F187-SUM($G187:AZ187))*30%,IF(AZ$121="입주/잔금",($F187-SUM($G187:AY187))*50%,IF(AY$121="입주/잔금",($F187-SUM($G187:AX187))*20%,IF(BA$121=0,0,IF(BA$121="2차중도금",$F187*30%-SUM($G187:AZ187),IF(BA$121="3차중도금",$F187*40%-SUM($G187:AZ187),IF(BA$121="4차중도금",$F187*50%-SUM($G187:AZ187),$F187*10%)))))))+(IF(BA$121="5차중도금",$F187*60%-SUM($G187:AZ187)-$F187*10%,IF(BA$121="6차중도금",$F187*70%-SUM($G187:AZ187)-$F187*10%,0)))</f>
        <v>0</v>
      </c>
      <c r="BB187" s="605">
        <f>IF(BB$121="입주/잔금",($F187-SUM($G187:BA187))*30%,IF(BA$121="입주/잔금",($F187-SUM($G187:AZ187))*50%,IF(AZ$121="입주/잔금",($F187-SUM($G187:AY187))*20%,IF(BB$121=0,0,IF(BB$121="2차중도금",$F187*30%-SUM($G187:BA187),IF(BB$121="3차중도금",$F187*40%-SUM($G187:BA187),IF(BB$121="4차중도금",$F187*50%-SUM($G187:BA187),$F187*10%)))))))+(IF(BB$121="5차중도금",$F187*60%-SUM($G187:BA187)-$F187*10%,IF(BB$121="6차중도금",$F187*70%-SUM($G187:BA187)-$F187*10%,0)))</f>
        <v>0</v>
      </c>
      <c r="BC187" s="605">
        <f>IF(BC$121="입주/잔금",($F187-SUM($G187:BB187))*30%,IF(BB$121="입주/잔금",($F187-SUM($G187:BA187))*50%,IF(BA$121="입주/잔금",($F187-SUM($G187:AZ187))*20%,IF(BC$121=0,0,IF(BC$121="2차중도금",$F187*30%-SUM($G187:BB187),IF(BC$121="3차중도금",$F187*40%-SUM($G187:BB187),IF(BC$121="4차중도금",$F187*50%-SUM($G187:BB187),$F187*10%)))))))+(IF(BC$121="5차중도금",$F187*60%-SUM($G187:BB187)-$F187*10%,IF(BC$121="6차중도금",$F187*70%-SUM($G187:BB187)-$F187*10%,0)))</f>
        <v>0</v>
      </c>
      <c r="BD187" s="605">
        <f>IF(BD$121="입주/잔금",($F187-SUM($G187:BC187))*30%,IF(BC$121="입주/잔금",($F187-SUM($G187:BB187))*50%,IF(BB$121="입주/잔금",($F187-SUM($G187:BA187))*20%,IF(BD$121=0,0,IF(BD$121="2차중도금",$F187*30%-SUM($G187:BC187),IF(BD$121="3차중도금",$F187*40%-SUM($G187:BC187),IF(BD$121="4차중도금",$F187*50%-SUM($G187:BC187),$F187*10%)))))))+(IF(BD$121="5차중도금",$F187*60%-SUM($G187:BC187)-$F187*10%,IF(BD$121="6차중도금",$F187*70%-SUM($G187:BC187)-$F187*10%,0)))</f>
        <v>0</v>
      </c>
      <c r="BE187" s="605">
        <f>IF(BE$121="입주/잔금",($F187-SUM($G187:BD187))*30%,IF(BD$121="입주/잔금",($F187-SUM($G187:BC187))*50%,IF(BC$121="입주/잔금",($F187-SUM($G187:BB187))*20%,IF(BE$121=0,0,IF(BE$121="2차중도금",$F187*30%-SUM($G187:BD187),IF(BE$121="3차중도금",$F187*40%-SUM($G187:BD187),IF(BE$121="4차중도금",$F187*50%-SUM($G187:BD187),$F187*10%)))))))+(IF(BE$121="5차중도금",$F187*60%-SUM($G187:BD187)-$F187*10%,IF(BE$121="6차중도금",$F187*70%-SUM($G187:BD187)-$F187*10%,0)))</f>
        <v>0</v>
      </c>
      <c r="BF187" s="609">
        <f t="shared" si="57"/>
        <v>0</v>
      </c>
      <c r="BG187" s="556">
        <f t="shared" si="59"/>
        <v>0</v>
      </c>
      <c r="BH187" s="610"/>
    </row>
    <row r="188" spans="1:60" hidden="1">
      <c r="A188" s="1853"/>
      <c r="B188" s="611">
        <f t="shared" si="60"/>
        <v>45170</v>
      </c>
      <c r="C188" s="605">
        <f t="shared" si="61"/>
        <v>0</v>
      </c>
      <c r="D188" s="606"/>
      <c r="E188" s="612">
        <f t="shared" si="62"/>
        <v>0</v>
      </c>
      <c r="F188" s="608">
        <f t="shared" si="58"/>
        <v>0</v>
      </c>
      <c r="G188" s="605"/>
      <c r="H188" s="605"/>
      <c r="I188" s="605"/>
      <c r="J188" s="605"/>
      <c r="K188" s="605"/>
      <c r="L188" s="605"/>
      <c r="M188" s="605"/>
      <c r="N188" s="605"/>
      <c r="O188" s="605"/>
      <c r="P188" s="605"/>
      <c r="Q188" s="605"/>
      <c r="R188" s="605">
        <f>$F188*10%</f>
        <v>0</v>
      </c>
      <c r="S188" s="605">
        <f>IF(S$121="입주/잔금",($F188-SUM($G188:R188))*30%,IF(R$121="입주/잔금",($F188-SUM($G188:Q188))*50%,IF(Q$121="입주/잔금",($F188-SUM($G188:P188))*20%,IF(S$121=0,0,IF(S$121="2차중도금",$F188*30%-SUM($G188:R188),IF(S$121="3차중도금",$F188*40%-SUM($G188:R188),IF(S$121="4차중도금",$F188*50%-SUM($G188:R188),$F188*10%)))))))+(IF(S$121="5차중도금",$F188*60%-SUM($G188:R188)-$F188*10%,IF(S$121="6차중도금",$F188*70%-SUM($G188:R188)-$F188*10%,0)))</f>
        <v>0</v>
      </c>
      <c r="T188" s="605">
        <f>IF(T$121="입주/잔금",($F188-SUM($G188:S188))*30%,IF(S$121="입주/잔금",($F188-SUM($G188:R188))*50%,IF(R$121="입주/잔금",($F188-SUM($G188:Q188))*20%,IF(T$121=0,0,IF(T$121="2차중도금",$F188*30%-SUM($G188:S188),IF(T$121="3차중도금",$F188*40%-SUM($G188:S188),IF(T$121="4차중도금",$F188*50%-SUM($G188:S188),$F188*10%)))))))+(IF(T$121="5차중도금",$F188*60%-SUM($G188:S188)-$F188*10%,IF(T$121="6차중도금",$F188*70%-SUM($G188:S188)-$F188*10%,0)))</f>
        <v>0</v>
      </c>
      <c r="U188" s="605">
        <f>IF(U$121="입주/잔금",($F188-SUM($G188:T188))*30%,IF(T$121="입주/잔금",($F188-SUM($G188:S188))*50%,IF(S$121="입주/잔금",($F188-SUM($G188:R188))*20%,IF(U$121=0,0,IF(U$121="2차중도금",$F188*30%-SUM($G188:T188),IF(U$121="3차중도금",$F188*40%-SUM($G188:T188),IF(U$121="4차중도금",$F188*50%-SUM($G188:T188),$F188*10%)))))))+(IF(U$121="5차중도금",$F188*60%-SUM($G188:T188)-$F188*10%,IF(U$121="6차중도금",$F188*70%-SUM($G188:T188)-$F188*10%,0)))</f>
        <v>0</v>
      </c>
      <c r="V188" s="605">
        <f>IF(V$121="입주/잔금",($F188-SUM($G188:U188))*30%,IF(U$121="입주/잔금",($F188-SUM($G188:T188))*50%,IF(T$121="입주/잔금",($F188-SUM($G188:S188))*20%,IF(V$121=0,0,IF(V$121="2차중도금",$F188*30%-SUM($G188:U188),IF(V$121="3차중도금",$F188*40%-SUM($G188:U188),IF(V$121="4차중도금",$F188*50%-SUM($G188:U188),$F188*10%)))))))+(IF(V$121="5차중도금",$F188*60%-SUM($G188:U188)-$F188*10%,IF(V$121="6차중도금",$F188*70%-SUM($G188:U188)-$F188*10%,0)))</f>
        <v>0</v>
      </c>
      <c r="W188" s="605">
        <f>IF(W$121="입주/잔금",($F188-SUM($G188:V188))*30%,IF(V$121="입주/잔금",($F188-SUM($G188:U188))*50%,IF(U$121="입주/잔금",($F188-SUM($G188:T188))*20%,IF(W$121=0,0,IF(W$121="2차중도금",$F188*30%-SUM($G188:V188),IF(W$121="3차중도금",$F188*40%-SUM($G188:V188),IF(W$121="4차중도금",$F188*50%-SUM($G188:V188),$F188*10%)))))))+(IF(W$121="5차중도금",$F188*60%-SUM($G188:V188)-$F188*10%,IF(W$121="6차중도금",$F188*70%-SUM($G188:V188)-$F188*10%,0)))</f>
        <v>0</v>
      </c>
      <c r="X188" s="605">
        <f>IF(X$121="입주/잔금",($F188-SUM($G188:W188))*30%,IF(W$121="입주/잔금",($F188-SUM($G188:V188))*50%,IF(V$121="입주/잔금",($F188-SUM($G188:U188))*20%,IF(X$121=0,0,IF(X$121="2차중도금",$F188*30%-SUM($G188:W188),IF(X$121="3차중도금",$F188*40%-SUM($G188:W188),IF(X$121="4차중도금",$F188*50%-SUM($G188:W188),$F188*10%)))))))+(IF(X$121="5차중도금",$F188*60%-SUM($G188:W188)-$F188*10%,IF(X$121="6차중도금",$F188*70%-SUM($G188:W188)-$F188*10%,0)))</f>
        <v>0</v>
      </c>
      <c r="Y188" s="605">
        <f>IF(Y$121="입주/잔금",($F188-SUM($G188:X188))*30%,IF(X$121="입주/잔금",($F188-SUM($G188:W188))*50%,IF(W$121="입주/잔금",($F188-SUM($G188:V188))*20%,IF(Y$121=0,0,IF(Y$121="2차중도금",$F188*30%-SUM($G188:X188),IF(Y$121="3차중도금",$F188*40%-SUM($G188:X188),IF(Y$121="4차중도금",$F188*50%-SUM($G188:X188),$F188*10%)))))))+(IF(Y$121="5차중도금",$F188*60%-SUM($G188:X188)-$F188*10%,IF(Y$121="6차중도금",$F188*70%-SUM($G188:X188)-$F188*10%,0)))</f>
        <v>0</v>
      </c>
      <c r="Z188" s="605">
        <f>IF(Z$121="입주/잔금",($F188-SUM($G188:Y188))*30%,IF(Y$121="입주/잔금",($F188-SUM($G188:X188))*50%,IF(X$121="입주/잔금",($F188-SUM($G188:W188))*20%,IF(Z$121=0,0,IF(Z$121="2차중도금",$F188*30%-SUM($G188:Y188),IF(Z$121="3차중도금",$F188*40%-SUM($G188:Y188),IF(Z$121="4차중도금",$F188*50%-SUM($G188:Y188),$F188*10%)))))))+(IF(Z$121="5차중도금",$F188*60%-SUM($G188:Y188)-$F188*10%,IF(Z$121="6차중도금",$F188*70%-SUM($G188:Y188)-$F188*10%,0)))</f>
        <v>0</v>
      </c>
      <c r="AA188" s="605">
        <f>IF(AA$121="입주/잔금",($F188-SUM($G188:Z188))*30%,IF(Z$121="입주/잔금",($F188-SUM($G188:Y188))*50%,IF(Y$121="입주/잔금",($F188-SUM($G188:X188))*20%,IF(AA$121=0,0,IF(AA$121="2차중도금",$F188*30%-SUM($G188:Z188),IF(AA$121="3차중도금",$F188*40%-SUM($G188:Z188),IF(AA$121="4차중도금",$F188*50%-SUM($G188:Z188),$F188*10%)))))))+(IF(AA$121="5차중도금",$F188*60%-SUM($G188:Z188)-$F188*10%,IF(AA$121="6차중도금",$F188*70%-SUM($G188:Z188)-$F188*10%,0)))</f>
        <v>0</v>
      </c>
      <c r="AB188" s="605">
        <f>IF(AB$121="입주/잔금",($F188-SUM($G188:AA188))*30%,IF(AA$121="입주/잔금",($F188-SUM($G188:Z188))*50%,IF(Z$121="입주/잔금",($F188-SUM($G188:Y188))*20%,IF(AB$121=0,0,IF(AB$121="2차중도금",$F188*30%-SUM($G188:AA188),IF(AB$121="3차중도금",$F188*40%-SUM($G188:AA188),IF(AB$121="4차중도금",$F188*50%-SUM($G188:AA188),$F188*10%)))))))+(IF(AB$121="5차중도금",$F188*60%-SUM($G188:AA188)-$F188*10%,IF(AB$121="6차중도금",$F188*70%-SUM($G188:AA188)-$F188*10%,0)))</f>
        <v>0</v>
      </c>
      <c r="AC188" s="605">
        <f>IF(AC$121="입주/잔금",($F188-SUM($G188:AB188))*30%,IF(AB$121="입주/잔금",($F188-SUM($G188:AA188))*50%,IF(AA$121="입주/잔금",($F188-SUM($G188:Z188))*20%,IF(AC$121=0,0,IF(AC$121="2차중도금",$F188*30%-SUM($G188:AB188),IF(AC$121="3차중도금",$F188*40%-SUM($G188:AB188),IF(AC$121="4차중도금",$F188*50%-SUM($G188:AB188),$F188*10%)))))))+(IF(AC$121="5차중도금",$F188*60%-SUM($G188:AB188)-$F188*10%,IF(AC$121="6차중도금",$F188*70%-SUM($G188:AB188)-$F188*10%,0)))</f>
        <v>0</v>
      </c>
      <c r="AD188" s="605">
        <f>IF(AD$121="입주/잔금",($F188-SUM($G188:AC188))*30%,IF(AC$121="입주/잔금",($F188-SUM($G188:AB188))*50%,IF(AB$121="입주/잔금",($F188-SUM($G188:AA188))*20%,IF(AD$121=0,0,IF(AD$121="2차중도금",$F188*30%-SUM($G188:AC188),IF(AD$121="3차중도금",$F188*40%-SUM($G188:AC188),IF(AD$121="4차중도금",$F188*50%-SUM($G188:AC188),$F188*10%)))))))+(IF(AD$121="5차중도금",$F188*60%-SUM($G188:AC188)-$F188*10%,IF(AD$121="6차중도금",$F188*70%-SUM($G188:AC188)-$F188*10%,0)))</f>
        <v>0</v>
      </c>
      <c r="AE188" s="605">
        <f>IF(AE$121="입주/잔금",($F188-SUM($G188:AD188))*30%,IF(AD$121="입주/잔금",($F188-SUM($G188:AC188))*50%,IF(AC$121="입주/잔금",($F188-SUM($G188:AB188))*20%,IF(AE$121=0,0,IF(AE$121="2차중도금",$F188*30%-SUM($G188:AD188),IF(AE$121="3차중도금",$F188*40%-SUM($G188:AD188),IF(AE$121="4차중도금",$F188*50%-SUM($G188:AD188),$F188*10%)))))))+(IF(AE$121="5차중도금",$F188*60%-SUM($G188:AD188)-$F188*10%,IF(AE$121="6차중도금",$F188*70%-SUM($G188:AD188)-$F188*10%,0)))</f>
        <v>0</v>
      </c>
      <c r="AF188" s="605">
        <f>IF(AF$121="입주/잔금",($F188-SUM($G188:AE188))*30%,IF(AE$121="입주/잔금",($F188-SUM($G188:AD188))*50%,IF(AD$121="입주/잔금",($F188-SUM($G188:AC188))*20%,IF(AF$121=0,0,IF(AF$121="2차중도금",$F188*30%-SUM($G188:AE188),IF(AF$121="3차중도금",$F188*40%-SUM($G188:AE188),IF(AF$121="4차중도금",$F188*50%-SUM($G188:AE188),$F188*10%)))))))+(IF(AF$121="5차중도금",$F188*60%-SUM($G188:AE188)-$F188*10%,IF(AF$121="6차중도금",$F188*70%-SUM($G188:AE188)-$F188*10%,0)))</f>
        <v>0</v>
      </c>
      <c r="AG188" s="605">
        <f>IF(AG$121="입주/잔금",($F188-SUM($G188:AF188))*30%,IF(AF$121="입주/잔금",($F188-SUM($G188:AE188))*50%,IF(AE$121="입주/잔금",($F188-SUM($G188:AD188))*20%,IF(AG$121=0,0,IF(AG$121="2차중도금",$F188*30%-SUM($G188:AF188),IF(AG$121="3차중도금",$F188*40%-SUM($G188:AF188),IF(AG$121="4차중도금",$F188*50%-SUM($G188:AF188),$F188*10%)))))))+(IF(AG$121="5차중도금",$F188*60%-SUM($G188:AF188)-$F188*10%,IF(AG$121="6차중도금",$F188*70%-SUM($G188:AF188)-$F188*10%,0)))</f>
        <v>0</v>
      </c>
      <c r="AH188" s="605">
        <f>IF(AH$121="입주/잔금",($F188-SUM($G188:AG188))*30%,IF(AG$121="입주/잔금",($F188-SUM($G188:AF188))*50%,IF(AF$121="입주/잔금",($F188-SUM($G188:AE188))*20%,IF(AH$121=0,0,IF(AH$121="2차중도금",$F188*30%-SUM($G188:AG188),IF(AH$121="3차중도금",$F188*40%-SUM($G188:AG188),IF(AH$121="4차중도금",$F188*50%-SUM($G188:AG188),$F188*10%)))))))+(IF(AH$121="5차중도금",$F188*60%-SUM($G188:AG188)-$F188*10%,IF(AH$121="6차중도금",$F188*70%-SUM($G188:AG188)-$F188*10%,0)))</f>
        <v>0</v>
      </c>
      <c r="AI188" s="605">
        <f>IF(AI$121="입주/잔금",($F188-SUM($G188:AH188))*30%,IF(AH$121="입주/잔금",($F188-SUM($G188:AG188))*50%,IF(AG$121="입주/잔금",($F188-SUM($G188:AF188))*20%,IF(AI$121=0,0,IF(AI$121="2차중도금",$F188*30%-SUM($G188:AH188),IF(AI$121="3차중도금",$F188*40%-SUM($G188:AH188),IF(AI$121="4차중도금",$F188*50%-SUM($G188:AH188),$F188*10%)))))))+(IF(AI$121="5차중도금",$F188*60%-SUM($G188:AH188)-$F188*10%,IF(AI$121="6차중도금",$F188*70%-SUM($G188:AH188)-$F188*10%,0)))</f>
        <v>0</v>
      </c>
      <c r="AJ188" s="605">
        <f>IF(AJ$121="입주/잔금",($F188-SUM($G188:AI188))*30%,IF(AI$121="입주/잔금",($F188-SUM($G188:AH188))*50%,IF(AH$121="입주/잔금",($F188-SUM($G188:AG188))*20%,IF(AJ$121=0,0,IF(AJ$121="2차중도금",$F188*30%-SUM($G188:AI188),IF(AJ$121="3차중도금",$F188*40%-SUM($G188:AI188),IF(AJ$121="4차중도금",$F188*50%-SUM($G188:AI188),$F188*10%)))))))+(IF(AJ$121="5차중도금",$F188*60%-SUM($G188:AI188)-$F188*10%,IF(AJ$121="6차중도금",$F188*70%-SUM($G188:AI188)-$F188*10%,0)))</f>
        <v>0</v>
      </c>
      <c r="AK188" s="605">
        <f>IF(AK$121="입주/잔금",($F188-SUM($G188:AJ188))*30%,IF(AJ$121="입주/잔금",($F188-SUM($G188:AI188))*50%,IF(AI$121="입주/잔금",($F188-SUM($G188:AH188))*20%,IF(AK$121=0,0,IF(AK$121="2차중도금",$F188*30%-SUM($G188:AJ188),IF(AK$121="3차중도금",$F188*40%-SUM($G188:AJ188),IF(AK$121="4차중도금",$F188*50%-SUM($G188:AJ188),$F188*10%)))))))+(IF(AK$121="5차중도금",$F188*60%-SUM($G188:AJ188)-$F188*10%,IF(AK$121="6차중도금",$F188*70%-SUM($G188:AJ188)-$F188*10%,0)))</f>
        <v>0</v>
      </c>
      <c r="AL188" s="605">
        <f>IF(AL$121="입주/잔금",($F188-SUM($G188:AK188))*30%,IF(AK$121="입주/잔금",($F188-SUM($G188:AJ188))*50%,IF(AJ$121="입주/잔금",($F188-SUM($G188:AI188))*20%,IF(AL$121=0,0,IF(AL$121="2차중도금",$F188*30%-SUM($G188:AK188),IF(AL$121="3차중도금",$F188*40%-SUM($G188:AK188),IF(AL$121="4차중도금",$F188*50%-SUM($G188:AK188),$F188*10%)))))))+(IF(AL$121="5차중도금",$F188*60%-SUM($G188:AK188)-$F188*10%,IF(AL$121="6차중도금",$F188*70%-SUM($G188:AK188)-$F188*10%,0)))</f>
        <v>0</v>
      </c>
      <c r="AM188" s="605">
        <f>IF(AM$121="입주/잔금",($F188-SUM($G188:AL188))*30%,IF(AL$121="입주/잔금",($F188-SUM($G188:AK188))*50%,IF(AK$121="입주/잔금",($F188-SUM($G188:AJ188))*20%,IF(AM$121=0,0,IF(AM$121="2차중도금",$F188*30%-SUM($G188:AL188),IF(AM$121="3차중도금",$F188*40%-SUM($G188:AL188),IF(AM$121="4차중도금",$F188*50%-SUM($G188:AL188),$F188*10%)))))))+(IF(AM$121="5차중도금",$F188*60%-SUM($G188:AL188)-$F188*10%,IF(AM$121="6차중도금",$F188*70%-SUM($G188:AL188)-$F188*10%,0)))</f>
        <v>0</v>
      </c>
      <c r="AN188" s="605">
        <f>IF(AN$121="입주/잔금",($F188-SUM($G188:AM188))*30%,IF(AM$121="입주/잔금",($F188-SUM($G188:AL188))*50%,IF(AL$121="입주/잔금",($F188-SUM($G188:AK188))*20%,IF(AN$121=0,0,IF(AN$121="2차중도금",$F188*30%-SUM($G188:AM188),IF(AN$121="3차중도금",$F188*40%-SUM($G188:AM188),IF(AN$121="4차중도금",$F188*50%-SUM($G188:AM188),$F188*10%)))))))+(IF(AN$121="5차중도금",$F188*60%-SUM($G188:AM188)-$F188*10%,IF(AN$121="6차중도금",$F188*70%-SUM($G188:AM188)-$F188*10%,0)))</f>
        <v>0</v>
      </c>
      <c r="AO188" s="605">
        <f>IF(AO$121="입주/잔금",($F188-SUM($G188:AN188))*30%,IF(AN$121="입주/잔금",($F188-SUM($G188:AM188))*50%,IF(AM$121="입주/잔금",($F188-SUM($G188:AL188))*20%,IF(AO$121=0,0,IF(AO$121="2차중도금",$F188*30%-SUM($G188:AN188),IF(AO$121="3차중도금",$F188*40%-SUM($G188:AN188),IF(AO$121="4차중도금",$F188*50%-SUM($G188:AN188),$F188*10%)))))))+(IF(AO$121="5차중도금",$F188*60%-SUM($G188:AN188)-$F188*10%,IF(AO$121="6차중도금",$F188*70%-SUM($G188:AN188)-$F188*10%,0)))</f>
        <v>0</v>
      </c>
      <c r="AP188" s="605">
        <f>IF(AP$121="입주/잔금",($F188-SUM($G188:AO188))*30%,IF(AO$121="입주/잔금",($F188-SUM($G188:AN188))*50%,IF(AN$121="입주/잔금",($F188-SUM($G188:AM188))*20%,IF(AP$121=0,0,IF(AP$121="2차중도금",$F188*30%-SUM($G188:AO188),IF(AP$121="3차중도금",$F188*40%-SUM($G188:AO188),IF(AP$121="4차중도금",$F188*50%-SUM($G188:AO188),$F188*10%)))))))+(IF(AP$121="5차중도금",$F188*60%-SUM($G188:AO188)-$F188*10%,IF(AP$121="6차중도금",$F188*70%-SUM($G188:AO188)-$F188*10%,0)))</f>
        <v>0</v>
      </c>
      <c r="AQ188" s="605">
        <f>IF(AQ$121="입주/잔금",($F188-SUM($G188:AP188))*30%,IF(AP$121="입주/잔금",($F188-SUM($G188:AO188))*50%,IF(AO$121="입주/잔금",($F188-SUM($G188:AN188))*20%,IF(AQ$121=0,0,IF(AQ$121="2차중도금",$F188*30%-SUM($G188:AP188),IF(AQ$121="3차중도금",$F188*40%-SUM($G188:AP188),IF(AQ$121="4차중도금",$F188*50%-SUM($G188:AP188),$F188*10%)))))))+(IF(AQ$121="5차중도금",$F188*60%-SUM($G188:AP188)-$F188*10%,IF(AQ$121="6차중도금",$F188*70%-SUM($G188:AP188)-$F188*10%,0)))</f>
        <v>0</v>
      </c>
      <c r="AR188" s="605">
        <f>IF(AR$121="입주/잔금",($F188-SUM($G188:AQ188))*30%,IF(AQ$121="입주/잔금",($F188-SUM($G188:AP188))*50%,IF(AP$121="입주/잔금",($F188-SUM($G188:AO188))*20%,IF(AR$121=0,0,IF(AR$121="2차중도금",$F188*30%-SUM($G188:AQ188),IF(AR$121="3차중도금",$F188*40%-SUM($G188:AQ188),IF(AR$121="4차중도금",$F188*50%-SUM($G188:AQ188),$F188*10%)))))))+(IF(AR$121="5차중도금",$F188*60%-SUM($G188:AQ188)-$F188*10%,IF(AR$121="6차중도금",$F188*70%-SUM($G188:AQ188)-$F188*10%,0)))</f>
        <v>0</v>
      </c>
      <c r="AS188" s="605">
        <f>IF(AS$121="입주/잔금",($F188-SUM($G188:AR188))*30%,IF(AR$121="입주/잔금",($F188-SUM($G188:AQ188))*50%,IF(AQ$121="입주/잔금",($F188-SUM($G188:AP188))*20%,IF(AS$121=0,0,IF(AS$121="2차중도금",$F188*30%-SUM($G188:AR188),IF(AS$121="3차중도금",$F188*40%-SUM($G188:AR188),IF(AS$121="4차중도금",$F188*50%-SUM($G188:AR188),$F188*10%)))))))+(IF(AS$121="5차중도금",$F188*60%-SUM($G188:AR188)-$F188*10%,IF(AS$121="6차중도금",$F188*70%-SUM($G188:AR188)-$F188*10%,0)))</f>
        <v>0</v>
      </c>
      <c r="AT188" s="605">
        <f>IF(AT$121="입주/잔금",($F188-SUM($G188:AS188))*30%,IF(AS$121="입주/잔금",($F188-SUM($G188:AR188))*50%,IF(AR$121="입주/잔금",($F188-SUM($G188:AQ188))*20%,IF(AT$121=0,0,IF(AT$121="2차중도금",$F188*30%-SUM($G188:AS188),IF(AT$121="3차중도금",$F188*40%-SUM($G188:AS188),IF(AT$121="4차중도금",$F188*50%-SUM($G188:AS188),$F188*10%)))))))+(IF(AT$121="5차중도금",$F188*60%-SUM($G188:AS188)-$F188*10%,IF(AT$121="6차중도금",$F188*70%-SUM($G188:AS188)-$F188*10%,0)))</f>
        <v>0</v>
      </c>
      <c r="AU188" s="605">
        <f>IF(AU$121="입주/잔금",($F188-SUM($G188:AT188))*30%,IF(AT$121="입주/잔금",($F188-SUM($G188:AS188))*50%,IF(AS$121="입주/잔금",($F188-SUM($G188:AR188))*20%,IF(AU$121=0,0,IF(AU$121="2차중도금",$F188*30%-SUM($G188:AT188),IF(AU$121="3차중도금",$F188*40%-SUM($G188:AT188),IF(AU$121="4차중도금",$F188*50%-SUM($G188:AT188),$F188*10%)))))))+(IF(AU$121="5차중도금",$F188*60%-SUM($G188:AT188)-$F188*10%,IF(AU$121="6차중도금",$F188*70%-SUM($G188:AT188)-$F188*10%,0)))</f>
        <v>0</v>
      </c>
      <c r="AV188" s="605">
        <f>IF(AV$121="입주/잔금",($F188-SUM($G188:AU188))*30%,IF(AU$121="입주/잔금",($F188-SUM($G188:AT188))*50%,IF(AT$121="입주/잔금",($F188-SUM($G188:AS188))*20%,IF(AV$121=0,0,IF(AV$121="2차중도금",$F188*30%-SUM($G188:AU188),IF(AV$121="3차중도금",$F188*40%-SUM($G188:AU188),IF(AV$121="4차중도금",$F188*50%-SUM($G188:AU188),$F188*10%)))))))+(IF(AV$121="5차중도금",$F188*60%-SUM($G188:AU188)-$F188*10%,IF(AV$121="6차중도금",$F188*70%-SUM($G188:AU188)-$F188*10%,0)))</f>
        <v>0</v>
      </c>
      <c r="AW188" s="605">
        <f>IF(AW$121="입주/잔금",($F188-SUM($G188:AV188))*30%,IF(AV$121="입주/잔금",($F188-SUM($G188:AU188))*50%,IF(AU$121="입주/잔금",($F188-SUM($G188:AT188))*20%,IF(AW$121=0,0,IF(AW$121="2차중도금",$F188*30%-SUM($G188:AV188),IF(AW$121="3차중도금",$F188*40%-SUM($G188:AV188),IF(AW$121="4차중도금",$F188*50%-SUM($G188:AV188),$F188*10%)))))))+(IF(AW$121="5차중도금",$F188*60%-SUM($G188:AV188)-$F188*10%,IF(AW$121="6차중도금",$F188*70%-SUM($G188:AV188)-$F188*10%,0)))</f>
        <v>0</v>
      </c>
      <c r="AX188" s="605">
        <f>IF(AX$121="입주/잔금",($F188-SUM($G188:AW188))*30%,IF(AW$121="입주/잔금",($F188-SUM($G188:AV188))*50%,IF(AV$121="입주/잔금",($F188-SUM($G188:AU188))*20%,IF(AX$121=0,0,IF(AX$121="2차중도금",$F188*30%-SUM($G188:AW188),IF(AX$121="3차중도금",$F188*40%-SUM($G188:AW188),IF(AX$121="4차중도금",$F188*50%-SUM($G188:AW188),$F188*10%)))))))+(IF(AX$121="5차중도금",$F188*60%-SUM($G188:AW188)-$F188*10%,IF(AX$121="6차중도금",$F188*70%-SUM($G188:AW188)-$F188*10%,0)))</f>
        <v>0</v>
      </c>
      <c r="AY188" s="605">
        <f>IF(AY$121="입주/잔금",($F188-SUM($G188:AX188))*30%,IF(AX$121="입주/잔금",($F188-SUM($G188:AW188))*50%,IF(AW$121="입주/잔금",($F188-SUM($G188:AV188))*20%,IF(AY$121=0,0,IF(AY$121="2차중도금",$F188*30%-SUM($G188:AX188),IF(AY$121="3차중도금",$F188*40%-SUM($G188:AX188),IF(AY$121="4차중도금",$F188*50%-SUM($G188:AX188),$F188*10%)))))))+(IF(AY$121="5차중도금",$F188*60%-SUM($G188:AX188)-$F188*10%,IF(AY$121="6차중도금",$F188*70%-SUM($G188:AX188)-$F188*10%,0)))</f>
        <v>0</v>
      </c>
      <c r="AZ188" s="605">
        <f>IF(AZ$121="입주/잔금",($F188-SUM($G188:AY188))*30%,IF(AY$121="입주/잔금",($F188-SUM($G188:AX188))*50%,IF(AX$121="입주/잔금",($F188-SUM($G188:AW188))*20%,IF(AZ$121=0,0,IF(AZ$121="2차중도금",$F188*30%-SUM($G188:AY188),IF(AZ$121="3차중도금",$F188*40%-SUM($G188:AY188),IF(AZ$121="4차중도금",$F188*50%-SUM($G188:AY188),$F188*10%)))))))+(IF(AZ$121="5차중도금",$F188*60%-SUM($G188:AY188)-$F188*10%,IF(AZ$121="6차중도금",$F188*70%-SUM($G188:AY188)-$F188*10%,0)))</f>
        <v>0</v>
      </c>
      <c r="BA188" s="605">
        <f>IF(BA$121="입주/잔금",($F188-SUM($G188:AZ188))*30%,IF(AZ$121="입주/잔금",($F188-SUM($G188:AY188))*50%,IF(AY$121="입주/잔금",($F188-SUM($G188:AX188))*20%,IF(BA$121=0,0,IF(BA$121="2차중도금",$F188*30%-SUM($G188:AZ188),IF(BA$121="3차중도금",$F188*40%-SUM($G188:AZ188),IF(BA$121="4차중도금",$F188*50%-SUM($G188:AZ188),$F188*10%)))))))+(IF(BA$121="5차중도금",$F188*60%-SUM($G188:AZ188)-$F188*10%,IF(BA$121="6차중도금",$F188*70%-SUM($G188:AZ188)-$F188*10%,0)))</f>
        <v>0</v>
      </c>
      <c r="BB188" s="605">
        <f>IF(BB$121="입주/잔금",($F188-SUM($G188:BA188))*30%,IF(BA$121="입주/잔금",($F188-SUM($G188:AZ188))*50%,IF(AZ$121="입주/잔금",($F188-SUM($G188:AY188))*20%,IF(BB$121=0,0,IF(BB$121="2차중도금",$F188*30%-SUM($G188:BA188),IF(BB$121="3차중도금",$F188*40%-SUM($G188:BA188),IF(BB$121="4차중도금",$F188*50%-SUM($G188:BA188),$F188*10%)))))))+(IF(BB$121="5차중도금",$F188*60%-SUM($G188:BA188)-$F188*10%,IF(BB$121="6차중도금",$F188*70%-SUM($G188:BA188)-$F188*10%,0)))</f>
        <v>0</v>
      </c>
      <c r="BC188" s="605">
        <f>IF(BC$121="입주/잔금",($F188-SUM($G188:BB188))*30%,IF(BB$121="입주/잔금",($F188-SUM($G188:BA188))*50%,IF(BA$121="입주/잔금",($F188-SUM($G188:AZ188))*20%,IF(BC$121=0,0,IF(BC$121="2차중도금",$F188*30%-SUM($G188:BB188),IF(BC$121="3차중도금",$F188*40%-SUM($G188:BB188),IF(BC$121="4차중도금",$F188*50%-SUM($G188:BB188),$F188*10%)))))))+(IF(BC$121="5차중도금",$F188*60%-SUM($G188:BB188)-$F188*10%,IF(BC$121="6차중도금",$F188*70%-SUM($G188:BB188)-$F188*10%,0)))</f>
        <v>0</v>
      </c>
      <c r="BD188" s="605">
        <f>IF(BD$121="입주/잔금",($F188-SUM($G188:BC188))*30%,IF(BC$121="입주/잔금",($F188-SUM($G188:BB188))*50%,IF(BB$121="입주/잔금",($F188-SUM($G188:BA188))*20%,IF(BD$121=0,0,IF(BD$121="2차중도금",$F188*30%-SUM($G188:BC188),IF(BD$121="3차중도금",$F188*40%-SUM($G188:BC188),IF(BD$121="4차중도금",$F188*50%-SUM($G188:BC188),$F188*10%)))))))+(IF(BD$121="5차중도금",$F188*60%-SUM($G188:BC188)-$F188*10%,IF(BD$121="6차중도금",$F188*70%-SUM($G188:BC188)-$F188*10%,0)))</f>
        <v>0</v>
      </c>
      <c r="BE188" s="605">
        <f>IF(BE$121="입주/잔금",($F188-SUM($G188:BD188))*30%,IF(BD$121="입주/잔금",($F188-SUM($G188:BC188))*50%,IF(BC$121="입주/잔금",($F188-SUM($G188:BB188))*20%,IF(BE$121=0,0,IF(BE$121="2차중도금",$F188*30%-SUM($G188:BD188),IF(BE$121="3차중도금",$F188*40%-SUM($G188:BD188),IF(BE$121="4차중도금",$F188*50%-SUM($G188:BD188),$F188*10%)))))))+(IF(BE$121="5차중도금",$F188*60%-SUM($G188:BD188)-$F188*10%,IF(BE$121="6차중도금",$F188*70%-SUM($G188:BD188)-$F188*10%,0)))</f>
        <v>0</v>
      </c>
      <c r="BF188" s="609">
        <f t="shared" si="57"/>
        <v>0</v>
      </c>
      <c r="BG188" s="556">
        <f t="shared" si="59"/>
        <v>0</v>
      </c>
      <c r="BH188" s="610"/>
    </row>
    <row r="189" spans="1:60" hidden="1">
      <c r="A189" s="1853"/>
      <c r="B189" s="611">
        <f t="shared" si="60"/>
        <v>45200</v>
      </c>
      <c r="C189" s="605">
        <f t="shared" si="61"/>
        <v>0</v>
      </c>
      <c r="D189" s="606"/>
      <c r="E189" s="607">
        <f t="shared" si="62"/>
        <v>0</v>
      </c>
      <c r="F189" s="608">
        <f t="shared" si="58"/>
        <v>0</v>
      </c>
      <c r="G189" s="605"/>
      <c r="H189" s="605"/>
      <c r="I189" s="605"/>
      <c r="J189" s="605"/>
      <c r="K189" s="605"/>
      <c r="L189" s="605"/>
      <c r="M189" s="605"/>
      <c r="N189" s="605"/>
      <c r="O189" s="605"/>
      <c r="P189" s="605"/>
      <c r="Q189" s="605"/>
      <c r="R189" s="605"/>
      <c r="S189" s="605">
        <f>$F189*10%</f>
        <v>0</v>
      </c>
      <c r="T189" s="605">
        <f>IF(T$121="입주/잔금",($F189-SUM($G189:S189))*30%,IF(S$121="입주/잔금",($F189-SUM($G189:R189))*50%,IF(R$121="입주/잔금",($F189-SUM($G189:Q189))*20%,IF(T$121=0,0,IF(T$121="2차중도금",$F189*30%-SUM($G189:S189),IF(T$121="3차중도금",$F189*40%-SUM($G189:S189),IF(T$121="4차중도금",$F189*50%-SUM($G189:S189),$F189*10%)))))))+(IF(T$121="5차중도금",$F189*60%-SUM($G189:S189)-$F189*10%,IF(T$121="6차중도금",$F189*70%-SUM($G189:S189)-$F189*10%,0)))</f>
        <v>0</v>
      </c>
      <c r="U189" s="605">
        <f>IF(U$121="입주/잔금",($F189-SUM($G189:T189))*30%,IF(T$121="입주/잔금",($F189-SUM($G189:S189))*50%,IF(S$121="입주/잔금",($F189-SUM($G189:R189))*20%,IF(U$121=0,0,IF(U$121="2차중도금",$F189*30%-SUM($G189:T189),IF(U$121="3차중도금",$F189*40%-SUM($G189:T189),IF(U$121="4차중도금",$F189*50%-SUM($G189:T189),$F189*10%)))))))+(IF(U$121="5차중도금",$F189*60%-SUM($G189:T189)-$F189*10%,IF(U$121="6차중도금",$F189*70%-SUM($G189:T189)-$F189*10%,0)))</f>
        <v>0</v>
      </c>
      <c r="V189" s="605">
        <f>IF(V$121="입주/잔금",($F189-SUM($G189:U189))*30%,IF(U$121="입주/잔금",($F189-SUM($G189:T189))*50%,IF(T$121="입주/잔금",($F189-SUM($G189:S189))*20%,IF(V$121=0,0,IF(V$121="2차중도금",$F189*30%-SUM($G189:U189),IF(V$121="3차중도금",$F189*40%-SUM($G189:U189),IF(V$121="4차중도금",$F189*50%-SUM($G189:U189),$F189*10%)))))))+(IF(V$121="5차중도금",$F189*60%-SUM($G189:U189)-$F189*10%,IF(V$121="6차중도금",$F189*70%-SUM($G189:U189)-$F189*10%,0)))</f>
        <v>0</v>
      </c>
      <c r="W189" s="605">
        <f>IF(W$121="입주/잔금",($F189-SUM($G189:V189))*30%,IF(V$121="입주/잔금",($F189-SUM($G189:U189))*50%,IF(U$121="입주/잔금",($F189-SUM($G189:T189))*20%,IF(W$121=0,0,IF(W$121="2차중도금",$F189*30%-SUM($G189:V189),IF(W$121="3차중도금",$F189*40%-SUM($G189:V189),IF(W$121="4차중도금",$F189*50%-SUM($G189:V189),$F189*10%)))))))+(IF(W$121="5차중도금",$F189*60%-SUM($G189:V189)-$F189*10%,IF(W$121="6차중도금",$F189*70%-SUM($G189:V189)-$F189*10%,0)))</f>
        <v>0</v>
      </c>
      <c r="X189" s="605">
        <f>IF(X$121="입주/잔금",($F189-SUM($G189:W189))*30%,IF(W$121="입주/잔금",($F189-SUM($G189:V189))*50%,IF(V$121="입주/잔금",($F189-SUM($G189:U189))*20%,IF(X$121=0,0,IF(X$121="2차중도금",$F189*30%-SUM($G189:W189),IF(X$121="3차중도금",$F189*40%-SUM($G189:W189),IF(X$121="4차중도금",$F189*50%-SUM($G189:W189),$F189*10%)))))))+(IF(X$121="5차중도금",$F189*60%-SUM($G189:W189)-$F189*10%,IF(X$121="6차중도금",$F189*70%-SUM($G189:W189)-$F189*10%,0)))</f>
        <v>0</v>
      </c>
      <c r="Y189" s="605">
        <f>IF(Y$121="입주/잔금",($F189-SUM($G189:X189))*30%,IF(X$121="입주/잔금",($F189-SUM($G189:W189))*50%,IF(W$121="입주/잔금",($F189-SUM($G189:V189))*20%,IF(Y$121=0,0,IF(Y$121="2차중도금",$F189*30%-SUM($G189:X189),IF(Y$121="3차중도금",$F189*40%-SUM($G189:X189),IF(Y$121="4차중도금",$F189*50%-SUM($G189:X189),$F189*10%)))))))+(IF(Y$121="5차중도금",$F189*60%-SUM($G189:X189)-$F189*10%,IF(Y$121="6차중도금",$F189*70%-SUM($G189:X189)-$F189*10%,0)))</f>
        <v>0</v>
      </c>
      <c r="Z189" s="605">
        <f>IF(Z$121="입주/잔금",($F189-SUM($G189:Y189))*30%,IF(Y$121="입주/잔금",($F189-SUM($G189:X189))*50%,IF(X$121="입주/잔금",($F189-SUM($G189:W189))*20%,IF(Z$121=0,0,IF(Z$121="2차중도금",$F189*30%-SUM($G189:Y189),IF(Z$121="3차중도금",$F189*40%-SUM($G189:Y189),IF(Z$121="4차중도금",$F189*50%-SUM($G189:Y189),$F189*10%)))))))+(IF(Z$121="5차중도금",$F189*60%-SUM($G189:Y189)-$F189*10%,IF(Z$121="6차중도금",$F189*70%-SUM($G189:Y189)-$F189*10%,0)))</f>
        <v>0</v>
      </c>
      <c r="AA189" s="605">
        <f>IF(AA$121="입주/잔금",($F189-SUM($G189:Z189))*30%,IF(Z$121="입주/잔금",($F189-SUM($G189:Y189))*50%,IF(Y$121="입주/잔금",($F189-SUM($G189:X189))*20%,IF(AA$121=0,0,IF(AA$121="2차중도금",$F189*30%-SUM($G189:Z189),IF(AA$121="3차중도금",$F189*40%-SUM($G189:Z189),IF(AA$121="4차중도금",$F189*50%-SUM($G189:Z189),$F189*10%)))))))+(IF(AA$121="5차중도금",$F189*60%-SUM($G189:Z189)-$F189*10%,IF(AA$121="6차중도금",$F189*70%-SUM($G189:Z189)-$F189*10%,0)))</f>
        <v>0</v>
      </c>
      <c r="AB189" s="605">
        <f>IF(AB$121="입주/잔금",($F189-SUM($G189:AA189))*30%,IF(AA$121="입주/잔금",($F189-SUM($G189:Z189))*50%,IF(Z$121="입주/잔금",($F189-SUM($G189:Y189))*20%,IF(AB$121=0,0,IF(AB$121="2차중도금",$F189*30%-SUM($G189:AA189),IF(AB$121="3차중도금",$F189*40%-SUM($G189:AA189),IF(AB$121="4차중도금",$F189*50%-SUM($G189:AA189),$F189*10%)))))))+(IF(AB$121="5차중도금",$F189*60%-SUM($G189:AA189)-$F189*10%,IF(AB$121="6차중도금",$F189*70%-SUM($G189:AA189)-$F189*10%,0)))</f>
        <v>0</v>
      </c>
      <c r="AC189" s="605">
        <f>IF(AC$121="입주/잔금",($F189-SUM($G189:AB189))*30%,IF(AB$121="입주/잔금",($F189-SUM($G189:AA189))*50%,IF(AA$121="입주/잔금",($F189-SUM($G189:Z189))*20%,IF(AC$121=0,0,IF(AC$121="2차중도금",$F189*30%-SUM($G189:AB189),IF(AC$121="3차중도금",$F189*40%-SUM($G189:AB189),IF(AC$121="4차중도금",$F189*50%-SUM($G189:AB189),$F189*10%)))))))+(IF(AC$121="5차중도금",$F189*60%-SUM($G189:AB189)-$F189*10%,IF(AC$121="6차중도금",$F189*70%-SUM($G189:AB189)-$F189*10%,0)))</f>
        <v>0</v>
      </c>
      <c r="AD189" s="605">
        <f>IF(AD$121="입주/잔금",($F189-SUM($G189:AC189))*30%,IF(AC$121="입주/잔금",($F189-SUM($G189:AB189))*50%,IF(AB$121="입주/잔금",($F189-SUM($G189:AA189))*20%,IF(AD$121=0,0,IF(AD$121="2차중도금",$F189*30%-SUM($G189:AC189),IF(AD$121="3차중도금",$F189*40%-SUM($G189:AC189),IF(AD$121="4차중도금",$F189*50%-SUM($G189:AC189),$F189*10%)))))))+(IF(AD$121="5차중도금",$F189*60%-SUM($G189:AC189)-$F189*10%,IF(AD$121="6차중도금",$F189*70%-SUM($G189:AC189)-$F189*10%,0)))</f>
        <v>0</v>
      </c>
      <c r="AE189" s="605">
        <f>IF(AE$121="입주/잔금",($F189-SUM($G189:AD189))*30%,IF(AD$121="입주/잔금",($F189-SUM($G189:AC189))*50%,IF(AC$121="입주/잔금",($F189-SUM($G189:AB189))*20%,IF(AE$121=0,0,IF(AE$121="2차중도금",$F189*30%-SUM($G189:AD189),IF(AE$121="3차중도금",$F189*40%-SUM($G189:AD189),IF(AE$121="4차중도금",$F189*50%-SUM($G189:AD189),$F189*10%)))))))+(IF(AE$121="5차중도금",$F189*60%-SUM($G189:AD189)-$F189*10%,IF(AE$121="6차중도금",$F189*70%-SUM($G189:AD189)-$F189*10%,0)))</f>
        <v>0</v>
      </c>
      <c r="AF189" s="605">
        <f>IF(AF$121="입주/잔금",($F189-SUM($G189:AE189))*30%,IF(AE$121="입주/잔금",($F189-SUM($G189:AD189))*50%,IF(AD$121="입주/잔금",($F189-SUM($G189:AC189))*20%,IF(AF$121=0,0,IF(AF$121="2차중도금",$F189*30%-SUM($G189:AE189),IF(AF$121="3차중도금",$F189*40%-SUM($G189:AE189),IF(AF$121="4차중도금",$F189*50%-SUM($G189:AE189),$F189*10%)))))))+(IF(AF$121="5차중도금",$F189*60%-SUM($G189:AE189)-$F189*10%,IF(AF$121="6차중도금",$F189*70%-SUM($G189:AE189)-$F189*10%,0)))</f>
        <v>0</v>
      </c>
      <c r="AG189" s="605">
        <f>IF(AG$121="입주/잔금",($F189-SUM($G189:AF189))*30%,IF(AF$121="입주/잔금",($F189-SUM($G189:AE189))*50%,IF(AE$121="입주/잔금",($F189-SUM($G189:AD189))*20%,IF(AG$121=0,0,IF(AG$121="2차중도금",$F189*30%-SUM($G189:AF189),IF(AG$121="3차중도금",$F189*40%-SUM($G189:AF189),IF(AG$121="4차중도금",$F189*50%-SUM($G189:AF189),$F189*10%)))))))+(IF(AG$121="5차중도금",$F189*60%-SUM($G189:AF189)-$F189*10%,IF(AG$121="6차중도금",$F189*70%-SUM($G189:AF189)-$F189*10%,0)))</f>
        <v>0</v>
      </c>
      <c r="AH189" s="605">
        <f>IF(AH$121="입주/잔금",($F189-SUM($G189:AG189))*30%,IF(AG$121="입주/잔금",($F189-SUM($G189:AF189))*50%,IF(AF$121="입주/잔금",($F189-SUM($G189:AE189))*20%,IF(AH$121=0,0,IF(AH$121="2차중도금",$F189*30%-SUM($G189:AG189),IF(AH$121="3차중도금",$F189*40%-SUM($G189:AG189),IF(AH$121="4차중도금",$F189*50%-SUM($G189:AG189),$F189*10%)))))))+(IF(AH$121="5차중도금",$F189*60%-SUM($G189:AG189)-$F189*10%,IF(AH$121="6차중도금",$F189*70%-SUM($G189:AG189)-$F189*10%,0)))</f>
        <v>0</v>
      </c>
      <c r="AI189" s="605">
        <f>IF(AI$121="입주/잔금",($F189-SUM($G189:AH189))*30%,IF(AH$121="입주/잔금",($F189-SUM($G189:AG189))*50%,IF(AG$121="입주/잔금",($F189-SUM($G189:AF189))*20%,IF(AI$121=0,0,IF(AI$121="2차중도금",$F189*30%-SUM($G189:AH189),IF(AI$121="3차중도금",$F189*40%-SUM($G189:AH189),IF(AI$121="4차중도금",$F189*50%-SUM($G189:AH189),$F189*10%)))))))+(IF(AI$121="5차중도금",$F189*60%-SUM($G189:AH189)-$F189*10%,IF(AI$121="6차중도금",$F189*70%-SUM($G189:AH189)-$F189*10%,0)))</f>
        <v>0</v>
      </c>
      <c r="AJ189" s="605">
        <f>IF(AJ$121="입주/잔금",($F189-SUM($G189:AI189))*30%,IF(AI$121="입주/잔금",($F189-SUM($G189:AH189))*50%,IF(AH$121="입주/잔금",($F189-SUM($G189:AG189))*20%,IF(AJ$121=0,0,IF(AJ$121="2차중도금",$F189*30%-SUM($G189:AI189),IF(AJ$121="3차중도금",$F189*40%-SUM($G189:AI189),IF(AJ$121="4차중도금",$F189*50%-SUM($G189:AI189),$F189*10%)))))))+(IF(AJ$121="5차중도금",$F189*60%-SUM($G189:AI189)-$F189*10%,IF(AJ$121="6차중도금",$F189*70%-SUM($G189:AI189)-$F189*10%,0)))</f>
        <v>0</v>
      </c>
      <c r="AK189" s="605">
        <f>IF(AK$121="입주/잔금",($F189-SUM($G189:AJ189))*30%,IF(AJ$121="입주/잔금",($F189-SUM($G189:AI189))*50%,IF(AI$121="입주/잔금",($F189-SUM($G189:AH189))*20%,IF(AK$121=0,0,IF(AK$121="2차중도금",$F189*30%-SUM($G189:AJ189),IF(AK$121="3차중도금",$F189*40%-SUM($G189:AJ189),IF(AK$121="4차중도금",$F189*50%-SUM($G189:AJ189),$F189*10%)))))))+(IF(AK$121="5차중도금",$F189*60%-SUM($G189:AJ189)-$F189*10%,IF(AK$121="6차중도금",$F189*70%-SUM($G189:AJ189)-$F189*10%,0)))</f>
        <v>0</v>
      </c>
      <c r="AL189" s="605">
        <f>IF(AL$121="입주/잔금",($F189-SUM($G189:AK189))*30%,IF(AK$121="입주/잔금",($F189-SUM($G189:AJ189))*50%,IF(AJ$121="입주/잔금",($F189-SUM($G189:AI189))*20%,IF(AL$121=0,0,IF(AL$121="2차중도금",$F189*30%-SUM($G189:AK189),IF(AL$121="3차중도금",$F189*40%-SUM($G189:AK189),IF(AL$121="4차중도금",$F189*50%-SUM($G189:AK189),$F189*10%)))))))+(IF(AL$121="5차중도금",$F189*60%-SUM($G189:AK189)-$F189*10%,IF(AL$121="6차중도금",$F189*70%-SUM($G189:AK189)-$F189*10%,0)))</f>
        <v>0</v>
      </c>
      <c r="AM189" s="605">
        <f>IF(AM$121="입주/잔금",($F189-SUM($G189:AL189))*30%,IF(AL$121="입주/잔금",($F189-SUM($G189:AK189))*50%,IF(AK$121="입주/잔금",($F189-SUM($G189:AJ189))*20%,IF(AM$121=0,0,IF(AM$121="2차중도금",$F189*30%-SUM($G189:AL189),IF(AM$121="3차중도금",$F189*40%-SUM($G189:AL189),IF(AM$121="4차중도금",$F189*50%-SUM($G189:AL189),$F189*10%)))))))+(IF(AM$121="5차중도금",$F189*60%-SUM($G189:AL189)-$F189*10%,IF(AM$121="6차중도금",$F189*70%-SUM($G189:AL189)-$F189*10%,0)))</f>
        <v>0</v>
      </c>
      <c r="AN189" s="605">
        <f>IF(AN$121="입주/잔금",($F189-SUM($G189:AM189))*30%,IF(AM$121="입주/잔금",($F189-SUM($G189:AL189))*50%,IF(AL$121="입주/잔금",($F189-SUM($G189:AK189))*20%,IF(AN$121=0,0,IF(AN$121="2차중도금",$F189*30%-SUM($G189:AM189),IF(AN$121="3차중도금",$F189*40%-SUM($G189:AM189),IF(AN$121="4차중도금",$F189*50%-SUM($G189:AM189),$F189*10%)))))))+(IF(AN$121="5차중도금",$F189*60%-SUM($G189:AM189)-$F189*10%,IF(AN$121="6차중도금",$F189*70%-SUM($G189:AM189)-$F189*10%,0)))</f>
        <v>0</v>
      </c>
      <c r="AO189" s="605">
        <f>IF(AO$121="입주/잔금",($F189-SUM($G189:AN189))*30%,IF(AN$121="입주/잔금",($F189-SUM($G189:AM189))*50%,IF(AM$121="입주/잔금",($F189-SUM($G189:AL189))*20%,IF(AO$121=0,0,IF(AO$121="2차중도금",$F189*30%-SUM($G189:AN189),IF(AO$121="3차중도금",$F189*40%-SUM($G189:AN189),IF(AO$121="4차중도금",$F189*50%-SUM($G189:AN189),$F189*10%)))))))+(IF(AO$121="5차중도금",$F189*60%-SUM($G189:AN189)-$F189*10%,IF(AO$121="6차중도금",$F189*70%-SUM($G189:AN189)-$F189*10%,0)))</f>
        <v>0</v>
      </c>
      <c r="AP189" s="605">
        <f>IF(AP$121="입주/잔금",($F189-SUM($G189:AO189))*30%,IF(AO$121="입주/잔금",($F189-SUM($G189:AN189))*50%,IF(AN$121="입주/잔금",($F189-SUM($G189:AM189))*20%,IF(AP$121=0,0,IF(AP$121="2차중도금",$F189*30%-SUM($G189:AO189),IF(AP$121="3차중도금",$F189*40%-SUM($G189:AO189),IF(AP$121="4차중도금",$F189*50%-SUM($G189:AO189),$F189*10%)))))))+(IF(AP$121="5차중도금",$F189*60%-SUM($G189:AO189)-$F189*10%,IF(AP$121="6차중도금",$F189*70%-SUM($G189:AO189)-$F189*10%,0)))</f>
        <v>0</v>
      </c>
      <c r="AQ189" s="605">
        <f>IF(AQ$121="입주/잔금",($F189-SUM($G189:AP189))*30%,IF(AP$121="입주/잔금",($F189-SUM($G189:AO189))*50%,IF(AO$121="입주/잔금",($F189-SUM($G189:AN189))*20%,IF(AQ$121=0,0,IF(AQ$121="2차중도금",$F189*30%-SUM($G189:AP189),IF(AQ$121="3차중도금",$F189*40%-SUM($G189:AP189),IF(AQ$121="4차중도금",$F189*50%-SUM($G189:AP189),$F189*10%)))))))+(IF(AQ$121="5차중도금",$F189*60%-SUM($G189:AP189)-$F189*10%,IF(AQ$121="6차중도금",$F189*70%-SUM($G189:AP189)-$F189*10%,0)))</f>
        <v>0</v>
      </c>
      <c r="AR189" s="605">
        <f>IF(AR$121="입주/잔금",($F189-SUM($G189:AQ189))*30%,IF(AQ$121="입주/잔금",($F189-SUM($G189:AP189))*50%,IF(AP$121="입주/잔금",($F189-SUM($G189:AO189))*20%,IF(AR$121=0,0,IF(AR$121="2차중도금",$F189*30%-SUM($G189:AQ189),IF(AR$121="3차중도금",$F189*40%-SUM($G189:AQ189),IF(AR$121="4차중도금",$F189*50%-SUM($G189:AQ189),$F189*10%)))))))+(IF(AR$121="5차중도금",$F189*60%-SUM($G189:AQ189)-$F189*10%,IF(AR$121="6차중도금",$F189*70%-SUM($G189:AQ189)-$F189*10%,0)))</f>
        <v>0</v>
      </c>
      <c r="AS189" s="605">
        <f>IF(AS$121="입주/잔금",($F189-SUM($G189:AR189))*30%,IF(AR$121="입주/잔금",($F189-SUM($G189:AQ189))*50%,IF(AQ$121="입주/잔금",($F189-SUM($G189:AP189))*20%,IF(AS$121=0,0,IF(AS$121="2차중도금",$F189*30%-SUM($G189:AR189),IF(AS$121="3차중도금",$F189*40%-SUM($G189:AR189),IF(AS$121="4차중도금",$F189*50%-SUM($G189:AR189),$F189*10%)))))))+(IF(AS$121="5차중도금",$F189*60%-SUM($G189:AR189)-$F189*10%,IF(AS$121="6차중도금",$F189*70%-SUM($G189:AR189)-$F189*10%,0)))</f>
        <v>0</v>
      </c>
      <c r="AT189" s="605">
        <f>IF(AT$121="입주/잔금",($F189-SUM($G189:AS189))*30%,IF(AS$121="입주/잔금",($F189-SUM($G189:AR189))*50%,IF(AR$121="입주/잔금",($F189-SUM($G189:AQ189))*20%,IF(AT$121=0,0,IF(AT$121="2차중도금",$F189*30%-SUM($G189:AS189),IF(AT$121="3차중도금",$F189*40%-SUM($G189:AS189),IF(AT$121="4차중도금",$F189*50%-SUM($G189:AS189),$F189*10%)))))))+(IF(AT$121="5차중도금",$F189*60%-SUM($G189:AS189)-$F189*10%,IF(AT$121="6차중도금",$F189*70%-SUM($G189:AS189)-$F189*10%,0)))</f>
        <v>0</v>
      </c>
      <c r="AU189" s="605">
        <f>IF(AU$121="입주/잔금",($F189-SUM($G189:AT189))*30%,IF(AT$121="입주/잔금",($F189-SUM($G189:AS189))*50%,IF(AS$121="입주/잔금",($F189-SUM($G189:AR189))*20%,IF(AU$121=0,0,IF(AU$121="2차중도금",$F189*30%-SUM($G189:AT189),IF(AU$121="3차중도금",$F189*40%-SUM($G189:AT189),IF(AU$121="4차중도금",$F189*50%-SUM($G189:AT189),$F189*10%)))))))+(IF(AU$121="5차중도금",$F189*60%-SUM($G189:AT189)-$F189*10%,IF(AU$121="6차중도금",$F189*70%-SUM($G189:AT189)-$F189*10%,0)))</f>
        <v>0</v>
      </c>
      <c r="AV189" s="605">
        <f>IF(AV$121="입주/잔금",($F189-SUM($G189:AU189))*30%,IF(AU$121="입주/잔금",($F189-SUM($G189:AT189))*50%,IF(AT$121="입주/잔금",($F189-SUM($G189:AS189))*20%,IF(AV$121=0,0,IF(AV$121="2차중도금",$F189*30%-SUM($G189:AU189),IF(AV$121="3차중도금",$F189*40%-SUM($G189:AU189),IF(AV$121="4차중도금",$F189*50%-SUM($G189:AU189),$F189*10%)))))))+(IF(AV$121="5차중도금",$F189*60%-SUM($G189:AU189)-$F189*10%,IF(AV$121="6차중도금",$F189*70%-SUM($G189:AU189)-$F189*10%,0)))</f>
        <v>0</v>
      </c>
      <c r="AW189" s="605">
        <f>IF(AW$121="입주/잔금",($F189-SUM($G189:AV189))*30%,IF(AV$121="입주/잔금",($F189-SUM($G189:AU189))*50%,IF(AU$121="입주/잔금",($F189-SUM($G189:AT189))*20%,IF(AW$121=0,0,IF(AW$121="2차중도금",$F189*30%-SUM($G189:AV189),IF(AW$121="3차중도금",$F189*40%-SUM($G189:AV189),IF(AW$121="4차중도금",$F189*50%-SUM($G189:AV189),$F189*10%)))))))+(IF(AW$121="5차중도금",$F189*60%-SUM($G189:AV189)-$F189*10%,IF(AW$121="6차중도금",$F189*70%-SUM($G189:AV189)-$F189*10%,0)))</f>
        <v>0</v>
      </c>
      <c r="AX189" s="605">
        <f>IF(AX$121="입주/잔금",($F189-SUM($G189:AW189))*30%,IF(AW$121="입주/잔금",($F189-SUM($G189:AV189))*50%,IF(AV$121="입주/잔금",($F189-SUM($G189:AU189))*20%,IF(AX$121=0,0,IF(AX$121="2차중도금",$F189*30%-SUM($G189:AW189),IF(AX$121="3차중도금",$F189*40%-SUM($G189:AW189),IF(AX$121="4차중도금",$F189*50%-SUM($G189:AW189),$F189*10%)))))))+(IF(AX$121="5차중도금",$F189*60%-SUM($G189:AW189)-$F189*10%,IF(AX$121="6차중도금",$F189*70%-SUM($G189:AW189)-$F189*10%,0)))</f>
        <v>0</v>
      </c>
      <c r="AY189" s="605">
        <f>IF(AY$121="입주/잔금",($F189-SUM($G189:AX189))*30%,IF(AX$121="입주/잔금",($F189-SUM($G189:AW189))*50%,IF(AW$121="입주/잔금",($F189-SUM($G189:AV189))*20%,IF(AY$121=0,0,IF(AY$121="2차중도금",$F189*30%-SUM($G189:AX189),IF(AY$121="3차중도금",$F189*40%-SUM($G189:AX189),IF(AY$121="4차중도금",$F189*50%-SUM($G189:AX189),$F189*10%)))))))+(IF(AY$121="5차중도금",$F189*60%-SUM($G189:AX189)-$F189*10%,IF(AY$121="6차중도금",$F189*70%-SUM($G189:AX189)-$F189*10%,0)))</f>
        <v>0</v>
      </c>
      <c r="AZ189" s="605">
        <f>IF(AZ$121="입주/잔금",($F189-SUM($G189:AY189))*30%,IF(AY$121="입주/잔금",($F189-SUM($G189:AX189))*50%,IF(AX$121="입주/잔금",($F189-SUM($G189:AW189))*20%,IF(AZ$121=0,0,IF(AZ$121="2차중도금",$F189*30%-SUM($G189:AY189),IF(AZ$121="3차중도금",$F189*40%-SUM($G189:AY189),IF(AZ$121="4차중도금",$F189*50%-SUM($G189:AY189),$F189*10%)))))))+(IF(AZ$121="5차중도금",$F189*60%-SUM($G189:AY189)-$F189*10%,IF(AZ$121="6차중도금",$F189*70%-SUM($G189:AY189)-$F189*10%,0)))</f>
        <v>0</v>
      </c>
      <c r="BA189" s="605">
        <f>IF(BA$121="입주/잔금",($F189-SUM($G189:AZ189))*30%,IF(AZ$121="입주/잔금",($F189-SUM($G189:AY189))*50%,IF(AY$121="입주/잔금",($F189-SUM($G189:AX189))*20%,IF(BA$121=0,0,IF(BA$121="2차중도금",$F189*30%-SUM($G189:AZ189),IF(BA$121="3차중도금",$F189*40%-SUM($G189:AZ189),IF(BA$121="4차중도금",$F189*50%-SUM($G189:AZ189),$F189*10%)))))))+(IF(BA$121="5차중도금",$F189*60%-SUM($G189:AZ189)-$F189*10%,IF(BA$121="6차중도금",$F189*70%-SUM($G189:AZ189)-$F189*10%,0)))</f>
        <v>0</v>
      </c>
      <c r="BB189" s="605">
        <f>IF(BB$121="입주/잔금",($F189-SUM($G189:BA189))*30%,IF(BA$121="입주/잔금",($F189-SUM($G189:AZ189))*50%,IF(AZ$121="입주/잔금",($F189-SUM($G189:AY189))*20%,IF(BB$121=0,0,IF(BB$121="2차중도금",$F189*30%-SUM($G189:BA189),IF(BB$121="3차중도금",$F189*40%-SUM($G189:BA189),IF(BB$121="4차중도금",$F189*50%-SUM($G189:BA189),$F189*10%)))))))+(IF(BB$121="5차중도금",$F189*60%-SUM($G189:BA189)-$F189*10%,IF(BB$121="6차중도금",$F189*70%-SUM($G189:BA189)-$F189*10%,0)))</f>
        <v>0</v>
      </c>
      <c r="BC189" s="605">
        <f>IF(BC$121="입주/잔금",($F189-SUM($G189:BB189))*30%,IF(BB$121="입주/잔금",($F189-SUM($G189:BA189))*50%,IF(BA$121="입주/잔금",($F189-SUM($G189:AZ189))*20%,IF(BC$121=0,0,IF(BC$121="2차중도금",$F189*30%-SUM($G189:BB189),IF(BC$121="3차중도금",$F189*40%-SUM($G189:BB189),IF(BC$121="4차중도금",$F189*50%-SUM($G189:BB189),$F189*10%)))))))+(IF(BC$121="5차중도금",$F189*60%-SUM($G189:BB189)-$F189*10%,IF(BC$121="6차중도금",$F189*70%-SUM($G189:BB189)-$F189*10%,0)))</f>
        <v>0</v>
      </c>
      <c r="BD189" s="605">
        <f>IF(BD$121="입주/잔금",($F189-SUM($G189:BC189))*30%,IF(BC$121="입주/잔금",($F189-SUM($G189:BB189))*50%,IF(BB$121="입주/잔금",($F189-SUM($G189:BA189))*20%,IF(BD$121=0,0,IF(BD$121="2차중도금",$F189*30%-SUM($G189:BC189),IF(BD$121="3차중도금",$F189*40%-SUM($G189:BC189),IF(BD$121="4차중도금",$F189*50%-SUM($G189:BC189),$F189*10%)))))))+(IF(BD$121="5차중도금",$F189*60%-SUM($G189:BC189)-$F189*10%,IF(BD$121="6차중도금",$F189*70%-SUM($G189:BC189)-$F189*10%,0)))</f>
        <v>0</v>
      </c>
      <c r="BE189" s="605">
        <f>IF(BE$121="입주/잔금",($F189-SUM($G189:BD189))*30%,IF(BD$121="입주/잔금",($F189-SUM($G189:BC189))*50%,IF(BC$121="입주/잔금",($F189-SUM($G189:BB189))*20%,IF(BE$121=0,0,IF(BE$121="2차중도금",$F189*30%-SUM($G189:BD189),IF(BE$121="3차중도금",$F189*40%-SUM($G189:BD189),IF(BE$121="4차중도금",$F189*50%-SUM($G189:BD189),$F189*10%)))))))+(IF(BE$121="5차중도금",$F189*60%-SUM($G189:BD189)-$F189*10%,IF(BE$121="6차중도금",$F189*70%-SUM($G189:BD189)-$F189*10%,0)))</f>
        <v>0</v>
      </c>
      <c r="BF189" s="609">
        <f t="shared" si="57"/>
        <v>0</v>
      </c>
      <c r="BG189" s="556">
        <f t="shared" si="59"/>
        <v>0</v>
      </c>
      <c r="BH189" s="610"/>
    </row>
    <row r="190" spans="1:60" hidden="1">
      <c r="A190" s="1853"/>
      <c r="B190" s="611">
        <f t="shared" si="60"/>
        <v>45231</v>
      </c>
      <c r="C190" s="605">
        <f t="shared" si="61"/>
        <v>0</v>
      </c>
      <c r="D190" s="606"/>
      <c r="E190" s="607">
        <f t="shared" si="62"/>
        <v>0</v>
      </c>
      <c r="F190" s="608">
        <f t="shared" si="58"/>
        <v>0</v>
      </c>
      <c r="G190" s="605"/>
      <c r="H190" s="605"/>
      <c r="I190" s="605"/>
      <c r="J190" s="605"/>
      <c r="K190" s="605"/>
      <c r="L190" s="605"/>
      <c r="M190" s="605"/>
      <c r="N190" s="605"/>
      <c r="O190" s="605"/>
      <c r="P190" s="605"/>
      <c r="Q190" s="605"/>
      <c r="R190" s="605"/>
      <c r="S190" s="605"/>
      <c r="T190" s="605">
        <f>$F190*10%</f>
        <v>0</v>
      </c>
      <c r="U190" s="605">
        <f>IF(U$121="입주/잔금",($F190-SUM($G190:T190))*30%,IF(T$121="입주/잔금",($F190-SUM($G190:S190))*50%,IF(S$121="입주/잔금",($F190-SUM($G190:R190))*20%,IF(U$121=0,0,IF(U$121="2차중도금",$F190*30%-SUM($G190:T190),IF(U$121="3차중도금",$F190*40%-SUM($G190:T190),IF(U$121="4차중도금",$F190*50%-SUM($G190:T190),$F190*10%)))))))+(IF(U$121="5차중도금",$F190*60%-SUM($G190:T190)-$F190*10%,IF(U$121="6차중도금",$F190*70%-SUM($G190:T190)-$F190*10%,0)))</f>
        <v>0</v>
      </c>
      <c r="V190" s="605">
        <f>IF(V$121="입주/잔금",($F190-SUM($G190:U190))*30%,IF(U$121="입주/잔금",($F190-SUM($G190:T190))*50%,IF(T$121="입주/잔금",($F190-SUM($G190:S190))*20%,IF(V$121=0,0,IF(V$121="2차중도금",$F190*30%-SUM($G190:U190),IF(V$121="3차중도금",$F190*40%-SUM($G190:U190),IF(V$121="4차중도금",$F190*50%-SUM($G190:U190),$F190*10%)))))))+(IF(V$121="5차중도금",$F190*60%-SUM($G190:U190)-$F190*10%,IF(V$121="6차중도금",$F190*70%-SUM($G190:U190)-$F190*10%,0)))</f>
        <v>0</v>
      </c>
      <c r="W190" s="605">
        <f>IF(W$121="입주/잔금",($F190-SUM($G190:V190))*30%,IF(V$121="입주/잔금",($F190-SUM($G190:U190))*50%,IF(U$121="입주/잔금",($F190-SUM($G190:T190))*20%,IF(W$121=0,0,IF(W$121="2차중도금",$F190*30%-SUM($G190:V190),IF(W$121="3차중도금",$F190*40%-SUM($G190:V190),IF(W$121="4차중도금",$F190*50%-SUM($G190:V190),$F190*10%)))))))+(IF(W$121="5차중도금",$F190*60%-SUM($G190:V190)-$F190*10%,IF(W$121="6차중도금",$F190*70%-SUM($G190:V190)-$F190*10%,0)))</f>
        <v>0</v>
      </c>
      <c r="X190" s="605">
        <f>IF(X$121="입주/잔금",($F190-SUM($G190:W190))*30%,IF(W$121="입주/잔금",($F190-SUM($G190:V190))*50%,IF(V$121="입주/잔금",($F190-SUM($G190:U190))*20%,IF(X$121=0,0,IF(X$121="2차중도금",$F190*30%-SUM($G190:W190),IF(X$121="3차중도금",$F190*40%-SUM($G190:W190),IF(X$121="4차중도금",$F190*50%-SUM($G190:W190),$F190*10%)))))))+(IF(X$121="5차중도금",$F190*60%-SUM($G190:W190)-$F190*10%,IF(X$121="6차중도금",$F190*70%-SUM($G190:W190)-$F190*10%,0)))</f>
        <v>0</v>
      </c>
      <c r="Y190" s="605">
        <f>IF(Y$121="입주/잔금",($F190-SUM($G190:X190))*30%,IF(X$121="입주/잔금",($F190-SUM($G190:W190))*50%,IF(W$121="입주/잔금",($F190-SUM($G190:V190))*20%,IF(Y$121=0,0,IF(Y$121="2차중도금",$F190*30%-SUM($G190:X190),IF(Y$121="3차중도금",$F190*40%-SUM($G190:X190),IF(Y$121="4차중도금",$F190*50%-SUM($G190:X190),$F190*10%)))))))+(IF(Y$121="5차중도금",$F190*60%-SUM($G190:X190)-$F190*10%,IF(Y$121="6차중도금",$F190*70%-SUM($G190:X190)-$F190*10%,0)))</f>
        <v>0</v>
      </c>
      <c r="Z190" s="605">
        <f>IF(Z$121="입주/잔금",($F190-SUM($G190:Y190))*30%,IF(Y$121="입주/잔금",($F190-SUM($G190:X190))*50%,IF(X$121="입주/잔금",($F190-SUM($G190:W190))*20%,IF(Z$121=0,0,IF(Z$121="2차중도금",$F190*30%-SUM($G190:Y190),IF(Z$121="3차중도금",$F190*40%-SUM($G190:Y190),IF(Z$121="4차중도금",$F190*50%-SUM($G190:Y190),$F190*10%)))))))+(IF(Z$121="5차중도금",$F190*60%-SUM($G190:Y190)-$F190*10%,IF(Z$121="6차중도금",$F190*70%-SUM($G190:Y190)-$F190*10%,0)))</f>
        <v>0</v>
      </c>
      <c r="AA190" s="605">
        <f>IF(AA$121="입주/잔금",($F190-SUM($G190:Z190))*30%,IF(Z$121="입주/잔금",($F190-SUM($G190:Y190))*50%,IF(Y$121="입주/잔금",($F190-SUM($G190:X190))*20%,IF(AA$121=0,0,IF(AA$121="2차중도금",$F190*30%-SUM($G190:Z190),IF(AA$121="3차중도금",$F190*40%-SUM($G190:Z190),IF(AA$121="4차중도금",$F190*50%-SUM($G190:Z190),$F190*10%)))))))+(IF(AA$121="5차중도금",$F190*60%-SUM($G190:Z190)-$F190*10%,IF(AA$121="6차중도금",$F190*70%-SUM($G190:Z190)-$F190*10%,0)))</f>
        <v>0</v>
      </c>
      <c r="AB190" s="605">
        <f>IF(AB$121="입주/잔금",($F190-SUM($G190:AA190))*30%,IF(AA$121="입주/잔금",($F190-SUM($G190:Z190))*50%,IF(Z$121="입주/잔금",($F190-SUM($G190:Y190))*20%,IF(AB$121=0,0,IF(AB$121="2차중도금",$F190*30%-SUM($G190:AA190),IF(AB$121="3차중도금",$F190*40%-SUM($G190:AA190),IF(AB$121="4차중도금",$F190*50%-SUM($G190:AA190),$F190*10%)))))))+(IF(AB$121="5차중도금",$F190*60%-SUM($G190:AA190)-$F190*10%,IF(AB$121="6차중도금",$F190*70%-SUM($G190:AA190)-$F190*10%,0)))</f>
        <v>0</v>
      </c>
      <c r="AC190" s="605">
        <f>IF(AC$121="입주/잔금",($F190-SUM($G190:AB190))*30%,IF(AB$121="입주/잔금",($F190-SUM($G190:AA190))*50%,IF(AA$121="입주/잔금",($F190-SUM($G190:Z190))*20%,IF(AC$121=0,0,IF(AC$121="2차중도금",$F190*30%-SUM($G190:AB190),IF(AC$121="3차중도금",$F190*40%-SUM($G190:AB190),IF(AC$121="4차중도금",$F190*50%-SUM($G190:AB190),$F190*10%)))))))+(IF(AC$121="5차중도금",$F190*60%-SUM($G190:AB190)-$F190*10%,IF(AC$121="6차중도금",$F190*70%-SUM($G190:AB190)-$F190*10%,0)))</f>
        <v>0</v>
      </c>
      <c r="AD190" s="605">
        <f>IF(AD$121="입주/잔금",($F190-SUM($G190:AC190))*30%,IF(AC$121="입주/잔금",($F190-SUM($G190:AB190))*50%,IF(AB$121="입주/잔금",($F190-SUM($G190:AA190))*20%,IF(AD$121=0,0,IF(AD$121="2차중도금",$F190*30%-SUM($G190:AC190),IF(AD$121="3차중도금",$F190*40%-SUM($G190:AC190),IF(AD$121="4차중도금",$F190*50%-SUM($G190:AC190),$F190*10%)))))))+(IF(AD$121="5차중도금",$F190*60%-SUM($G190:AC190)-$F190*10%,IF(AD$121="6차중도금",$F190*70%-SUM($G190:AC190)-$F190*10%,0)))</f>
        <v>0</v>
      </c>
      <c r="AE190" s="605">
        <f>IF(AE$121="입주/잔금",($F190-SUM($G190:AD190))*30%,IF(AD$121="입주/잔금",($F190-SUM($G190:AC190))*50%,IF(AC$121="입주/잔금",($F190-SUM($G190:AB190))*20%,IF(AE$121=0,0,IF(AE$121="2차중도금",$F190*30%-SUM($G190:AD190),IF(AE$121="3차중도금",$F190*40%-SUM($G190:AD190),IF(AE$121="4차중도금",$F190*50%-SUM($G190:AD190),$F190*10%)))))))+(IF(AE$121="5차중도금",$F190*60%-SUM($G190:AD190)-$F190*10%,IF(AE$121="6차중도금",$F190*70%-SUM($G190:AD190)-$F190*10%,0)))</f>
        <v>0</v>
      </c>
      <c r="AF190" s="605">
        <f>IF(AF$121="입주/잔금",($F190-SUM($G190:AE190))*30%,IF(AE$121="입주/잔금",($F190-SUM($G190:AD190))*50%,IF(AD$121="입주/잔금",($F190-SUM($G190:AC190))*20%,IF(AF$121=0,0,IF(AF$121="2차중도금",$F190*30%-SUM($G190:AE190),IF(AF$121="3차중도금",$F190*40%-SUM($G190:AE190),IF(AF$121="4차중도금",$F190*50%-SUM($G190:AE190),$F190*10%)))))))+(IF(AF$121="5차중도금",$F190*60%-SUM($G190:AE190)-$F190*10%,IF(AF$121="6차중도금",$F190*70%-SUM($G190:AE190)-$F190*10%,0)))</f>
        <v>0</v>
      </c>
      <c r="AG190" s="605">
        <f>IF(AG$121="입주/잔금",($F190-SUM($G190:AF190))*30%,IF(AF$121="입주/잔금",($F190-SUM($G190:AE190))*50%,IF(AE$121="입주/잔금",($F190-SUM($G190:AD190))*20%,IF(AG$121=0,0,IF(AG$121="2차중도금",$F190*30%-SUM($G190:AF190),IF(AG$121="3차중도금",$F190*40%-SUM($G190:AF190),IF(AG$121="4차중도금",$F190*50%-SUM($G190:AF190),$F190*10%)))))))+(IF(AG$121="5차중도금",$F190*60%-SUM($G190:AF190)-$F190*10%,IF(AG$121="6차중도금",$F190*70%-SUM($G190:AF190)-$F190*10%,0)))</f>
        <v>0</v>
      </c>
      <c r="AH190" s="605">
        <f>IF(AH$121="입주/잔금",($F190-SUM($G190:AG190))*30%,IF(AG$121="입주/잔금",($F190-SUM($G190:AF190))*50%,IF(AF$121="입주/잔금",($F190-SUM($G190:AE190))*20%,IF(AH$121=0,0,IF(AH$121="2차중도금",$F190*30%-SUM($G190:AG190),IF(AH$121="3차중도금",$F190*40%-SUM($G190:AG190),IF(AH$121="4차중도금",$F190*50%-SUM($G190:AG190),$F190*10%)))))))+(IF(AH$121="5차중도금",$F190*60%-SUM($G190:AG190)-$F190*10%,IF(AH$121="6차중도금",$F190*70%-SUM($G190:AG190)-$F190*10%,0)))</f>
        <v>0</v>
      </c>
      <c r="AI190" s="605">
        <f>IF(AI$121="입주/잔금",($F190-SUM($G190:AH190))*30%,IF(AH$121="입주/잔금",($F190-SUM($G190:AG190))*50%,IF(AG$121="입주/잔금",($F190-SUM($G190:AF190))*20%,IF(AI$121=0,0,IF(AI$121="2차중도금",$F190*30%-SUM($G190:AH190),IF(AI$121="3차중도금",$F190*40%-SUM($G190:AH190),IF(AI$121="4차중도금",$F190*50%-SUM($G190:AH190),$F190*10%)))))))+(IF(AI$121="5차중도금",$F190*60%-SUM($G190:AH190)-$F190*10%,IF(AI$121="6차중도금",$F190*70%-SUM($G190:AH190)-$F190*10%,0)))</f>
        <v>0</v>
      </c>
      <c r="AJ190" s="605">
        <f>IF(AJ$121="입주/잔금",($F190-SUM($G190:AI190))*30%,IF(AI$121="입주/잔금",($F190-SUM($G190:AH190))*50%,IF(AH$121="입주/잔금",($F190-SUM($G190:AG190))*20%,IF(AJ$121=0,0,IF(AJ$121="2차중도금",$F190*30%-SUM($G190:AI190),IF(AJ$121="3차중도금",$F190*40%-SUM($G190:AI190),IF(AJ$121="4차중도금",$F190*50%-SUM($G190:AI190),$F190*10%)))))))+(IF(AJ$121="5차중도금",$F190*60%-SUM($G190:AI190)-$F190*10%,IF(AJ$121="6차중도금",$F190*70%-SUM($G190:AI190)-$F190*10%,0)))</f>
        <v>0</v>
      </c>
      <c r="AK190" s="605">
        <f>IF(AK$121="입주/잔금",($F190-SUM($G190:AJ190))*30%,IF(AJ$121="입주/잔금",($F190-SUM($G190:AI190))*50%,IF(AI$121="입주/잔금",($F190-SUM($G190:AH190))*20%,IF(AK$121=0,0,IF(AK$121="2차중도금",$F190*30%-SUM($G190:AJ190),IF(AK$121="3차중도금",$F190*40%-SUM($G190:AJ190),IF(AK$121="4차중도금",$F190*50%-SUM($G190:AJ190),$F190*10%)))))))+(IF(AK$121="5차중도금",$F190*60%-SUM($G190:AJ190)-$F190*10%,IF(AK$121="6차중도금",$F190*70%-SUM($G190:AJ190)-$F190*10%,0)))</f>
        <v>0</v>
      </c>
      <c r="AL190" s="605">
        <f>IF(AL$121="입주/잔금",($F190-SUM($G190:AK190))*30%,IF(AK$121="입주/잔금",($F190-SUM($G190:AJ190))*50%,IF(AJ$121="입주/잔금",($F190-SUM($G190:AI190))*20%,IF(AL$121=0,0,IF(AL$121="2차중도금",$F190*30%-SUM($G190:AK190),IF(AL$121="3차중도금",$F190*40%-SUM($G190:AK190),IF(AL$121="4차중도금",$F190*50%-SUM($G190:AK190),$F190*10%)))))))+(IF(AL$121="5차중도금",$F190*60%-SUM($G190:AK190)-$F190*10%,IF(AL$121="6차중도금",$F190*70%-SUM($G190:AK190)-$F190*10%,0)))</f>
        <v>0</v>
      </c>
      <c r="AM190" s="605">
        <f>IF(AM$121="입주/잔금",($F190-SUM($G190:AL190))*30%,IF(AL$121="입주/잔금",($F190-SUM($G190:AK190))*50%,IF(AK$121="입주/잔금",($F190-SUM($G190:AJ190))*20%,IF(AM$121=0,0,IF(AM$121="2차중도금",$F190*30%-SUM($G190:AL190),IF(AM$121="3차중도금",$F190*40%-SUM($G190:AL190),IF(AM$121="4차중도금",$F190*50%-SUM($G190:AL190),$F190*10%)))))))+(IF(AM$121="5차중도금",$F190*60%-SUM($G190:AL190)-$F190*10%,IF(AM$121="6차중도금",$F190*70%-SUM($G190:AL190)-$F190*10%,0)))</f>
        <v>0</v>
      </c>
      <c r="AN190" s="605">
        <f>IF(AN$121="입주/잔금",($F190-SUM($G190:AM190))*30%,IF(AM$121="입주/잔금",($F190-SUM($G190:AL190))*50%,IF(AL$121="입주/잔금",($F190-SUM($G190:AK190))*20%,IF(AN$121=0,0,IF(AN$121="2차중도금",$F190*30%-SUM($G190:AM190),IF(AN$121="3차중도금",$F190*40%-SUM($G190:AM190),IF(AN$121="4차중도금",$F190*50%-SUM($G190:AM190),$F190*10%)))))))+(IF(AN$121="5차중도금",$F190*60%-SUM($G190:AM190)-$F190*10%,IF(AN$121="6차중도금",$F190*70%-SUM($G190:AM190)-$F190*10%,0)))</f>
        <v>0</v>
      </c>
      <c r="AO190" s="605">
        <f>IF(AO$121="입주/잔금",($F190-SUM($G190:AN190))*30%,IF(AN$121="입주/잔금",($F190-SUM($G190:AM190))*50%,IF(AM$121="입주/잔금",($F190-SUM($G190:AL190))*20%,IF(AO$121=0,0,IF(AO$121="2차중도금",$F190*30%-SUM($G190:AN190),IF(AO$121="3차중도금",$F190*40%-SUM($G190:AN190),IF(AO$121="4차중도금",$F190*50%-SUM($G190:AN190),$F190*10%)))))))+(IF(AO$121="5차중도금",$F190*60%-SUM($G190:AN190)-$F190*10%,IF(AO$121="6차중도금",$F190*70%-SUM($G190:AN190)-$F190*10%,0)))</f>
        <v>0</v>
      </c>
      <c r="AP190" s="605">
        <f>IF(AP$121="입주/잔금",($F190-SUM($G190:AO190))*30%,IF(AO$121="입주/잔금",($F190-SUM($G190:AN190))*50%,IF(AN$121="입주/잔금",($F190-SUM($G190:AM190))*20%,IF(AP$121=0,0,IF(AP$121="2차중도금",$F190*30%-SUM($G190:AO190),IF(AP$121="3차중도금",$F190*40%-SUM($G190:AO190),IF(AP$121="4차중도금",$F190*50%-SUM($G190:AO190),$F190*10%)))))))+(IF(AP$121="5차중도금",$F190*60%-SUM($G190:AO190)-$F190*10%,IF(AP$121="6차중도금",$F190*70%-SUM($G190:AO190)-$F190*10%,0)))</f>
        <v>0</v>
      </c>
      <c r="AQ190" s="605">
        <f>IF(AQ$121="입주/잔금",($F190-SUM($G190:AP190))*30%,IF(AP$121="입주/잔금",($F190-SUM($G190:AO190))*50%,IF(AO$121="입주/잔금",($F190-SUM($G190:AN190))*20%,IF(AQ$121=0,0,IF(AQ$121="2차중도금",$F190*30%-SUM($G190:AP190),IF(AQ$121="3차중도금",$F190*40%-SUM($G190:AP190),IF(AQ$121="4차중도금",$F190*50%-SUM($G190:AP190),$F190*10%)))))))+(IF(AQ$121="5차중도금",$F190*60%-SUM($G190:AP190)-$F190*10%,IF(AQ$121="6차중도금",$F190*70%-SUM($G190:AP190)-$F190*10%,0)))</f>
        <v>0</v>
      </c>
      <c r="AR190" s="605">
        <f>IF(AR$121="입주/잔금",($F190-SUM($G190:AQ190))*30%,IF(AQ$121="입주/잔금",($F190-SUM($G190:AP190))*50%,IF(AP$121="입주/잔금",($F190-SUM($G190:AO190))*20%,IF(AR$121=0,0,IF(AR$121="2차중도금",$F190*30%-SUM($G190:AQ190),IF(AR$121="3차중도금",$F190*40%-SUM($G190:AQ190),IF(AR$121="4차중도금",$F190*50%-SUM($G190:AQ190),$F190*10%)))))))+(IF(AR$121="5차중도금",$F190*60%-SUM($G190:AQ190)-$F190*10%,IF(AR$121="6차중도금",$F190*70%-SUM($G190:AQ190)-$F190*10%,0)))</f>
        <v>0</v>
      </c>
      <c r="AS190" s="605">
        <f>IF(AS$121="입주/잔금",($F190-SUM($G190:AR190))*30%,IF(AR$121="입주/잔금",($F190-SUM($G190:AQ190))*50%,IF(AQ$121="입주/잔금",($F190-SUM($G190:AP190))*20%,IF(AS$121=0,0,IF(AS$121="2차중도금",$F190*30%-SUM($G190:AR190),IF(AS$121="3차중도금",$F190*40%-SUM($G190:AR190),IF(AS$121="4차중도금",$F190*50%-SUM($G190:AR190),$F190*10%)))))))+(IF(AS$121="5차중도금",$F190*60%-SUM($G190:AR190)-$F190*10%,IF(AS$121="6차중도금",$F190*70%-SUM($G190:AR190)-$F190*10%,0)))</f>
        <v>0</v>
      </c>
      <c r="AT190" s="605">
        <f>IF(AT$121="입주/잔금",($F190-SUM($G190:AS190))*30%,IF(AS$121="입주/잔금",($F190-SUM($G190:AR190))*50%,IF(AR$121="입주/잔금",($F190-SUM($G190:AQ190))*20%,IF(AT$121=0,0,IF(AT$121="2차중도금",$F190*30%-SUM($G190:AS190),IF(AT$121="3차중도금",$F190*40%-SUM($G190:AS190),IF(AT$121="4차중도금",$F190*50%-SUM($G190:AS190),$F190*10%)))))))+(IF(AT$121="5차중도금",$F190*60%-SUM($G190:AS190)-$F190*10%,IF(AT$121="6차중도금",$F190*70%-SUM($G190:AS190)-$F190*10%,0)))</f>
        <v>0</v>
      </c>
      <c r="AU190" s="605">
        <f>IF(AU$121="입주/잔금",($F190-SUM($G190:AT190))*30%,IF(AT$121="입주/잔금",($F190-SUM($G190:AS190))*50%,IF(AS$121="입주/잔금",($F190-SUM($G190:AR190))*20%,IF(AU$121=0,0,IF(AU$121="2차중도금",$F190*30%-SUM($G190:AT190),IF(AU$121="3차중도금",$F190*40%-SUM($G190:AT190),IF(AU$121="4차중도금",$F190*50%-SUM($G190:AT190),$F190*10%)))))))+(IF(AU$121="5차중도금",$F190*60%-SUM($G190:AT190)-$F190*10%,IF(AU$121="6차중도금",$F190*70%-SUM($G190:AT190)-$F190*10%,0)))</f>
        <v>0</v>
      </c>
      <c r="AV190" s="605">
        <f>IF(AV$121="입주/잔금",($F190-SUM($G190:AU190))*30%,IF(AU$121="입주/잔금",($F190-SUM($G190:AT190))*50%,IF(AT$121="입주/잔금",($F190-SUM($G190:AS190))*20%,IF(AV$121=0,0,IF(AV$121="2차중도금",$F190*30%-SUM($G190:AU190),IF(AV$121="3차중도금",$F190*40%-SUM($G190:AU190),IF(AV$121="4차중도금",$F190*50%-SUM($G190:AU190),$F190*10%)))))))+(IF(AV$121="5차중도금",$F190*60%-SUM($G190:AU190)-$F190*10%,IF(AV$121="6차중도금",$F190*70%-SUM($G190:AU190)-$F190*10%,0)))</f>
        <v>0</v>
      </c>
      <c r="AW190" s="605">
        <f>IF(AW$121="입주/잔금",($F190-SUM($G190:AV190))*30%,IF(AV$121="입주/잔금",($F190-SUM($G190:AU190))*50%,IF(AU$121="입주/잔금",($F190-SUM($G190:AT190))*20%,IF(AW$121=0,0,IF(AW$121="2차중도금",$F190*30%-SUM($G190:AV190),IF(AW$121="3차중도금",$F190*40%-SUM($G190:AV190),IF(AW$121="4차중도금",$F190*50%-SUM($G190:AV190),$F190*10%)))))))+(IF(AW$121="5차중도금",$F190*60%-SUM($G190:AV190)-$F190*10%,IF(AW$121="6차중도금",$F190*70%-SUM($G190:AV190)-$F190*10%,0)))</f>
        <v>0</v>
      </c>
      <c r="AX190" s="605">
        <f>IF(AX$121="입주/잔금",($F190-SUM($G190:AW190))*30%,IF(AW$121="입주/잔금",($F190-SUM($G190:AV190))*50%,IF(AV$121="입주/잔금",($F190-SUM($G190:AU190))*20%,IF(AX$121=0,0,IF(AX$121="2차중도금",$F190*30%-SUM($G190:AW190),IF(AX$121="3차중도금",$F190*40%-SUM($G190:AW190),IF(AX$121="4차중도금",$F190*50%-SUM($G190:AW190),$F190*10%)))))))+(IF(AX$121="5차중도금",$F190*60%-SUM($G190:AW190)-$F190*10%,IF(AX$121="6차중도금",$F190*70%-SUM($G190:AW190)-$F190*10%,0)))</f>
        <v>0</v>
      </c>
      <c r="AY190" s="605">
        <f>IF(AY$121="입주/잔금",($F190-SUM($G190:AX190))*30%,IF(AX$121="입주/잔금",($F190-SUM($G190:AW190))*50%,IF(AW$121="입주/잔금",($F190-SUM($G190:AV190))*20%,IF(AY$121=0,0,IF(AY$121="2차중도금",$F190*30%-SUM($G190:AX190),IF(AY$121="3차중도금",$F190*40%-SUM($G190:AX190),IF(AY$121="4차중도금",$F190*50%-SUM($G190:AX190),$F190*10%)))))))+(IF(AY$121="5차중도금",$F190*60%-SUM($G190:AX190)-$F190*10%,IF(AY$121="6차중도금",$F190*70%-SUM($G190:AX190)-$F190*10%,0)))</f>
        <v>0</v>
      </c>
      <c r="AZ190" s="605">
        <f>IF(AZ$121="입주/잔금",($F190-SUM($G190:AY190))*30%,IF(AY$121="입주/잔금",($F190-SUM($G190:AX190))*50%,IF(AX$121="입주/잔금",($F190-SUM($G190:AW190))*20%,IF(AZ$121=0,0,IF(AZ$121="2차중도금",$F190*30%-SUM($G190:AY190),IF(AZ$121="3차중도금",$F190*40%-SUM($G190:AY190),IF(AZ$121="4차중도금",$F190*50%-SUM($G190:AY190),$F190*10%)))))))+(IF(AZ$121="5차중도금",$F190*60%-SUM($G190:AY190)-$F190*10%,IF(AZ$121="6차중도금",$F190*70%-SUM($G190:AY190)-$F190*10%,0)))</f>
        <v>0</v>
      </c>
      <c r="BA190" s="605">
        <f>IF(BA$121="입주/잔금",($F190-SUM($G190:AZ190))*30%,IF(AZ$121="입주/잔금",($F190-SUM($G190:AY190))*50%,IF(AY$121="입주/잔금",($F190-SUM($G190:AX190))*20%,IF(BA$121=0,0,IF(BA$121="2차중도금",$F190*30%-SUM($G190:AZ190),IF(BA$121="3차중도금",$F190*40%-SUM($G190:AZ190),IF(BA$121="4차중도금",$F190*50%-SUM($G190:AZ190),$F190*10%)))))))+(IF(BA$121="5차중도금",$F190*60%-SUM($G190:AZ190)-$F190*10%,IF(BA$121="6차중도금",$F190*70%-SUM($G190:AZ190)-$F190*10%,0)))</f>
        <v>0</v>
      </c>
      <c r="BB190" s="605">
        <f>IF(BB$121="입주/잔금",($F190-SUM($G190:BA190))*30%,IF(BA$121="입주/잔금",($F190-SUM($G190:AZ190))*50%,IF(AZ$121="입주/잔금",($F190-SUM($G190:AY190))*20%,IF(BB$121=0,0,IF(BB$121="2차중도금",$F190*30%-SUM($G190:BA190),IF(BB$121="3차중도금",$F190*40%-SUM($G190:BA190),IF(BB$121="4차중도금",$F190*50%-SUM($G190:BA190),$F190*10%)))))))+(IF(BB$121="5차중도금",$F190*60%-SUM($G190:BA190)-$F190*10%,IF(BB$121="6차중도금",$F190*70%-SUM($G190:BA190)-$F190*10%,0)))</f>
        <v>0</v>
      </c>
      <c r="BC190" s="605">
        <f>IF(BC$121="입주/잔금",($F190-SUM($G190:BB190))*30%,IF(BB$121="입주/잔금",($F190-SUM($G190:BA190))*50%,IF(BA$121="입주/잔금",($F190-SUM($G190:AZ190))*20%,IF(BC$121=0,0,IF(BC$121="2차중도금",$F190*30%-SUM($G190:BB190),IF(BC$121="3차중도금",$F190*40%-SUM($G190:BB190),IF(BC$121="4차중도금",$F190*50%-SUM($G190:BB190),$F190*10%)))))))+(IF(BC$121="5차중도금",$F190*60%-SUM($G190:BB190)-$F190*10%,IF(BC$121="6차중도금",$F190*70%-SUM($G190:BB190)-$F190*10%,0)))</f>
        <v>0</v>
      </c>
      <c r="BD190" s="605">
        <f>IF(BD$121="입주/잔금",($F190-SUM($G190:BC190))*30%,IF(BC$121="입주/잔금",($F190-SUM($G190:BB190))*50%,IF(BB$121="입주/잔금",($F190-SUM($G190:BA190))*20%,IF(BD$121=0,0,IF(BD$121="2차중도금",$F190*30%-SUM($G190:BC190),IF(BD$121="3차중도금",$F190*40%-SUM($G190:BC190),IF(BD$121="4차중도금",$F190*50%-SUM($G190:BC190),$F190*10%)))))))+(IF(BD$121="5차중도금",$F190*60%-SUM($G190:BC190)-$F190*10%,IF(BD$121="6차중도금",$F190*70%-SUM($G190:BC190)-$F190*10%,0)))</f>
        <v>0</v>
      </c>
      <c r="BE190" s="605">
        <f>IF(BE$121="입주/잔금",($F190-SUM($G190:BD190))*30%,IF(BD$121="입주/잔금",($F190-SUM($G190:BC190))*50%,IF(BC$121="입주/잔금",($F190-SUM($G190:BB190))*20%,IF(BE$121=0,0,IF(BE$121="2차중도금",$F190*30%-SUM($G190:BD190),IF(BE$121="3차중도금",$F190*40%-SUM($G190:BD190),IF(BE$121="4차중도금",$F190*50%-SUM($G190:BD190),$F190*10%)))))))+(IF(BE$121="5차중도금",$F190*60%-SUM($G190:BD190)-$F190*10%,IF(BE$121="6차중도금",$F190*70%-SUM($G190:BD190)-$F190*10%,0)))</f>
        <v>0</v>
      </c>
      <c r="BF190" s="609">
        <f t="shared" si="57"/>
        <v>0</v>
      </c>
      <c r="BG190" s="556">
        <f t="shared" si="59"/>
        <v>0</v>
      </c>
      <c r="BH190" s="610"/>
    </row>
    <row r="191" spans="1:60" hidden="1">
      <c r="A191" s="1853"/>
      <c r="B191" s="611">
        <f t="shared" si="60"/>
        <v>45261</v>
      </c>
      <c r="C191" s="605">
        <f t="shared" si="61"/>
        <v>0</v>
      </c>
      <c r="D191" s="606"/>
      <c r="E191" s="607">
        <f t="shared" si="62"/>
        <v>0</v>
      </c>
      <c r="F191" s="608">
        <f t="shared" si="58"/>
        <v>0</v>
      </c>
      <c r="G191" s="605"/>
      <c r="H191" s="605"/>
      <c r="I191" s="605"/>
      <c r="J191" s="605"/>
      <c r="K191" s="605"/>
      <c r="L191" s="605"/>
      <c r="M191" s="605"/>
      <c r="N191" s="605"/>
      <c r="O191" s="605"/>
      <c r="P191" s="605"/>
      <c r="Q191" s="605"/>
      <c r="R191" s="605"/>
      <c r="S191" s="605"/>
      <c r="T191" s="605"/>
      <c r="U191" s="605">
        <f>$F191*10%</f>
        <v>0</v>
      </c>
      <c r="V191" s="605">
        <f>IF(V$121="입주/잔금",($F191-SUM($G191:U191))*30%,IF(U$121="입주/잔금",($F191-SUM($G191:T191))*50%,IF(T$121="입주/잔금",($F191-SUM($G191:S191))*20%,IF(V$121=0,0,IF(V$121="2차중도금",$F191*30%-SUM($G191:U191),IF(V$121="3차중도금",$F191*40%-SUM($G191:U191),IF(V$121="4차중도금",$F191*50%-SUM($G191:U191),$F191*10%)))))))+(IF(V$121="5차중도금",$F191*60%-SUM($G191:U191)-$F191*10%,IF(V$121="6차중도금",$F191*70%-SUM($G191:U191)-$F191*10%,0)))</f>
        <v>0</v>
      </c>
      <c r="W191" s="605">
        <f>IF(W$121="입주/잔금",($F191-SUM($G191:V191))*30%,IF(V$121="입주/잔금",($F191-SUM($G191:U191))*50%,IF(U$121="입주/잔금",($F191-SUM($G191:T191))*20%,IF(W$121=0,0,IF(W$121="2차중도금",$F191*30%-SUM($G191:V191),IF(W$121="3차중도금",$F191*40%-SUM($G191:V191),IF(W$121="4차중도금",$F191*50%-SUM($G191:V191),$F191*10%)))))))+(IF(W$121="5차중도금",$F191*60%-SUM($G191:V191)-$F191*10%,IF(W$121="6차중도금",$F191*70%-SUM($G191:V191)-$F191*10%,0)))</f>
        <v>0</v>
      </c>
      <c r="X191" s="605">
        <f>IF(X$121="입주/잔금",($F191-SUM($G191:W191))*30%,IF(W$121="입주/잔금",($F191-SUM($G191:V191))*50%,IF(V$121="입주/잔금",($F191-SUM($G191:U191))*20%,IF(X$121=0,0,IF(X$121="2차중도금",$F191*30%-SUM($G191:W191),IF(X$121="3차중도금",$F191*40%-SUM($G191:W191),IF(X$121="4차중도금",$F191*50%-SUM($G191:W191),$F191*10%)))))))+(IF(X$121="5차중도금",$F191*60%-SUM($G191:W191)-$F191*10%,IF(X$121="6차중도금",$F191*70%-SUM($G191:W191)-$F191*10%,0)))</f>
        <v>0</v>
      </c>
      <c r="Y191" s="605">
        <f>IF(Y$121="입주/잔금",($F191-SUM($G191:X191))*30%,IF(X$121="입주/잔금",($F191-SUM($G191:W191))*50%,IF(W$121="입주/잔금",($F191-SUM($G191:V191))*20%,IF(Y$121=0,0,IF(Y$121="2차중도금",$F191*30%-SUM($G191:X191),IF(Y$121="3차중도금",$F191*40%-SUM($G191:X191),IF(Y$121="4차중도금",$F191*50%-SUM($G191:X191),$F191*10%)))))))+(IF(Y$121="5차중도금",$F191*60%-SUM($G191:X191)-$F191*10%,IF(Y$121="6차중도금",$F191*70%-SUM($G191:X191)-$F191*10%,0)))</f>
        <v>0</v>
      </c>
      <c r="Z191" s="605">
        <f>IF(Z$121="입주/잔금",($F191-SUM($G191:Y191))*30%,IF(Y$121="입주/잔금",($F191-SUM($G191:X191))*50%,IF(X$121="입주/잔금",($F191-SUM($G191:W191))*20%,IF(Z$121=0,0,IF(Z$121="2차중도금",$F191*30%-SUM($G191:Y191),IF(Z$121="3차중도금",$F191*40%-SUM($G191:Y191),IF(Z$121="4차중도금",$F191*50%-SUM($G191:Y191),$F191*10%)))))))+(IF(Z$121="5차중도금",$F191*60%-SUM($G191:Y191)-$F191*10%,IF(Z$121="6차중도금",$F191*70%-SUM($G191:Y191)-$F191*10%,0)))</f>
        <v>0</v>
      </c>
      <c r="AA191" s="605">
        <f>IF(AA$121="입주/잔금",($F191-SUM($G191:Z191))*30%,IF(Z$121="입주/잔금",($F191-SUM($G191:Y191))*50%,IF(Y$121="입주/잔금",($F191-SUM($G191:X191))*20%,IF(AA$121=0,0,IF(AA$121="2차중도금",$F191*30%-SUM($G191:Z191),IF(AA$121="3차중도금",$F191*40%-SUM($G191:Z191),IF(AA$121="4차중도금",$F191*50%-SUM($G191:Z191),$F191*10%)))))))+(IF(AA$121="5차중도금",$F191*60%-SUM($G191:Z191)-$F191*10%,IF(AA$121="6차중도금",$F191*70%-SUM($G191:Z191)-$F191*10%,0)))</f>
        <v>0</v>
      </c>
      <c r="AB191" s="605">
        <f>IF(AB$121="입주/잔금",($F191-SUM($G191:AA191))*30%,IF(AA$121="입주/잔금",($F191-SUM($G191:Z191))*50%,IF(Z$121="입주/잔금",($F191-SUM($G191:Y191))*20%,IF(AB$121=0,0,IF(AB$121="2차중도금",$F191*30%-SUM($G191:AA191),IF(AB$121="3차중도금",$F191*40%-SUM($G191:AA191),IF(AB$121="4차중도금",$F191*50%-SUM($G191:AA191),$F191*10%)))))))+(IF(AB$121="5차중도금",$F191*60%-SUM($G191:AA191)-$F191*10%,IF(AB$121="6차중도금",$F191*70%-SUM($G191:AA191)-$F191*10%,0)))</f>
        <v>0</v>
      </c>
      <c r="AC191" s="605">
        <f>IF(AC$121="입주/잔금",($F191-SUM($G191:AB191))*30%,IF(AB$121="입주/잔금",($F191-SUM($G191:AA191))*50%,IF(AA$121="입주/잔금",($F191-SUM($G191:Z191))*20%,IF(AC$121=0,0,IF(AC$121="2차중도금",$F191*30%-SUM($G191:AB191),IF(AC$121="3차중도금",$F191*40%-SUM($G191:AB191),IF(AC$121="4차중도금",$F191*50%-SUM($G191:AB191),$F191*10%)))))))+(IF(AC$121="5차중도금",$F191*60%-SUM($G191:AB191)-$F191*10%,IF(AC$121="6차중도금",$F191*70%-SUM($G191:AB191)-$F191*10%,0)))</f>
        <v>0</v>
      </c>
      <c r="AD191" s="605">
        <f>IF(AD$121="입주/잔금",($F191-SUM($G191:AC191))*30%,IF(AC$121="입주/잔금",($F191-SUM($G191:AB191))*50%,IF(AB$121="입주/잔금",($F191-SUM($G191:AA191))*20%,IF(AD$121=0,0,IF(AD$121="2차중도금",$F191*30%-SUM($G191:AC191),IF(AD$121="3차중도금",$F191*40%-SUM($G191:AC191),IF(AD$121="4차중도금",$F191*50%-SUM($G191:AC191),$F191*10%)))))))+(IF(AD$121="5차중도금",$F191*60%-SUM($G191:AC191)-$F191*10%,IF(AD$121="6차중도금",$F191*70%-SUM($G191:AC191)-$F191*10%,0)))</f>
        <v>0</v>
      </c>
      <c r="AE191" s="605">
        <f>IF(AE$121="입주/잔금",($F191-SUM($G191:AD191))*30%,IF(AD$121="입주/잔금",($F191-SUM($G191:AC191))*50%,IF(AC$121="입주/잔금",($F191-SUM($G191:AB191))*20%,IF(AE$121=0,0,IF(AE$121="2차중도금",$F191*30%-SUM($G191:AD191),IF(AE$121="3차중도금",$F191*40%-SUM($G191:AD191),IF(AE$121="4차중도금",$F191*50%-SUM($G191:AD191),$F191*10%)))))))+(IF(AE$121="5차중도금",$F191*60%-SUM($G191:AD191)-$F191*10%,IF(AE$121="6차중도금",$F191*70%-SUM($G191:AD191)-$F191*10%,0)))</f>
        <v>0</v>
      </c>
      <c r="AF191" s="605">
        <f>IF(AF$121="입주/잔금",($F191-SUM($G191:AE191))*30%,IF(AE$121="입주/잔금",($F191-SUM($G191:AD191))*50%,IF(AD$121="입주/잔금",($F191-SUM($G191:AC191))*20%,IF(AF$121=0,0,IF(AF$121="2차중도금",$F191*30%-SUM($G191:AE191),IF(AF$121="3차중도금",$F191*40%-SUM($G191:AE191),IF(AF$121="4차중도금",$F191*50%-SUM($G191:AE191),$F191*10%)))))))+(IF(AF$121="5차중도금",$F191*60%-SUM($G191:AE191)-$F191*10%,IF(AF$121="6차중도금",$F191*70%-SUM($G191:AE191)-$F191*10%,0)))</f>
        <v>0</v>
      </c>
      <c r="AG191" s="605">
        <f>IF(AG$121="입주/잔금",($F191-SUM($G191:AF191))*30%,IF(AF$121="입주/잔금",($F191-SUM($G191:AE191))*50%,IF(AE$121="입주/잔금",($F191-SUM($G191:AD191))*20%,IF(AG$121=0,0,IF(AG$121="2차중도금",$F191*30%-SUM($G191:AF191),IF(AG$121="3차중도금",$F191*40%-SUM($G191:AF191),IF(AG$121="4차중도금",$F191*50%-SUM($G191:AF191),$F191*10%)))))))+(IF(AG$121="5차중도금",$F191*60%-SUM($G191:AF191)-$F191*10%,IF(AG$121="6차중도금",$F191*70%-SUM($G191:AF191)-$F191*10%,0)))</f>
        <v>0</v>
      </c>
      <c r="AH191" s="605">
        <f>IF(AH$121="입주/잔금",($F191-SUM($G191:AG191))*30%,IF(AG$121="입주/잔금",($F191-SUM($G191:AF191))*50%,IF(AF$121="입주/잔금",($F191-SUM($G191:AE191))*20%,IF(AH$121=0,0,IF(AH$121="2차중도금",$F191*30%-SUM($G191:AG191),IF(AH$121="3차중도금",$F191*40%-SUM($G191:AG191),IF(AH$121="4차중도금",$F191*50%-SUM($G191:AG191),$F191*10%)))))))+(IF(AH$121="5차중도금",$F191*60%-SUM($G191:AG191)-$F191*10%,IF(AH$121="6차중도금",$F191*70%-SUM($G191:AG191)-$F191*10%,0)))</f>
        <v>0</v>
      </c>
      <c r="AI191" s="605">
        <f>IF(AI$121="입주/잔금",($F191-SUM($G191:AH191))*30%,IF(AH$121="입주/잔금",($F191-SUM($G191:AG191))*50%,IF(AG$121="입주/잔금",($F191-SUM($G191:AF191))*20%,IF(AI$121=0,0,IF(AI$121="2차중도금",$F191*30%-SUM($G191:AH191),IF(AI$121="3차중도금",$F191*40%-SUM($G191:AH191),IF(AI$121="4차중도금",$F191*50%-SUM($G191:AH191),$F191*10%)))))))+(IF(AI$121="5차중도금",$F191*60%-SUM($G191:AH191)-$F191*10%,IF(AI$121="6차중도금",$F191*70%-SUM($G191:AH191)-$F191*10%,0)))</f>
        <v>0</v>
      </c>
      <c r="AJ191" s="605">
        <f>IF(AJ$121="입주/잔금",($F191-SUM($G191:AI191))*30%,IF(AI$121="입주/잔금",($F191-SUM($G191:AH191))*50%,IF(AH$121="입주/잔금",($F191-SUM($G191:AG191))*20%,IF(AJ$121=0,0,IF(AJ$121="2차중도금",$F191*30%-SUM($G191:AI191),IF(AJ$121="3차중도금",$F191*40%-SUM($G191:AI191),IF(AJ$121="4차중도금",$F191*50%-SUM($G191:AI191),$F191*10%)))))))+(IF(AJ$121="5차중도금",$F191*60%-SUM($G191:AI191)-$F191*10%,IF(AJ$121="6차중도금",$F191*70%-SUM($G191:AI191)-$F191*10%,0)))</f>
        <v>0</v>
      </c>
      <c r="AK191" s="605">
        <f>IF(AK$121="입주/잔금",($F191-SUM($G191:AJ191))*30%,IF(AJ$121="입주/잔금",($F191-SUM($G191:AI191))*50%,IF(AI$121="입주/잔금",($F191-SUM($G191:AH191))*20%,IF(AK$121=0,0,IF(AK$121="2차중도금",$F191*30%-SUM($G191:AJ191),IF(AK$121="3차중도금",$F191*40%-SUM($G191:AJ191),IF(AK$121="4차중도금",$F191*50%-SUM($G191:AJ191),$F191*10%)))))))+(IF(AK$121="5차중도금",$F191*60%-SUM($G191:AJ191)-$F191*10%,IF(AK$121="6차중도금",$F191*70%-SUM($G191:AJ191)-$F191*10%,0)))</f>
        <v>0</v>
      </c>
      <c r="AL191" s="605">
        <f>IF(AL$121="입주/잔금",($F191-SUM($G191:AK191))*30%,IF(AK$121="입주/잔금",($F191-SUM($G191:AJ191))*50%,IF(AJ$121="입주/잔금",($F191-SUM($G191:AI191))*20%,IF(AL$121=0,0,IF(AL$121="2차중도금",$F191*30%-SUM($G191:AK191),IF(AL$121="3차중도금",$F191*40%-SUM($G191:AK191),IF(AL$121="4차중도금",$F191*50%-SUM($G191:AK191),$F191*10%)))))))+(IF(AL$121="5차중도금",$F191*60%-SUM($G191:AK191)-$F191*10%,IF(AL$121="6차중도금",$F191*70%-SUM($G191:AK191)-$F191*10%,0)))</f>
        <v>0</v>
      </c>
      <c r="AM191" s="605">
        <f>IF(AM$121="입주/잔금",($F191-SUM($G191:AL191))*30%,IF(AL$121="입주/잔금",($F191-SUM($G191:AK191))*50%,IF(AK$121="입주/잔금",($F191-SUM($G191:AJ191))*20%,IF(AM$121=0,0,IF(AM$121="2차중도금",$F191*30%-SUM($G191:AL191),IF(AM$121="3차중도금",$F191*40%-SUM($G191:AL191),IF(AM$121="4차중도금",$F191*50%-SUM($G191:AL191),$F191*10%)))))))+(IF(AM$121="5차중도금",$F191*60%-SUM($G191:AL191)-$F191*10%,IF(AM$121="6차중도금",$F191*70%-SUM($G191:AL191)-$F191*10%,0)))</f>
        <v>0</v>
      </c>
      <c r="AN191" s="605">
        <f>IF(AN$121="입주/잔금",($F191-SUM($G191:AM191))*30%,IF(AM$121="입주/잔금",($F191-SUM($G191:AL191))*50%,IF(AL$121="입주/잔금",($F191-SUM($G191:AK191))*20%,IF(AN$121=0,0,IF(AN$121="2차중도금",$F191*30%-SUM($G191:AM191),IF(AN$121="3차중도금",$F191*40%-SUM($G191:AM191),IF(AN$121="4차중도금",$F191*50%-SUM($G191:AM191),$F191*10%)))))))+(IF(AN$121="5차중도금",$F191*60%-SUM($G191:AM191)-$F191*10%,IF(AN$121="6차중도금",$F191*70%-SUM($G191:AM191)-$F191*10%,0)))</f>
        <v>0</v>
      </c>
      <c r="AO191" s="605">
        <f>IF(AO$121="입주/잔금",($F191-SUM($G191:AN191))*30%,IF(AN$121="입주/잔금",($F191-SUM($G191:AM191))*50%,IF(AM$121="입주/잔금",($F191-SUM($G191:AL191))*20%,IF(AO$121=0,0,IF(AO$121="2차중도금",$F191*30%-SUM($G191:AN191),IF(AO$121="3차중도금",$F191*40%-SUM($G191:AN191),IF(AO$121="4차중도금",$F191*50%-SUM($G191:AN191),$F191*10%)))))))+(IF(AO$121="5차중도금",$F191*60%-SUM($G191:AN191)-$F191*10%,IF(AO$121="6차중도금",$F191*70%-SUM($G191:AN191)-$F191*10%,0)))</f>
        <v>0</v>
      </c>
      <c r="AP191" s="605">
        <f>IF(AP$121="입주/잔금",($F191-SUM($G191:AO191))*30%,IF(AO$121="입주/잔금",($F191-SUM($G191:AN191))*50%,IF(AN$121="입주/잔금",($F191-SUM($G191:AM191))*20%,IF(AP$121=0,0,IF(AP$121="2차중도금",$F191*30%-SUM($G191:AO191),IF(AP$121="3차중도금",$F191*40%-SUM($G191:AO191),IF(AP$121="4차중도금",$F191*50%-SUM($G191:AO191),$F191*10%)))))))+(IF(AP$121="5차중도금",$F191*60%-SUM($G191:AO191)-$F191*10%,IF(AP$121="6차중도금",$F191*70%-SUM($G191:AO191)-$F191*10%,0)))</f>
        <v>0</v>
      </c>
      <c r="AQ191" s="605">
        <f>IF(AQ$121="입주/잔금",($F191-SUM($G191:AP191))*30%,IF(AP$121="입주/잔금",($F191-SUM($G191:AO191))*50%,IF(AO$121="입주/잔금",($F191-SUM($G191:AN191))*20%,IF(AQ$121=0,0,IF(AQ$121="2차중도금",$F191*30%-SUM($G191:AP191),IF(AQ$121="3차중도금",$F191*40%-SUM($G191:AP191),IF(AQ$121="4차중도금",$F191*50%-SUM($G191:AP191),$F191*10%)))))))+(IF(AQ$121="5차중도금",$F191*60%-SUM($G191:AP191)-$F191*10%,IF(AQ$121="6차중도금",$F191*70%-SUM($G191:AP191)-$F191*10%,0)))</f>
        <v>0</v>
      </c>
      <c r="AR191" s="605">
        <f>IF(AR$121="입주/잔금",($F191-SUM($G191:AQ191))*30%,IF(AQ$121="입주/잔금",($F191-SUM($G191:AP191))*50%,IF(AP$121="입주/잔금",($F191-SUM($G191:AO191))*20%,IF(AR$121=0,0,IF(AR$121="2차중도금",$F191*30%-SUM($G191:AQ191),IF(AR$121="3차중도금",$F191*40%-SUM($G191:AQ191),IF(AR$121="4차중도금",$F191*50%-SUM($G191:AQ191),$F191*10%)))))))+(IF(AR$121="5차중도금",$F191*60%-SUM($G191:AQ191)-$F191*10%,IF(AR$121="6차중도금",$F191*70%-SUM($G191:AQ191)-$F191*10%,0)))</f>
        <v>0</v>
      </c>
      <c r="AS191" s="605">
        <f>IF(AS$121="입주/잔금",($F191-SUM($G191:AR191))*30%,IF(AR$121="입주/잔금",($F191-SUM($G191:AQ191))*50%,IF(AQ$121="입주/잔금",($F191-SUM($G191:AP191))*20%,IF(AS$121=0,0,IF(AS$121="2차중도금",$F191*30%-SUM($G191:AR191),IF(AS$121="3차중도금",$F191*40%-SUM($G191:AR191),IF(AS$121="4차중도금",$F191*50%-SUM($G191:AR191),$F191*10%)))))))+(IF(AS$121="5차중도금",$F191*60%-SUM($G191:AR191)-$F191*10%,IF(AS$121="6차중도금",$F191*70%-SUM($G191:AR191)-$F191*10%,0)))</f>
        <v>0</v>
      </c>
      <c r="AT191" s="605">
        <f>IF(AT$121="입주/잔금",($F191-SUM($G191:AS191))*30%,IF(AS$121="입주/잔금",($F191-SUM($G191:AR191))*50%,IF(AR$121="입주/잔금",($F191-SUM($G191:AQ191))*20%,IF(AT$121=0,0,IF(AT$121="2차중도금",$F191*30%-SUM($G191:AS191),IF(AT$121="3차중도금",$F191*40%-SUM($G191:AS191),IF(AT$121="4차중도금",$F191*50%-SUM($G191:AS191),$F191*10%)))))))+(IF(AT$121="5차중도금",$F191*60%-SUM($G191:AS191)-$F191*10%,IF(AT$121="6차중도금",$F191*70%-SUM($G191:AS191)-$F191*10%,0)))</f>
        <v>0</v>
      </c>
      <c r="AU191" s="605">
        <f>IF(AU$121="입주/잔금",($F191-SUM($G191:AT191))*30%,IF(AT$121="입주/잔금",($F191-SUM($G191:AS191))*50%,IF(AS$121="입주/잔금",($F191-SUM($G191:AR191))*20%,IF(AU$121=0,0,IF(AU$121="2차중도금",$F191*30%-SUM($G191:AT191),IF(AU$121="3차중도금",$F191*40%-SUM($G191:AT191),IF(AU$121="4차중도금",$F191*50%-SUM($G191:AT191),$F191*10%)))))))+(IF(AU$121="5차중도금",$F191*60%-SUM($G191:AT191)-$F191*10%,IF(AU$121="6차중도금",$F191*70%-SUM($G191:AT191)-$F191*10%,0)))</f>
        <v>0</v>
      </c>
      <c r="AV191" s="605">
        <f>IF(AV$121="입주/잔금",($F191-SUM($G191:AU191))*30%,IF(AU$121="입주/잔금",($F191-SUM($G191:AT191))*50%,IF(AT$121="입주/잔금",($F191-SUM($G191:AS191))*20%,IF(AV$121=0,0,IF(AV$121="2차중도금",$F191*30%-SUM($G191:AU191),IF(AV$121="3차중도금",$F191*40%-SUM($G191:AU191),IF(AV$121="4차중도금",$F191*50%-SUM($G191:AU191),$F191*10%)))))))+(IF(AV$121="5차중도금",$F191*60%-SUM($G191:AU191)-$F191*10%,IF(AV$121="6차중도금",$F191*70%-SUM($G191:AU191)-$F191*10%,0)))</f>
        <v>0</v>
      </c>
      <c r="AW191" s="605">
        <f>IF(AW$121="입주/잔금",($F191-SUM($G191:AV191))*30%,IF(AV$121="입주/잔금",($F191-SUM($G191:AU191))*50%,IF(AU$121="입주/잔금",($F191-SUM($G191:AT191))*20%,IF(AW$121=0,0,IF(AW$121="2차중도금",$F191*30%-SUM($G191:AV191),IF(AW$121="3차중도금",$F191*40%-SUM($G191:AV191),IF(AW$121="4차중도금",$F191*50%-SUM($G191:AV191),$F191*10%)))))))+(IF(AW$121="5차중도금",$F191*60%-SUM($G191:AV191)-$F191*10%,IF(AW$121="6차중도금",$F191*70%-SUM($G191:AV191)-$F191*10%,0)))</f>
        <v>0</v>
      </c>
      <c r="AX191" s="605">
        <f>IF(AX$121="입주/잔금",($F191-SUM($G191:AW191))*30%,IF(AW$121="입주/잔금",($F191-SUM($G191:AV191))*50%,IF(AV$121="입주/잔금",($F191-SUM($G191:AU191))*20%,IF(AX$121=0,0,IF(AX$121="2차중도금",$F191*30%-SUM($G191:AW191),IF(AX$121="3차중도금",$F191*40%-SUM($G191:AW191),IF(AX$121="4차중도금",$F191*50%-SUM($G191:AW191),$F191*10%)))))))+(IF(AX$121="5차중도금",$F191*60%-SUM($G191:AW191)-$F191*10%,IF(AX$121="6차중도금",$F191*70%-SUM($G191:AW191)-$F191*10%,0)))</f>
        <v>0</v>
      </c>
      <c r="AY191" s="605">
        <f>IF(AY$121="입주/잔금",($F191-SUM($G191:AX191))*30%,IF(AX$121="입주/잔금",($F191-SUM($G191:AW191))*50%,IF(AW$121="입주/잔금",($F191-SUM($G191:AV191))*20%,IF(AY$121=0,0,IF(AY$121="2차중도금",$F191*30%-SUM($G191:AX191),IF(AY$121="3차중도금",$F191*40%-SUM($G191:AX191),IF(AY$121="4차중도금",$F191*50%-SUM($G191:AX191),$F191*10%)))))))+(IF(AY$121="5차중도금",$F191*60%-SUM($G191:AX191)-$F191*10%,IF(AY$121="6차중도금",$F191*70%-SUM($G191:AX191)-$F191*10%,0)))</f>
        <v>0</v>
      </c>
      <c r="AZ191" s="605">
        <f>IF(AZ$121="입주/잔금",($F191-SUM($G191:AY191))*30%,IF(AY$121="입주/잔금",($F191-SUM($G191:AX191))*50%,IF(AX$121="입주/잔금",($F191-SUM($G191:AW191))*20%,IF(AZ$121=0,0,IF(AZ$121="2차중도금",$F191*30%-SUM($G191:AY191),IF(AZ$121="3차중도금",$F191*40%-SUM($G191:AY191),IF(AZ$121="4차중도금",$F191*50%-SUM($G191:AY191),$F191*10%)))))))+(IF(AZ$121="5차중도금",$F191*60%-SUM($G191:AY191)-$F191*10%,IF(AZ$121="6차중도금",$F191*70%-SUM($G191:AY191)-$F191*10%,0)))</f>
        <v>0</v>
      </c>
      <c r="BA191" s="605">
        <f>IF(BA$121="입주/잔금",($F191-SUM($G191:AZ191))*30%,IF(AZ$121="입주/잔금",($F191-SUM($G191:AY191))*50%,IF(AY$121="입주/잔금",($F191-SUM($G191:AX191))*20%,IF(BA$121=0,0,IF(BA$121="2차중도금",$F191*30%-SUM($G191:AZ191),IF(BA$121="3차중도금",$F191*40%-SUM($G191:AZ191),IF(BA$121="4차중도금",$F191*50%-SUM($G191:AZ191),$F191*10%)))))))+(IF(BA$121="5차중도금",$F191*60%-SUM($G191:AZ191)-$F191*10%,IF(BA$121="6차중도금",$F191*70%-SUM($G191:AZ191)-$F191*10%,0)))</f>
        <v>0</v>
      </c>
      <c r="BB191" s="605">
        <f>IF(BB$121="입주/잔금",($F191-SUM($G191:BA191))*30%,IF(BA$121="입주/잔금",($F191-SUM($G191:AZ191))*50%,IF(AZ$121="입주/잔금",($F191-SUM($G191:AY191))*20%,IF(BB$121=0,0,IF(BB$121="2차중도금",$F191*30%-SUM($G191:BA191),IF(BB$121="3차중도금",$F191*40%-SUM($G191:BA191),IF(BB$121="4차중도금",$F191*50%-SUM($G191:BA191),$F191*10%)))))))+(IF(BB$121="5차중도금",$F191*60%-SUM($G191:BA191)-$F191*10%,IF(BB$121="6차중도금",$F191*70%-SUM($G191:BA191)-$F191*10%,0)))</f>
        <v>0</v>
      </c>
      <c r="BC191" s="605">
        <f>IF(BC$121="입주/잔금",($F191-SUM($G191:BB191))*30%,IF(BB$121="입주/잔금",($F191-SUM($G191:BA191))*50%,IF(BA$121="입주/잔금",($F191-SUM($G191:AZ191))*20%,IF(BC$121=0,0,IF(BC$121="2차중도금",$F191*30%-SUM($G191:BB191),IF(BC$121="3차중도금",$F191*40%-SUM($G191:BB191),IF(BC$121="4차중도금",$F191*50%-SUM($G191:BB191),$F191*10%)))))))+(IF(BC$121="5차중도금",$F191*60%-SUM($G191:BB191)-$F191*10%,IF(BC$121="6차중도금",$F191*70%-SUM($G191:BB191)-$F191*10%,0)))</f>
        <v>0</v>
      </c>
      <c r="BD191" s="605">
        <f>IF(BD$121="입주/잔금",($F191-SUM($G191:BC191))*30%,IF(BC$121="입주/잔금",($F191-SUM($G191:BB191))*50%,IF(BB$121="입주/잔금",($F191-SUM($G191:BA191))*20%,IF(BD$121=0,0,IF(BD$121="2차중도금",$F191*30%-SUM($G191:BC191),IF(BD$121="3차중도금",$F191*40%-SUM($G191:BC191),IF(BD$121="4차중도금",$F191*50%-SUM($G191:BC191),$F191*10%)))))))+(IF(BD$121="5차중도금",$F191*60%-SUM($G191:BC191)-$F191*10%,IF(BD$121="6차중도금",$F191*70%-SUM($G191:BC191)-$F191*10%,0)))</f>
        <v>0</v>
      </c>
      <c r="BE191" s="605">
        <f>IF(BE$121="입주/잔금",($F191-SUM($G191:BD191))*30%,IF(BD$121="입주/잔금",($F191-SUM($G191:BC191))*50%,IF(BC$121="입주/잔금",($F191-SUM($G191:BB191))*20%,IF(BE$121=0,0,IF(BE$121="2차중도금",$F191*30%-SUM($G191:BD191),IF(BE$121="3차중도금",$F191*40%-SUM($G191:BD191),IF(BE$121="4차중도금",$F191*50%-SUM($G191:BD191),$F191*10%)))))))+(IF(BE$121="5차중도금",$F191*60%-SUM($G191:BD191)-$F191*10%,IF(BE$121="6차중도금",$F191*70%-SUM($G191:BD191)-$F191*10%,0)))</f>
        <v>0</v>
      </c>
      <c r="BF191" s="609">
        <f t="shared" si="57"/>
        <v>0</v>
      </c>
      <c r="BG191" s="556">
        <f t="shared" si="59"/>
        <v>0</v>
      </c>
      <c r="BH191" s="610"/>
    </row>
    <row r="192" spans="1:60" hidden="1">
      <c r="A192" s="1853"/>
      <c r="B192" s="611">
        <f t="shared" si="60"/>
        <v>45292</v>
      </c>
      <c r="C192" s="605">
        <f t="shared" si="61"/>
        <v>0</v>
      </c>
      <c r="D192" s="606"/>
      <c r="E192" s="607">
        <f t="shared" si="62"/>
        <v>0</v>
      </c>
      <c r="F192" s="608">
        <f t="shared" si="58"/>
        <v>0</v>
      </c>
      <c r="G192" s="605"/>
      <c r="H192" s="605"/>
      <c r="I192" s="605"/>
      <c r="J192" s="605"/>
      <c r="K192" s="605"/>
      <c r="L192" s="605"/>
      <c r="M192" s="605"/>
      <c r="N192" s="605"/>
      <c r="O192" s="605"/>
      <c r="P192" s="605"/>
      <c r="Q192" s="605"/>
      <c r="R192" s="605"/>
      <c r="S192" s="605"/>
      <c r="T192" s="605"/>
      <c r="U192" s="605"/>
      <c r="V192" s="605">
        <f>$F192*10%</f>
        <v>0</v>
      </c>
      <c r="W192" s="605">
        <f>IF(W$121="입주/잔금",($F192-SUM($G192:V192))*30%,IF(V$121="입주/잔금",($F192-SUM($G192:U192))*50%,IF(U$121="입주/잔금",($F192-SUM($G192:T192))*20%,IF(W$121=0,0,IF(W$121="2차중도금",$F192*30%-SUM($G192:V192),IF(W$121="3차중도금",$F192*40%-SUM($G192:V192),IF(W$121="4차중도금",$F192*50%-SUM($G192:V192),$F192*10%)))))))+(IF(W$121="5차중도금",$F192*60%-SUM($G192:V192)-$F192*10%,IF(W$121="6차중도금",$F192*70%-SUM($G192:V192)-$F192*10%,0)))</f>
        <v>0</v>
      </c>
      <c r="X192" s="605">
        <f>IF(X$121="입주/잔금",($F192-SUM($G192:W192))*30%,IF(W$121="입주/잔금",($F192-SUM($G192:V192))*50%,IF(V$121="입주/잔금",($F192-SUM($G192:U192))*20%,IF(X$121=0,0,IF(X$121="2차중도금",$F192*30%-SUM($G192:W192),IF(X$121="3차중도금",$F192*40%-SUM($G192:W192),IF(X$121="4차중도금",$F192*50%-SUM($G192:W192),$F192*10%)))))))+(IF(X$121="5차중도금",$F192*60%-SUM($G192:W192)-$F192*10%,IF(X$121="6차중도금",$F192*70%-SUM($G192:W192)-$F192*10%,0)))</f>
        <v>0</v>
      </c>
      <c r="Y192" s="605">
        <f>IF(Y$121="입주/잔금",($F192-SUM($G192:X192))*30%,IF(X$121="입주/잔금",($F192-SUM($G192:W192))*50%,IF(W$121="입주/잔금",($F192-SUM($G192:V192))*20%,IF(Y$121=0,0,IF(Y$121="2차중도금",$F192*30%-SUM($G192:X192),IF(Y$121="3차중도금",$F192*40%-SUM($G192:X192),IF(Y$121="4차중도금",$F192*50%-SUM($G192:X192),$F192*10%)))))))+(IF(Y$121="5차중도금",$F192*60%-SUM($G192:X192)-$F192*10%,IF(Y$121="6차중도금",$F192*70%-SUM($G192:X192)-$F192*10%,0)))</f>
        <v>0</v>
      </c>
      <c r="Z192" s="605">
        <f>IF(Z$121="입주/잔금",($F192-SUM($G192:Y192))*30%,IF(Y$121="입주/잔금",($F192-SUM($G192:X192))*50%,IF(X$121="입주/잔금",($F192-SUM($G192:W192))*20%,IF(Z$121=0,0,IF(Z$121="2차중도금",$F192*30%-SUM($G192:Y192),IF(Z$121="3차중도금",$F192*40%-SUM($G192:Y192),IF(Z$121="4차중도금",$F192*50%-SUM($G192:Y192),$F192*10%)))))))+(IF(Z$121="5차중도금",$F192*60%-SUM($G192:Y192)-$F192*10%,IF(Z$121="6차중도금",$F192*70%-SUM($G192:Y192)-$F192*10%,0)))</f>
        <v>0</v>
      </c>
      <c r="AA192" s="605">
        <f>IF(AA$121="입주/잔금",($F192-SUM($G192:Z192))*30%,IF(Z$121="입주/잔금",($F192-SUM($G192:Y192))*50%,IF(Y$121="입주/잔금",($F192-SUM($G192:X192))*20%,IF(AA$121=0,0,IF(AA$121="2차중도금",$F192*30%-SUM($G192:Z192),IF(AA$121="3차중도금",$F192*40%-SUM($G192:Z192),IF(AA$121="4차중도금",$F192*50%-SUM($G192:Z192),$F192*10%)))))))+(IF(AA$121="5차중도금",$F192*60%-SUM($G192:Z192)-$F192*10%,IF(AA$121="6차중도금",$F192*70%-SUM($G192:Z192)-$F192*10%,0)))</f>
        <v>0</v>
      </c>
      <c r="AB192" s="605">
        <f>IF(AB$121="입주/잔금",($F192-SUM($G192:AA192))*30%,IF(AA$121="입주/잔금",($F192-SUM($G192:Z192))*50%,IF(Z$121="입주/잔금",($F192-SUM($G192:Y192))*20%,IF(AB$121=0,0,IF(AB$121="2차중도금",$F192*30%-SUM($G192:AA192),IF(AB$121="3차중도금",$F192*40%-SUM($G192:AA192),IF(AB$121="4차중도금",$F192*50%-SUM($G192:AA192),$F192*10%)))))))+(IF(AB$121="5차중도금",$F192*60%-SUM($G192:AA192)-$F192*10%,IF(AB$121="6차중도금",$F192*70%-SUM($G192:AA192)-$F192*10%,0)))</f>
        <v>0</v>
      </c>
      <c r="AC192" s="605">
        <f>IF(AC$121="입주/잔금",($F192-SUM($G192:AB192))*30%,IF(AB$121="입주/잔금",($F192-SUM($G192:AA192))*50%,IF(AA$121="입주/잔금",($F192-SUM($G192:Z192))*20%,IF(AC$121=0,0,IF(AC$121="2차중도금",$F192*30%-SUM($G192:AB192),IF(AC$121="3차중도금",$F192*40%-SUM($G192:AB192),IF(AC$121="4차중도금",$F192*50%-SUM($G192:AB192),$F192*10%)))))))+(IF(AC$121="5차중도금",$F192*60%-SUM($G192:AB192)-$F192*10%,IF(AC$121="6차중도금",$F192*70%-SUM($G192:AB192)-$F192*10%,0)))</f>
        <v>0</v>
      </c>
      <c r="AD192" s="605">
        <f>IF(AD$121="입주/잔금",($F192-SUM($G192:AC192))*30%,IF(AC$121="입주/잔금",($F192-SUM($G192:AB192))*50%,IF(AB$121="입주/잔금",($F192-SUM($G192:AA192))*20%,IF(AD$121=0,0,IF(AD$121="2차중도금",$F192*30%-SUM($G192:AC192),IF(AD$121="3차중도금",$F192*40%-SUM($G192:AC192),IF(AD$121="4차중도금",$F192*50%-SUM($G192:AC192),$F192*10%)))))))+(IF(AD$121="5차중도금",$F192*60%-SUM($G192:AC192)-$F192*10%,IF(AD$121="6차중도금",$F192*70%-SUM($G192:AC192)-$F192*10%,0)))</f>
        <v>0</v>
      </c>
      <c r="AE192" s="605">
        <f>IF(AE$121="입주/잔금",($F192-SUM($G192:AD192))*30%,IF(AD$121="입주/잔금",($F192-SUM($G192:AC192))*50%,IF(AC$121="입주/잔금",($F192-SUM($G192:AB192))*20%,IF(AE$121=0,0,IF(AE$121="2차중도금",$F192*30%-SUM($G192:AD192),IF(AE$121="3차중도금",$F192*40%-SUM($G192:AD192),IF(AE$121="4차중도금",$F192*50%-SUM($G192:AD192),$F192*10%)))))))+(IF(AE$121="5차중도금",$F192*60%-SUM($G192:AD192)-$F192*10%,IF(AE$121="6차중도금",$F192*70%-SUM($G192:AD192)-$F192*10%,0)))</f>
        <v>0</v>
      </c>
      <c r="AF192" s="605">
        <f>IF(AF$121="입주/잔금",($F192-SUM($G192:AE192))*30%,IF(AE$121="입주/잔금",($F192-SUM($G192:AD192))*50%,IF(AD$121="입주/잔금",($F192-SUM($G192:AC192))*20%,IF(AF$121=0,0,IF(AF$121="2차중도금",$F192*30%-SUM($G192:AE192),IF(AF$121="3차중도금",$F192*40%-SUM($G192:AE192),IF(AF$121="4차중도금",$F192*50%-SUM($G192:AE192),$F192*10%)))))))+(IF(AF$121="5차중도금",$F192*60%-SUM($G192:AE192)-$F192*10%,IF(AF$121="6차중도금",$F192*70%-SUM($G192:AE192)-$F192*10%,0)))</f>
        <v>0</v>
      </c>
      <c r="AG192" s="605">
        <f>IF(AG$121="입주/잔금",($F192-SUM($G192:AF192))*30%,IF(AF$121="입주/잔금",($F192-SUM($G192:AE192))*50%,IF(AE$121="입주/잔금",($F192-SUM($G192:AD192))*20%,IF(AG$121=0,0,IF(AG$121="2차중도금",$F192*30%-SUM($G192:AF192),IF(AG$121="3차중도금",$F192*40%-SUM($G192:AF192),IF(AG$121="4차중도금",$F192*50%-SUM($G192:AF192),$F192*10%)))))))+(IF(AG$121="5차중도금",$F192*60%-SUM($G192:AF192)-$F192*10%,IF(AG$121="6차중도금",$F192*70%-SUM($G192:AF192)-$F192*10%,0)))</f>
        <v>0</v>
      </c>
      <c r="AH192" s="605">
        <f>IF(AH$121="입주/잔금",($F192-SUM($G192:AG192))*30%,IF(AG$121="입주/잔금",($F192-SUM($G192:AF192))*50%,IF(AF$121="입주/잔금",($F192-SUM($G192:AE192))*20%,IF(AH$121=0,0,IF(AH$121="2차중도금",$F192*30%-SUM($G192:AG192),IF(AH$121="3차중도금",$F192*40%-SUM($G192:AG192),IF(AH$121="4차중도금",$F192*50%-SUM($G192:AG192),$F192*10%)))))))+(IF(AH$121="5차중도금",$F192*60%-SUM($G192:AG192)-$F192*10%,IF(AH$121="6차중도금",$F192*70%-SUM($G192:AG192)-$F192*10%,0)))</f>
        <v>0</v>
      </c>
      <c r="AI192" s="605">
        <f>IF(AI$121="입주/잔금",($F192-SUM($G192:AH192))*30%,IF(AH$121="입주/잔금",($F192-SUM($G192:AG192))*50%,IF(AG$121="입주/잔금",($F192-SUM($G192:AF192))*20%,IF(AI$121=0,0,IF(AI$121="2차중도금",$F192*30%-SUM($G192:AH192),IF(AI$121="3차중도금",$F192*40%-SUM($G192:AH192),IF(AI$121="4차중도금",$F192*50%-SUM($G192:AH192),$F192*10%)))))))+(IF(AI$121="5차중도금",$F192*60%-SUM($G192:AH192)-$F192*10%,IF(AI$121="6차중도금",$F192*70%-SUM($G192:AH192)-$F192*10%,0)))</f>
        <v>0</v>
      </c>
      <c r="AJ192" s="605">
        <f>IF(AJ$121="입주/잔금",($F192-SUM($G192:AI192))*30%,IF(AI$121="입주/잔금",($F192-SUM($G192:AH192))*50%,IF(AH$121="입주/잔금",($F192-SUM($G192:AG192))*20%,IF(AJ$121=0,0,IF(AJ$121="2차중도금",$F192*30%-SUM($G192:AI192),IF(AJ$121="3차중도금",$F192*40%-SUM($G192:AI192),IF(AJ$121="4차중도금",$F192*50%-SUM($G192:AI192),$F192*10%)))))))+(IF(AJ$121="5차중도금",$F192*60%-SUM($G192:AI192)-$F192*10%,IF(AJ$121="6차중도금",$F192*70%-SUM($G192:AI192)-$F192*10%,0)))</f>
        <v>0</v>
      </c>
      <c r="AK192" s="605">
        <f>IF(AK$121="입주/잔금",($F192-SUM($G192:AJ192))*30%,IF(AJ$121="입주/잔금",($F192-SUM($G192:AI192))*50%,IF(AI$121="입주/잔금",($F192-SUM($G192:AH192))*20%,IF(AK$121=0,0,IF(AK$121="2차중도금",$F192*30%-SUM($G192:AJ192),IF(AK$121="3차중도금",$F192*40%-SUM($G192:AJ192),IF(AK$121="4차중도금",$F192*50%-SUM($G192:AJ192),$F192*10%)))))))+(IF(AK$121="5차중도금",$F192*60%-SUM($G192:AJ192)-$F192*10%,IF(AK$121="6차중도금",$F192*70%-SUM($G192:AJ192)-$F192*10%,0)))</f>
        <v>0</v>
      </c>
      <c r="AL192" s="605">
        <f>IF(AL$121="입주/잔금",($F192-SUM($G192:AK192))*30%,IF(AK$121="입주/잔금",($F192-SUM($G192:AJ192))*50%,IF(AJ$121="입주/잔금",($F192-SUM($G192:AI192))*20%,IF(AL$121=0,0,IF(AL$121="2차중도금",$F192*30%-SUM($G192:AK192),IF(AL$121="3차중도금",$F192*40%-SUM($G192:AK192),IF(AL$121="4차중도금",$F192*50%-SUM($G192:AK192),$F192*10%)))))))+(IF(AL$121="5차중도금",$F192*60%-SUM($G192:AK192)-$F192*10%,IF(AL$121="6차중도금",$F192*70%-SUM($G192:AK192)-$F192*10%,0)))</f>
        <v>0</v>
      </c>
      <c r="AM192" s="605">
        <f>IF(AM$121="입주/잔금",($F192-SUM($G192:AL192))*30%,IF(AL$121="입주/잔금",($F192-SUM($G192:AK192))*50%,IF(AK$121="입주/잔금",($F192-SUM($G192:AJ192))*20%,IF(AM$121=0,0,IF(AM$121="2차중도금",$F192*30%-SUM($G192:AL192),IF(AM$121="3차중도금",$F192*40%-SUM($G192:AL192),IF(AM$121="4차중도금",$F192*50%-SUM($G192:AL192),$F192*10%)))))))+(IF(AM$121="5차중도금",$F192*60%-SUM($G192:AL192)-$F192*10%,IF(AM$121="6차중도금",$F192*70%-SUM($G192:AL192)-$F192*10%,0)))</f>
        <v>0</v>
      </c>
      <c r="AN192" s="605">
        <f>IF(AN$121="입주/잔금",($F192-SUM($G192:AM192))*30%,IF(AM$121="입주/잔금",($F192-SUM($G192:AL192))*50%,IF(AL$121="입주/잔금",($F192-SUM($G192:AK192))*20%,IF(AN$121=0,0,IF(AN$121="2차중도금",$F192*30%-SUM($G192:AM192),IF(AN$121="3차중도금",$F192*40%-SUM($G192:AM192),IF(AN$121="4차중도금",$F192*50%-SUM($G192:AM192),$F192*10%)))))))+(IF(AN$121="5차중도금",$F192*60%-SUM($G192:AM192)-$F192*10%,IF(AN$121="6차중도금",$F192*70%-SUM($G192:AM192)-$F192*10%,0)))</f>
        <v>0</v>
      </c>
      <c r="AO192" s="605">
        <f>IF(AO$121="입주/잔금",($F192-SUM($G192:AN192))*30%,IF(AN$121="입주/잔금",($F192-SUM($G192:AM192))*50%,IF(AM$121="입주/잔금",($F192-SUM($G192:AL192))*20%,IF(AO$121=0,0,IF(AO$121="2차중도금",$F192*30%-SUM($G192:AN192),IF(AO$121="3차중도금",$F192*40%-SUM($G192:AN192),IF(AO$121="4차중도금",$F192*50%-SUM($G192:AN192),$F192*10%)))))))+(IF(AO$121="5차중도금",$F192*60%-SUM($G192:AN192)-$F192*10%,IF(AO$121="6차중도금",$F192*70%-SUM($G192:AN192)-$F192*10%,0)))</f>
        <v>0</v>
      </c>
      <c r="AP192" s="605">
        <f>IF(AP$121="입주/잔금",($F192-SUM($G192:AO192))*30%,IF(AO$121="입주/잔금",($F192-SUM($G192:AN192))*50%,IF(AN$121="입주/잔금",($F192-SUM($G192:AM192))*20%,IF(AP$121=0,0,IF(AP$121="2차중도금",$F192*30%-SUM($G192:AO192),IF(AP$121="3차중도금",$F192*40%-SUM($G192:AO192),IF(AP$121="4차중도금",$F192*50%-SUM($G192:AO192),$F192*10%)))))))+(IF(AP$121="5차중도금",$F192*60%-SUM($G192:AO192)-$F192*10%,IF(AP$121="6차중도금",$F192*70%-SUM($G192:AO192)-$F192*10%,0)))</f>
        <v>0</v>
      </c>
      <c r="AQ192" s="605">
        <f>IF(AQ$121="입주/잔금",($F192-SUM($G192:AP192))*30%,IF(AP$121="입주/잔금",($F192-SUM($G192:AO192))*50%,IF(AO$121="입주/잔금",($F192-SUM($G192:AN192))*20%,IF(AQ$121=0,0,IF(AQ$121="2차중도금",$F192*30%-SUM($G192:AP192),IF(AQ$121="3차중도금",$F192*40%-SUM($G192:AP192),IF(AQ$121="4차중도금",$F192*50%-SUM($G192:AP192),$F192*10%)))))))+(IF(AQ$121="5차중도금",$F192*60%-SUM($G192:AP192)-$F192*10%,IF(AQ$121="6차중도금",$F192*70%-SUM($G192:AP192)-$F192*10%,0)))</f>
        <v>0</v>
      </c>
      <c r="AR192" s="605">
        <f>IF(AR$121="입주/잔금",($F192-SUM($G192:AQ192))*30%,IF(AQ$121="입주/잔금",($F192-SUM($G192:AP192))*50%,IF(AP$121="입주/잔금",($F192-SUM($G192:AO192))*20%,IF(AR$121=0,0,IF(AR$121="2차중도금",$F192*30%-SUM($G192:AQ192),IF(AR$121="3차중도금",$F192*40%-SUM($G192:AQ192),IF(AR$121="4차중도금",$F192*50%-SUM($G192:AQ192),$F192*10%)))))))+(IF(AR$121="5차중도금",$F192*60%-SUM($G192:AQ192)-$F192*10%,IF(AR$121="6차중도금",$F192*70%-SUM($G192:AQ192)-$F192*10%,0)))</f>
        <v>0</v>
      </c>
      <c r="AS192" s="605">
        <f>IF(AS$121="입주/잔금",($F192-SUM($G192:AR192))*30%,IF(AR$121="입주/잔금",($F192-SUM($G192:AQ192))*50%,IF(AQ$121="입주/잔금",($F192-SUM($G192:AP192))*20%,IF(AS$121=0,0,IF(AS$121="2차중도금",$F192*30%-SUM($G192:AR192),IF(AS$121="3차중도금",$F192*40%-SUM($G192:AR192),IF(AS$121="4차중도금",$F192*50%-SUM($G192:AR192),$F192*10%)))))))+(IF(AS$121="5차중도금",$F192*60%-SUM($G192:AR192)-$F192*10%,IF(AS$121="6차중도금",$F192*70%-SUM($G192:AR192)-$F192*10%,0)))</f>
        <v>0</v>
      </c>
      <c r="AT192" s="605">
        <f>IF(AT$121="입주/잔금",($F192-SUM($G192:AS192))*30%,IF(AS$121="입주/잔금",($F192-SUM($G192:AR192))*50%,IF(AR$121="입주/잔금",($F192-SUM($G192:AQ192))*20%,IF(AT$121=0,0,IF(AT$121="2차중도금",$F192*30%-SUM($G192:AS192),IF(AT$121="3차중도금",$F192*40%-SUM($G192:AS192),IF(AT$121="4차중도금",$F192*50%-SUM($G192:AS192),$F192*10%)))))))+(IF(AT$121="5차중도금",$F192*60%-SUM($G192:AS192)-$F192*10%,IF(AT$121="6차중도금",$F192*70%-SUM($G192:AS192)-$F192*10%,0)))</f>
        <v>0</v>
      </c>
      <c r="AU192" s="605">
        <f>IF(AU$121="입주/잔금",($F192-SUM($G192:AT192))*30%,IF(AT$121="입주/잔금",($F192-SUM($G192:AS192))*50%,IF(AS$121="입주/잔금",($F192-SUM($G192:AR192))*20%,IF(AU$121=0,0,IF(AU$121="2차중도금",$F192*30%-SUM($G192:AT192),IF(AU$121="3차중도금",$F192*40%-SUM($G192:AT192),IF(AU$121="4차중도금",$F192*50%-SUM($G192:AT192),$F192*10%)))))))+(IF(AU$121="5차중도금",$F192*60%-SUM($G192:AT192)-$F192*10%,IF(AU$121="6차중도금",$F192*70%-SUM($G192:AT192)-$F192*10%,0)))</f>
        <v>0</v>
      </c>
      <c r="AV192" s="605">
        <f>IF(AV$121="입주/잔금",($F192-SUM($G192:AU192))*30%,IF(AU$121="입주/잔금",($F192-SUM($G192:AT192))*50%,IF(AT$121="입주/잔금",($F192-SUM($G192:AS192))*20%,IF(AV$121=0,0,IF(AV$121="2차중도금",$F192*30%-SUM($G192:AU192),IF(AV$121="3차중도금",$F192*40%-SUM($G192:AU192),IF(AV$121="4차중도금",$F192*50%-SUM($G192:AU192),$F192*10%)))))))+(IF(AV$121="5차중도금",$F192*60%-SUM($G192:AU192)-$F192*10%,IF(AV$121="6차중도금",$F192*70%-SUM($G192:AU192)-$F192*10%,0)))</f>
        <v>0</v>
      </c>
      <c r="AW192" s="605">
        <f>IF(AW$121="입주/잔금",($F192-SUM($G192:AV192))*30%,IF(AV$121="입주/잔금",($F192-SUM($G192:AU192))*50%,IF(AU$121="입주/잔금",($F192-SUM($G192:AT192))*20%,IF(AW$121=0,0,IF(AW$121="2차중도금",$F192*30%-SUM($G192:AV192),IF(AW$121="3차중도금",$F192*40%-SUM($G192:AV192),IF(AW$121="4차중도금",$F192*50%-SUM($G192:AV192),$F192*10%)))))))+(IF(AW$121="5차중도금",$F192*60%-SUM($G192:AV192)-$F192*10%,IF(AW$121="6차중도금",$F192*70%-SUM($G192:AV192)-$F192*10%,0)))</f>
        <v>0</v>
      </c>
      <c r="AX192" s="605">
        <f>IF(AX$121="입주/잔금",($F192-SUM($G192:AW192))*30%,IF(AW$121="입주/잔금",($F192-SUM($G192:AV192))*50%,IF(AV$121="입주/잔금",($F192-SUM($G192:AU192))*20%,IF(AX$121=0,0,IF(AX$121="2차중도금",$F192*30%-SUM($G192:AW192),IF(AX$121="3차중도금",$F192*40%-SUM($G192:AW192),IF(AX$121="4차중도금",$F192*50%-SUM($G192:AW192),$F192*10%)))))))+(IF(AX$121="5차중도금",$F192*60%-SUM($G192:AW192)-$F192*10%,IF(AX$121="6차중도금",$F192*70%-SUM($G192:AW192)-$F192*10%,0)))</f>
        <v>0</v>
      </c>
      <c r="AY192" s="605">
        <f>IF(AY$121="입주/잔금",($F192-SUM($G192:AX192))*30%,IF(AX$121="입주/잔금",($F192-SUM($G192:AW192))*50%,IF(AW$121="입주/잔금",($F192-SUM($G192:AV192))*20%,IF(AY$121=0,0,IF(AY$121="2차중도금",$F192*30%-SUM($G192:AX192),IF(AY$121="3차중도금",$F192*40%-SUM($G192:AX192),IF(AY$121="4차중도금",$F192*50%-SUM($G192:AX192),$F192*10%)))))))+(IF(AY$121="5차중도금",$F192*60%-SUM($G192:AX192)-$F192*10%,IF(AY$121="6차중도금",$F192*70%-SUM($G192:AX192)-$F192*10%,0)))</f>
        <v>0</v>
      </c>
      <c r="AZ192" s="605">
        <f>IF(AZ$121="입주/잔금",($F192-SUM($G192:AY192))*30%,IF(AY$121="입주/잔금",($F192-SUM($G192:AX192))*50%,IF(AX$121="입주/잔금",($F192-SUM($G192:AW192))*20%,IF(AZ$121=0,0,IF(AZ$121="2차중도금",$F192*30%-SUM($G192:AY192),IF(AZ$121="3차중도금",$F192*40%-SUM($G192:AY192),IF(AZ$121="4차중도금",$F192*50%-SUM($G192:AY192),$F192*10%)))))))+(IF(AZ$121="5차중도금",$F192*60%-SUM($G192:AY192)-$F192*10%,IF(AZ$121="6차중도금",$F192*70%-SUM($G192:AY192)-$F192*10%,0)))</f>
        <v>0</v>
      </c>
      <c r="BA192" s="605">
        <f>IF(BA$121="입주/잔금",($F192-SUM($G192:AZ192))*30%,IF(AZ$121="입주/잔금",($F192-SUM($G192:AY192))*50%,IF(AY$121="입주/잔금",($F192-SUM($G192:AX192))*20%,IF(BA$121=0,0,IF(BA$121="2차중도금",$F192*30%-SUM($G192:AZ192),IF(BA$121="3차중도금",$F192*40%-SUM($G192:AZ192),IF(BA$121="4차중도금",$F192*50%-SUM($G192:AZ192),$F192*10%)))))))+(IF(BA$121="5차중도금",$F192*60%-SUM($G192:AZ192)-$F192*10%,IF(BA$121="6차중도금",$F192*70%-SUM($G192:AZ192)-$F192*10%,0)))</f>
        <v>0</v>
      </c>
      <c r="BB192" s="605">
        <f>IF(BB$121="입주/잔금",($F192-SUM($G192:BA192))*30%,IF(BA$121="입주/잔금",($F192-SUM($G192:AZ192))*50%,IF(AZ$121="입주/잔금",($F192-SUM($G192:AY192))*20%,IF(BB$121=0,0,IF(BB$121="2차중도금",$F192*30%-SUM($G192:BA192),IF(BB$121="3차중도금",$F192*40%-SUM($G192:BA192),IF(BB$121="4차중도금",$F192*50%-SUM($G192:BA192),$F192*10%)))))))+(IF(BB$121="5차중도금",$F192*60%-SUM($G192:BA192)-$F192*10%,IF(BB$121="6차중도금",$F192*70%-SUM($G192:BA192)-$F192*10%,0)))</f>
        <v>0</v>
      </c>
      <c r="BC192" s="605">
        <f>IF(BC$121="입주/잔금",($F192-SUM($G192:BB192))*30%,IF(BB$121="입주/잔금",($F192-SUM($G192:BA192))*50%,IF(BA$121="입주/잔금",($F192-SUM($G192:AZ192))*20%,IF(BC$121=0,0,IF(BC$121="2차중도금",$F192*30%-SUM($G192:BB192),IF(BC$121="3차중도금",$F192*40%-SUM($G192:BB192),IF(BC$121="4차중도금",$F192*50%-SUM($G192:BB192),$F192*10%)))))))+(IF(BC$121="5차중도금",$F192*60%-SUM($G192:BB192)-$F192*10%,IF(BC$121="6차중도금",$F192*70%-SUM($G192:BB192)-$F192*10%,0)))</f>
        <v>0</v>
      </c>
      <c r="BD192" s="605">
        <f>IF(BD$121="입주/잔금",($F192-SUM($G192:BC192))*30%,IF(BC$121="입주/잔금",($F192-SUM($G192:BB192))*50%,IF(BB$121="입주/잔금",($F192-SUM($G192:BA192))*20%,IF(BD$121=0,0,IF(BD$121="2차중도금",$F192*30%-SUM($G192:BC192),IF(BD$121="3차중도금",$F192*40%-SUM($G192:BC192),IF(BD$121="4차중도금",$F192*50%-SUM($G192:BC192),$F192*10%)))))))+(IF(BD$121="5차중도금",$F192*60%-SUM($G192:BC192)-$F192*10%,IF(BD$121="6차중도금",$F192*70%-SUM($G192:BC192)-$F192*10%,0)))</f>
        <v>0</v>
      </c>
      <c r="BE192" s="605">
        <f>IF(BE$121="입주/잔금",($F192-SUM($G192:BD192))*30%,IF(BD$121="입주/잔금",($F192-SUM($G192:BC192))*50%,IF(BC$121="입주/잔금",($F192-SUM($G192:BB192))*20%,IF(BE$121=0,0,IF(BE$121="2차중도금",$F192*30%-SUM($G192:BD192),IF(BE$121="3차중도금",$F192*40%-SUM($G192:BD192),IF(BE$121="4차중도금",$F192*50%-SUM($G192:BD192),$F192*10%)))))))+(IF(BE$121="5차중도금",$F192*60%-SUM($G192:BD192)-$F192*10%,IF(BE$121="6차중도금",$F192*70%-SUM($G192:BD192)-$F192*10%,0)))</f>
        <v>0</v>
      </c>
      <c r="BF192" s="609">
        <f t="shared" si="57"/>
        <v>0</v>
      </c>
      <c r="BG192" s="556">
        <f t="shared" si="59"/>
        <v>0</v>
      </c>
      <c r="BH192" s="610"/>
    </row>
    <row r="193" spans="1:60" hidden="1">
      <c r="A193" s="1853"/>
      <c r="B193" s="613">
        <f t="shared" si="60"/>
        <v>45323</v>
      </c>
      <c r="C193" s="605">
        <f t="shared" si="61"/>
        <v>0</v>
      </c>
      <c r="D193" s="606"/>
      <c r="E193" s="607">
        <f t="shared" si="62"/>
        <v>0</v>
      </c>
      <c r="F193" s="608">
        <f t="shared" si="58"/>
        <v>0</v>
      </c>
      <c r="G193" s="605"/>
      <c r="H193" s="605"/>
      <c r="I193" s="605"/>
      <c r="J193" s="605"/>
      <c r="K193" s="605"/>
      <c r="L193" s="605"/>
      <c r="M193" s="605"/>
      <c r="N193" s="605"/>
      <c r="O193" s="605"/>
      <c r="P193" s="605"/>
      <c r="Q193" s="605"/>
      <c r="R193" s="605"/>
      <c r="S193" s="605"/>
      <c r="T193" s="605"/>
      <c r="U193" s="605"/>
      <c r="V193" s="605"/>
      <c r="W193" s="605">
        <f>$F193*10%</f>
        <v>0</v>
      </c>
      <c r="X193" s="605">
        <f>IF(X$121="입주/잔금",($F193-SUM($G193:W193))*30%,IF(W$121="입주/잔금",($F193-SUM($G193:V193))*50%,IF(V$121="입주/잔금",($F193-SUM($G193:U193))*20%,IF(X$121=0,0,IF(X$121="2차중도금",$F193*30%-SUM($G193:W193),IF(X$121="3차중도금",$F193*40%-SUM($G193:W193),IF(X$121="4차중도금",$F193*50%-SUM($G193:W193),$F193*10%)))))))+(IF(X$121="5차중도금",$F193*60%-SUM($G193:W193)-$F193*10%,IF(X$121="6차중도금",$F193*70%-SUM($G193:W193)-$F193*10%,0)))</f>
        <v>0</v>
      </c>
      <c r="Y193" s="605">
        <f>IF(Y$121="입주/잔금",($F193-SUM($G193:X193))*30%,IF(X$121="입주/잔금",($F193-SUM($G193:W193))*50%,IF(W$121="입주/잔금",($F193-SUM($G193:V193))*20%,IF(Y$121=0,0,IF(Y$121="2차중도금",$F193*30%-SUM($G193:X193),IF(Y$121="3차중도금",$F193*40%-SUM($G193:X193),IF(Y$121="4차중도금",$F193*50%-SUM($G193:X193),$F193*10%)))))))+(IF(Y$121="5차중도금",$F193*60%-SUM($G193:X193)-$F193*10%,IF(Y$121="6차중도금",$F193*70%-SUM($G193:X193)-$F193*10%,0)))</f>
        <v>0</v>
      </c>
      <c r="Z193" s="605">
        <f>IF(Z$121="입주/잔금",($F193-SUM($G193:Y193))*30%,IF(Y$121="입주/잔금",($F193-SUM($G193:X193))*50%,IF(X$121="입주/잔금",($F193-SUM($G193:W193))*20%,IF(Z$121=0,0,IF(Z$121="2차중도금",$F193*30%-SUM($G193:Y193),IF(Z$121="3차중도금",$F193*40%-SUM($G193:Y193),IF(Z$121="4차중도금",$F193*50%-SUM($G193:Y193),$F193*10%)))))))+(IF(Z$121="5차중도금",$F193*60%-SUM($G193:Y193)-$F193*10%,IF(Z$121="6차중도금",$F193*70%-SUM($G193:Y193)-$F193*10%,0)))</f>
        <v>0</v>
      </c>
      <c r="AA193" s="605">
        <f>IF(AA$121="입주/잔금",($F193-SUM($G193:Z193))*30%,IF(Z$121="입주/잔금",($F193-SUM($G193:Y193))*50%,IF(Y$121="입주/잔금",($F193-SUM($G193:X193))*20%,IF(AA$121=0,0,IF(AA$121="2차중도금",$F193*30%-SUM($G193:Z193),IF(AA$121="3차중도금",$F193*40%-SUM($G193:Z193),IF(AA$121="4차중도금",$F193*50%-SUM($G193:Z193),$F193*10%)))))))+(IF(AA$121="5차중도금",$F193*60%-SUM($G193:Z193)-$F193*10%,IF(AA$121="6차중도금",$F193*70%-SUM($G193:Z193)-$F193*10%,0)))</f>
        <v>0</v>
      </c>
      <c r="AB193" s="605">
        <f>IF(AB$121="입주/잔금",($F193-SUM($G193:AA193))*30%,IF(AA$121="입주/잔금",($F193-SUM($G193:Z193))*50%,IF(Z$121="입주/잔금",($F193-SUM($G193:Y193))*20%,IF(AB$121=0,0,IF(AB$121="2차중도금",$F193*30%-SUM($G193:AA193),IF(AB$121="3차중도금",$F193*40%-SUM($G193:AA193),IF(AB$121="4차중도금",$F193*50%-SUM($G193:AA193),$F193*10%)))))))+(IF(AB$121="5차중도금",$F193*60%-SUM($G193:AA193)-$F193*10%,IF(AB$121="6차중도금",$F193*70%-SUM($G193:AA193)-$F193*10%,0)))</f>
        <v>0</v>
      </c>
      <c r="AC193" s="605">
        <f>IF(AC$121="입주/잔금",($F193-SUM($G193:AB193))*30%,IF(AB$121="입주/잔금",($F193-SUM($G193:AA193))*50%,IF(AA$121="입주/잔금",($F193-SUM($G193:Z193))*20%,IF(AC$121=0,0,IF(AC$121="2차중도금",$F193*30%-SUM($G193:AB193),IF(AC$121="3차중도금",$F193*40%-SUM($G193:AB193),IF(AC$121="4차중도금",$F193*50%-SUM($G193:AB193),$F193*10%)))))))+(IF(AC$121="5차중도금",$F193*60%-SUM($G193:AB193)-$F193*10%,IF(AC$121="6차중도금",$F193*70%-SUM($G193:AB193)-$F193*10%,0)))</f>
        <v>0</v>
      </c>
      <c r="AD193" s="605">
        <f>IF(AD$121="입주/잔금",($F193-SUM($G193:AC193))*30%,IF(AC$121="입주/잔금",($F193-SUM($G193:AB193))*50%,IF(AB$121="입주/잔금",($F193-SUM($G193:AA193))*20%,IF(AD$121=0,0,IF(AD$121="2차중도금",$F193*30%-SUM($G193:AC193),IF(AD$121="3차중도금",$F193*40%-SUM($G193:AC193),IF(AD$121="4차중도금",$F193*50%-SUM($G193:AC193),$F193*10%)))))))+(IF(AD$121="5차중도금",$F193*60%-SUM($G193:AC193)-$F193*10%,IF(AD$121="6차중도금",$F193*70%-SUM($G193:AC193)-$F193*10%,0)))</f>
        <v>0</v>
      </c>
      <c r="AE193" s="605">
        <f>IF(AE$121="입주/잔금",($F193-SUM($G193:AD193))*30%,IF(AD$121="입주/잔금",($F193-SUM($G193:AC193))*50%,IF(AC$121="입주/잔금",($F193-SUM($G193:AB193))*20%,IF(AE$121=0,0,IF(AE$121="2차중도금",$F193*30%-SUM($G193:AD193),IF(AE$121="3차중도금",$F193*40%-SUM($G193:AD193),IF(AE$121="4차중도금",$F193*50%-SUM($G193:AD193),$F193*10%)))))))+(IF(AE$121="5차중도금",$F193*60%-SUM($G193:AD193)-$F193*10%,IF(AE$121="6차중도금",$F193*70%-SUM($G193:AD193)-$F193*10%,0)))</f>
        <v>0</v>
      </c>
      <c r="AF193" s="605">
        <f>IF(AF$121="입주/잔금",($F193-SUM($G193:AE193))*30%,IF(AE$121="입주/잔금",($F193-SUM($G193:AD193))*50%,IF(AD$121="입주/잔금",($F193-SUM($G193:AC193))*20%,IF(AF$121=0,0,IF(AF$121="2차중도금",$F193*30%-SUM($G193:AE193),IF(AF$121="3차중도금",$F193*40%-SUM($G193:AE193),IF(AF$121="4차중도금",$F193*50%-SUM($G193:AE193),$F193*10%)))))))+(IF(AF$121="5차중도금",$F193*60%-SUM($G193:AE193)-$F193*10%,IF(AF$121="6차중도금",$F193*70%-SUM($G193:AE193)-$F193*10%,0)))</f>
        <v>0</v>
      </c>
      <c r="AG193" s="605">
        <f>IF(AG$121="입주/잔금",($F193-SUM($G193:AF193))*30%,IF(AF$121="입주/잔금",($F193-SUM($G193:AE193))*50%,IF(AE$121="입주/잔금",($F193-SUM($G193:AD193))*20%,IF(AG$121=0,0,IF(AG$121="2차중도금",$F193*30%-SUM($G193:AF193),IF(AG$121="3차중도금",$F193*40%-SUM($G193:AF193),IF(AG$121="4차중도금",$F193*50%-SUM($G193:AF193),$F193*10%)))))))+(IF(AG$121="5차중도금",$F193*60%-SUM($G193:AF193)-$F193*10%,IF(AG$121="6차중도금",$F193*70%-SUM($G193:AF193)-$F193*10%,0)))</f>
        <v>0</v>
      </c>
      <c r="AH193" s="605">
        <f>IF(AH$121="입주/잔금",($F193-SUM($G193:AG193))*30%,IF(AG$121="입주/잔금",($F193-SUM($G193:AF193))*50%,IF(AF$121="입주/잔금",($F193-SUM($G193:AE193))*20%,IF(AH$121=0,0,IF(AH$121="2차중도금",$F193*30%-SUM($G193:AG193),IF(AH$121="3차중도금",$F193*40%-SUM($G193:AG193),IF(AH$121="4차중도금",$F193*50%-SUM($G193:AG193),$F193*10%)))))))+(IF(AH$121="5차중도금",$F193*60%-SUM($G193:AG193)-$F193*10%,IF(AH$121="6차중도금",$F193*70%-SUM($G193:AG193)-$F193*10%,0)))</f>
        <v>0</v>
      </c>
      <c r="AI193" s="605">
        <f>IF(AI$121="입주/잔금",($F193-SUM($G193:AH193))*30%,IF(AH$121="입주/잔금",($F193-SUM($G193:AG193))*50%,IF(AG$121="입주/잔금",($F193-SUM($G193:AF193))*20%,IF(AI$121=0,0,IF(AI$121="2차중도금",$F193*30%-SUM($G193:AH193),IF(AI$121="3차중도금",$F193*40%-SUM($G193:AH193),IF(AI$121="4차중도금",$F193*50%-SUM($G193:AH193),$F193*10%)))))))+(IF(AI$121="5차중도금",$F193*60%-SUM($G193:AH193)-$F193*10%,IF(AI$121="6차중도금",$F193*70%-SUM($G193:AH193)-$F193*10%,0)))</f>
        <v>0</v>
      </c>
      <c r="AJ193" s="605">
        <f>IF(AJ$121="입주/잔금",($F193-SUM($G193:AI193))*30%,IF(AI$121="입주/잔금",($F193-SUM($G193:AH193))*50%,IF(AH$121="입주/잔금",($F193-SUM($G193:AG193))*20%,IF(AJ$121=0,0,IF(AJ$121="2차중도금",$F193*30%-SUM($G193:AI193),IF(AJ$121="3차중도금",$F193*40%-SUM($G193:AI193),IF(AJ$121="4차중도금",$F193*50%-SUM($G193:AI193),$F193*10%)))))))+(IF(AJ$121="5차중도금",$F193*60%-SUM($G193:AI193)-$F193*10%,IF(AJ$121="6차중도금",$F193*70%-SUM($G193:AI193)-$F193*10%,0)))</f>
        <v>0</v>
      </c>
      <c r="AK193" s="605">
        <f>IF(AK$121="입주/잔금",($F193-SUM($G193:AJ193))*30%,IF(AJ$121="입주/잔금",($F193-SUM($G193:AI193))*50%,IF(AI$121="입주/잔금",($F193-SUM($G193:AH193))*20%,IF(AK$121=0,0,IF(AK$121="2차중도금",$F193*30%-SUM($G193:AJ193),IF(AK$121="3차중도금",$F193*40%-SUM($G193:AJ193),IF(AK$121="4차중도금",$F193*50%-SUM($G193:AJ193),$F193*10%)))))))+(IF(AK$121="5차중도금",$F193*60%-SUM($G193:AJ193)-$F193*10%,IF(AK$121="6차중도금",$F193*70%-SUM($G193:AJ193)-$F193*10%,0)))</f>
        <v>0</v>
      </c>
      <c r="AL193" s="605">
        <f>IF(AL$121="입주/잔금",($F193-SUM($G193:AK193))*30%,IF(AK$121="입주/잔금",($F193-SUM($G193:AJ193))*50%,IF(AJ$121="입주/잔금",($F193-SUM($G193:AI193))*20%,IF(AL$121=0,0,IF(AL$121="2차중도금",$F193*30%-SUM($G193:AK193),IF(AL$121="3차중도금",$F193*40%-SUM($G193:AK193),IF(AL$121="4차중도금",$F193*50%-SUM($G193:AK193),$F193*10%)))))))+(IF(AL$121="5차중도금",$F193*60%-SUM($G193:AK193)-$F193*10%,IF(AL$121="6차중도금",$F193*70%-SUM($G193:AK193)-$F193*10%,0)))</f>
        <v>0</v>
      </c>
      <c r="AM193" s="605">
        <f>IF(AM$121="입주/잔금",($F193-SUM($G193:AL193))*30%,IF(AL$121="입주/잔금",($F193-SUM($G193:AK193))*50%,IF(AK$121="입주/잔금",($F193-SUM($G193:AJ193))*20%,IF(AM$121=0,0,IF(AM$121="2차중도금",$F193*30%-SUM($G193:AL193),IF(AM$121="3차중도금",$F193*40%-SUM($G193:AL193),IF(AM$121="4차중도금",$F193*50%-SUM($G193:AL193),$F193*10%)))))))+(IF(AM$121="5차중도금",$F193*60%-SUM($G193:AL193)-$F193*10%,IF(AM$121="6차중도금",$F193*70%-SUM($G193:AL193)-$F193*10%,0)))</f>
        <v>0</v>
      </c>
      <c r="AN193" s="605">
        <f>IF(AN$121="입주/잔금",($F193-SUM($G193:AM193))*30%,IF(AM$121="입주/잔금",($F193-SUM($G193:AL193))*50%,IF(AL$121="입주/잔금",($F193-SUM($G193:AK193))*20%,IF(AN$121=0,0,IF(AN$121="2차중도금",$F193*30%-SUM($G193:AM193),IF(AN$121="3차중도금",$F193*40%-SUM($G193:AM193),IF(AN$121="4차중도금",$F193*50%-SUM($G193:AM193),$F193*10%)))))))+(IF(AN$121="5차중도금",$F193*60%-SUM($G193:AM193)-$F193*10%,IF(AN$121="6차중도금",$F193*70%-SUM($G193:AM193)-$F193*10%,0)))</f>
        <v>0</v>
      </c>
      <c r="AO193" s="605">
        <f>IF(AO$121="입주/잔금",($F193-SUM($G193:AN193))*30%,IF(AN$121="입주/잔금",($F193-SUM($G193:AM193))*50%,IF(AM$121="입주/잔금",($F193-SUM($G193:AL193))*20%,IF(AO$121=0,0,IF(AO$121="2차중도금",$F193*30%-SUM($G193:AN193),IF(AO$121="3차중도금",$F193*40%-SUM($G193:AN193),IF(AO$121="4차중도금",$F193*50%-SUM($G193:AN193),$F193*10%)))))))+(IF(AO$121="5차중도금",$F193*60%-SUM($G193:AN193)-$F193*10%,IF(AO$121="6차중도금",$F193*70%-SUM($G193:AN193)-$F193*10%,0)))</f>
        <v>0</v>
      </c>
      <c r="AP193" s="605">
        <f>IF(AP$121="입주/잔금",($F193-SUM($G193:AO193))*30%,IF(AO$121="입주/잔금",($F193-SUM($G193:AN193))*50%,IF(AN$121="입주/잔금",($F193-SUM($G193:AM193))*20%,IF(AP$121=0,0,IF(AP$121="2차중도금",$F193*30%-SUM($G193:AO193),IF(AP$121="3차중도금",$F193*40%-SUM($G193:AO193),IF(AP$121="4차중도금",$F193*50%-SUM($G193:AO193),$F193*10%)))))))+(IF(AP$121="5차중도금",$F193*60%-SUM($G193:AO193)-$F193*10%,IF(AP$121="6차중도금",$F193*70%-SUM($G193:AO193)-$F193*10%,0)))</f>
        <v>0</v>
      </c>
      <c r="AQ193" s="605">
        <f>IF(AQ$121="입주/잔금",($F193-SUM($G193:AP193))*30%,IF(AP$121="입주/잔금",($F193-SUM($G193:AO193))*50%,IF(AO$121="입주/잔금",($F193-SUM($G193:AN193))*20%,IF(AQ$121=0,0,IF(AQ$121="2차중도금",$F193*30%-SUM($G193:AP193),IF(AQ$121="3차중도금",$F193*40%-SUM($G193:AP193),IF(AQ$121="4차중도금",$F193*50%-SUM($G193:AP193),$F193*10%)))))))+(IF(AQ$121="5차중도금",$F193*60%-SUM($G193:AP193)-$F193*10%,IF(AQ$121="6차중도금",$F193*70%-SUM($G193:AP193)-$F193*10%,0)))</f>
        <v>0</v>
      </c>
      <c r="AR193" s="605">
        <f>IF(AR$121="입주/잔금",($F193-SUM($G193:AQ193))*30%,IF(AQ$121="입주/잔금",($F193-SUM($G193:AP193))*50%,IF(AP$121="입주/잔금",($F193-SUM($G193:AO193))*20%,IF(AR$121=0,0,IF(AR$121="2차중도금",$F193*30%-SUM($G193:AQ193),IF(AR$121="3차중도금",$F193*40%-SUM($G193:AQ193),IF(AR$121="4차중도금",$F193*50%-SUM($G193:AQ193),$F193*10%)))))))+(IF(AR$121="5차중도금",$F193*60%-SUM($G193:AQ193)-$F193*10%,IF(AR$121="6차중도금",$F193*70%-SUM($G193:AQ193)-$F193*10%,0)))</f>
        <v>0</v>
      </c>
      <c r="AS193" s="605">
        <f>IF(AS$121="입주/잔금",($F193-SUM($G193:AR193))*30%,IF(AR$121="입주/잔금",($F193-SUM($G193:AQ193))*50%,IF(AQ$121="입주/잔금",($F193-SUM($G193:AP193))*20%,IF(AS$121=0,0,IF(AS$121="2차중도금",$F193*30%-SUM($G193:AR193),IF(AS$121="3차중도금",$F193*40%-SUM($G193:AR193),IF(AS$121="4차중도금",$F193*50%-SUM($G193:AR193),$F193*10%)))))))+(IF(AS$121="5차중도금",$F193*60%-SUM($G193:AR193)-$F193*10%,IF(AS$121="6차중도금",$F193*70%-SUM($G193:AR193)-$F193*10%,0)))</f>
        <v>0</v>
      </c>
      <c r="AT193" s="605">
        <f>IF(AT$121="입주/잔금",($F193-SUM($G193:AS193))*30%,IF(AS$121="입주/잔금",($F193-SUM($G193:AR193))*50%,IF(AR$121="입주/잔금",($F193-SUM($G193:AQ193))*20%,IF(AT$121=0,0,IF(AT$121="2차중도금",$F193*30%-SUM($G193:AS193),IF(AT$121="3차중도금",$F193*40%-SUM($G193:AS193),IF(AT$121="4차중도금",$F193*50%-SUM($G193:AS193),$F193*10%)))))))+(IF(AT$121="5차중도금",$F193*60%-SUM($G193:AS193)-$F193*10%,IF(AT$121="6차중도금",$F193*70%-SUM($G193:AS193)-$F193*10%,0)))</f>
        <v>0</v>
      </c>
      <c r="AU193" s="605">
        <f>IF(AU$121="입주/잔금",($F193-SUM($G193:AT193))*30%,IF(AT$121="입주/잔금",($F193-SUM($G193:AS193))*50%,IF(AS$121="입주/잔금",($F193-SUM($G193:AR193))*20%,IF(AU$121=0,0,IF(AU$121="2차중도금",$F193*30%-SUM($G193:AT193),IF(AU$121="3차중도금",$F193*40%-SUM($G193:AT193),IF(AU$121="4차중도금",$F193*50%-SUM($G193:AT193),$F193*10%)))))))+(IF(AU$121="5차중도금",$F193*60%-SUM($G193:AT193)-$F193*10%,IF(AU$121="6차중도금",$F193*70%-SUM($G193:AT193)-$F193*10%,0)))</f>
        <v>0</v>
      </c>
      <c r="AV193" s="605">
        <f>IF(AV$121="입주/잔금",($F193-SUM($G193:AU193))*30%,IF(AU$121="입주/잔금",($F193-SUM($G193:AT193))*50%,IF(AT$121="입주/잔금",($F193-SUM($G193:AS193))*20%,IF(AV$121=0,0,IF(AV$121="2차중도금",$F193*30%-SUM($G193:AU193),IF(AV$121="3차중도금",$F193*40%-SUM($G193:AU193),IF(AV$121="4차중도금",$F193*50%-SUM($G193:AU193),$F193*10%)))))))+(IF(AV$121="5차중도금",$F193*60%-SUM($G193:AU193)-$F193*10%,IF(AV$121="6차중도금",$F193*70%-SUM($G193:AU193)-$F193*10%,0)))</f>
        <v>0</v>
      </c>
      <c r="AW193" s="605">
        <f>IF(AW$121="입주/잔금",($F193-SUM($G193:AV193))*30%,IF(AV$121="입주/잔금",($F193-SUM($G193:AU193))*50%,IF(AU$121="입주/잔금",($F193-SUM($G193:AT193))*20%,IF(AW$121=0,0,IF(AW$121="2차중도금",$F193*30%-SUM($G193:AV193),IF(AW$121="3차중도금",$F193*40%-SUM($G193:AV193),IF(AW$121="4차중도금",$F193*50%-SUM($G193:AV193),$F193*10%)))))))+(IF(AW$121="5차중도금",$F193*60%-SUM($G193:AV193)-$F193*10%,IF(AW$121="6차중도금",$F193*70%-SUM($G193:AV193)-$F193*10%,0)))</f>
        <v>0</v>
      </c>
      <c r="AX193" s="605">
        <f>IF(AX$121="입주/잔금",($F193-SUM($G193:AW193))*30%,IF(AW$121="입주/잔금",($F193-SUM($G193:AV193))*50%,IF(AV$121="입주/잔금",($F193-SUM($G193:AU193))*20%,IF(AX$121=0,0,IF(AX$121="2차중도금",$F193*30%-SUM($G193:AW193),IF(AX$121="3차중도금",$F193*40%-SUM($G193:AW193),IF(AX$121="4차중도금",$F193*50%-SUM($G193:AW193),$F193*10%)))))))+(IF(AX$121="5차중도금",$F193*60%-SUM($G193:AW193)-$F193*10%,IF(AX$121="6차중도금",$F193*70%-SUM($G193:AW193)-$F193*10%,0)))</f>
        <v>0</v>
      </c>
      <c r="AY193" s="605">
        <f>IF(AY$121="입주/잔금",($F193-SUM($G193:AX193))*30%,IF(AX$121="입주/잔금",($F193-SUM($G193:AW193))*50%,IF(AW$121="입주/잔금",($F193-SUM($G193:AV193))*20%,IF(AY$121=0,0,IF(AY$121="2차중도금",$F193*30%-SUM($G193:AX193),IF(AY$121="3차중도금",$F193*40%-SUM($G193:AX193),IF(AY$121="4차중도금",$F193*50%-SUM($G193:AX193),$F193*10%)))))))+(IF(AY$121="5차중도금",$F193*60%-SUM($G193:AX193)-$F193*10%,IF(AY$121="6차중도금",$F193*70%-SUM($G193:AX193)-$F193*10%,0)))</f>
        <v>0</v>
      </c>
      <c r="AZ193" s="605">
        <f>IF(AZ$121="입주/잔금",($F193-SUM($G193:AY193))*30%,IF(AY$121="입주/잔금",($F193-SUM($G193:AX193))*50%,IF(AX$121="입주/잔금",($F193-SUM($G193:AW193))*20%,IF(AZ$121=0,0,IF(AZ$121="2차중도금",$F193*30%-SUM($G193:AY193),IF(AZ$121="3차중도금",$F193*40%-SUM($G193:AY193),IF(AZ$121="4차중도금",$F193*50%-SUM($G193:AY193),$F193*10%)))))))+(IF(AZ$121="5차중도금",$F193*60%-SUM($G193:AY193)-$F193*10%,IF(AZ$121="6차중도금",$F193*70%-SUM($G193:AY193)-$F193*10%,0)))</f>
        <v>0</v>
      </c>
      <c r="BA193" s="605">
        <f>IF(BA$121="입주/잔금",($F193-SUM($G193:AZ193))*30%,IF(AZ$121="입주/잔금",($F193-SUM($G193:AY193))*50%,IF(AY$121="입주/잔금",($F193-SUM($G193:AX193))*20%,IF(BA$121=0,0,IF(BA$121="2차중도금",$F193*30%-SUM($G193:AZ193),IF(BA$121="3차중도금",$F193*40%-SUM($G193:AZ193),IF(BA$121="4차중도금",$F193*50%-SUM($G193:AZ193),$F193*10%)))))))+(IF(BA$121="5차중도금",$F193*60%-SUM($G193:AZ193)-$F193*10%,IF(BA$121="6차중도금",$F193*70%-SUM($G193:AZ193)-$F193*10%,0)))</f>
        <v>0</v>
      </c>
      <c r="BB193" s="605">
        <f>IF(BB$121="입주/잔금",($F193-SUM($G193:BA193))*30%,IF(BA$121="입주/잔금",($F193-SUM($G193:AZ193))*50%,IF(AZ$121="입주/잔금",($F193-SUM($G193:AY193))*20%,IF(BB$121=0,0,IF(BB$121="2차중도금",$F193*30%-SUM($G193:BA193),IF(BB$121="3차중도금",$F193*40%-SUM($G193:BA193),IF(BB$121="4차중도금",$F193*50%-SUM($G193:BA193),$F193*10%)))))))+(IF(BB$121="5차중도금",$F193*60%-SUM($G193:BA193)-$F193*10%,IF(BB$121="6차중도금",$F193*70%-SUM($G193:BA193)-$F193*10%,0)))</f>
        <v>0</v>
      </c>
      <c r="BC193" s="605">
        <f>IF(BC$121="입주/잔금",($F193-SUM($G193:BB193))*30%,IF(BB$121="입주/잔금",($F193-SUM($G193:BA193))*50%,IF(BA$121="입주/잔금",($F193-SUM($G193:AZ193))*20%,IF(BC$121=0,0,IF(BC$121="2차중도금",$F193*30%-SUM($G193:BB193),IF(BC$121="3차중도금",$F193*40%-SUM($G193:BB193),IF(BC$121="4차중도금",$F193*50%-SUM($G193:BB193),$F193*10%)))))))+(IF(BC$121="5차중도금",$F193*60%-SUM($G193:BB193)-$F193*10%,IF(BC$121="6차중도금",$F193*70%-SUM($G193:BB193)-$F193*10%,0)))</f>
        <v>0</v>
      </c>
      <c r="BD193" s="605">
        <f>IF(BD$121="입주/잔금",($F193-SUM($G193:BC193))*30%,IF(BC$121="입주/잔금",($F193-SUM($G193:BB193))*50%,IF(BB$121="입주/잔금",($F193-SUM($G193:BA193))*20%,IF(BD$121=0,0,IF(BD$121="2차중도금",$F193*30%-SUM($G193:BC193),IF(BD$121="3차중도금",$F193*40%-SUM($G193:BC193),IF(BD$121="4차중도금",$F193*50%-SUM($G193:BC193),$F193*10%)))))))+(IF(BD$121="5차중도금",$F193*60%-SUM($G193:BC193)-$F193*10%,IF(BD$121="6차중도금",$F193*70%-SUM($G193:BC193)-$F193*10%,0)))</f>
        <v>0</v>
      </c>
      <c r="BE193" s="605">
        <f>IF(BE$121="입주/잔금",($F193-SUM($G193:BD193))*30%,IF(BD$121="입주/잔금",($F193-SUM($G193:BC193))*50%,IF(BC$121="입주/잔금",($F193-SUM($G193:BB193))*20%,IF(BE$121=0,0,IF(BE$121="2차중도금",$F193*30%-SUM($G193:BD193),IF(BE$121="3차중도금",$F193*40%-SUM($G193:BD193),IF(BE$121="4차중도금",$F193*50%-SUM($G193:BD193),$F193*10%)))))))+(IF(BE$121="5차중도금",$F193*60%-SUM($G193:BD193)-$F193*10%,IF(BE$121="6차중도금",$F193*70%-SUM($G193:BD193)-$F193*10%,0)))</f>
        <v>0</v>
      </c>
      <c r="BF193" s="609">
        <f t="shared" si="57"/>
        <v>0</v>
      </c>
      <c r="BG193" s="556">
        <f t="shared" si="59"/>
        <v>0</v>
      </c>
      <c r="BH193" s="610"/>
    </row>
    <row r="194" spans="1:60" hidden="1">
      <c r="A194" s="1853"/>
      <c r="B194" s="611">
        <f t="shared" si="60"/>
        <v>45352</v>
      </c>
      <c r="C194" s="605">
        <f t="shared" si="61"/>
        <v>0</v>
      </c>
      <c r="D194" s="606"/>
      <c r="E194" s="607">
        <f t="shared" si="62"/>
        <v>0</v>
      </c>
      <c r="F194" s="608">
        <f t="shared" si="58"/>
        <v>0</v>
      </c>
      <c r="G194" s="605"/>
      <c r="H194" s="605"/>
      <c r="I194" s="605"/>
      <c r="J194" s="605"/>
      <c r="K194" s="605"/>
      <c r="L194" s="605"/>
      <c r="M194" s="605"/>
      <c r="N194" s="605"/>
      <c r="O194" s="605"/>
      <c r="P194" s="605"/>
      <c r="Q194" s="605"/>
      <c r="R194" s="605"/>
      <c r="S194" s="605"/>
      <c r="T194" s="605"/>
      <c r="U194" s="605"/>
      <c r="V194" s="605"/>
      <c r="W194" s="605"/>
      <c r="X194" s="605">
        <f>$F194*10%</f>
        <v>0</v>
      </c>
      <c r="Y194" s="605">
        <f>IF(Y$121="입주/잔금",($F194-SUM($G194:X194))*30%,IF(X$121="입주/잔금",($F194-SUM($G194:W194))*50%,IF(W$121="입주/잔금",($F194-SUM($G194:V194))*20%,IF(Y$121=0,0,IF(Y$121="2차중도금",$F194*30%-SUM($G194:X194),IF(Y$121="3차중도금",$F194*40%-SUM($G194:X194),IF(Y$121="4차중도금",$F194*50%-SUM($G194:X194),$F194*10%)))))))+(IF(Y$121="5차중도금",$F194*60%-SUM($G194:X194)-$F194*10%,IF(Y$121="6차중도금",$F194*70%-SUM($G194:X194)-$F194*10%,0)))</f>
        <v>0</v>
      </c>
      <c r="Z194" s="605">
        <f>IF(Z$121="입주/잔금",($F194-SUM($G194:Y194))*30%,IF(Y$121="입주/잔금",($F194-SUM($G194:X194))*50%,IF(X$121="입주/잔금",($F194-SUM($G194:W194))*20%,IF(Z$121=0,0,IF(Z$121="2차중도금",$F194*30%-SUM($G194:Y194),IF(Z$121="3차중도금",$F194*40%-SUM($G194:Y194),IF(Z$121="4차중도금",$F194*50%-SUM($G194:Y194),$F194*10%)))))))+(IF(Z$121="5차중도금",$F194*60%-SUM($G194:Y194)-$F194*10%,IF(Z$121="6차중도금",$F194*70%-SUM($G194:Y194)-$F194*10%,0)))</f>
        <v>0</v>
      </c>
      <c r="AA194" s="605">
        <f>IF(AA$121="입주/잔금",($F194-SUM($G194:Z194))*30%,IF(Z$121="입주/잔금",($F194-SUM($G194:Y194))*50%,IF(Y$121="입주/잔금",($F194-SUM($G194:X194))*20%,IF(AA$121=0,0,IF(AA$121="2차중도금",$F194*30%-SUM($G194:Z194),IF(AA$121="3차중도금",$F194*40%-SUM($G194:Z194),IF(AA$121="4차중도금",$F194*50%-SUM($G194:Z194),$F194*10%)))))))+(IF(AA$121="5차중도금",$F194*60%-SUM($G194:Z194)-$F194*10%,IF(AA$121="6차중도금",$F194*70%-SUM($G194:Z194)-$F194*10%,0)))</f>
        <v>0</v>
      </c>
      <c r="AB194" s="605">
        <f>IF(AB$121="입주/잔금",($F194-SUM($G194:AA194))*30%,IF(AA$121="입주/잔금",($F194-SUM($G194:Z194))*50%,IF(Z$121="입주/잔금",($F194-SUM($G194:Y194))*20%,IF(AB$121=0,0,IF(AB$121="2차중도금",$F194*30%-SUM($G194:AA194),IF(AB$121="3차중도금",$F194*40%-SUM($G194:AA194),IF(AB$121="4차중도금",$F194*50%-SUM($G194:AA194),$F194*10%)))))))+(IF(AB$121="5차중도금",$F194*60%-SUM($G194:AA194)-$F194*10%,IF(AB$121="6차중도금",$F194*70%-SUM($G194:AA194)-$F194*10%,0)))</f>
        <v>0</v>
      </c>
      <c r="AC194" s="605">
        <f>IF(AC$121="입주/잔금",($F194-SUM($G194:AB194))*30%,IF(AB$121="입주/잔금",($F194-SUM($G194:AA194))*50%,IF(AA$121="입주/잔금",($F194-SUM($G194:Z194))*20%,IF(AC$121=0,0,IF(AC$121="2차중도금",$F194*30%-SUM($G194:AB194),IF(AC$121="3차중도금",$F194*40%-SUM($G194:AB194),IF(AC$121="4차중도금",$F194*50%-SUM($G194:AB194),$F194*10%)))))))+(IF(AC$121="5차중도금",$F194*60%-SUM($G194:AB194)-$F194*10%,IF(AC$121="6차중도금",$F194*70%-SUM($G194:AB194)-$F194*10%,0)))</f>
        <v>0</v>
      </c>
      <c r="AD194" s="605">
        <f>IF(AD$121="입주/잔금",($F194-SUM($G194:AC194))*30%,IF(AC$121="입주/잔금",($F194-SUM($G194:AB194))*50%,IF(AB$121="입주/잔금",($F194-SUM($G194:AA194))*20%,IF(AD$121=0,0,IF(AD$121="2차중도금",$F194*30%-SUM($G194:AC194),IF(AD$121="3차중도금",$F194*40%-SUM($G194:AC194),IF(AD$121="4차중도금",$F194*50%-SUM($G194:AC194),$F194*10%)))))))+(IF(AD$121="5차중도금",$F194*60%-SUM($G194:AC194)-$F194*10%,IF(AD$121="6차중도금",$F194*70%-SUM($G194:AC194)-$F194*10%,0)))</f>
        <v>0</v>
      </c>
      <c r="AE194" s="605">
        <f>IF(AE$121="입주/잔금",($F194-SUM($G194:AD194))*30%,IF(AD$121="입주/잔금",($F194-SUM($G194:AC194))*50%,IF(AC$121="입주/잔금",($F194-SUM($G194:AB194))*20%,IF(AE$121=0,0,IF(AE$121="2차중도금",$F194*30%-SUM($G194:AD194),IF(AE$121="3차중도금",$F194*40%-SUM($G194:AD194),IF(AE$121="4차중도금",$F194*50%-SUM($G194:AD194),$F194*10%)))))))+(IF(AE$121="5차중도금",$F194*60%-SUM($G194:AD194)-$F194*10%,IF(AE$121="6차중도금",$F194*70%-SUM($G194:AD194)-$F194*10%,0)))</f>
        <v>0</v>
      </c>
      <c r="AF194" s="605">
        <f>IF(AF$121="입주/잔금",($F194-SUM($G194:AE194))*30%,IF(AE$121="입주/잔금",($F194-SUM($G194:AD194))*50%,IF(AD$121="입주/잔금",($F194-SUM($G194:AC194))*20%,IF(AF$121=0,0,IF(AF$121="2차중도금",$F194*30%-SUM($G194:AE194),IF(AF$121="3차중도금",$F194*40%-SUM($G194:AE194),IF(AF$121="4차중도금",$F194*50%-SUM($G194:AE194),$F194*10%)))))))+(IF(AF$121="5차중도금",$F194*60%-SUM($G194:AE194)-$F194*10%,IF(AF$121="6차중도금",$F194*70%-SUM($G194:AE194)-$F194*10%,0)))</f>
        <v>0</v>
      </c>
      <c r="AG194" s="605">
        <f>IF(AG$121="입주/잔금",($F194-SUM($G194:AF194))*30%,IF(AF$121="입주/잔금",($F194-SUM($G194:AE194))*50%,IF(AE$121="입주/잔금",($F194-SUM($G194:AD194))*20%,IF(AG$121=0,0,IF(AG$121="2차중도금",$F194*30%-SUM($G194:AF194),IF(AG$121="3차중도금",$F194*40%-SUM($G194:AF194),IF(AG$121="4차중도금",$F194*50%-SUM($G194:AF194),$F194*10%)))))))+(IF(AG$121="5차중도금",$F194*60%-SUM($G194:AF194)-$F194*10%,IF(AG$121="6차중도금",$F194*70%-SUM($G194:AF194)-$F194*10%,0)))</f>
        <v>0</v>
      </c>
      <c r="AH194" s="605">
        <f>IF(AH$121="입주/잔금",($F194-SUM($G194:AG194))*30%,IF(AG$121="입주/잔금",($F194-SUM($G194:AF194))*50%,IF(AF$121="입주/잔금",($F194-SUM($G194:AE194))*20%,IF(AH$121=0,0,IF(AH$121="2차중도금",$F194*30%-SUM($G194:AG194),IF(AH$121="3차중도금",$F194*40%-SUM($G194:AG194),IF(AH$121="4차중도금",$F194*50%-SUM($G194:AG194),$F194*10%)))))))+(IF(AH$121="5차중도금",$F194*60%-SUM($G194:AG194)-$F194*10%,IF(AH$121="6차중도금",$F194*70%-SUM($G194:AG194)-$F194*10%,0)))</f>
        <v>0</v>
      </c>
      <c r="AI194" s="605">
        <f>IF(AI$121="입주/잔금",($F194-SUM($G194:AH194))*30%,IF(AH$121="입주/잔금",($F194-SUM($G194:AG194))*50%,IF(AG$121="입주/잔금",($F194-SUM($G194:AF194))*20%,IF(AI$121=0,0,IF(AI$121="2차중도금",$F194*30%-SUM($G194:AH194),IF(AI$121="3차중도금",$F194*40%-SUM($G194:AH194),IF(AI$121="4차중도금",$F194*50%-SUM($G194:AH194),$F194*10%)))))))+(IF(AI$121="5차중도금",$F194*60%-SUM($G194:AH194)-$F194*10%,IF(AI$121="6차중도금",$F194*70%-SUM($G194:AH194)-$F194*10%,0)))</f>
        <v>0</v>
      </c>
      <c r="AJ194" s="605">
        <f>IF(AJ$121="입주/잔금",($F194-SUM($G194:AI194))*30%,IF(AI$121="입주/잔금",($F194-SUM($G194:AH194))*50%,IF(AH$121="입주/잔금",($F194-SUM($G194:AG194))*20%,IF(AJ$121=0,0,IF(AJ$121="2차중도금",$F194*30%-SUM($G194:AI194),IF(AJ$121="3차중도금",$F194*40%-SUM($G194:AI194),IF(AJ$121="4차중도금",$F194*50%-SUM($G194:AI194),$F194*10%)))))))+(IF(AJ$121="5차중도금",$F194*60%-SUM($G194:AI194)-$F194*10%,IF(AJ$121="6차중도금",$F194*70%-SUM($G194:AI194)-$F194*10%,0)))</f>
        <v>0</v>
      </c>
      <c r="AK194" s="605">
        <f>IF(AK$121="입주/잔금",($F194-SUM($G194:AJ194))*30%,IF(AJ$121="입주/잔금",($F194-SUM($G194:AI194))*50%,IF(AI$121="입주/잔금",($F194-SUM($G194:AH194))*20%,IF(AK$121=0,0,IF(AK$121="2차중도금",$F194*30%-SUM($G194:AJ194),IF(AK$121="3차중도금",$F194*40%-SUM($G194:AJ194),IF(AK$121="4차중도금",$F194*50%-SUM($G194:AJ194),$F194*10%)))))))+(IF(AK$121="5차중도금",$F194*60%-SUM($G194:AJ194)-$F194*10%,IF(AK$121="6차중도금",$F194*70%-SUM($G194:AJ194)-$F194*10%,0)))</f>
        <v>0</v>
      </c>
      <c r="AL194" s="605">
        <f>IF(AL$121="입주/잔금",($F194-SUM($G194:AK194))*30%,IF(AK$121="입주/잔금",($F194-SUM($G194:AJ194))*50%,IF(AJ$121="입주/잔금",($F194-SUM($G194:AI194))*20%,IF(AL$121=0,0,IF(AL$121="2차중도금",$F194*30%-SUM($G194:AK194),IF(AL$121="3차중도금",$F194*40%-SUM($G194:AK194),IF(AL$121="4차중도금",$F194*50%-SUM($G194:AK194),$F194*10%)))))))+(IF(AL$121="5차중도금",$F194*60%-SUM($G194:AK194)-$F194*10%,IF(AL$121="6차중도금",$F194*70%-SUM($G194:AK194)-$F194*10%,0)))</f>
        <v>0</v>
      </c>
      <c r="AM194" s="605">
        <f>IF(AM$121="입주/잔금",($F194-SUM($G194:AL194))*30%,IF(AL$121="입주/잔금",($F194-SUM($G194:AK194))*50%,IF(AK$121="입주/잔금",($F194-SUM($G194:AJ194))*20%,IF(AM$121=0,0,IF(AM$121="2차중도금",$F194*30%-SUM($G194:AL194),IF(AM$121="3차중도금",$F194*40%-SUM($G194:AL194),IF(AM$121="4차중도금",$F194*50%-SUM($G194:AL194),$F194*10%)))))))+(IF(AM$121="5차중도금",$F194*60%-SUM($G194:AL194)-$F194*10%,IF(AM$121="6차중도금",$F194*70%-SUM($G194:AL194)-$F194*10%,0)))</f>
        <v>0</v>
      </c>
      <c r="AN194" s="605">
        <f>IF(AN$121="입주/잔금",($F194-SUM($G194:AM194))*30%,IF(AM$121="입주/잔금",($F194-SUM($G194:AL194))*50%,IF(AL$121="입주/잔금",($F194-SUM($G194:AK194))*20%,IF(AN$121=0,0,IF(AN$121="2차중도금",$F194*30%-SUM($G194:AM194),IF(AN$121="3차중도금",$F194*40%-SUM($G194:AM194),IF(AN$121="4차중도금",$F194*50%-SUM($G194:AM194),$F194*10%)))))))+(IF(AN$121="5차중도금",$F194*60%-SUM($G194:AM194)-$F194*10%,IF(AN$121="6차중도금",$F194*70%-SUM($G194:AM194)-$F194*10%,0)))</f>
        <v>0</v>
      </c>
      <c r="AO194" s="605">
        <f>IF(AO$121="입주/잔금",($F194-SUM($G194:AN194))*30%,IF(AN$121="입주/잔금",($F194-SUM($G194:AM194))*50%,IF(AM$121="입주/잔금",($F194-SUM($G194:AL194))*20%,IF(AO$121=0,0,IF(AO$121="2차중도금",$F194*30%-SUM($G194:AN194),IF(AO$121="3차중도금",$F194*40%-SUM($G194:AN194),IF(AO$121="4차중도금",$F194*50%-SUM($G194:AN194),$F194*10%)))))))+(IF(AO$121="5차중도금",$F194*60%-SUM($G194:AN194)-$F194*10%,IF(AO$121="6차중도금",$F194*70%-SUM($G194:AN194)-$F194*10%,0)))</f>
        <v>0</v>
      </c>
      <c r="AP194" s="605">
        <f>IF(AP$121="입주/잔금",($F194-SUM($G194:AO194))*30%,IF(AO$121="입주/잔금",($F194-SUM($G194:AN194))*50%,IF(AN$121="입주/잔금",($F194-SUM($G194:AM194))*20%,IF(AP$121=0,0,IF(AP$121="2차중도금",$F194*30%-SUM($G194:AO194),IF(AP$121="3차중도금",$F194*40%-SUM($G194:AO194),IF(AP$121="4차중도금",$F194*50%-SUM($G194:AO194),$F194*10%)))))))+(IF(AP$121="5차중도금",$F194*60%-SUM($G194:AO194)-$F194*10%,IF(AP$121="6차중도금",$F194*70%-SUM($G194:AO194)-$F194*10%,0)))</f>
        <v>0</v>
      </c>
      <c r="AQ194" s="605">
        <f>IF(AQ$121="입주/잔금",($F194-SUM($G194:AP194))*30%,IF(AP$121="입주/잔금",($F194-SUM($G194:AO194))*50%,IF(AO$121="입주/잔금",($F194-SUM($G194:AN194))*20%,IF(AQ$121=0,0,IF(AQ$121="2차중도금",$F194*30%-SUM($G194:AP194),IF(AQ$121="3차중도금",$F194*40%-SUM($G194:AP194),IF(AQ$121="4차중도금",$F194*50%-SUM($G194:AP194),$F194*10%)))))))+(IF(AQ$121="5차중도금",$F194*60%-SUM($G194:AP194)-$F194*10%,IF(AQ$121="6차중도금",$F194*70%-SUM($G194:AP194)-$F194*10%,0)))</f>
        <v>0</v>
      </c>
      <c r="AR194" s="605">
        <f>IF(AR$121="입주/잔금",($F194-SUM($G194:AQ194))*30%,IF(AQ$121="입주/잔금",($F194-SUM($G194:AP194))*50%,IF(AP$121="입주/잔금",($F194-SUM($G194:AO194))*20%,IF(AR$121=0,0,IF(AR$121="2차중도금",$F194*30%-SUM($G194:AQ194),IF(AR$121="3차중도금",$F194*40%-SUM($G194:AQ194),IF(AR$121="4차중도금",$F194*50%-SUM($G194:AQ194),$F194*10%)))))))+(IF(AR$121="5차중도금",$F194*60%-SUM($G194:AQ194)-$F194*10%,IF(AR$121="6차중도금",$F194*70%-SUM($G194:AQ194)-$F194*10%,0)))</f>
        <v>0</v>
      </c>
      <c r="AS194" s="605">
        <f>IF(AS$121="입주/잔금",($F194-SUM($G194:AR194))*30%,IF(AR$121="입주/잔금",($F194-SUM($G194:AQ194))*50%,IF(AQ$121="입주/잔금",($F194-SUM($G194:AP194))*20%,IF(AS$121=0,0,IF(AS$121="2차중도금",$F194*30%-SUM($G194:AR194),IF(AS$121="3차중도금",$F194*40%-SUM($G194:AR194),IF(AS$121="4차중도금",$F194*50%-SUM($G194:AR194),$F194*10%)))))))+(IF(AS$121="5차중도금",$F194*60%-SUM($G194:AR194)-$F194*10%,IF(AS$121="6차중도금",$F194*70%-SUM($G194:AR194)-$F194*10%,0)))</f>
        <v>0</v>
      </c>
      <c r="AT194" s="605">
        <f>IF(AT$121="입주/잔금",($F194-SUM($G194:AS194))*30%,IF(AS$121="입주/잔금",($F194-SUM($G194:AR194))*50%,IF(AR$121="입주/잔금",($F194-SUM($G194:AQ194))*20%,IF(AT$121=0,0,IF(AT$121="2차중도금",$F194*30%-SUM($G194:AS194),IF(AT$121="3차중도금",$F194*40%-SUM($G194:AS194),IF(AT$121="4차중도금",$F194*50%-SUM($G194:AS194),$F194*10%)))))))+(IF(AT$121="5차중도금",$F194*60%-SUM($G194:AS194)-$F194*10%,IF(AT$121="6차중도금",$F194*70%-SUM($G194:AS194)-$F194*10%,0)))</f>
        <v>0</v>
      </c>
      <c r="AU194" s="605">
        <f>IF(AU$121="입주/잔금",($F194-SUM($G194:AT194))*30%,IF(AT$121="입주/잔금",($F194-SUM($G194:AS194))*50%,IF(AS$121="입주/잔금",($F194-SUM($G194:AR194))*20%,IF(AU$121=0,0,IF(AU$121="2차중도금",$F194*30%-SUM($G194:AT194),IF(AU$121="3차중도금",$F194*40%-SUM($G194:AT194),IF(AU$121="4차중도금",$F194*50%-SUM($G194:AT194),$F194*10%)))))))+(IF(AU$121="5차중도금",$F194*60%-SUM($G194:AT194)-$F194*10%,IF(AU$121="6차중도금",$F194*70%-SUM($G194:AT194)-$F194*10%,0)))</f>
        <v>0</v>
      </c>
      <c r="AV194" s="605">
        <f>IF(AV$121="입주/잔금",($F194-SUM($G194:AU194))*30%,IF(AU$121="입주/잔금",($F194-SUM($G194:AT194))*50%,IF(AT$121="입주/잔금",($F194-SUM($G194:AS194))*20%,IF(AV$121=0,0,IF(AV$121="2차중도금",$F194*30%-SUM($G194:AU194),IF(AV$121="3차중도금",$F194*40%-SUM($G194:AU194),IF(AV$121="4차중도금",$F194*50%-SUM($G194:AU194),$F194*10%)))))))+(IF(AV$121="5차중도금",$F194*60%-SUM($G194:AU194)-$F194*10%,IF(AV$121="6차중도금",$F194*70%-SUM($G194:AU194)-$F194*10%,0)))</f>
        <v>0</v>
      </c>
      <c r="AW194" s="605">
        <f>IF(AW$121="입주/잔금",($F194-SUM($G194:AV194))*30%,IF(AV$121="입주/잔금",($F194-SUM($G194:AU194))*50%,IF(AU$121="입주/잔금",($F194-SUM($G194:AT194))*20%,IF(AW$121=0,0,IF(AW$121="2차중도금",$F194*30%-SUM($G194:AV194),IF(AW$121="3차중도금",$F194*40%-SUM($G194:AV194),IF(AW$121="4차중도금",$F194*50%-SUM($G194:AV194),$F194*10%)))))))+(IF(AW$121="5차중도금",$F194*60%-SUM($G194:AV194)-$F194*10%,IF(AW$121="6차중도금",$F194*70%-SUM($G194:AV194)-$F194*10%,0)))</f>
        <v>0</v>
      </c>
      <c r="AX194" s="605">
        <f>IF(AX$121="입주/잔금",($F194-SUM($G194:AW194))*30%,IF(AW$121="입주/잔금",($F194-SUM($G194:AV194))*50%,IF(AV$121="입주/잔금",($F194-SUM($G194:AU194))*20%,IF(AX$121=0,0,IF(AX$121="2차중도금",$F194*30%-SUM($G194:AW194),IF(AX$121="3차중도금",$F194*40%-SUM($G194:AW194),IF(AX$121="4차중도금",$F194*50%-SUM($G194:AW194),$F194*10%)))))))+(IF(AX$121="5차중도금",$F194*60%-SUM($G194:AW194)-$F194*10%,IF(AX$121="6차중도금",$F194*70%-SUM($G194:AW194)-$F194*10%,0)))</f>
        <v>0</v>
      </c>
      <c r="AY194" s="605">
        <f>IF(AY$121="입주/잔금",($F194-SUM($G194:AX194))*30%,IF(AX$121="입주/잔금",($F194-SUM($G194:AW194))*50%,IF(AW$121="입주/잔금",($F194-SUM($G194:AV194))*20%,IF(AY$121=0,0,IF(AY$121="2차중도금",$F194*30%-SUM($G194:AX194),IF(AY$121="3차중도금",$F194*40%-SUM($G194:AX194),IF(AY$121="4차중도금",$F194*50%-SUM($G194:AX194),$F194*10%)))))))+(IF(AY$121="5차중도금",$F194*60%-SUM($G194:AX194)-$F194*10%,IF(AY$121="6차중도금",$F194*70%-SUM($G194:AX194)-$F194*10%,0)))</f>
        <v>0</v>
      </c>
      <c r="AZ194" s="605">
        <f>IF(AZ$121="입주/잔금",($F194-SUM($G194:AY194))*30%,IF(AY$121="입주/잔금",($F194-SUM($G194:AX194))*50%,IF(AX$121="입주/잔금",($F194-SUM($G194:AW194))*20%,IF(AZ$121=0,0,IF(AZ$121="2차중도금",$F194*30%-SUM($G194:AY194),IF(AZ$121="3차중도금",$F194*40%-SUM($G194:AY194),IF(AZ$121="4차중도금",$F194*50%-SUM($G194:AY194),$F194*10%)))))))+(IF(AZ$121="5차중도금",$F194*60%-SUM($G194:AY194)-$F194*10%,IF(AZ$121="6차중도금",$F194*70%-SUM($G194:AY194)-$F194*10%,0)))</f>
        <v>0</v>
      </c>
      <c r="BA194" s="605">
        <f>IF(BA$121="입주/잔금",($F194-SUM($G194:AZ194))*30%,IF(AZ$121="입주/잔금",($F194-SUM($G194:AY194))*50%,IF(AY$121="입주/잔금",($F194-SUM($G194:AX194))*20%,IF(BA$121=0,0,IF(BA$121="2차중도금",$F194*30%-SUM($G194:AZ194),IF(BA$121="3차중도금",$F194*40%-SUM($G194:AZ194),IF(BA$121="4차중도금",$F194*50%-SUM($G194:AZ194),$F194*10%)))))))+(IF(BA$121="5차중도금",$F194*60%-SUM($G194:AZ194)-$F194*10%,IF(BA$121="6차중도금",$F194*70%-SUM($G194:AZ194)-$F194*10%,0)))</f>
        <v>0</v>
      </c>
      <c r="BB194" s="605">
        <f>IF(BB$121="입주/잔금",($F194-SUM($G194:BA194))*30%,IF(BA$121="입주/잔금",($F194-SUM($G194:AZ194))*50%,IF(AZ$121="입주/잔금",($F194-SUM($G194:AY194))*20%,IF(BB$121=0,0,IF(BB$121="2차중도금",$F194*30%-SUM($G194:BA194),IF(BB$121="3차중도금",$F194*40%-SUM($G194:BA194),IF(BB$121="4차중도금",$F194*50%-SUM($G194:BA194),$F194*10%)))))))+(IF(BB$121="5차중도금",$F194*60%-SUM($G194:BA194)-$F194*10%,IF(BB$121="6차중도금",$F194*70%-SUM($G194:BA194)-$F194*10%,0)))</f>
        <v>0</v>
      </c>
      <c r="BC194" s="605">
        <f>IF(BC$121="입주/잔금",($F194-SUM($G194:BB194))*30%,IF(BB$121="입주/잔금",($F194-SUM($G194:BA194))*50%,IF(BA$121="입주/잔금",($F194-SUM($G194:AZ194))*20%,IF(BC$121=0,0,IF(BC$121="2차중도금",$F194*30%-SUM($G194:BB194),IF(BC$121="3차중도금",$F194*40%-SUM($G194:BB194),IF(BC$121="4차중도금",$F194*50%-SUM($G194:BB194),$F194*10%)))))))+(IF(BC$121="5차중도금",$F194*60%-SUM($G194:BB194)-$F194*10%,IF(BC$121="6차중도금",$F194*70%-SUM($G194:BB194)-$F194*10%,0)))</f>
        <v>0</v>
      </c>
      <c r="BD194" s="605">
        <f>IF(BD$121="입주/잔금",($F194-SUM($G194:BC194))*30%,IF(BC$121="입주/잔금",($F194-SUM($G194:BB194))*50%,IF(BB$121="입주/잔금",($F194-SUM($G194:BA194))*20%,IF(BD$121=0,0,IF(BD$121="2차중도금",$F194*30%-SUM($G194:BC194),IF(BD$121="3차중도금",$F194*40%-SUM($G194:BC194),IF(BD$121="4차중도금",$F194*50%-SUM($G194:BC194),$F194*10%)))))))+(IF(BD$121="5차중도금",$F194*60%-SUM($G194:BC194)-$F194*10%,IF(BD$121="6차중도금",$F194*70%-SUM($G194:BC194)-$F194*10%,0)))</f>
        <v>0</v>
      </c>
      <c r="BE194" s="605">
        <f>IF(BE$121="입주/잔금",($F194-SUM($G194:BD194))*30%,IF(BD$121="입주/잔금",($F194-SUM($G194:BC194))*50%,IF(BC$121="입주/잔금",($F194-SUM($G194:BB194))*20%,IF(BE$121=0,0,IF(BE$121="2차중도금",$F194*30%-SUM($G194:BD194),IF(BE$121="3차중도금",$F194*40%-SUM($G194:BD194),IF(BE$121="4차중도금",$F194*50%-SUM($G194:BD194),$F194*10%)))))))+(IF(BE$121="5차중도금",$F194*60%-SUM($G194:BD194)-$F194*10%,IF(BE$121="6차중도금",$F194*70%-SUM($G194:BD194)-$F194*10%,0)))</f>
        <v>0</v>
      </c>
      <c r="BF194" s="609">
        <f t="shared" si="57"/>
        <v>0</v>
      </c>
      <c r="BG194" s="556">
        <f t="shared" si="59"/>
        <v>0</v>
      </c>
      <c r="BH194" s="610"/>
    </row>
    <row r="195" spans="1:60" hidden="1">
      <c r="A195" s="1853"/>
      <c r="B195" s="611">
        <f t="shared" si="60"/>
        <v>45383</v>
      </c>
      <c r="C195" s="605">
        <f t="shared" si="61"/>
        <v>0</v>
      </c>
      <c r="D195" s="606"/>
      <c r="E195" s="607">
        <f t="shared" si="62"/>
        <v>0</v>
      </c>
      <c r="F195" s="608">
        <f t="shared" si="58"/>
        <v>0</v>
      </c>
      <c r="G195" s="605"/>
      <c r="H195" s="605"/>
      <c r="I195" s="605"/>
      <c r="J195" s="605"/>
      <c r="K195" s="605"/>
      <c r="L195" s="605"/>
      <c r="M195" s="605"/>
      <c r="N195" s="605"/>
      <c r="O195" s="605"/>
      <c r="P195" s="605"/>
      <c r="Q195" s="605"/>
      <c r="R195" s="605"/>
      <c r="S195" s="605"/>
      <c r="T195" s="605"/>
      <c r="U195" s="605"/>
      <c r="V195" s="605"/>
      <c r="W195" s="605"/>
      <c r="X195" s="605"/>
      <c r="Y195" s="605">
        <f>$F195*10%</f>
        <v>0</v>
      </c>
      <c r="Z195" s="605">
        <f>IF(Z$121="입주/잔금",($F195-SUM($G195:Y195))*30%,IF(Y$121="입주/잔금",($F195-SUM($G195:X195))*50%,IF(X$121="입주/잔금",($F195-SUM($G195:W195))*20%,IF(Z$121=0,0,IF(Z$121="2차중도금",$F195*30%-SUM($G195:Y195),IF(Z$121="3차중도금",$F195*40%-SUM($G195:Y195),IF(Z$121="4차중도금",$F195*50%-SUM($G195:Y195),$F195*10%)))))))+(IF(Z$121="5차중도금",$F195*60%-SUM($G195:Y195)-$F195*10%,IF(Z$121="6차중도금",$F195*70%-SUM($G195:Y195)-$F195*10%,0)))</f>
        <v>0</v>
      </c>
      <c r="AA195" s="605">
        <f>IF(AA$121="입주/잔금",($F195-SUM($G195:Z195))*30%,IF(Z$121="입주/잔금",($F195-SUM($G195:Y195))*50%,IF(Y$121="입주/잔금",($F195-SUM($G195:X195))*20%,IF(AA$121=0,0,IF(AA$121="2차중도금",$F195*30%-SUM($G195:Z195),IF(AA$121="3차중도금",$F195*40%-SUM($G195:Z195),IF(AA$121="4차중도금",$F195*50%-SUM($G195:Z195),$F195*10%)))))))+(IF(AA$121="5차중도금",$F195*60%-SUM($G195:Z195)-$F195*10%,IF(AA$121="6차중도금",$F195*70%-SUM($G195:Z195)-$F195*10%,0)))</f>
        <v>0</v>
      </c>
      <c r="AB195" s="605">
        <f>IF(AB$121="입주/잔금",($F195-SUM($G195:AA195))*30%,IF(AA$121="입주/잔금",($F195-SUM($G195:Z195))*50%,IF(Z$121="입주/잔금",($F195-SUM($G195:Y195))*20%,IF(AB$121=0,0,IF(AB$121="2차중도금",$F195*30%-SUM($G195:AA195),IF(AB$121="3차중도금",$F195*40%-SUM($G195:AA195),IF(AB$121="4차중도금",$F195*50%-SUM($G195:AA195),$F195*10%)))))))+(IF(AB$121="5차중도금",$F195*60%-SUM($G195:AA195)-$F195*10%,IF(AB$121="6차중도금",$F195*70%-SUM($G195:AA195)-$F195*10%,0)))</f>
        <v>0</v>
      </c>
      <c r="AC195" s="605">
        <f>IF(AC$121="입주/잔금",($F195-SUM($G195:AB195))*30%,IF(AB$121="입주/잔금",($F195-SUM($G195:AA195))*50%,IF(AA$121="입주/잔금",($F195-SUM($G195:Z195))*20%,IF(AC$121=0,0,IF(AC$121="2차중도금",$F195*30%-SUM($G195:AB195),IF(AC$121="3차중도금",$F195*40%-SUM($G195:AB195),IF(AC$121="4차중도금",$F195*50%-SUM($G195:AB195),$F195*10%)))))))+(IF(AC$121="5차중도금",$F195*60%-SUM($G195:AB195)-$F195*10%,IF(AC$121="6차중도금",$F195*70%-SUM($G195:AB195)-$F195*10%,0)))</f>
        <v>0</v>
      </c>
      <c r="AD195" s="605">
        <f>IF(AD$121="입주/잔금",($F195-SUM($G195:AC195))*30%,IF(AC$121="입주/잔금",($F195-SUM($G195:AB195))*50%,IF(AB$121="입주/잔금",($F195-SUM($G195:AA195))*20%,IF(AD$121=0,0,IF(AD$121="2차중도금",$F195*30%-SUM($G195:AC195),IF(AD$121="3차중도금",$F195*40%-SUM($G195:AC195),IF(AD$121="4차중도금",$F195*50%-SUM($G195:AC195),$F195*10%)))))))+(IF(AD$121="5차중도금",$F195*60%-SUM($G195:AC195)-$F195*10%,IF(AD$121="6차중도금",$F195*70%-SUM($G195:AC195)-$F195*10%,0)))</f>
        <v>0</v>
      </c>
      <c r="AE195" s="605">
        <f>IF(AE$121="입주/잔금",($F195-SUM($G195:AD195))*30%,IF(AD$121="입주/잔금",($F195-SUM($G195:AC195))*50%,IF(AC$121="입주/잔금",($F195-SUM($G195:AB195))*20%,IF(AE$121=0,0,IF(AE$121="2차중도금",$F195*30%-SUM($G195:AD195),IF(AE$121="3차중도금",$F195*40%-SUM($G195:AD195),IF(AE$121="4차중도금",$F195*50%-SUM($G195:AD195),$F195*10%)))))))+(IF(AE$121="5차중도금",$F195*60%-SUM($G195:AD195)-$F195*10%,IF(AE$121="6차중도금",$F195*70%-SUM($G195:AD195)-$F195*10%,0)))</f>
        <v>0</v>
      </c>
      <c r="AF195" s="605">
        <f>IF(AF$121="입주/잔금",($F195-SUM($G195:AE195))*30%,IF(AE$121="입주/잔금",($F195-SUM($G195:AD195))*50%,IF(AD$121="입주/잔금",($F195-SUM($G195:AC195))*20%,IF(AF$121=0,0,IF(AF$121="2차중도금",$F195*30%-SUM($G195:AE195),IF(AF$121="3차중도금",$F195*40%-SUM($G195:AE195),IF(AF$121="4차중도금",$F195*50%-SUM($G195:AE195),$F195*10%)))))))+(IF(AF$121="5차중도금",$F195*60%-SUM($G195:AE195)-$F195*10%,IF(AF$121="6차중도금",$F195*70%-SUM($G195:AE195)-$F195*10%,0)))</f>
        <v>0</v>
      </c>
      <c r="AG195" s="605">
        <f>IF(AG$121="입주/잔금",($F195-SUM($G195:AF195))*30%,IF(AF$121="입주/잔금",($F195-SUM($G195:AE195))*50%,IF(AE$121="입주/잔금",($F195-SUM($G195:AD195))*20%,IF(AG$121=0,0,IF(AG$121="2차중도금",$F195*30%-SUM($G195:AF195),IF(AG$121="3차중도금",$F195*40%-SUM($G195:AF195),IF(AG$121="4차중도금",$F195*50%-SUM($G195:AF195),$F195*10%)))))))+(IF(AG$121="5차중도금",$F195*60%-SUM($G195:AF195)-$F195*10%,IF(AG$121="6차중도금",$F195*70%-SUM($G195:AF195)-$F195*10%,0)))</f>
        <v>0</v>
      </c>
      <c r="AH195" s="605">
        <f>IF(AH$121="입주/잔금",($F195-SUM($G195:AG195))*30%,IF(AG$121="입주/잔금",($F195-SUM($G195:AF195))*50%,IF(AF$121="입주/잔금",($F195-SUM($G195:AE195))*20%,IF(AH$121=0,0,IF(AH$121="2차중도금",$F195*30%-SUM($G195:AG195),IF(AH$121="3차중도금",$F195*40%-SUM($G195:AG195),IF(AH$121="4차중도금",$F195*50%-SUM($G195:AG195),$F195*10%)))))))+(IF(AH$121="5차중도금",$F195*60%-SUM($G195:AG195)-$F195*10%,IF(AH$121="6차중도금",$F195*70%-SUM($G195:AG195)-$F195*10%,0)))</f>
        <v>0</v>
      </c>
      <c r="AI195" s="605">
        <f>IF(AI$121="입주/잔금",($F195-SUM($G195:AH195))*30%,IF(AH$121="입주/잔금",($F195-SUM($G195:AG195))*50%,IF(AG$121="입주/잔금",($F195-SUM($G195:AF195))*20%,IF(AI$121=0,0,IF(AI$121="2차중도금",$F195*30%-SUM($G195:AH195),IF(AI$121="3차중도금",$F195*40%-SUM($G195:AH195),IF(AI$121="4차중도금",$F195*50%-SUM($G195:AH195),$F195*10%)))))))+(IF(AI$121="5차중도금",$F195*60%-SUM($G195:AH195)-$F195*10%,IF(AI$121="6차중도금",$F195*70%-SUM($G195:AH195)-$F195*10%,0)))</f>
        <v>0</v>
      </c>
      <c r="AJ195" s="605">
        <f>IF(AJ$121="입주/잔금",($F195-SUM($G195:AI195))*30%,IF(AI$121="입주/잔금",($F195-SUM($G195:AH195))*50%,IF(AH$121="입주/잔금",($F195-SUM($G195:AG195))*20%,IF(AJ$121=0,0,IF(AJ$121="2차중도금",$F195*30%-SUM($G195:AI195),IF(AJ$121="3차중도금",$F195*40%-SUM($G195:AI195),IF(AJ$121="4차중도금",$F195*50%-SUM($G195:AI195),$F195*10%)))))))+(IF(AJ$121="5차중도금",$F195*60%-SUM($G195:AI195)-$F195*10%,IF(AJ$121="6차중도금",$F195*70%-SUM($G195:AI195)-$F195*10%,0)))</f>
        <v>0</v>
      </c>
      <c r="AK195" s="605">
        <f>IF(AK$121="입주/잔금",($F195-SUM($G195:AJ195))*30%,IF(AJ$121="입주/잔금",($F195-SUM($G195:AI195))*50%,IF(AI$121="입주/잔금",($F195-SUM($G195:AH195))*20%,IF(AK$121=0,0,IF(AK$121="2차중도금",$F195*30%-SUM($G195:AJ195),IF(AK$121="3차중도금",$F195*40%-SUM($G195:AJ195),IF(AK$121="4차중도금",$F195*50%-SUM($G195:AJ195),$F195*10%)))))))+(IF(AK$121="5차중도금",$F195*60%-SUM($G195:AJ195)-$F195*10%,IF(AK$121="6차중도금",$F195*70%-SUM($G195:AJ195)-$F195*10%,0)))</f>
        <v>0</v>
      </c>
      <c r="AL195" s="605">
        <f>IF(AL$121="입주/잔금",($F195-SUM($G195:AK195))*30%,IF(AK$121="입주/잔금",($F195-SUM($G195:AJ195))*50%,IF(AJ$121="입주/잔금",($F195-SUM($G195:AI195))*20%,IF(AL$121=0,0,IF(AL$121="2차중도금",$F195*30%-SUM($G195:AK195),IF(AL$121="3차중도금",$F195*40%-SUM($G195:AK195),IF(AL$121="4차중도금",$F195*50%-SUM($G195:AK195),$F195*10%)))))))+(IF(AL$121="5차중도금",$F195*60%-SUM($G195:AK195)-$F195*10%,IF(AL$121="6차중도금",$F195*70%-SUM($G195:AK195)-$F195*10%,0)))</f>
        <v>0</v>
      </c>
      <c r="AM195" s="605">
        <f>IF(AM$121="입주/잔금",($F195-SUM($G195:AL195))*30%,IF(AL$121="입주/잔금",($F195-SUM($G195:AK195))*50%,IF(AK$121="입주/잔금",($F195-SUM($G195:AJ195))*20%,IF(AM$121=0,0,IF(AM$121="2차중도금",$F195*30%-SUM($G195:AL195),IF(AM$121="3차중도금",$F195*40%-SUM($G195:AL195),IF(AM$121="4차중도금",$F195*50%-SUM($G195:AL195),$F195*10%)))))))+(IF(AM$121="5차중도금",$F195*60%-SUM($G195:AL195)-$F195*10%,IF(AM$121="6차중도금",$F195*70%-SUM($G195:AL195)-$F195*10%,0)))</f>
        <v>0</v>
      </c>
      <c r="AN195" s="605">
        <f>IF(AN$121="입주/잔금",($F195-SUM($G195:AM195))*30%,IF(AM$121="입주/잔금",($F195-SUM($G195:AL195))*50%,IF(AL$121="입주/잔금",($F195-SUM($G195:AK195))*20%,IF(AN$121=0,0,IF(AN$121="2차중도금",$F195*30%-SUM($G195:AM195),IF(AN$121="3차중도금",$F195*40%-SUM($G195:AM195),IF(AN$121="4차중도금",$F195*50%-SUM($G195:AM195),$F195*10%)))))))+(IF(AN$121="5차중도금",$F195*60%-SUM($G195:AM195)-$F195*10%,IF(AN$121="6차중도금",$F195*70%-SUM($G195:AM195)-$F195*10%,0)))</f>
        <v>0</v>
      </c>
      <c r="AO195" s="605">
        <f>IF(AO$121="입주/잔금",($F195-SUM($G195:AN195))*30%,IF(AN$121="입주/잔금",($F195-SUM($G195:AM195))*50%,IF(AM$121="입주/잔금",($F195-SUM($G195:AL195))*20%,IF(AO$121=0,0,IF(AO$121="2차중도금",$F195*30%-SUM($G195:AN195),IF(AO$121="3차중도금",$F195*40%-SUM($G195:AN195),IF(AO$121="4차중도금",$F195*50%-SUM($G195:AN195),$F195*10%)))))))+(IF(AO$121="5차중도금",$F195*60%-SUM($G195:AN195)-$F195*10%,IF(AO$121="6차중도금",$F195*70%-SUM($G195:AN195)-$F195*10%,0)))</f>
        <v>0</v>
      </c>
      <c r="AP195" s="605">
        <f>IF(AP$121="입주/잔금",($F195-SUM($G195:AO195))*30%,IF(AO$121="입주/잔금",($F195-SUM($G195:AN195))*50%,IF(AN$121="입주/잔금",($F195-SUM($G195:AM195))*20%,IF(AP$121=0,0,IF(AP$121="2차중도금",$F195*30%-SUM($G195:AO195),IF(AP$121="3차중도금",$F195*40%-SUM($G195:AO195),IF(AP$121="4차중도금",$F195*50%-SUM($G195:AO195),$F195*10%)))))))+(IF(AP$121="5차중도금",$F195*60%-SUM($G195:AO195)-$F195*10%,IF(AP$121="6차중도금",$F195*70%-SUM($G195:AO195)-$F195*10%,0)))</f>
        <v>0</v>
      </c>
      <c r="AQ195" s="605">
        <f>IF(AQ$121="입주/잔금",($F195-SUM($G195:AP195))*30%,IF(AP$121="입주/잔금",($F195-SUM($G195:AO195))*50%,IF(AO$121="입주/잔금",($F195-SUM($G195:AN195))*20%,IF(AQ$121=0,0,IF(AQ$121="2차중도금",$F195*30%-SUM($G195:AP195),IF(AQ$121="3차중도금",$F195*40%-SUM($G195:AP195),IF(AQ$121="4차중도금",$F195*50%-SUM($G195:AP195),$F195*10%)))))))+(IF(AQ$121="5차중도금",$F195*60%-SUM($G195:AP195)-$F195*10%,IF(AQ$121="6차중도금",$F195*70%-SUM($G195:AP195)-$F195*10%,0)))</f>
        <v>0</v>
      </c>
      <c r="AR195" s="605">
        <f>IF(AR$121="입주/잔금",($F195-SUM($G195:AQ195))*30%,IF(AQ$121="입주/잔금",($F195-SUM($G195:AP195))*50%,IF(AP$121="입주/잔금",($F195-SUM($G195:AO195))*20%,IF(AR$121=0,0,IF(AR$121="2차중도금",$F195*30%-SUM($G195:AQ195),IF(AR$121="3차중도금",$F195*40%-SUM($G195:AQ195),IF(AR$121="4차중도금",$F195*50%-SUM($G195:AQ195),$F195*10%)))))))+(IF(AR$121="5차중도금",$F195*60%-SUM($G195:AQ195)-$F195*10%,IF(AR$121="6차중도금",$F195*70%-SUM($G195:AQ195)-$F195*10%,0)))</f>
        <v>0</v>
      </c>
      <c r="AS195" s="605">
        <f>IF(AS$121="입주/잔금",($F195-SUM($G195:AR195))*30%,IF(AR$121="입주/잔금",($F195-SUM($G195:AQ195))*50%,IF(AQ$121="입주/잔금",($F195-SUM($G195:AP195))*20%,IF(AS$121=0,0,IF(AS$121="2차중도금",$F195*30%-SUM($G195:AR195),IF(AS$121="3차중도금",$F195*40%-SUM($G195:AR195),IF(AS$121="4차중도금",$F195*50%-SUM($G195:AR195),$F195*10%)))))))+(IF(AS$121="5차중도금",$F195*60%-SUM($G195:AR195)-$F195*10%,IF(AS$121="6차중도금",$F195*70%-SUM($G195:AR195)-$F195*10%,0)))</f>
        <v>0</v>
      </c>
      <c r="AT195" s="605">
        <f>IF(AT$121="입주/잔금",($F195-SUM($G195:AS195))*30%,IF(AS$121="입주/잔금",($F195-SUM($G195:AR195))*50%,IF(AR$121="입주/잔금",($F195-SUM($G195:AQ195))*20%,IF(AT$121=0,0,IF(AT$121="2차중도금",$F195*30%-SUM($G195:AS195),IF(AT$121="3차중도금",$F195*40%-SUM($G195:AS195),IF(AT$121="4차중도금",$F195*50%-SUM($G195:AS195),$F195*10%)))))))+(IF(AT$121="5차중도금",$F195*60%-SUM($G195:AS195)-$F195*10%,IF(AT$121="6차중도금",$F195*70%-SUM($G195:AS195)-$F195*10%,0)))</f>
        <v>0</v>
      </c>
      <c r="AU195" s="605">
        <f>IF(AU$121="입주/잔금",($F195-SUM($G195:AT195))*30%,IF(AT$121="입주/잔금",($F195-SUM($G195:AS195))*50%,IF(AS$121="입주/잔금",($F195-SUM($G195:AR195))*20%,IF(AU$121=0,0,IF(AU$121="2차중도금",$F195*30%-SUM($G195:AT195),IF(AU$121="3차중도금",$F195*40%-SUM($G195:AT195),IF(AU$121="4차중도금",$F195*50%-SUM($G195:AT195),$F195*10%)))))))+(IF(AU$121="5차중도금",$F195*60%-SUM($G195:AT195)-$F195*10%,IF(AU$121="6차중도금",$F195*70%-SUM($G195:AT195)-$F195*10%,0)))</f>
        <v>0</v>
      </c>
      <c r="AV195" s="605">
        <f>IF(AV$121="입주/잔금",($F195-SUM($G195:AU195))*30%,IF(AU$121="입주/잔금",($F195-SUM($G195:AT195))*50%,IF(AT$121="입주/잔금",($F195-SUM($G195:AS195))*20%,IF(AV$121=0,0,IF(AV$121="2차중도금",$F195*30%-SUM($G195:AU195),IF(AV$121="3차중도금",$F195*40%-SUM($G195:AU195),IF(AV$121="4차중도금",$F195*50%-SUM($G195:AU195),$F195*10%)))))))+(IF(AV$121="5차중도금",$F195*60%-SUM($G195:AU195)-$F195*10%,IF(AV$121="6차중도금",$F195*70%-SUM($G195:AU195)-$F195*10%,0)))</f>
        <v>0</v>
      </c>
      <c r="AW195" s="605">
        <f>IF(AW$121="입주/잔금",($F195-SUM($G195:AV195))*30%,IF(AV$121="입주/잔금",($F195-SUM($G195:AU195))*50%,IF(AU$121="입주/잔금",($F195-SUM($G195:AT195))*20%,IF(AW$121=0,0,IF(AW$121="2차중도금",$F195*30%-SUM($G195:AV195),IF(AW$121="3차중도금",$F195*40%-SUM($G195:AV195),IF(AW$121="4차중도금",$F195*50%-SUM($G195:AV195),$F195*10%)))))))+(IF(AW$121="5차중도금",$F195*60%-SUM($G195:AV195)-$F195*10%,IF(AW$121="6차중도금",$F195*70%-SUM($G195:AV195)-$F195*10%,0)))</f>
        <v>0</v>
      </c>
      <c r="AX195" s="605">
        <f>IF(AX$121="입주/잔금",($F195-SUM($G195:AW195))*30%,IF(AW$121="입주/잔금",($F195-SUM($G195:AV195))*50%,IF(AV$121="입주/잔금",($F195-SUM($G195:AU195))*20%,IF(AX$121=0,0,IF(AX$121="2차중도금",$F195*30%-SUM($G195:AW195),IF(AX$121="3차중도금",$F195*40%-SUM($G195:AW195),IF(AX$121="4차중도금",$F195*50%-SUM($G195:AW195),$F195*10%)))))))+(IF(AX$121="5차중도금",$F195*60%-SUM($G195:AW195)-$F195*10%,IF(AX$121="6차중도금",$F195*70%-SUM($G195:AW195)-$F195*10%,0)))</f>
        <v>0</v>
      </c>
      <c r="AY195" s="605">
        <f>IF(AY$121="입주/잔금",($F195-SUM($G195:AX195))*30%,IF(AX$121="입주/잔금",($F195-SUM($G195:AW195))*50%,IF(AW$121="입주/잔금",($F195-SUM($G195:AV195))*20%,IF(AY$121=0,0,IF(AY$121="2차중도금",$F195*30%-SUM($G195:AX195),IF(AY$121="3차중도금",$F195*40%-SUM($G195:AX195),IF(AY$121="4차중도금",$F195*50%-SUM($G195:AX195),$F195*10%)))))))+(IF(AY$121="5차중도금",$F195*60%-SUM($G195:AX195)-$F195*10%,IF(AY$121="6차중도금",$F195*70%-SUM($G195:AX195)-$F195*10%,0)))</f>
        <v>0</v>
      </c>
      <c r="AZ195" s="605">
        <f>IF(AZ$121="입주/잔금",($F195-SUM($G195:AY195))*30%,IF(AY$121="입주/잔금",($F195-SUM($G195:AX195))*50%,IF(AX$121="입주/잔금",($F195-SUM($G195:AW195))*20%,IF(AZ$121=0,0,IF(AZ$121="2차중도금",$F195*30%-SUM($G195:AY195),IF(AZ$121="3차중도금",$F195*40%-SUM($G195:AY195),IF(AZ$121="4차중도금",$F195*50%-SUM($G195:AY195),$F195*10%)))))))+(IF(AZ$121="5차중도금",$F195*60%-SUM($G195:AY195)-$F195*10%,IF(AZ$121="6차중도금",$F195*70%-SUM($G195:AY195)-$F195*10%,0)))</f>
        <v>0</v>
      </c>
      <c r="BA195" s="605">
        <f>IF(BA$121="입주/잔금",($F195-SUM($G195:AZ195))*30%,IF(AZ$121="입주/잔금",($F195-SUM($G195:AY195))*50%,IF(AY$121="입주/잔금",($F195-SUM($G195:AX195))*20%,IF(BA$121=0,0,IF(BA$121="2차중도금",$F195*30%-SUM($G195:AZ195),IF(BA$121="3차중도금",$F195*40%-SUM($G195:AZ195),IF(BA$121="4차중도금",$F195*50%-SUM($G195:AZ195),$F195*10%)))))))+(IF(BA$121="5차중도금",$F195*60%-SUM($G195:AZ195)-$F195*10%,IF(BA$121="6차중도금",$F195*70%-SUM($G195:AZ195)-$F195*10%,0)))</f>
        <v>0</v>
      </c>
      <c r="BB195" s="605">
        <f>IF(BB$121="입주/잔금",($F195-SUM($G195:BA195))*30%,IF(BA$121="입주/잔금",($F195-SUM($G195:AZ195))*50%,IF(AZ$121="입주/잔금",($F195-SUM($G195:AY195))*20%,IF(BB$121=0,0,IF(BB$121="2차중도금",$F195*30%-SUM($G195:BA195),IF(BB$121="3차중도금",$F195*40%-SUM($G195:BA195),IF(BB$121="4차중도금",$F195*50%-SUM($G195:BA195),$F195*10%)))))))+(IF(BB$121="5차중도금",$F195*60%-SUM($G195:BA195)-$F195*10%,IF(BB$121="6차중도금",$F195*70%-SUM($G195:BA195)-$F195*10%,0)))</f>
        <v>0</v>
      </c>
      <c r="BC195" s="605">
        <f>IF(BC$121="입주/잔금",($F195-SUM($G195:BB195))*30%,IF(BB$121="입주/잔금",($F195-SUM($G195:BA195))*50%,IF(BA$121="입주/잔금",($F195-SUM($G195:AZ195))*20%,IF(BC$121=0,0,IF(BC$121="2차중도금",$F195*30%-SUM($G195:BB195),IF(BC$121="3차중도금",$F195*40%-SUM($G195:BB195),IF(BC$121="4차중도금",$F195*50%-SUM($G195:BB195),$F195*10%)))))))+(IF(BC$121="5차중도금",$F195*60%-SUM($G195:BB195)-$F195*10%,IF(BC$121="6차중도금",$F195*70%-SUM($G195:BB195)-$F195*10%,0)))</f>
        <v>0</v>
      </c>
      <c r="BD195" s="605">
        <f>IF(BD$121="입주/잔금",($F195-SUM($G195:BC195))*30%,IF(BC$121="입주/잔금",($F195-SUM($G195:BB195))*50%,IF(BB$121="입주/잔금",($F195-SUM($G195:BA195))*20%,IF(BD$121=0,0,IF(BD$121="2차중도금",$F195*30%-SUM($G195:BC195),IF(BD$121="3차중도금",$F195*40%-SUM($G195:BC195),IF(BD$121="4차중도금",$F195*50%-SUM($G195:BC195),$F195*10%)))))))+(IF(BD$121="5차중도금",$F195*60%-SUM($G195:BC195)-$F195*10%,IF(BD$121="6차중도금",$F195*70%-SUM($G195:BC195)-$F195*10%,0)))</f>
        <v>0</v>
      </c>
      <c r="BE195" s="605">
        <f>IF(BE$121="입주/잔금",($F195-SUM($G195:BD195))*30%,IF(BD$121="입주/잔금",($F195-SUM($G195:BC195))*50%,IF(BC$121="입주/잔금",($F195-SUM($G195:BB195))*20%,IF(BE$121=0,0,IF(BE$121="2차중도금",$F195*30%-SUM($G195:BD195),IF(BE$121="3차중도금",$F195*40%-SUM($G195:BD195),IF(BE$121="4차중도금",$F195*50%-SUM($G195:BD195),$F195*10%)))))))+(IF(BE$121="5차중도금",$F195*60%-SUM($G195:BD195)-$F195*10%,IF(BE$121="6차중도금",$F195*70%-SUM($G195:BD195)-$F195*10%,0)))</f>
        <v>0</v>
      </c>
      <c r="BF195" s="609">
        <f t="shared" si="57"/>
        <v>0</v>
      </c>
      <c r="BG195" s="556">
        <f t="shared" si="59"/>
        <v>0</v>
      </c>
      <c r="BH195" s="610"/>
    </row>
    <row r="196" spans="1:60" hidden="1">
      <c r="A196" s="1853"/>
      <c r="B196" s="611">
        <f t="shared" si="60"/>
        <v>45413</v>
      </c>
      <c r="C196" s="605">
        <f t="shared" si="61"/>
        <v>0</v>
      </c>
      <c r="D196" s="606"/>
      <c r="E196" s="607">
        <f t="shared" si="62"/>
        <v>0</v>
      </c>
      <c r="F196" s="608">
        <f t="shared" si="58"/>
        <v>0</v>
      </c>
      <c r="G196" s="605"/>
      <c r="H196" s="605"/>
      <c r="I196" s="605"/>
      <c r="J196" s="605"/>
      <c r="K196" s="605"/>
      <c r="L196" s="605"/>
      <c r="M196" s="605"/>
      <c r="N196" s="605"/>
      <c r="O196" s="605"/>
      <c r="P196" s="605"/>
      <c r="Q196" s="605"/>
      <c r="R196" s="605"/>
      <c r="S196" s="605"/>
      <c r="T196" s="605"/>
      <c r="U196" s="605"/>
      <c r="V196" s="605"/>
      <c r="W196" s="605"/>
      <c r="X196" s="605"/>
      <c r="Y196" s="605"/>
      <c r="Z196" s="605">
        <f>$F196*10%</f>
        <v>0</v>
      </c>
      <c r="AA196" s="605">
        <f>IF(AA$121="입주/잔금",($F196-SUM($G196:Z196))*30%,IF(Z$121="입주/잔금",($F196-SUM($G196:Y196))*50%,IF(Y$121="입주/잔금",($F196-SUM($G196:X196))*20%,IF(AA$121=0,0,IF(AA$121="2차중도금",$F196*30%-SUM($G196:Z196),IF(AA$121="3차중도금",$F196*40%-SUM($G196:Z196),IF(AA$121="4차중도금",$F196*50%-SUM($G196:Z196),$F196*10%)))))))+(IF(AA$121="5차중도금",$F196*60%-SUM($G196:Z196)-$F196*10%,IF(AA$121="6차중도금",$F196*70%-SUM($G196:Z196)-$F196*10%,0)))</f>
        <v>0</v>
      </c>
      <c r="AB196" s="605">
        <f>IF(AB$121="입주/잔금",($F196-SUM($G196:AA196))*30%,IF(AA$121="입주/잔금",($F196-SUM($G196:Z196))*50%,IF(Z$121="입주/잔금",($F196-SUM($G196:Y196))*20%,IF(AB$121=0,0,IF(AB$121="2차중도금",$F196*30%-SUM($G196:AA196),IF(AB$121="3차중도금",$F196*40%-SUM($G196:AA196),IF(AB$121="4차중도금",$F196*50%-SUM($G196:AA196),$F196*10%)))))))+(IF(AB$121="5차중도금",$F196*60%-SUM($G196:AA196)-$F196*10%,IF(AB$121="6차중도금",$F196*70%-SUM($G196:AA196)-$F196*10%,0)))</f>
        <v>0</v>
      </c>
      <c r="AC196" s="605">
        <f>IF(AC$121="입주/잔금",($F196-SUM($G196:AB196))*30%,IF(AB$121="입주/잔금",($F196-SUM($G196:AA196))*50%,IF(AA$121="입주/잔금",($F196-SUM($G196:Z196))*20%,IF(AC$121=0,0,IF(AC$121="2차중도금",$F196*30%-SUM($G196:AB196),IF(AC$121="3차중도금",$F196*40%-SUM($G196:AB196),IF(AC$121="4차중도금",$F196*50%-SUM($G196:AB196),$F196*10%)))))))+(IF(AC$121="5차중도금",$F196*60%-SUM($G196:AB196)-$F196*10%,IF(AC$121="6차중도금",$F196*70%-SUM($G196:AB196)-$F196*10%,0)))</f>
        <v>0</v>
      </c>
      <c r="AD196" s="605">
        <f>IF(AD$121="입주/잔금",($F196-SUM($G196:AC196))*30%,IF(AC$121="입주/잔금",($F196-SUM($G196:AB196))*50%,IF(AB$121="입주/잔금",($F196-SUM($G196:AA196))*20%,IF(AD$121=0,0,IF(AD$121="2차중도금",$F196*30%-SUM($G196:AC196),IF(AD$121="3차중도금",$F196*40%-SUM($G196:AC196),IF(AD$121="4차중도금",$F196*50%-SUM($G196:AC196),$F196*10%)))))))+(IF(AD$121="5차중도금",$F196*60%-SUM($G196:AC196)-$F196*10%,IF(AD$121="6차중도금",$F196*70%-SUM($G196:AC196)-$F196*10%,0)))</f>
        <v>0</v>
      </c>
      <c r="AE196" s="605">
        <f>IF(AE$121="입주/잔금",($F196-SUM($G196:AD196))*30%,IF(AD$121="입주/잔금",($F196-SUM($G196:AC196))*50%,IF(AC$121="입주/잔금",($F196-SUM($G196:AB196))*20%,IF(AE$121=0,0,IF(AE$121="2차중도금",$F196*30%-SUM($G196:AD196),IF(AE$121="3차중도금",$F196*40%-SUM($G196:AD196),IF(AE$121="4차중도금",$F196*50%-SUM($G196:AD196),$F196*10%)))))))+(IF(AE$121="5차중도금",$F196*60%-SUM($G196:AD196)-$F196*10%,IF(AE$121="6차중도금",$F196*70%-SUM($G196:AD196)-$F196*10%,0)))</f>
        <v>0</v>
      </c>
      <c r="AF196" s="605">
        <f>IF(AF$121="입주/잔금",($F196-SUM($G196:AE196))*30%,IF(AE$121="입주/잔금",($F196-SUM($G196:AD196))*50%,IF(AD$121="입주/잔금",($F196-SUM($G196:AC196))*20%,IF(AF$121=0,0,IF(AF$121="2차중도금",$F196*30%-SUM($G196:AE196),IF(AF$121="3차중도금",$F196*40%-SUM($G196:AE196),IF(AF$121="4차중도금",$F196*50%-SUM($G196:AE196),$F196*10%)))))))+(IF(AF$121="5차중도금",$F196*60%-SUM($G196:AE196)-$F196*10%,IF(AF$121="6차중도금",$F196*70%-SUM($G196:AE196)-$F196*10%,0)))</f>
        <v>0</v>
      </c>
      <c r="AG196" s="605">
        <f>IF(AG$121="입주/잔금",($F196-SUM($G196:AF196))*30%,IF(AF$121="입주/잔금",($F196-SUM($G196:AE196))*50%,IF(AE$121="입주/잔금",($F196-SUM($G196:AD196))*20%,IF(AG$121=0,0,IF(AG$121="2차중도금",$F196*30%-SUM($G196:AF196),IF(AG$121="3차중도금",$F196*40%-SUM($G196:AF196),IF(AG$121="4차중도금",$F196*50%-SUM($G196:AF196),$F196*10%)))))))+(IF(AG$121="5차중도금",$F196*60%-SUM($G196:AF196)-$F196*10%,IF(AG$121="6차중도금",$F196*70%-SUM($G196:AF196)-$F196*10%,0)))</f>
        <v>0</v>
      </c>
      <c r="AH196" s="605">
        <f>IF(AH$121="입주/잔금",($F196-SUM($G196:AG196))*30%,IF(AG$121="입주/잔금",($F196-SUM($G196:AF196))*50%,IF(AF$121="입주/잔금",($F196-SUM($G196:AE196))*20%,IF(AH$121=0,0,IF(AH$121="2차중도금",$F196*30%-SUM($G196:AG196),IF(AH$121="3차중도금",$F196*40%-SUM($G196:AG196),IF(AH$121="4차중도금",$F196*50%-SUM($G196:AG196),$F196*10%)))))))+(IF(AH$121="5차중도금",$F196*60%-SUM($G196:AG196)-$F196*10%,IF(AH$121="6차중도금",$F196*70%-SUM($G196:AG196)-$F196*10%,0)))</f>
        <v>0</v>
      </c>
      <c r="AI196" s="605">
        <f>IF(AI$121="입주/잔금",($F196-SUM($G196:AH196))*30%,IF(AH$121="입주/잔금",($F196-SUM($G196:AG196))*50%,IF(AG$121="입주/잔금",($F196-SUM($G196:AF196))*20%,IF(AI$121=0,0,IF(AI$121="2차중도금",$F196*30%-SUM($G196:AH196),IF(AI$121="3차중도금",$F196*40%-SUM($G196:AH196),IF(AI$121="4차중도금",$F196*50%-SUM($G196:AH196),$F196*10%)))))))+(IF(AI$121="5차중도금",$F196*60%-SUM($G196:AH196)-$F196*10%,IF(AI$121="6차중도금",$F196*70%-SUM($G196:AH196)-$F196*10%,0)))</f>
        <v>0</v>
      </c>
      <c r="AJ196" s="605">
        <f>IF(AJ$121="입주/잔금",($F196-SUM($G196:AI196))*30%,IF(AI$121="입주/잔금",($F196-SUM($G196:AH196))*50%,IF(AH$121="입주/잔금",($F196-SUM($G196:AG196))*20%,IF(AJ$121=0,0,IF(AJ$121="2차중도금",$F196*30%-SUM($G196:AI196),IF(AJ$121="3차중도금",$F196*40%-SUM($G196:AI196),IF(AJ$121="4차중도금",$F196*50%-SUM($G196:AI196),$F196*10%)))))))+(IF(AJ$121="5차중도금",$F196*60%-SUM($G196:AI196)-$F196*10%,IF(AJ$121="6차중도금",$F196*70%-SUM($G196:AI196)-$F196*10%,0)))</f>
        <v>0</v>
      </c>
      <c r="AK196" s="605">
        <f>IF(AK$121="입주/잔금",($F196-SUM($G196:AJ196))*30%,IF(AJ$121="입주/잔금",($F196-SUM($G196:AI196))*50%,IF(AI$121="입주/잔금",($F196-SUM($G196:AH196))*20%,IF(AK$121=0,0,IF(AK$121="2차중도금",$F196*30%-SUM($G196:AJ196),IF(AK$121="3차중도금",$F196*40%-SUM($G196:AJ196),IF(AK$121="4차중도금",$F196*50%-SUM($G196:AJ196),$F196*10%)))))))+(IF(AK$121="5차중도금",$F196*60%-SUM($G196:AJ196)-$F196*10%,IF(AK$121="6차중도금",$F196*70%-SUM($G196:AJ196)-$F196*10%,0)))</f>
        <v>0</v>
      </c>
      <c r="AL196" s="605">
        <f>IF(AL$121="입주/잔금",($F196-SUM($G196:AK196))*30%,IF(AK$121="입주/잔금",($F196-SUM($G196:AJ196))*50%,IF(AJ$121="입주/잔금",($F196-SUM($G196:AI196))*20%,IF(AL$121=0,0,IF(AL$121="2차중도금",$F196*30%-SUM($G196:AK196),IF(AL$121="3차중도금",$F196*40%-SUM($G196:AK196),IF(AL$121="4차중도금",$F196*50%-SUM($G196:AK196),$F196*10%)))))))+(IF(AL$121="5차중도금",$F196*60%-SUM($G196:AK196)-$F196*10%,IF(AL$121="6차중도금",$F196*70%-SUM($G196:AK196)-$F196*10%,0)))</f>
        <v>0</v>
      </c>
      <c r="AM196" s="605">
        <f>IF(AM$121="입주/잔금",($F196-SUM($G196:AL196))*30%,IF(AL$121="입주/잔금",($F196-SUM($G196:AK196))*50%,IF(AK$121="입주/잔금",($F196-SUM($G196:AJ196))*20%,IF(AM$121=0,0,IF(AM$121="2차중도금",$F196*30%-SUM($G196:AL196),IF(AM$121="3차중도금",$F196*40%-SUM($G196:AL196),IF(AM$121="4차중도금",$F196*50%-SUM($G196:AL196),$F196*10%)))))))+(IF(AM$121="5차중도금",$F196*60%-SUM($G196:AL196)-$F196*10%,IF(AM$121="6차중도금",$F196*70%-SUM($G196:AL196)-$F196*10%,0)))</f>
        <v>0</v>
      </c>
      <c r="AN196" s="605">
        <f>IF(AN$121="입주/잔금",($F196-SUM($G196:AM196))*30%,IF(AM$121="입주/잔금",($F196-SUM($G196:AL196))*50%,IF(AL$121="입주/잔금",($F196-SUM($G196:AK196))*20%,IF(AN$121=0,0,IF(AN$121="2차중도금",$F196*30%-SUM($G196:AM196),IF(AN$121="3차중도금",$F196*40%-SUM($G196:AM196),IF(AN$121="4차중도금",$F196*50%-SUM($G196:AM196),$F196*10%)))))))+(IF(AN$121="5차중도금",$F196*60%-SUM($G196:AM196)-$F196*10%,IF(AN$121="6차중도금",$F196*70%-SUM($G196:AM196)-$F196*10%,0)))</f>
        <v>0</v>
      </c>
      <c r="AO196" s="605">
        <f>IF(AO$121="입주/잔금",($F196-SUM($G196:AN196))*30%,IF(AN$121="입주/잔금",($F196-SUM($G196:AM196))*50%,IF(AM$121="입주/잔금",($F196-SUM($G196:AL196))*20%,IF(AO$121=0,0,IF(AO$121="2차중도금",$F196*30%-SUM($G196:AN196),IF(AO$121="3차중도금",$F196*40%-SUM($G196:AN196),IF(AO$121="4차중도금",$F196*50%-SUM($G196:AN196),$F196*10%)))))))+(IF(AO$121="5차중도금",$F196*60%-SUM($G196:AN196)-$F196*10%,IF(AO$121="6차중도금",$F196*70%-SUM($G196:AN196)-$F196*10%,0)))</f>
        <v>0</v>
      </c>
      <c r="AP196" s="605">
        <f>IF(AP$121="입주/잔금",($F196-SUM($G196:AO196))*30%,IF(AO$121="입주/잔금",($F196-SUM($G196:AN196))*50%,IF(AN$121="입주/잔금",($F196-SUM($G196:AM196))*20%,IF(AP$121=0,0,IF(AP$121="2차중도금",$F196*30%-SUM($G196:AO196),IF(AP$121="3차중도금",$F196*40%-SUM($G196:AO196),IF(AP$121="4차중도금",$F196*50%-SUM($G196:AO196),$F196*10%)))))))+(IF(AP$121="5차중도금",$F196*60%-SUM($G196:AO196)-$F196*10%,IF(AP$121="6차중도금",$F196*70%-SUM($G196:AO196)-$F196*10%,0)))</f>
        <v>0</v>
      </c>
      <c r="AQ196" s="605">
        <f>IF(AQ$121="입주/잔금",($F196-SUM($G196:AP196))*30%,IF(AP$121="입주/잔금",($F196-SUM($G196:AO196))*50%,IF(AO$121="입주/잔금",($F196-SUM($G196:AN196))*20%,IF(AQ$121=0,0,IF(AQ$121="2차중도금",$F196*30%-SUM($G196:AP196),IF(AQ$121="3차중도금",$F196*40%-SUM($G196:AP196),IF(AQ$121="4차중도금",$F196*50%-SUM($G196:AP196),$F196*10%)))))))+(IF(AQ$121="5차중도금",$F196*60%-SUM($G196:AP196)-$F196*10%,IF(AQ$121="6차중도금",$F196*70%-SUM($G196:AP196)-$F196*10%,0)))</f>
        <v>0</v>
      </c>
      <c r="AR196" s="605">
        <f>IF(AR$121="입주/잔금",($F196-SUM($G196:AQ196))*30%,IF(AQ$121="입주/잔금",($F196-SUM($G196:AP196))*50%,IF(AP$121="입주/잔금",($F196-SUM($G196:AO196))*20%,IF(AR$121=0,0,IF(AR$121="2차중도금",$F196*30%-SUM($G196:AQ196),IF(AR$121="3차중도금",$F196*40%-SUM($G196:AQ196),IF(AR$121="4차중도금",$F196*50%-SUM($G196:AQ196),$F196*10%)))))))+(IF(AR$121="5차중도금",$F196*60%-SUM($G196:AQ196)-$F196*10%,IF(AR$121="6차중도금",$F196*70%-SUM($G196:AQ196)-$F196*10%,0)))</f>
        <v>0</v>
      </c>
      <c r="AS196" s="605">
        <f>IF(AS$121="입주/잔금",($F196-SUM($G196:AR196))*30%,IF(AR$121="입주/잔금",($F196-SUM($G196:AQ196))*50%,IF(AQ$121="입주/잔금",($F196-SUM($G196:AP196))*20%,IF(AS$121=0,0,IF(AS$121="2차중도금",$F196*30%-SUM($G196:AR196),IF(AS$121="3차중도금",$F196*40%-SUM($G196:AR196),IF(AS$121="4차중도금",$F196*50%-SUM($G196:AR196),$F196*10%)))))))+(IF(AS$121="5차중도금",$F196*60%-SUM($G196:AR196)-$F196*10%,IF(AS$121="6차중도금",$F196*70%-SUM($G196:AR196)-$F196*10%,0)))</f>
        <v>0</v>
      </c>
      <c r="AT196" s="605">
        <f>IF(AT$121="입주/잔금",($F196-SUM($G196:AS196))*30%,IF(AS$121="입주/잔금",($F196-SUM($G196:AR196))*50%,IF(AR$121="입주/잔금",($F196-SUM($G196:AQ196))*20%,IF(AT$121=0,0,IF(AT$121="2차중도금",$F196*30%-SUM($G196:AS196),IF(AT$121="3차중도금",$F196*40%-SUM($G196:AS196),IF(AT$121="4차중도금",$F196*50%-SUM($G196:AS196),$F196*10%)))))))+(IF(AT$121="5차중도금",$F196*60%-SUM($G196:AS196)-$F196*10%,IF(AT$121="6차중도금",$F196*70%-SUM($G196:AS196)-$F196*10%,0)))</f>
        <v>0</v>
      </c>
      <c r="AU196" s="605">
        <f>IF(AU$121="입주/잔금",($F196-SUM($G196:AT196))*30%,IF(AT$121="입주/잔금",($F196-SUM($G196:AS196))*50%,IF(AS$121="입주/잔금",($F196-SUM($G196:AR196))*20%,IF(AU$121=0,0,IF(AU$121="2차중도금",$F196*30%-SUM($G196:AT196),IF(AU$121="3차중도금",$F196*40%-SUM($G196:AT196),IF(AU$121="4차중도금",$F196*50%-SUM($G196:AT196),$F196*10%)))))))+(IF(AU$121="5차중도금",$F196*60%-SUM($G196:AT196)-$F196*10%,IF(AU$121="6차중도금",$F196*70%-SUM($G196:AT196)-$F196*10%,0)))</f>
        <v>0</v>
      </c>
      <c r="AV196" s="605">
        <f>IF(AV$121="입주/잔금",($F196-SUM($G196:AU196))*30%,IF(AU$121="입주/잔금",($F196-SUM($G196:AT196))*50%,IF(AT$121="입주/잔금",($F196-SUM($G196:AS196))*20%,IF(AV$121=0,0,IF(AV$121="2차중도금",$F196*30%-SUM($G196:AU196),IF(AV$121="3차중도금",$F196*40%-SUM($G196:AU196),IF(AV$121="4차중도금",$F196*50%-SUM($G196:AU196),$F196*10%)))))))+(IF(AV$121="5차중도금",$F196*60%-SUM($G196:AU196)-$F196*10%,IF(AV$121="6차중도금",$F196*70%-SUM($G196:AU196)-$F196*10%,0)))</f>
        <v>0</v>
      </c>
      <c r="AW196" s="605">
        <f>IF(AW$121="입주/잔금",($F196-SUM($G196:AV196))*30%,IF(AV$121="입주/잔금",($F196-SUM($G196:AU196))*50%,IF(AU$121="입주/잔금",($F196-SUM($G196:AT196))*20%,IF(AW$121=0,0,IF(AW$121="2차중도금",$F196*30%-SUM($G196:AV196),IF(AW$121="3차중도금",$F196*40%-SUM($G196:AV196),IF(AW$121="4차중도금",$F196*50%-SUM($G196:AV196),$F196*10%)))))))+(IF(AW$121="5차중도금",$F196*60%-SUM($G196:AV196)-$F196*10%,IF(AW$121="6차중도금",$F196*70%-SUM($G196:AV196)-$F196*10%,0)))</f>
        <v>0</v>
      </c>
      <c r="AX196" s="605">
        <f>IF(AX$121="입주/잔금",($F196-SUM($G196:AW196))*30%,IF(AW$121="입주/잔금",($F196-SUM($G196:AV196))*50%,IF(AV$121="입주/잔금",($F196-SUM($G196:AU196))*20%,IF(AX$121=0,0,IF(AX$121="2차중도금",$F196*30%-SUM($G196:AW196),IF(AX$121="3차중도금",$F196*40%-SUM($G196:AW196),IF(AX$121="4차중도금",$F196*50%-SUM($G196:AW196),$F196*10%)))))))+(IF(AX$121="5차중도금",$F196*60%-SUM($G196:AW196)-$F196*10%,IF(AX$121="6차중도금",$F196*70%-SUM($G196:AW196)-$F196*10%,0)))</f>
        <v>0</v>
      </c>
      <c r="AY196" s="605">
        <f>IF(AY$121="입주/잔금",($F196-SUM($G196:AX196))*30%,IF(AX$121="입주/잔금",($F196-SUM($G196:AW196))*50%,IF(AW$121="입주/잔금",($F196-SUM($G196:AV196))*20%,IF(AY$121=0,0,IF(AY$121="2차중도금",$F196*30%-SUM($G196:AX196),IF(AY$121="3차중도금",$F196*40%-SUM($G196:AX196),IF(AY$121="4차중도금",$F196*50%-SUM($G196:AX196),$F196*10%)))))))+(IF(AY$121="5차중도금",$F196*60%-SUM($G196:AX196)-$F196*10%,IF(AY$121="6차중도금",$F196*70%-SUM($G196:AX196)-$F196*10%,0)))</f>
        <v>0</v>
      </c>
      <c r="AZ196" s="605">
        <f>IF(AZ$121="입주/잔금",($F196-SUM($G196:AY196))*30%,IF(AY$121="입주/잔금",($F196-SUM($G196:AX196))*50%,IF(AX$121="입주/잔금",($F196-SUM($G196:AW196))*20%,IF(AZ$121=0,0,IF(AZ$121="2차중도금",$F196*30%-SUM($G196:AY196),IF(AZ$121="3차중도금",$F196*40%-SUM($G196:AY196),IF(AZ$121="4차중도금",$F196*50%-SUM($G196:AY196),$F196*10%)))))))+(IF(AZ$121="5차중도금",$F196*60%-SUM($G196:AY196)-$F196*10%,IF(AZ$121="6차중도금",$F196*70%-SUM($G196:AY196)-$F196*10%,0)))</f>
        <v>0</v>
      </c>
      <c r="BA196" s="605">
        <f>IF(BA$121="입주/잔금",($F196-SUM($G196:AZ196))*30%,IF(AZ$121="입주/잔금",($F196-SUM($G196:AY196))*50%,IF(AY$121="입주/잔금",($F196-SUM($G196:AX196))*20%,IF(BA$121=0,0,IF(BA$121="2차중도금",$F196*30%-SUM($G196:AZ196),IF(BA$121="3차중도금",$F196*40%-SUM($G196:AZ196),IF(BA$121="4차중도금",$F196*50%-SUM($G196:AZ196),$F196*10%)))))))+(IF(BA$121="5차중도금",$F196*60%-SUM($G196:AZ196)-$F196*10%,IF(BA$121="6차중도금",$F196*70%-SUM($G196:AZ196)-$F196*10%,0)))</f>
        <v>0</v>
      </c>
      <c r="BB196" s="605">
        <f>IF(BB$121="입주/잔금",($F196-SUM($G196:BA196))*30%,IF(BA$121="입주/잔금",($F196-SUM($G196:AZ196))*50%,IF(AZ$121="입주/잔금",($F196-SUM($G196:AY196))*20%,IF(BB$121=0,0,IF(BB$121="2차중도금",$F196*30%-SUM($G196:BA196),IF(BB$121="3차중도금",$F196*40%-SUM($G196:BA196),IF(BB$121="4차중도금",$F196*50%-SUM($G196:BA196),$F196*10%)))))))+(IF(BB$121="5차중도금",$F196*60%-SUM($G196:BA196)-$F196*10%,IF(BB$121="6차중도금",$F196*70%-SUM($G196:BA196)-$F196*10%,0)))</f>
        <v>0</v>
      </c>
      <c r="BC196" s="605">
        <f>IF(BC$121="입주/잔금",($F196-SUM($G196:BB196))*30%,IF(BB$121="입주/잔금",($F196-SUM($G196:BA196))*50%,IF(BA$121="입주/잔금",($F196-SUM($G196:AZ196))*20%,IF(BC$121=0,0,IF(BC$121="2차중도금",$F196*30%-SUM($G196:BB196),IF(BC$121="3차중도금",$F196*40%-SUM($G196:BB196),IF(BC$121="4차중도금",$F196*50%-SUM($G196:BB196),$F196*10%)))))))+(IF(BC$121="5차중도금",$F196*60%-SUM($G196:BB196)-$F196*10%,IF(BC$121="6차중도금",$F196*70%-SUM($G196:BB196)-$F196*10%,0)))</f>
        <v>0</v>
      </c>
      <c r="BD196" s="605">
        <f>IF(BD$121="입주/잔금",($F196-SUM($G196:BC196))*30%,IF(BC$121="입주/잔금",($F196-SUM($G196:BB196))*50%,IF(BB$121="입주/잔금",($F196-SUM($G196:BA196))*20%,IF(BD$121=0,0,IF(BD$121="2차중도금",$F196*30%-SUM($G196:BC196),IF(BD$121="3차중도금",$F196*40%-SUM($G196:BC196),IF(BD$121="4차중도금",$F196*50%-SUM($G196:BC196),$F196*10%)))))))+(IF(BD$121="5차중도금",$F196*60%-SUM($G196:BC196)-$F196*10%,IF(BD$121="6차중도금",$F196*70%-SUM($G196:BC196)-$F196*10%,0)))</f>
        <v>0</v>
      </c>
      <c r="BE196" s="605">
        <f>IF(BE$121="입주/잔금",($F196-SUM($G196:BD196))*30%,IF(BD$121="입주/잔금",($F196-SUM($G196:BC196))*50%,IF(BC$121="입주/잔금",($F196-SUM($G196:BB196))*20%,IF(BE$121=0,0,IF(BE$121="2차중도금",$F196*30%-SUM($G196:BD196),IF(BE$121="3차중도금",$F196*40%-SUM($G196:BD196),IF(BE$121="4차중도금",$F196*50%-SUM($G196:BD196),$F196*10%)))))))+(IF(BE$121="5차중도금",$F196*60%-SUM($G196:BD196)-$F196*10%,IF(BE$121="6차중도금",$F196*70%-SUM($G196:BD196)-$F196*10%,0)))</f>
        <v>0</v>
      </c>
      <c r="BF196" s="609">
        <f t="shared" si="57"/>
        <v>0</v>
      </c>
      <c r="BG196" s="556">
        <f t="shared" si="59"/>
        <v>0</v>
      </c>
      <c r="BH196" s="610"/>
    </row>
    <row r="197" spans="1:60" hidden="1">
      <c r="A197" s="1853"/>
      <c r="B197" s="611">
        <f t="shared" si="60"/>
        <v>45444</v>
      </c>
      <c r="C197" s="605">
        <f t="shared" si="61"/>
        <v>0</v>
      </c>
      <c r="D197" s="606"/>
      <c r="E197" s="607">
        <f t="shared" si="62"/>
        <v>0</v>
      </c>
      <c r="F197" s="608">
        <f t="shared" si="58"/>
        <v>0</v>
      </c>
      <c r="G197" s="605"/>
      <c r="H197" s="605"/>
      <c r="I197" s="605"/>
      <c r="J197" s="605"/>
      <c r="K197" s="605"/>
      <c r="L197" s="605"/>
      <c r="M197" s="605"/>
      <c r="N197" s="605"/>
      <c r="O197" s="605"/>
      <c r="P197" s="605"/>
      <c r="Q197" s="605"/>
      <c r="R197" s="605"/>
      <c r="S197" s="605"/>
      <c r="T197" s="605"/>
      <c r="U197" s="605"/>
      <c r="V197" s="605"/>
      <c r="W197" s="605"/>
      <c r="X197" s="605"/>
      <c r="Y197" s="605"/>
      <c r="Z197" s="605"/>
      <c r="AA197" s="605">
        <f>$F197*10%</f>
        <v>0</v>
      </c>
      <c r="AB197" s="605">
        <f>IF(AB$121="입주/잔금",($F197-SUM($G197:AA197))*30%,IF(AA$121="입주/잔금",($F197-SUM($G197:Z197))*50%,IF(Z$121="입주/잔금",($F197-SUM($G197:Y197))*20%,IF(AB$121=0,0,IF(AB$121="2차중도금",$F197*30%-SUM($G197:AA197),IF(AB$121="3차중도금",$F197*40%-SUM($G197:AA197),IF(AB$121="4차중도금",$F197*50%-SUM($G197:AA197),$F197*10%)))))))+(IF(AB$121="5차중도금",$F197*60%-SUM($G197:AA197)-$F197*10%,IF(AB$121="6차중도금",$F197*70%-SUM($G197:AA197)-$F197*10%,0)))</f>
        <v>0</v>
      </c>
      <c r="AC197" s="605">
        <f>IF(AC$121="입주/잔금",($F197-SUM($G197:AB197))*30%,IF(AB$121="입주/잔금",($F197-SUM($G197:AA197))*50%,IF(AA$121="입주/잔금",($F197-SUM($G197:Z197))*20%,IF(AC$121=0,0,IF(AC$121="2차중도금",$F197*30%-SUM($G197:AB197),IF(AC$121="3차중도금",$F197*40%-SUM($G197:AB197),IF(AC$121="4차중도금",$F197*50%-SUM($G197:AB197),$F197*10%)))))))+(IF(AC$121="5차중도금",$F197*60%-SUM($G197:AB197)-$F197*10%,IF(AC$121="6차중도금",$F197*70%-SUM($G197:AB197)-$F197*10%,0)))</f>
        <v>0</v>
      </c>
      <c r="AD197" s="605">
        <f>IF(AD$121="입주/잔금",($F197-SUM($G197:AC197))*30%,IF(AC$121="입주/잔금",($F197-SUM($G197:AB197))*50%,IF(AB$121="입주/잔금",($F197-SUM($G197:AA197))*20%,IF(AD$121=0,0,IF(AD$121="2차중도금",$F197*30%-SUM($G197:AC197),IF(AD$121="3차중도금",$F197*40%-SUM($G197:AC197),IF(AD$121="4차중도금",$F197*50%-SUM($G197:AC197),$F197*10%)))))))+(IF(AD$121="5차중도금",$F197*60%-SUM($G197:AC197)-$F197*10%,IF(AD$121="6차중도금",$F197*70%-SUM($G197:AC197)-$F197*10%,0)))</f>
        <v>0</v>
      </c>
      <c r="AE197" s="605">
        <f>IF(AE$121="입주/잔금",($F197-SUM($G197:AD197))*30%,IF(AD$121="입주/잔금",($F197-SUM($G197:AC197))*50%,IF(AC$121="입주/잔금",($F197-SUM($G197:AB197))*20%,IF(AE$121=0,0,IF(AE$121="2차중도금",$F197*30%-SUM($G197:AD197),IF(AE$121="3차중도금",$F197*40%-SUM($G197:AD197),IF(AE$121="4차중도금",$F197*50%-SUM($G197:AD197),$F197*10%)))))))+(IF(AE$121="5차중도금",$F197*60%-SUM($G197:AD197)-$F197*10%,IF(AE$121="6차중도금",$F197*70%-SUM($G197:AD197)-$F197*10%,0)))</f>
        <v>0</v>
      </c>
      <c r="AF197" s="605">
        <f>IF(AF$121="입주/잔금",($F197-SUM($G197:AE197))*30%,IF(AE$121="입주/잔금",($F197-SUM($G197:AD197))*50%,IF(AD$121="입주/잔금",($F197-SUM($G197:AC197))*20%,IF(AF$121=0,0,IF(AF$121="2차중도금",$F197*30%-SUM($G197:AE197),IF(AF$121="3차중도금",$F197*40%-SUM($G197:AE197),IF(AF$121="4차중도금",$F197*50%-SUM($G197:AE197),$F197*10%)))))))+(IF(AF$121="5차중도금",$F197*60%-SUM($G197:AE197)-$F197*10%,IF(AF$121="6차중도금",$F197*70%-SUM($G197:AE197)-$F197*10%,0)))</f>
        <v>0</v>
      </c>
      <c r="AG197" s="605">
        <f>IF(AG$121="입주/잔금",($F197-SUM($G197:AF197))*30%,IF(AF$121="입주/잔금",($F197-SUM($G197:AE197))*50%,IF(AE$121="입주/잔금",($F197-SUM($G197:AD197))*20%,IF(AG$121=0,0,IF(AG$121="2차중도금",$F197*30%-SUM($G197:AF197),IF(AG$121="3차중도금",$F197*40%-SUM($G197:AF197),IF(AG$121="4차중도금",$F197*50%-SUM($G197:AF197),$F197*10%)))))))+(IF(AG$121="5차중도금",$F197*60%-SUM($G197:AF197)-$F197*10%,IF(AG$121="6차중도금",$F197*70%-SUM($G197:AF197)-$F197*10%,0)))</f>
        <v>0</v>
      </c>
      <c r="AH197" s="605">
        <f>IF(AH$121="입주/잔금",($F197-SUM($G197:AG197))*30%,IF(AG$121="입주/잔금",($F197-SUM($G197:AF197))*50%,IF(AF$121="입주/잔금",($F197-SUM($G197:AE197))*20%,IF(AH$121=0,0,IF(AH$121="2차중도금",$F197*30%-SUM($G197:AG197),IF(AH$121="3차중도금",$F197*40%-SUM($G197:AG197),IF(AH$121="4차중도금",$F197*50%-SUM($G197:AG197),$F197*10%)))))))+(IF(AH$121="5차중도금",$F197*60%-SUM($G197:AG197)-$F197*10%,IF(AH$121="6차중도금",$F197*70%-SUM($G197:AG197)-$F197*10%,0)))</f>
        <v>0</v>
      </c>
      <c r="AI197" s="605">
        <f>IF(AI$121="입주/잔금",($F197-SUM($G197:AH197))*30%,IF(AH$121="입주/잔금",($F197-SUM($G197:AG197))*50%,IF(AG$121="입주/잔금",($F197-SUM($G197:AF197))*20%,IF(AI$121=0,0,IF(AI$121="2차중도금",$F197*30%-SUM($G197:AH197),IF(AI$121="3차중도금",$F197*40%-SUM($G197:AH197),IF(AI$121="4차중도금",$F197*50%-SUM($G197:AH197),$F197*10%)))))))+(IF(AI$121="5차중도금",$F197*60%-SUM($G197:AH197)-$F197*10%,IF(AI$121="6차중도금",$F197*70%-SUM($G197:AH197)-$F197*10%,0)))</f>
        <v>0</v>
      </c>
      <c r="AJ197" s="605">
        <f>IF(AJ$121="입주/잔금",($F197-SUM($G197:AI197))*30%,IF(AI$121="입주/잔금",($F197-SUM($G197:AH197))*50%,IF(AH$121="입주/잔금",($F197-SUM($G197:AG197))*20%,IF(AJ$121=0,0,IF(AJ$121="2차중도금",$F197*30%-SUM($G197:AI197),IF(AJ$121="3차중도금",$F197*40%-SUM($G197:AI197),IF(AJ$121="4차중도금",$F197*50%-SUM($G197:AI197),$F197*10%)))))))+(IF(AJ$121="5차중도금",$F197*60%-SUM($G197:AI197)-$F197*10%,IF(AJ$121="6차중도금",$F197*70%-SUM($G197:AI197)-$F197*10%,0)))</f>
        <v>0</v>
      </c>
      <c r="AK197" s="605">
        <f>IF(AK$121="입주/잔금",($F197-SUM($G197:AJ197))*30%,IF(AJ$121="입주/잔금",($F197-SUM($G197:AI197))*50%,IF(AI$121="입주/잔금",($F197-SUM($G197:AH197))*20%,IF(AK$121=0,0,IF(AK$121="2차중도금",$F197*30%-SUM($G197:AJ197),IF(AK$121="3차중도금",$F197*40%-SUM($G197:AJ197),IF(AK$121="4차중도금",$F197*50%-SUM($G197:AJ197),$F197*10%)))))))+(IF(AK$121="5차중도금",$F197*60%-SUM($G197:AJ197)-$F197*10%,IF(AK$121="6차중도금",$F197*70%-SUM($G197:AJ197)-$F197*10%,0)))</f>
        <v>0</v>
      </c>
      <c r="AL197" s="605">
        <f>IF(AL$121="입주/잔금",($F197-SUM($G197:AK197))*30%,IF(AK$121="입주/잔금",($F197-SUM($G197:AJ197))*50%,IF(AJ$121="입주/잔금",($F197-SUM($G197:AI197))*20%,IF(AL$121=0,0,IF(AL$121="2차중도금",$F197*30%-SUM($G197:AK197),IF(AL$121="3차중도금",$F197*40%-SUM($G197:AK197),IF(AL$121="4차중도금",$F197*50%-SUM($G197:AK197),$F197*10%)))))))+(IF(AL$121="5차중도금",$F197*60%-SUM($G197:AK197)-$F197*10%,IF(AL$121="6차중도금",$F197*70%-SUM($G197:AK197)-$F197*10%,0)))</f>
        <v>0</v>
      </c>
      <c r="AM197" s="605">
        <f>IF(AM$121="입주/잔금",($F197-SUM($G197:AL197))*30%,IF(AL$121="입주/잔금",($F197-SUM($G197:AK197))*50%,IF(AK$121="입주/잔금",($F197-SUM($G197:AJ197))*20%,IF(AM$121=0,0,IF(AM$121="2차중도금",$F197*30%-SUM($G197:AL197),IF(AM$121="3차중도금",$F197*40%-SUM($G197:AL197),IF(AM$121="4차중도금",$F197*50%-SUM($G197:AL197),$F197*10%)))))))+(IF(AM$121="5차중도금",$F197*60%-SUM($G197:AL197)-$F197*10%,IF(AM$121="6차중도금",$F197*70%-SUM($G197:AL197)-$F197*10%,0)))</f>
        <v>0</v>
      </c>
      <c r="AN197" s="605">
        <f>IF(AN$121="입주/잔금",($F197-SUM($G197:AM197))*30%,IF(AM$121="입주/잔금",($F197-SUM($G197:AL197))*50%,IF(AL$121="입주/잔금",($F197-SUM($G197:AK197))*20%,IF(AN$121=0,0,IF(AN$121="2차중도금",$F197*30%-SUM($G197:AM197),IF(AN$121="3차중도금",$F197*40%-SUM($G197:AM197),IF(AN$121="4차중도금",$F197*50%-SUM($G197:AM197),$F197*10%)))))))+(IF(AN$121="5차중도금",$F197*60%-SUM($G197:AM197)-$F197*10%,IF(AN$121="6차중도금",$F197*70%-SUM($G197:AM197)-$F197*10%,0)))</f>
        <v>0</v>
      </c>
      <c r="AO197" s="605">
        <f>IF(AO$121="입주/잔금",($F197-SUM($G197:AN197))*30%,IF(AN$121="입주/잔금",($F197-SUM($G197:AM197))*50%,IF(AM$121="입주/잔금",($F197-SUM($G197:AL197))*20%,IF(AO$121=0,0,IF(AO$121="2차중도금",$F197*30%-SUM($G197:AN197),IF(AO$121="3차중도금",$F197*40%-SUM($G197:AN197),IF(AO$121="4차중도금",$F197*50%-SUM($G197:AN197),$F197*10%)))))))+(IF(AO$121="5차중도금",$F197*60%-SUM($G197:AN197)-$F197*10%,IF(AO$121="6차중도금",$F197*70%-SUM($G197:AN197)-$F197*10%,0)))</f>
        <v>0</v>
      </c>
      <c r="AP197" s="605">
        <f>IF(AP$121="입주/잔금",($F197-SUM($G197:AO197))*30%,IF(AO$121="입주/잔금",($F197-SUM($G197:AN197))*50%,IF(AN$121="입주/잔금",($F197-SUM($G197:AM197))*20%,IF(AP$121=0,0,IF(AP$121="2차중도금",$F197*30%-SUM($G197:AO197),IF(AP$121="3차중도금",$F197*40%-SUM($G197:AO197),IF(AP$121="4차중도금",$F197*50%-SUM($G197:AO197),$F197*10%)))))))+(IF(AP$121="5차중도금",$F197*60%-SUM($G197:AO197)-$F197*10%,IF(AP$121="6차중도금",$F197*70%-SUM($G197:AO197)-$F197*10%,0)))</f>
        <v>0</v>
      </c>
      <c r="AQ197" s="605">
        <f>IF(AQ$121="입주/잔금",($F197-SUM($G197:AP197))*30%,IF(AP$121="입주/잔금",($F197-SUM($G197:AO197))*50%,IF(AO$121="입주/잔금",($F197-SUM($G197:AN197))*20%,IF(AQ$121=0,0,IF(AQ$121="2차중도금",$F197*30%-SUM($G197:AP197),IF(AQ$121="3차중도금",$F197*40%-SUM($G197:AP197),IF(AQ$121="4차중도금",$F197*50%-SUM($G197:AP197),$F197*10%)))))))+(IF(AQ$121="5차중도금",$F197*60%-SUM($G197:AP197)-$F197*10%,IF(AQ$121="6차중도금",$F197*70%-SUM($G197:AP197)-$F197*10%,0)))</f>
        <v>0</v>
      </c>
      <c r="AR197" s="605">
        <f>IF(AR$121="입주/잔금",($F197-SUM($G197:AQ197))*30%,IF(AQ$121="입주/잔금",($F197-SUM($G197:AP197))*50%,IF(AP$121="입주/잔금",($F197-SUM($G197:AO197))*20%,IF(AR$121=0,0,IF(AR$121="2차중도금",$F197*30%-SUM($G197:AQ197),IF(AR$121="3차중도금",$F197*40%-SUM($G197:AQ197),IF(AR$121="4차중도금",$F197*50%-SUM($G197:AQ197),$F197*10%)))))))+(IF(AR$121="5차중도금",$F197*60%-SUM($G197:AQ197)-$F197*10%,IF(AR$121="6차중도금",$F197*70%-SUM($G197:AQ197)-$F197*10%,0)))</f>
        <v>0</v>
      </c>
      <c r="AS197" s="605">
        <f>IF(AS$121="입주/잔금",($F197-SUM($G197:AR197))*30%,IF(AR$121="입주/잔금",($F197-SUM($G197:AQ197))*50%,IF(AQ$121="입주/잔금",($F197-SUM($G197:AP197))*20%,IF(AS$121=0,0,IF(AS$121="2차중도금",$F197*30%-SUM($G197:AR197),IF(AS$121="3차중도금",$F197*40%-SUM($G197:AR197),IF(AS$121="4차중도금",$F197*50%-SUM($G197:AR197),$F197*10%)))))))+(IF(AS$121="5차중도금",$F197*60%-SUM($G197:AR197)-$F197*10%,IF(AS$121="6차중도금",$F197*70%-SUM($G197:AR197)-$F197*10%,0)))</f>
        <v>0</v>
      </c>
      <c r="AT197" s="605">
        <f>IF(AT$121="입주/잔금",($F197-SUM($G197:AS197))*30%,IF(AS$121="입주/잔금",($F197-SUM($G197:AR197))*50%,IF(AR$121="입주/잔금",($F197-SUM($G197:AQ197))*20%,IF(AT$121=0,0,IF(AT$121="2차중도금",$F197*30%-SUM($G197:AS197),IF(AT$121="3차중도금",$F197*40%-SUM($G197:AS197),IF(AT$121="4차중도금",$F197*50%-SUM($G197:AS197),$F197*10%)))))))+(IF(AT$121="5차중도금",$F197*60%-SUM($G197:AS197)-$F197*10%,IF(AT$121="6차중도금",$F197*70%-SUM($G197:AS197)-$F197*10%,0)))</f>
        <v>0</v>
      </c>
      <c r="AU197" s="605">
        <f>IF(AU$121="입주/잔금",($F197-SUM($G197:AT197))*30%,IF(AT$121="입주/잔금",($F197-SUM($G197:AS197))*50%,IF(AS$121="입주/잔금",($F197-SUM($G197:AR197))*20%,IF(AU$121=0,0,IF(AU$121="2차중도금",$F197*30%-SUM($G197:AT197),IF(AU$121="3차중도금",$F197*40%-SUM($G197:AT197),IF(AU$121="4차중도금",$F197*50%-SUM($G197:AT197),$F197*10%)))))))+(IF(AU$121="5차중도금",$F197*60%-SUM($G197:AT197)-$F197*10%,IF(AU$121="6차중도금",$F197*70%-SUM($G197:AT197)-$F197*10%,0)))</f>
        <v>0</v>
      </c>
      <c r="AV197" s="605">
        <f>IF(AV$121="입주/잔금",($F197-SUM($G197:AU197))*30%,IF(AU$121="입주/잔금",($F197-SUM($G197:AT197))*50%,IF(AT$121="입주/잔금",($F197-SUM($G197:AS197))*20%,IF(AV$121=0,0,IF(AV$121="2차중도금",$F197*30%-SUM($G197:AU197),IF(AV$121="3차중도금",$F197*40%-SUM($G197:AU197),IF(AV$121="4차중도금",$F197*50%-SUM($G197:AU197),$F197*10%)))))))+(IF(AV$121="5차중도금",$F197*60%-SUM($G197:AU197)-$F197*10%,IF(AV$121="6차중도금",$F197*70%-SUM($G197:AU197)-$F197*10%,0)))</f>
        <v>0</v>
      </c>
      <c r="AW197" s="605">
        <f>IF(AW$121="입주/잔금",($F197-SUM($G197:AV197))*30%,IF(AV$121="입주/잔금",($F197-SUM($G197:AU197))*50%,IF(AU$121="입주/잔금",($F197-SUM($G197:AT197))*20%,IF(AW$121=0,0,IF(AW$121="2차중도금",$F197*30%-SUM($G197:AV197),IF(AW$121="3차중도금",$F197*40%-SUM($G197:AV197),IF(AW$121="4차중도금",$F197*50%-SUM($G197:AV197),$F197*10%)))))))+(IF(AW$121="5차중도금",$F197*60%-SUM($G197:AV197)-$F197*10%,IF(AW$121="6차중도금",$F197*70%-SUM($G197:AV197)-$F197*10%,0)))</f>
        <v>0</v>
      </c>
      <c r="AX197" s="605">
        <f>IF(AX$121="입주/잔금",($F197-SUM($G197:AW197))*30%,IF(AW$121="입주/잔금",($F197-SUM($G197:AV197))*50%,IF(AV$121="입주/잔금",($F197-SUM($G197:AU197))*20%,IF(AX$121=0,0,IF(AX$121="2차중도금",$F197*30%-SUM($G197:AW197),IF(AX$121="3차중도금",$F197*40%-SUM($G197:AW197),IF(AX$121="4차중도금",$F197*50%-SUM($G197:AW197),$F197*10%)))))))+(IF(AX$121="5차중도금",$F197*60%-SUM($G197:AW197)-$F197*10%,IF(AX$121="6차중도금",$F197*70%-SUM($G197:AW197)-$F197*10%,0)))</f>
        <v>0</v>
      </c>
      <c r="AY197" s="605">
        <f>IF(AY$121="입주/잔금",($F197-SUM($G197:AX197))*30%,IF(AX$121="입주/잔금",($F197-SUM($G197:AW197))*50%,IF(AW$121="입주/잔금",($F197-SUM($G197:AV197))*20%,IF(AY$121=0,0,IF(AY$121="2차중도금",$F197*30%-SUM($G197:AX197),IF(AY$121="3차중도금",$F197*40%-SUM($G197:AX197),IF(AY$121="4차중도금",$F197*50%-SUM($G197:AX197),$F197*10%)))))))+(IF(AY$121="5차중도금",$F197*60%-SUM($G197:AX197)-$F197*10%,IF(AY$121="6차중도금",$F197*70%-SUM($G197:AX197)-$F197*10%,0)))</f>
        <v>0</v>
      </c>
      <c r="AZ197" s="605">
        <f>IF(AZ$121="입주/잔금",($F197-SUM($G197:AY197))*30%,IF(AY$121="입주/잔금",($F197-SUM($G197:AX197))*50%,IF(AX$121="입주/잔금",($F197-SUM($G197:AW197))*20%,IF(AZ$121=0,0,IF(AZ$121="2차중도금",$F197*30%-SUM($G197:AY197),IF(AZ$121="3차중도금",$F197*40%-SUM($G197:AY197),IF(AZ$121="4차중도금",$F197*50%-SUM($G197:AY197),$F197*10%)))))))+(IF(AZ$121="5차중도금",$F197*60%-SUM($G197:AY197)-$F197*10%,IF(AZ$121="6차중도금",$F197*70%-SUM($G197:AY197)-$F197*10%,0)))</f>
        <v>0</v>
      </c>
      <c r="BA197" s="605">
        <f>IF(BA$121="입주/잔금",($F197-SUM($G197:AZ197))*30%,IF(AZ$121="입주/잔금",($F197-SUM($G197:AY197))*50%,IF(AY$121="입주/잔금",($F197-SUM($G197:AX197))*20%,IF(BA$121=0,0,IF(BA$121="2차중도금",$F197*30%-SUM($G197:AZ197),IF(BA$121="3차중도금",$F197*40%-SUM($G197:AZ197),IF(BA$121="4차중도금",$F197*50%-SUM($G197:AZ197),$F197*10%)))))))+(IF(BA$121="5차중도금",$F197*60%-SUM($G197:AZ197)-$F197*10%,IF(BA$121="6차중도금",$F197*70%-SUM($G197:AZ197)-$F197*10%,0)))</f>
        <v>0</v>
      </c>
      <c r="BB197" s="605">
        <f>IF(BB$121="입주/잔금",($F197-SUM($G197:BA197))*30%,IF(BA$121="입주/잔금",($F197-SUM($G197:AZ197))*50%,IF(AZ$121="입주/잔금",($F197-SUM($G197:AY197))*20%,IF(BB$121=0,0,IF(BB$121="2차중도금",$F197*30%-SUM($G197:BA197),IF(BB$121="3차중도금",$F197*40%-SUM($G197:BA197),IF(BB$121="4차중도금",$F197*50%-SUM($G197:BA197),$F197*10%)))))))+(IF(BB$121="5차중도금",$F197*60%-SUM($G197:BA197)-$F197*10%,IF(BB$121="6차중도금",$F197*70%-SUM($G197:BA197)-$F197*10%,0)))</f>
        <v>0</v>
      </c>
      <c r="BC197" s="605">
        <f>IF(BC$121="입주/잔금",($F197-SUM($G197:BB197))*30%,IF(BB$121="입주/잔금",($F197-SUM($G197:BA197))*50%,IF(BA$121="입주/잔금",($F197-SUM($G197:AZ197))*20%,IF(BC$121=0,0,IF(BC$121="2차중도금",$F197*30%-SUM($G197:BB197),IF(BC$121="3차중도금",$F197*40%-SUM($G197:BB197),IF(BC$121="4차중도금",$F197*50%-SUM($G197:BB197),$F197*10%)))))))+(IF(BC$121="5차중도금",$F197*60%-SUM($G197:BB197)-$F197*10%,IF(BC$121="6차중도금",$F197*70%-SUM($G197:BB197)-$F197*10%,0)))</f>
        <v>0</v>
      </c>
      <c r="BD197" s="605">
        <f>IF(BD$121="입주/잔금",($F197-SUM($G197:BC197))*30%,IF(BC$121="입주/잔금",($F197-SUM($G197:BB197))*50%,IF(BB$121="입주/잔금",($F197-SUM($G197:BA197))*20%,IF(BD$121=0,0,IF(BD$121="2차중도금",$F197*30%-SUM($G197:BC197),IF(BD$121="3차중도금",$F197*40%-SUM($G197:BC197),IF(BD$121="4차중도금",$F197*50%-SUM($G197:BC197),$F197*10%)))))))+(IF(BD$121="5차중도금",$F197*60%-SUM($G197:BC197)-$F197*10%,IF(BD$121="6차중도금",$F197*70%-SUM($G197:BC197)-$F197*10%,0)))</f>
        <v>0</v>
      </c>
      <c r="BE197" s="605">
        <f>IF(BE$121="입주/잔금",($F197-SUM($G197:BD197))*30%,IF(BD$121="입주/잔금",($F197-SUM($G197:BC197))*50%,IF(BC$121="입주/잔금",($F197-SUM($G197:BB197))*20%,IF(BE$121=0,0,IF(BE$121="2차중도금",$F197*30%-SUM($G197:BD197),IF(BE$121="3차중도금",$F197*40%-SUM($G197:BD197),IF(BE$121="4차중도금",$F197*50%-SUM($G197:BD197),$F197*10%)))))))+(IF(BE$121="5차중도금",$F197*60%-SUM($G197:BD197)-$F197*10%,IF(BE$121="6차중도금",$F197*70%-SUM($G197:BD197)-$F197*10%,0)))</f>
        <v>0</v>
      </c>
      <c r="BF197" s="609">
        <f t="shared" si="57"/>
        <v>0</v>
      </c>
      <c r="BG197" s="556">
        <f t="shared" si="59"/>
        <v>0</v>
      </c>
      <c r="BH197" s="610"/>
    </row>
    <row r="198" spans="1:60" hidden="1">
      <c r="A198" s="1853"/>
      <c r="B198" s="611">
        <f t="shared" si="60"/>
        <v>45474</v>
      </c>
      <c r="C198" s="605">
        <f t="shared" si="61"/>
        <v>0</v>
      </c>
      <c r="D198" s="606"/>
      <c r="E198" s="607">
        <f t="shared" si="62"/>
        <v>0</v>
      </c>
      <c r="F198" s="608">
        <f t="shared" si="58"/>
        <v>0</v>
      </c>
      <c r="G198" s="605"/>
      <c r="H198" s="605"/>
      <c r="I198" s="605"/>
      <c r="J198" s="605"/>
      <c r="K198" s="605"/>
      <c r="L198" s="605"/>
      <c r="M198" s="605"/>
      <c r="N198" s="605"/>
      <c r="O198" s="605"/>
      <c r="P198" s="605"/>
      <c r="Q198" s="605"/>
      <c r="R198" s="605"/>
      <c r="S198" s="605"/>
      <c r="T198" s="605"/>
      <c r="U198" s="605"/>
      <c r="V198" s="605"/>
      <c r="W198" s="605"/>
      <c r="X198" s="605"/>
      <c r="Y198" s="605"/>
      <c r="Z198" s="605"/>
      <c r="AA198" s="605"/>
      <c r="AB198" s="605">
        <f>$F198*10%</f>
        <v>0</v>
      </c>
      <c r="AC198" s="605">
        <f>IF(AC$121="입주/잔금",($F198-SUM($G198:AB198))*30%,IF(AB$121="입주/잔금",($F198-SUM($G198:AA198))*50%,IF(AA$121="입주/잔금",($F198-SUM($G198:Z198))*20%,IF(AC$121=0,0,IF(AC$121="2차중도금",$F198*30%-SUM($G198:AB198),IF(AC$121="3차중도금",$F198*40%-SUM($G198:AB198),IF(AC$121="4차중도금",$F198*50%-SUM($G198:AB198),$F198*10%)))))))+(IF(AC$121="5차중도금",$F198*60%-SUM($G198:AB198)-$F198*10%,IF(AC$121="6차중도금",$F198*70%-SUM($G198:AB198)-$F198*10%,0)))</f>
        <v>0</v>
      </c>
      <c r="AD198" s="605">
        <f>IF(AD$121="입주/잔금",($F198-SUM($G198:AC198))*30%,IF(AC$121="입주/잔금",($F198-SUM($G198:AB198))*50%,IF(AB$121="입주/잔금",($F198-SUM($G198:AA198))*20%,IF(AD$121=0,0,IF(AD$121="2차중도금",$F198*30%-SUM($G198:AC198),IF(AD$121="3차중도금",$F198*40%-SUM($G198:AC198),IF(AD$121="4차중도금",$F198*50%-SUM($G198:AC198),$F198*10%)))))))+(IF(AD$121="5차중도금",$F198*60%-SUM($G198:AC198)-$F198*10%,IF(AD$121="6차중도금",$F198*70%-SUM($G198:AC198)-$F198*10%,0)))</f>
        <v>0</v>
      </c>
      <c r="AE198" s="605">
        <f>IF(AE$121="입주/잔금",($F198-SUM($G198:AD198))*30%,IF(AD$121="입주/잔금",($F198-SUM($G198:AC198))*50%,IF(AC$121="입주/잔금",($F198-SUM($G198:AB198))*20%,IF(AE$121=0,0,IF(AE$121="2차중도금",$F198*30%-SUM($G198:AD198),IF(AE$121="3차중도금",$F198*40%-SUM($G198:AD198),IF(AE$121="4차중도금",$F198*50%-SUM($G198:AD198),$F198*10%)))))))+(IF(AE$121="5차중도금",$F198*60%-SUM($G198:AD198)-$F198*10%,IF(AE$121="6차중도금",$F198*70%-SUM($G198:AD198)-$F198*10%,0)))</f>
        <v>0</v>
      </c>
      <c r="AF198" s="605">
        <f>IF(AF$121="입주/잔금",($F198-SUM($G198:AE198))*30%,IF(AE$121="입주/잔금",($F198-SUM($G198:AD198))*50%,IF(AD$121="입주/잔금",($F198-SUM($G198:AC198))*20%,IF(AF$121=0,0,IF(AF$121="2차중도금",$F198*30%-SUM($G198:AE198),IF(AF$121="3차중도금",$F198*40%-SUM($G198:AE198),IF(AF$121="4차중도금",$F198*50%-SUM($G198:AE198),$F198*10%)))))))+(IF(AF$121="5차중도금",$F198*60%-SUM($G198:AE198)-$F198*10%,IF(AF$121="6차중도금",$F198*70%-SUM($G198:AE198)-$F198*10%,0)))</f>
        <v>0</v>
      </c>
      <c r="AG198" s="605">
        <f>IF(AG$121="입주/잔금",($F198-SUM($G198:AF198))*30%,IF(AF$121="입주/잔금",($F198-SUM($G198:AE198))*50%,IF(AE$121="입주/잔금",($F198-SUM($G198:AD198))*20%,IF(AG$121=0,0,IF(AG$121="2차중도금",$F198*30%-SUM($G198:AF198),IF(AG$121="3차중도금",$F198*40%-SUM($G198:AF198),IF(AG$121="4차중도금",$F198*50%-SUM($G198:AF198),$F198*10%)))))))+(IF(AG$121="5차중도금",$F198*60%-SUM($G198:AF198)-$F198*10%,IF(AG$121="6차중도금",$F198*70%-SUM($G198:AF198)-$F198*10%,0)))</f>
        <v>0</v>
      </c>
      <c r="AH198" s="605">
        <f>IF(AH$121="입주/잔금",($F198-SUM($G198:AG198))*30%,IF(AG$121="입주/잔금",($F198-SUM($G198:AF198))*50%,IF(AF$121="입주/잔금",($F198-SUM($G198:AE198))*20%,IF(AH$121=0,0,IF(AH$121="2차중도금",$F198*30%-SUM($G198:AG198),IF(AH$121="3차중도금",$F198*40%-SUM($G198:AG198),IF(AH$121="4차중도금",$F198*50%-SUM($G198:AG198),$F198*10%)))))))+(IF(AH$121="5차중도금",$F198*60%-SUM($G198:AG198)-$F198*10%,IF(AH$121="6차중도금",$F198*70%-SUM($G198:AG198)-$F198*10%,0)))</f>
        <v>0</v>
      </c>
      <c r="AI198" s="605">
        <f>IF(AI$121="입주/잔금",($F198-SUM($G198:AH198))*30%,IF(AH$121="입주/잔금",($F198-SUM($G198:AG198))*50%,IF(AG$121="입주/잔금",($F198-SUM($G198:AF198))*20%,IF(AI$121=0,0,IF(AI$121="2차중도금",$F198*30%-SUM($G198:AH198),IF(AI$121="3차중도금",$F198*40%-SUM($G198:AH198),IF(AI$121="4차중도금",$F198*50%-SUM($G198:AH198),$F198*10%)))))))+(IF(AI$121="5차중도금",$F198*60%-SUM($G198:AH198)-$F198*10%,IF(AI$121="6차중도금",$F198*70%-SUM($G198:AH198)-$F198*10%,0)))</f>
        <v>0</v>
      </c>
      <c r="AJ198" s="605">
        <f>IF(AJ$121="입주/잔금",($F198-SUM($G198:AI198))*30%,IF(AI$121="입주/잔금",($F198-SUM($G198:AH198))*50%,IF(AH$121="입주/잔금",($F198-SUM($G198:AG198))*20%,IF(AJ$121=0,0,IF(AJ$121="2차중도금",$F198*30%-SUM($G198:AI198),IF(AJ$121="3차중도금",$F198*40%-SUM($G198:AI198),IF(AJ$121="4차중도금",$F198*50%-SUM($G198:AI198),$F198*10%)))))))+(IF(AJ$121="5차중도금",$F198*60%-SUM($G198:AI198)-$F198*10%,IF(AJ$121="6차중도금",$F198*70%-SUM($G198:AI198)-$F198*10%,0)))</f>
        <v>0</v>
      </c>
      <c r="AK198" s="605">
        <f>IF(AK$121="입주/잔금",($F198-SUM($G198:AJ198))*30%,IF(AJ$121="입주/잔금",($F198-SUM($G198:AI198))*50%,IF(AI$121="입주/잔금",($F198-SUM($G198:AH198))*20%,IF(AK$121=0,0,IF(AK$121="2차중도금",$F198*30%-SUM($G198:AJ198),IF(AK$121="3차중도금",$F198*40%-SUM($G198:AJ198),IF(AK$121="4차중도금",$F198*50%-SUM($G198:AJ198),$F198*10%)))))))+(IF(AK$121="5차중도금",$F198*60%-SUM($G198:AJ198)-$F198*10%,IF(AK$121="6차중도금",$F198*70%-SUM($G198:AJ198)-$F198*10%,0)))</f>
        <v>0</v>
      </c>
      <c r="AL198" s="605">
        <f>IF(AL$121="입주/잔금",($F198-SUM($G198:AK198))*30%,IF(AK$121="입주/잔금",($F198-SUM($G198:AJ198))*50%,IF(AJ$121="입주/잔금",($F198-SUM($G198:AI198))*20%,IF(AL$121=0,0,IF(AL$121="2차중도금",$F198*30%-SUM($G198:AK198),IF(AL$121="3차중도금",$F198*40%-SUM($G198:AK198),IF(AL$121="4차중도금",$F198*50%-SUM($G198:AK198),$F198*10%)))))))+(IF(AL$121="5차중도금",$F198*60%-SUM($G198:AK198)-$F198*10%,IF(AL$121="6차중도금",$F198*70%-SUM($G198:AK198)-$F198*10%,0)))</f>
        <v>0</v>
      </c>
      <c r="AM198" s="605">
        <f>IF(AM$121="입주/잔금",($F198-SUM($G198:AL198))*30%,IF(AL$121="입주/잔금",($F198-SUM($G198:AK198))*50%,IF(AK$121="입주/잔금",($F198-SUM($G198:AJ198))*20%,IF(AM$121=0,0,IF(AM$121="2차중도금",$F198*30%-SUM($G198:AL198),IF(AM$121="3차중도금",$F198*40%-SUM($G198:AL198),IF(AM$121="4차중도금",$F198*50%-SUM($G198:AL198),$F198*10%)))))))+(IF(AM$121="5차중도금",$F198*60%-SUM($G198:AL198)-$F198*10%,IF(AM$121="6차중도금",$F198*70%-SUM($G198:AL198)-$F198*10%,0)))</f>
        <v>0</v>
      </c>
      <c r="AN198" s="605">
        <f>IF(AN$121="입주/잔금",($F198-SUM($G198:AM198))*30%,IF(AM$121="입주/잔금",($F198-SUM($G198:AL198))*50%,IF(AL$121="입주/잔금",($F198-SUM($G198:AK198))*20%,IF(AN$121=0,0,IF(AN$121="2차중도금",$F198*30%-SUM($G198:AM198),IF(AN$121="3차중도금",$F198*40%-SUM($G198:AM198),IF(AN$121="4차중도금",$F198*50%-SUM($G198:AM198),$F198*10%)))))))+(IF(AN$121="5차중도금",$F198*60%-SUM($G198:AM198)-$F198*10%,IF(AN$121="6차중도금",$F198*70%-SUM($G198:AM198)-$F198*10%,0)))</f>
        <v>0</v>
      </c>
      <c r="AO198" s="605">
        <f>IF(AO$121="입주/잔금",($F198-SUM($G198:AN198))*30%,IF(AN$121="입주/잔금",($F198-SUM($G198:AM198))*50%,IF(AM$121="입주/잔금",($F198-SUM($G198:AL198))*20%,IF(AO$121=0,0,IF(AO$121="2차중도금",$F198*30%-SUM($G198:AN198),IF(AO$121="3차중도금",$F198*40%-SUM($G198:AN198),IF(AO$121="4차중도금",$F198*50%-SUM($G198:AN198),$F198*10%)))))))+(IF(AO$121="5차중도금",$F198*60%-SUM($G198:AN198)-$F198*10%,IF(AO$121="6차중도금",$F198*70%-SUM($G198:AN198)-$F198*10%,0)))</f>
        <v>0</v>
      </c>
      <c r="AP198" s="605">
        <f>IF(AP$121="입주/잔금",($F198-SUM($G198:AO198))*30%,IF(AO$121="입주/잔금",($F198-SUM($G198:AN198))*50%,IF(AN$121="입주/잔금",($F198-SUM($G198:AM198))*20%,IF(AP$121=0,0,IF(AP$121="2차중도금",$F198*30%-SUM($G198:AO198),IF(AP$121="3차중도금",$F198*40%-SUM($G198:AO198),IF(AP$121="4차중도금",$F198*50%-SUM($G198:AO198),$F198*10%)))))))+(IF(AP$121="5차중도금",$F198*60%-SUM($G198:AO198)-$F198*10%,IF(AP$121="6차중도금",$F198*70%-SUM($G198:AO198)-$F198*10%,0)))</f>
        <v>0</v>
      </c>
      <c r="AQ198" s="605">
        <f>IF(AQ$121="입주/잔금",($F198-SUM($G198:AP198))*30%,IF(AP$121="입주/잔금",($F198-SUM($G198:AO198))*50%,IF(AO$121="입주/잔금",($F198-SUM($G198:AN198))*20%,IF(AQ$121=0,0,IF(AQ$121="2차중도금",$F198*30%-SUM($G198:AP198),IF(AQ$121="3차중도금",$F198*40%-SUM($G198:AP198),IF(AQ$121="4차중도금",$F198*50%-SUM($G198:AP198),$F198*10%)))))))+(IF(AQ$121="5차중도금",$F198*60%-SUM($G198:AP198)-$F198*10%,IF(AQ$121="6차중도금",$F198*70%-SUM($G198:AP198)-$F198*10%,0)))</f>
        <v>0</v>
      </c>
      <c r="AR198" s="605">
        <f>IF(AR$121="입주/잔금",($F198-SUM($G198:AQ198))*30%,IF(AQ$121="입주/잔금",($F198-SUM($G198:AP198))*50%,IF(AP$121="입주/잔금",($F198-SUM($G198:AO198))*20%,IF(AR$121=0,0,IF(AR$121="2차중도금",$F198*30%-SUM($G198:AQ198),IF(AR$121="3차중도금",$F198*40%-SUM($G198:AQ198),IF(AR$121="4차중도금",$F198*50%-SUM($G198:AQ198),$F198*10%)))))))+(IF(AR$121="5차중도금",$F198*60%-SUM($G198:AQ198)-$F198*10%,IF(AR$121="6차중도금",$F198*70%-SUM($G198:AQ198)-$F198*10%,0)))</f>
        <v>0</v>
      </c>
      <c r="AS198" s="605">
        <f>IF(AS$121="입주/잔금",($F198-SUM($G198:AR198))*30%,IF(AR$121="입주/잔금",($F198-SUM($G198:AQ198))*50%,IF(AQ$121="입주/잔금",($F198-SUM($G198:AP198))*20%,IF(AS$121=0,0,IF(AS$121="2차중도금",$F198*30%-SUM($G198:AR198),IF(AS$121="3차중도금",$F198*40%-SUM($G198:AR198),IF(AS$121="4차중도금",$F198*50%-SUM($G198:AR198),$F198*10%)))))))+(IF(AS$121="5차중도금",$F198*60%-SUM($G198:AR198)-$F198*10%,IF(AS$121="6차중도금",$F198*70%-SUM($G198:AR198)-$F198*10%,0)))</f>
        <v>0</v>
      </c>
      <c r="AT198" s="605">
        <f>IF(AT$121="입주/잔금",($F198-SUM($G198:AS198))*30%,IF(AS$121="입주/잔금",($F198-SUM($G198:AR198))*50%,IF(AR$121="입주/잔금",($F198-SUM($G198:AQ198))*20%,IF(AT$121=0,0,IF(AT$121="2차중도금",$F198*30%-SUM($G198:AS198),IF(AT$121="3차중도금",$F198*40%-SUM($G198:AS198),IF(AT$121="4차중도금",$F198*50%-SUM($G198:AS198),$F198*10%)))))))+(IF(AT$121="5차중도금",$F198*60%-SUM($G198:AS198)-$F198*10%,IF(AT$121="6차중도금",$F198*70%-SUM($G198:AS198)-$F198*10%,0)))</f>
        <v>0</v>
      </c>
      <c r="AU198" s="605">
        <f>IF(AU$121="입주/잔금",($F198-SUM($G198:AT198))*30%,IF(AT$121="입주/잔금",($F198-SUM($G198:AS198))*50%,IF(AS$121="입주/잔금",($F198-SUM($G198:AR198))*20%,IF(AU$121=0,0,IF(AU$121="2차중도금",$F198*30%-SUM($G198:AT198),IF(AU$121="3차중도금",$F198*40%-SUM($G198:AT198),IF(AU$121="4차중도금",$F198*50%-SUM($G198:AT198),$F198*10%)))))))+(IF(AU$121="5차중도금",$F198*60%-SUM($G198:AT198)-$F198*10%,IF(AU$121="6차중도금",$F198*70%-SUM($G198:AT198)-$F198*10%,0)))</f>
        <v>0</v>
      </c>
      <c r="AV198" s="605">
        <f>IF(AV$121="입주/잔금",($F198-SUM($G198:AU198))*30%,IF(AU$121="입주/잔금",($F198-SUM($G198:AT198))*50%,IF(AT$121="입주/잔금",($F198-SUM($G198:AS198))*20%,IF(AV$121=0,0,IF(AV$121="2차중도금",$F198*30%-SUM($G198:AU198),IF(AV$121="3차중도금",$F198*40%-SUM($G198:AU198),IF(AV$121="4차중도금",$F198*50%-SUM($G198:AU198),$F198*10%)))))))+(IF(AV$121="5차중도금",$F198*60%-SUM($G198:AU198)-$F198*10%,IF(AV$121="6차중도금",$F198*70%-SUM($G198:AU198)-$F198*10%,0)))</f>
        <v>0</v>
      </c>
      <c r="AW198" s="605">
        <f>IF(AW$121="입주/잔금",($F198-SUM($G198:AV198))*30%,IF(AV$121="입주/잔금",($F198-SUM($G198:AU198))*50%,IF(AU$121="입주/잔금",($F198-SUM($G198:AT198))*20%,IF(AW$121=0,0,IF(AW$121="2차중도금",$F198*30%-SUM($G198:AV198),IF(AW$121="3차중도금",$F198*40%-SUM($G198:AV198),IF(AW$121="4차중도금",$F198*50%-SUM($G198:AV198),$F198*10%)))))))+(IF(AW$121="5차중도금",$F198*60%-SUM($G198:AV198)-$F198*10%,IF(AW$121="6차중도금",$F198*70%-SUM($G198:AV198)-$F198*10%,0)))</f>
        <v>0</v>
      </c>
      <c r="AX198" s="605">
        <f>IF(AX$121="입주/잔금",($F198-SUM($G198:AW198))*30%,IF(AW$121="입주/잔금",($F198-SUM($G198:AV198))*50%,IF(AV$121="입주/잔금",($F198-SUM($G198:AU198))*20%,IF(AX$121=0,0,IF(AX$121="2차중도금",$F198*30%-SUM($G198:AW198),IF(AX$121="3차중도금",$F198*40%-SUM($G198:AW198),IF(AX$121="4차중도금",$F198*50%-SUM($G198:AW198),$F198*10%)))))))+(IF(AX$121="5차중도금",$F198*60%-SUM($G198:AW198)-$F198*10%,IF(AX$121="6차중도금",$F198*70%-SUM($G198:AW198)-$F198*10%,0)))</f>
        <v>0</v>
      </c>
      <c r="AY198" s="605">
        <f>IF(AY$121="입주/잔금",($F198-SUM($G198:AX198))*30%,IF(AX$121="입주/잔금",($F198-SUM($G198:AW198))*50%,IF(AW$121="입주/잔금",($F198-SUM($G198:AV198))*20%,IF(AY$121=0,0,IF(AY$121="2차중도금",$F198*30%-SUM($G198:AX198),IF(AY$121="3차중도금",$F198*40%-SUM($G198:AX198),IF(AY$121="4차중도금",$F198*50%-SUM($G198:AX198),$F198*10%)))))))+(IF(AY$121="5차중도금",$F198*60%-SUM($G198:AX198)-$F198*10%,IF(AY$121="6차중도금",$F198*70%-SUM($G198:AX198)-$F198*10%,0)))</f>
        <v>0</v>
      </c>
      <c r="AZ198" s="605">
        <f>IF(AZ$121="입주/잔금",($F198-SUM($G198:AY198))*30%,IF(AY$121="입주/잔금",($F198-SUM($G198:AX198))*50%,IF(AX$121="입주/잔금",($F198-SUM($G198:AW198))*20%,IF(AZ$121=0,0,IF(AZ$121="2차중도금",$F198*30%-SUM($G198:AY198),IF(AZ$121="3차중도금",$F198*40%-SUM($G198:AY198),IF(AZ$121="4차중도금",$F198*50%-SUM($G198:AY198),$F198*10%)))))))+(IF(AZ$121="5차중도금",$F198*60%-SUM($G198:AY198)-$F198*10%,IF(AZ$121="6차중도금",$F198*70%-SUM($G198:AY198)-$F198*10%,0)))</f>
        <v>0</v>
      </c>
      <c r="BA198" s="605">
        <f>IF(BA$121="입주/잔금",($F198-SUM($G198:AZ198))*30%,IF(AZ$121="입주/잔금",($F198-SUM($G198:AY198))*50%,IF(AY$121="입주/잔금",($F198-SUM($G198:AX198))*20%,IF(BA$121=0,0,IF(BA$121="2차중도금",$F198*30%-SUM($G198:AZ198),IF(BA$121="3차중도금",$F198*40%-SUM($G198:AZ198),IF(BA$121="4차중도금",$F198*50%-SUM($G198:AZ198),$F198*10%)))))))+(IF(BA$121="5차중도금",$F198*60%-SUM($G198:AZ198)-$F198*10%,IF(BA$121="6차중도금",$F198*70%-SUM($G198:AZ198)-$F198*10%,0)))</f>
        <v>0</v>
      </c>
      <c r="BB198" s="605">
        <f>IF(BB$121="입주/잔금",($F198-SUM($G198:BA198))*30%,IF(BA$121="입주/잔금",($F198-SUM($G198:AZ198))*50%,IF(AZ$121="입주/잔금",($F198-SUM($G198:AY198))*20%,IF(BB$121=0,0,IF(BB$121="2차중도금",$F198*30%-SUM($G198:BA198),IF(BB$121="3차중도금",$F198*40%-SUM($G198:BA198),IF(BB$121="4차중도금",$F198*50%-SUM($G198:BA198),$F198*10%)))))))+(IF(BB$121="5차중도금",$F198*60%-SUM($G198:BA198)-$F198*10%,IF(BB$121="6차중도금",$F198*70%-SUM($G198:BA198)-$F198*10%,0)))</f>
        <v>0</v>
      </c>
      <c r="BC198" s="605">
        <f>IF(BC$121="입주/잔금",($F198-SUM($G198:BB198))*30%,IF(BB$121="입주/잔금",($F198-SUM($G198:BA198))*50%,IF(BA$121="입주/잔금",($F198-SUM($G198:AZ198))*20%,IF(BC$121=0,0,IF(BC$121="2차중도금",$F198*30%-SUM($G198:BB198),IF(BC$121="3차중도금",$F198*40%-SUM($G198:BB198),IF(BC$121="4차중도금",$F198*50%-SUM($G198:BB198),$F198*10%)))))))+(IF(BC$121="5차중도금",$F198*60%-SUM($G198:BB198)-$F198*10%,IF(BC$121="6차중도금",$F198*70%-SUM($G198:BB198)-$F198*10%,0)))</f>
        <v>0</v>
      </c>
      <c r="BD198" s="605">
        <f>IF(BD$121="입주/잔금",($F198-SUM($G198:BC198))*30%,IF(BC$121="입주/잔금",($F198-SUM($G198:BB198))*50%,IF(BB$121="입주/잔금",($F198-SUM($G198:BA198))*20%,IF(BD$121=0,0,IF(BD$121="2차중도금",$F198*30%-SUM($G198:BC198),IF(BD$121="3차중도금",$F198*40%-SUM($G198:BC198),IF(BD$121="4차중도금",$F198*50%-SUM($G198:BC198),$F198*10%)))))))+(IF(BD$121="5차중도금",$F198*60%-SUM($G198:BC198)-$F198*10%,IF(BD$121="6차중도금",$F198*70%-SUM($G198:BC198)-$F198*10%,0)))</f>
        <v>0</v>
      </c>
      <c r="BE198" s="605">
        <f>IF(BE$121="입주/잔금",($F198-SUM($G198:BD198))*30%,IF(BD$121="입주/잔금",($F198-SUM($G198:BC198))*50%,IF(BC$121="입주/잔금",($F198-SUM($G198:BB198))*20%,IF(BE$121=0,0,IF(BE$121="2차중도금",$F198*30%-SUM($G198:BD198),IF(BE$121="3차중도금",$F198*40%-SUM($G198:BD198),IF(BE$121="4차중도금",$F198*50%-SUM($G198:BD198),$F198*10%)))))))+(IF(BE$121="5차중도금",$F198*60%-SUM($G198:BD198)-$F198*10%,IF(BE$121="6차중도금",$F198*70%-SUM($G198:BD198)-$F198*10%,0)))</f>
        <v>0</v>
      </c>
      <c r="BF198" s="609">
        <f t="shared" si="57"/>
        <v>0</v>
      </c>
      <c r="BG198" s="556">
        <f t="shared" si="59"/>
        <v>0</v>
      </c>
      <c r="BH198" s="610"/>
    </row>
    <row r="199" spans="1:60" hidden="1">
      <c r="A199" s="1853"/>
      <c r="B199" s="611">
        <f t="shared" si="60"/>
        <v>45505</v>
      </c>
      <c r="C199" s="605">
        <f t="shared" si="61"/>
        <v>0</v>
      </c>
      <c r="D199" s="606"/>
      <c r="E199" s="607">
        <f t="shared" si="62"/>
        <v>0</v>
      </c>
      <c r="F199" s="608">
        <f t="shared" si="58"/>
        <v>0</v>
      </c>
      <c r="G199" s="605"/>
      <c r="H199" s="605"/>
      <c r="I199" s="605"/>
      <c r="J199" s="605"/>
      <c r="K199" s="605"/>
      <c r="L199" s="605"/>
      <c r="M199" s="605"/>
      <c r="N199" s="605"/>
      <c r="O199" s="605"/>
      <c r="P199" s="605"/>
      <c r="Q199" s="605"/>
      <c r="R199" s="605"/>
      <c r="S199" s="605"/>
      <c r="T199" s="605"/>
      <c r="U199" s="605"/>
      <c r="V199" s="605"/>
      <c r="W199" s="605"/>
      <c r="X199" s="605"/>
      <c r="Y199" s="605"/>
      <c r="Z199" s="605"/>
      <c r="AA199" s="605"/>
      <c r="AB199" s="605"/>
      <c r="AC199" s="605">
        <f>$F199*10%</f>
        <v>0</v>
      </c>
      <c r="AD199" s="605">
        <f>IF(AD$121="입주/잔금",($F199-SUM($G199:AC199))*30%,IF(AC$121="입주/잔금",($F199-SUM($G199:AB199))*50%,IF(AB$121="입주/잔금",($F199-SUM($G199:AA199))*20%,IF(AD$121=0,0,IF(AD$121="2차중도금",$F199*30%-SUM($G199:AC199),IF(AD$121="3차중도금",$F199*40%-SUM($G199:AC199),IF(AD$121="4차중도금",$F199*50%-SUM($G199:AC199),$F199*10%)))))))+(IF(AD$121="5차중도금",$F199*60%-SUM($G199:AC199)-$F199*10%,IF(AD$121="6차중도금",$F199*70%-SUM($G199:AC199)-$F199*10%,0)))</f>
        <v>0</v>
      </c>
      <c r="AE199" s="605">
        <f>IF(AE$121="입주/잔금",($F199-SUM($G199:AD199))*30%,IF(AD$121="입주/잔금",($F199-SUM($G199:AC199))*50%,IF(AC$121="입주/잔금",($F199-SUM($G199:AB199))*20%,IF(AE$121=0,0,IF(AE$121="2차중도금",$F199*30%-SUM($G199:AD199),IF(AE$121="3차중도금",$F199*40%-SUM($G199:AD199),IF(AE$121="4차중도금",$F199*50%-SUM($G199:AD199),$F199*10%)))))))+(IF(AE$121="5차중도금",$F199*60%-SUM($G199:AD199)-$F199*10%,IF(AE$121="6차중도금",$F199*70%-SUM($G199:AD199)-$F199*10%,0)))</f>
        <v>0</v>
      </c>
      <c r="AF199" s="605">
        <f>IF(AF$121="입주/잔금",($F199-SUM($G199:AE199))*30%,IF(AE$121="입주/잔금",($F199-SUM($G199:AD199))*50%,IF(AD$121="입주/잔금",($F199-SUM($G199:AC199))*20%,IF(AF$121=0,0,IF(AF$121="2차중도금",$F199*30%-SUM($G199:AE199),IF(AF$121="3차중도금",$F199*40%-SUM($G199:AE199),IF(AF$121="4차중도금",$F199*50%-SUM($G199:AE199),$F199*10%)))))))+(IF(AF$121="5차중도금",$F199*60%-SUM($G199:AE199)-$F199*10%,IF(AF$121="6차중도금",$F199*70%-SUM($G199:AE199)-$F199*10%,0)))</f>
        <v>0</v>
      </c>
      <c r="AG199" s="605">
        <f>IF(AG$121="입주/잔금",($F199-SUM($G199:AF199))*30%,IF(AF$121="입주/잔금",($F199-SUM($G199:AE199))*50%,IF(AE$121="입주/잔금",($F199-SUM($G199:AD199))*20%,IF(AG$121=0,0,IF(AG$121="2차중도금",$F199*30%-SUM($G199:AF199),IF(AG$121="3차중도금",$F199*40%-SUM($G199:AF199),IF(AG$121="4차중도금",$F199*50%-SUM($G199:AF199),$F199*10%)))))))+(IF(AG$121="5차중도금",$F199*60%-SUM($G199:AF199)-$F199*10%,IF(AG$121="6차중도금",$F199*70%-SUM($G199:AF199)-$F199*10%,0)))</f>
        <v>0</v>
      </c>
      <c r="AH199" s="605">
        <f>IF(AH$121="입주/잔금",($F199-SUM($G199:AG199))*30%,IF(AG$121="입주/잔금",($F199-SUM($G199:AF199))*50%,IF(AF$121="입주/잔금",($F199-SUM($G199:AE199))*20%,IF(AH$121=0,0,IF(AH$121="2차중도금",$F199*30%-SUM($G199:AG199),IF(AH$121="3차중도금",$F199*40%-SUM($G199:AG199),IF(AH$121="4차중도금",$F199*50%-SUM($G199:AG199),$F199*10%)))))))+(IF(AH$121="5차중도금",$F199*60%-SUM($G199:AG199)-$F199*10%,IF(AH$121="6차중도금",$F199*70%-SUM($G199:AG199)-$F199*10%,0)))</f>
        <v>0</v>
      </c>
      <c r="AI199" s="605">
        <f>IF(AI$121="입주/잔금",($F199-SUM($G199:AH199))*30%,IF(AH$121="입주/잔금",($F199-SUM($G199:AG199))*50%,IF(AG$121="입주/잔금",($F199-SUM($G199:AF199))*20%,IF(AI$121=0,0,IF(AI$121="2차중도금",$F199*30%-SUM($G199:AH199),IF(AI$121="3차중도금",$F199*40%-SUM($G199:AH199),IF(AI$121="4차중도금",$F199*50%-SUM($G199:AH199),$F199*10%)))))))+(IF(AI$121="5차중도금",$F199*60%-SUM($G199:AH199)-$F199*10%,IF(AI$121="6차중도금",$F199*70%-SUM($G199:AH199)-$F199*10%,0)))</f>
        <v>0</v>
      </c>
      <c r="AJ199" s="605">
        <f>IF(AJ$121="입주/잔금",($F199-SUM($G199:AI199))*30%,IF(AI$121="입주/잔금",($F199-SUM($G199:AH199))*50%,IF(AH$121="입주/잔금",($F199-SUM($G199:AG199))*20%,IF(AJ$121=0,0,IF(AJ$121="2차중도금",$F199*30%-SUM($G199:AI199),IF(AJ$121="3차중도금",$F199*40%-SUM($G199:AI199),IF(AJ$121="4차중도금",$F199*50%-SUM($G199:AI199),$F199*10%)))))))+(IF(AJ$121="5차중도금",$F199*60%-SUM($G199:AI199)-$F199*10%,IF(AJ$121="6차중도금",$F199*70%-SUM($G199:AI199)-$F199*10%,0)))</f>
        <v>0</v>
      </c>
      <c r="AK199" s="605">
        <f>IF(AK$121="입주/잔금",($F199-SUM($G199:AJ199))*30%,IF(AJ$121="입주/잔금",($F199-SUM($G199:AI199))*50%,IF(AI$121="입주/잔금",($F199-SUM($G199:AH199))*20%,IF(AK$121=0,0,IF(AK$121="2차중도금",$F199*30%-SUM($G199:AJ199),IF(AK$121="3차중도금",$F199*40%-SUM($G199:AJ199),IF(AK$121="4차중도금",$F199*50%-SUM($G199:AJ199),$F199*10%)))))))+(IF(AK$121="5차중도금",$F199*60%-SUM($G199:AJ199)-$F199*10%,IF(AK$121="6차중도금",$F199*70%-SUM($G199:AJ199)-$F199*10%,0)))</f>
        <v>0</v>
      </c>
      <c r="AL199" s="605">
        <f>IF(AL$121="입주/잔금",($F199-SUM($G199:AK199))*30%,IF(AK$121="입주/잔금",($F199-SUM($G199:AJ199))*50%,IF(AJ$121="입주/잔금",($F199-SUM($G199:AI199))*20%,IF(AL$121=0,0,IF(AL$121="2차중도금",$F199*30%-SUM($G199:AK199),IF(AL$121="3차중도금",$F199*40%-SUM($G199:AK199),IF(AL$121="4차중도금",$F199*50%-SUM($G199:AK199),$F199*10%)))))))+(IF(AL$121="5차중도금",$F199*60%-SUM($G199:AK199)-$F199*10%,IF(AL$121="6차중도금",$F199*70%-SUM($G199:AK199)-$F199*10%,0)))</f>
        <v>0</v>
      </c>
      <c r="AM199" s="605">
        <f>IF(AM$121="입주/잔금",($F199-SUM($G199:AL199))*30%,IF(AL$121="입주/잔금",($F199-SUM($G199:AK199))*50%,IF(AK$121="입주/잔금",($F199-SUM($G199:AJ199))*20%,IF(AM$121=0,0,IF(AM$121="2차중도금",$F199*30%-SUM($G199:AL199),IF(AM$121="3차중도금",$F199*40%-SUM($G199:AL199),IF(AM$121="4차중도금",$F199*50%-SUM($G199:AL199),$F199*10%)))))))+(IF(AM$121="5차중도금",$F199*60%-SUM($G199:AL199)-$F199*10%,IF(AM$121="6차중도금",$F199*70%-SUM($G199:AL199)-$F199*10%,0)))</f>
        <v>0</v>
      </c>
      <c r="AN199" s="605">
        <f>IF(AN$121="입주/잔금",($F199-SUM($G199:AM199))*30%,IF(AM$121="입주/잔금",($F199-SUM($G199:AL199))*50%,IF(AL$121="입주/잔금",($F199-SUM($G199:AK199))*20%,IF(AN$121=0,0,IF(AN$121="2차중도금",$F199*30%-SUM($G199:AM199),IF(AN$121="3차중도금",$F199*40%-SUM($G199:AM199),IF(AN$121="4차중도금",$F199*50%-SUM($G199:AM199),$F199*10%)))))))+(IF(AN$121="5차중도금",$F199*60%-SUM($G199:AM199)-$F199*10%,IF(AN$121="6차중도금",$F199*70%-SUM($G199:AM199)-$F199*10%,0)))</f>
        <v>0</v>
      </c>
      <c r="AO199" s="605">
        <f>IF(AO$121="입주/잔금",($F199-SUM($G199:AN199))*30%,IF(AN$121="입주/잔금",($F199-SUM($G199:AM199))*50%,IF(AM$121="입주/잔금",($F199-SUM($G199:AL199))*20%,IF(AO$121=0,0,IF(AO$121="2차중도금",$F199*30%-SUM($G199:AN199),IF(AO$121="3차중도금",$F199*40%-SUM($G199:AN199),IF(AO$121="4차중도금",$F199*50%-SUM($G199:AN199),$F199*10%)))))))+(IF(AO$121="5차중도금",$F199*60%-SUM($G199:AN199)-$F199*10%,IF(AO$121="6차중도금",$F199*70%-SUM($G199:AN199)-$F199*10%,0)))</f>
        <v>0</v>
      </c>
      <c r="AP199" s="605">
        <f>IF(AP$121="입주/잔금",($F199-SUM($G199:AO199))*30%,IF(AO$121="입주/잔금",($F199-SUM($G199:AN199))*50%,IF(AN$121="입주/잔금",($F199-SUM($G199:AM199))*20%,IF(AP$121=0,0,IF(AP$121="2차중도금",$F199*30%-SUM($G199:AO199),IF(AP$121="3차중도금",$F199*40%-SUM($G199:AO199),IF(AP$121="4차중도금",$F199*50%-SUM($G199:AO199),$F199*10%)))))))+(IF(AP$121="5차중도금",$F199*60%-SUM($G199:AO199)-$F199*10%,IF(AP$121="6차중도금",$F199*70%-SUM($G199:AO199)-$F199*10%,0)))</f>
        <v>0</v>
      </c>
      <c r="AQ199" s="605">
        <f>IF(AQ$121="입주/잔금",($F199-SUM($G199:AP199))*30%,IF(AP$121="입주/잔금",($F199-SUM($G199:AO199))*50%,IF(AO$121="입주/잔금",($F199-SUM($G199:AN199))*20%,IF(AQ$121=0,0,IF(AQ$121="2차중도금",$F199*30%-SUM($G199:AP199),IF(AQ$121="3차중도금",$F199*40%-SUM($G199:AP199),IF(AQ$121="4차중도금",$F199*50%-SUM($G199:AP199),$F199*10%)))))))+(IF(AQ$121="5차중도금",$F199*60%-SUM($G199:AP199)-$F199*10%,IF(AQ$121="6차중도금",$F199*70%-SUM($G199:AP199)-$F199*10%,0)))</f>
        <v>0</v>
      </c>
      <c r="AR199" s="605">
        <f>IF(AR$121="입주/잔금",($F199-SUM($G199:AQ199))*30%,IF(AQ$121="입주/잔금",($F199-SUM($G199:AP199))*50%,IF(AP$121="입주/잔금",($F199-SUM($G199:AO199))*20%,IF(AR$121=0,0,IF(AR$121="2차중도금",$F199*30%-SUM($G199:AQ199),IF(AR$121="3차중도금",$F199*40%-SUM($G199:AQ199),IF(AR$121="4차중도금",$F199*50%-SUM($G199:AQ199),$F199*10%)))))))+(IF(AR$121="5차중도금",$F199*60%-SUM($G199:AQ199)-$F199*10%,IF(AR$121="6차중도금",$F199*70%-SUM($G199:AQ199)-$F199*10%,0)))</f>
        <v>0</v>
      </c>
      <c r="AS199" s="605">
        <f>IF(AS$121="입주/잔금",($F199-SUM($G199:AR199))*30%,IF(AR$121="입주/잔금",($F199-SUM($G199:AQ199))*50%,IF(AQ$121="입주/잔금",($F199-SUM($G199:AP199))*20%,IF(AS$121=0,0,IF(AS$121="2차중도금",$F199*30%-SUM($G199:AR199),IF(AS$121="3차중도금",$F199*40%-SUM($G199:AR199),IF(AS$121="4차중도금",$F199*50%-SUM($G199:AR199),$F199*10%)))))))+(IF(AS$121="5차중도금",$F199*60%-SUM($G199:AR199)-$F199*10%,IF(AS$121="6차중도금",$F199*70%-SUM($G199:AR199)-$F199*10%,0)))</f>
        <v>0</v>
      </c>
      <c r="AT199" s="605">
        <f>IF(AT$121="입주/잔금",($F199-SUM($G199:AS199))*30%,IF(AS$121="입주/잔금",($F199-SUM($G199:AR199))*50%,IF(AR$121="입주/잔금",($F199-SUM($G199:AQ199))*20%,IF(AT$121=0,0,IF(AT$121="2차중도금",$F199*30%-SUM($G199:AS199),IF(AT$121="3차중도금",$F199*40%-SUM($G199:AS199),IF(AT$121="4차중도금",$F199*50%-SUM($G199:AS199),$F199*10%)))))))+(IF(AT$121="5차중도금",$F199*60%-SUM($G199:AS199)-$F199*10%,IF(AT$121="6차중도금",$F199*70%-SUM($G199:AS199)-$F199*10%,0)))</f>
        <v>0</v>
      </c>
      <c r="AU199" s="605">
        <f>IF(AU$121="입주/잔금",($F199-SUM($G199:AT199))*30%,IF(AT$121="입주/잔금",($F199-SUM($G199:AS199))*50%,IF(AS$121="입주/잔금",($F199-SUM($G199:AR199))*20%,IF(AU$121=0,0,IF(AU$121="2차중도금",$F199*30%-SUM($G199:AT199),IF(AU$121="3차중도금",$F199*40%-SUM($G199:AT199),IF(AU$121="4차중도금",$F199*50%-SUM($G199:AT199),$F199*10%)))))))+(IF(AU$121="5차중도금",$F199*60%-SUM($G199:AT199)-$F199*10%,IF(AU$121="6차중도금",$F199*70%-SUM($G199:AT199)-$F199*10%,0)))</f>
        <v>0</v>
      </c>
      <c r="AV199" s="605">
        <f>IF(AV$121="입주/잔금",($F199-SUM($G199:AU199))*30%,IF(AU$121="입주/잔금",($F199-SUM($G199:AT199))*50%,IF(AT$121="입주/잔금",($F199-SUM($G199:AS199))*20%,IF(AV$121=0,0,IF(AV$121="2차중도금",$F199*30%-SUM($G199:AU199),IF(AV$121="3차중도금",$F199*40%-SUM($G199:AU199),IF(AV$121="4차중도금",$F199*50%-SUM($G199:AU199),$F199*10%)))))))+(IF(AV$121="5차중도금",$F199*60%-SUM($G199:AU199)-$F199*10%,IF(AV$121="6차중도금",$F199*70%-SUM($G199:AU199)-$F199*10%,0)))</f>
        <v>0</v>
      </c>
      <c r="AW199" s="605">
        <f>IF(AW$121="입주/잔금",($F199-SUM($G199:AV199))*30%,IF(AV$121="입주/잔금",($F199-SUM($G199:AU199))*50%,IF(AU$121="입주/잔금",($F199-SUM($G199:AT199))*20%,IF(AW$121=0,0,IF(AW$121="2차중도금",$F199*30%-SUM($G199:AV199),IF(AW$121="3차중도금",$F199*40%-SUM($G199:AV199),IF(AW$121="4차중도금",$F199*50%-SUM($G199:AV199),$F199*10%)))))))+(IF(AW$121="5차중도금",$F199*60%-SUM($G199:AV199)-$F199*10%,IF(AW$121="6차중도금",$F199*70%-SUM($G199:AV199)-$F199*10%,0)))</f>
        <v>0</v>
      </c>
      <c r="AX199" s="605">
        <f>IF(AX$121="입주/잔금",($F199-SUM($G199:AW199))*30%,IF(AW$121="입주/잔금",($F199-SUM($G199:AV199))*50%,IF(AV$121="입주/잔금",($F199-SUM($G199:AU199))*20%,IF(AX$121=0,0,IF(AX$121="2차중도금",$F199*30%-SUM($G199:AW199),IF(AX$121="3차중도금",$F199*40%-SUM($G199:AW199),IF(AX$121="4차중도금",$F199*50%-SUM($G199:AW199),$F199*10%)))))))+(IF(AX$121="5차중도금",$F199*60%-SUM($G199:AW199)-$F199*10%,IF(AX$121="6차중도금",$F199*70%-SUM($G199:AW199)-$F199*10%,0)))</f>
        <v>0</v>
      </c>
      <c r="AY199" s="605">
        <f>IF(AY$121="입주/잔금",($F199-SUM($G199:AX199))*30%,IF(AX$121="입주/잔금",($F199-SUM($G199:AW199))*50%,IF(AW$121="입주/잔금",($F199-SUM($G199:AV199))*20%,IF(AY$121=0,0,IF(AY$121="2차중도금",$F199*30%-SUM($G199:AX199),IF(AY$121="3차중도금",$F199*40%-SUM($G199:AX199),IF(AY$121="4차중도금",$F199*50%-SUM($G199:AX199),$F199*10%)))))))+(IF(AY$121="5차중도금",$F199*60%-SUM($G199:AX199)-$F199*10%,IF(AY$121="6차중도금",$F199*70%-SUM($G199:AX199)-$F199*10%,0)))</f>
        <v>0</v>
      </c>
      <c r="AZ199" s="605">
        <f>IF(AZ$121="입주/잔금",($F199-SUM($G199:AY199))*30%,IF(AY$121="입주/잔금",($F199-SUM($G199:AX199))*50%,IF(AX$121="입주/잔금",($F199-SUM($G199:AW199))*20%,IF(AZ$121=0,0,IF(AZ$121="2차중도금",$F199*30%-SUM($G199:AY199),IF(AZ$121="3차중도금",$F199*40%-SUM($G199:AY199),IF(AZ$121="4차중도금",$F199*50%-SUM($G199:AY199),$F199*10%)))))))+(IF(AZ$121="5차중도금",$F199*60%-SUM($G199:AY199)-$F199*10%,IF(AZ$121="6차중도금",$F199*70%-SUM($G199:AY199)-$F199*10%,0)))</f>
        <v>0</v>
      </c>
      <c r="BA199" s="605">
        <f>IF(BA$121="입주/잔금",($F199-SUM($G199:AZ199))*30%,IF(AZ$121="입주/잔금",($F199-SUM($G199:AY199))*50%,IF(AY$121="입주/잔금",($F199-SUM($G199:AX199))*20%,IF(BA$121=0,0,IF(BA$121="2차중도금",$F199*30%-SUM($G199:AZ199),IF(BA$121="3차중도금",$F199*40%-SUM($G199:AZ199),IF(BA$121="4차중도금",$F199*50%-SUM($G199:AZ199),$F199*10%)))))))+(IF(BA$121="5차중도금",$F199*60%-SUM($G199:AZ199)-$F199*10%,IF(BA$121="6차중도금",$F199*70%-SUM($G199:AZ199)-$F199*10%,0)))</f>
        <v>0</v>
      </c>
      <c r="BB199" s="605">
        <f>IF(BB$121="입주/잔금",($F199-SUM($G199:BA199))*30%,IF(BA$121="입주/잔금",($F199-SUM($G199:AZ199))*50%,IF(AZ$121="입주/잔금",($F199-SUM($G199:AY199))*20%,IF(BB$121=0,0,IF(BB$121="2차중도금",$F199*30%-SUM($G199:BA199),IF(BB$121="3차중도금",$F199*40%-SUM($G199:BA199),IF(BB$121="4차중도금",$F199*50%-SUM($G199:BA199),$F199*10%)))))))+(IF(BB$121="5차중도금",$F199*60%-SUM($G199:BA199)-$F199*10%,IF(BB$121="6차중도금",$F199*70%-SUM($G199:BA199)-$F199*10%,0)))</f>
        <v>0</v>
      </c>
      <c r="BC199" s="605">
        <f>IF(BC$121="입주/잔금",($F199-SUM($G199:BB199))*30%,IF(BB$121="입주/잔금",($F199-SUM($G199:BA199))*50%,IF(BA$121="입주/잔금",($F199-SUM($G199:AZ199))*20%,IF(BC$121=0,0,IF(BC$121="2차중도금",$F199*30%-SUM($G199:BB199),IF(BC$121="3차중도금",$F199*40%-SUM($G199:BB199),IF(BC$121="4차중도금",$F199*50%-SUM($G199:BB199),$F199*10%)))))))+(IF(BC$121="5차중도금",$F199*60%-SUM($G199:BB199)-$F199*10%,IF(BC$121="6차중도금",$F199*70%-SUM($G199:BB199)-$F199*10%,0)))</f>
        <v>0</v>
      </c>
      <c r="BD199" s="605">
        <f>IF(BD$121="입주/잔금",($F199-SUM($G199:BC199))*30%,IF(BC$121="입주/잔금",($F199-SUM($G199:BB199))*50%,IF(BB$121="입주/잔금",($F199-SUM($G199:BA199))*20%,IF(BD$121=0,0,IF(BD$121="2차중도금",$F199*30%-SUM($G199:BC199),IF(BD$121="3차중도금",$F199*40%-SUM($G199:BC199),IF(BD$121="4차중도금",$F199*50%-SUM($G199:BC199),$F199*10%)))))))+(IF(BD$121="5차중도금",$F199*60%-SUM($G199:BC199)-$F199*10%,IF(BD$121="6차중도금",$F199*70%-SUM($G199:BC199)-$F199*10%,0)))</f>
        <v>0</v>
      </c>
      <c r="BE199" s="605">
        <f>IF(BE$121="입주/잔금",($F199-SUM($G199:BD199))*30%,IF(BD$121="입주/잔금",($F199-SUM($G199:BC199))*50%,IF(BC$121="입주/잔금",($F199-SUM($G199:BB199))*20%,IF(BE$121=0,0,IF(BE$121="2차중도금",$F199*30%-SUM($G199:BD199),IF(BE$121="3차중도금",$F199*40%-SUM($G199:BD199),IF(BE$121="4차중도금",$F199*50%-SUM($G199:BD199),$F199*10%)))))))+(IF(BE$121="5차중도금",$F199*60%-SUM($G199:BD199)-$F199*10%,IF(BE$121="6차중도금",$F199*70%-SUM($G199:BD199)-$F199*10%,0)))</f>
        <v>0</v>
      </c>
      <c r="BF199" s="609">
        <f t="shared" si="57"/>
        <v>0</v>
      </c>
      <c r="BG199" s="556">
        <f t="shared" si="59"/>
        <v>0</v>
      </c>
      <c r="BH199" s="610"/>
    </row>
    <row r="200" spans="1:60" hidden="1">
      <c r="A200" s="1853"/>
      <c r="B200" s="611">
        <f t="shared" si="60"/>
        <v>45536</v>
      </c>
      <c r="C200" s="605">
        <f t="shared" si="61"/>
        <v>0</v>
      </c>
      <c r="D200" s="606"/>
      <c r="E200" s="612">
        <f t="shared" si="62"/>
        <v>0</v>
      </c>
      <c r="F200" s="608">
        <f t="shared" si="58"/>
        <v>0</v>
      </c>
      <c r="G200" s="605"/>
      <c r="H200" s="605"/>
      <c r="I200" s="605"/>
      <c r="J200" s="605"/>
      <c r="K200" s="605"/>
      <c r="L200" s="605"/>
      <c r="M200" s="605"/>
      <c r="N200" s="605"/>
      <c r="O200" s="605"/>
      <c r="P200" s="605"/>
      <c r="Q200" s="605"/>
      <c r="R200" s="605"/>
      <c r="S200" s="605"/>
      <c r="T200" s="605"/>
      <c r="U200" s="605"/>
      <c r="V200" s="605"/>
      <c r="W200" s="605"/>
      <c r="X200" s="605"/>
      <c r="Y200" s="605"/>
      <c r="Z200" s="605"/>
      <c r="AA200" s="605"/>
      <c r="AB200" s="605"/>
      <c r="AC200" s="605"/>
      <c r="AD200" s="605">
        <f>$F200*10%</f>
        <v>0</v>
      </c>
      <c r="AE200" s="605">
        <f>IF(AE$121="입주/잔금",($F200-SUM($G200:AD200))*30%,IF(AD$121="입주/잔금",($F200-SUM($G200:AC200))*50%,IF(AC$121="입주/잔금",($F200-SUM($G200:AB200))*20%,IF(AE$121=0,0,IF(AE$121="2차중도금",$F200*30%-SUM($G200:AD200),IF(AE$121="3차중도금",$F200*40%-SUM($G200:AD200),IF(AE$121="4차중도금",$F200*50%-SUM($G200:AD200),$F200*10%)))))))+(IF(AE$121="5차중도금",$F200*60%-SUM($G200:AD200)-$F200*10%,IF(AE$121="6차중도금",$F200*70%-SUM($G200:AD200)-$F200*10%,0)))</f>
        <v>0</v>
      </c>
      <c r="AF200" s="605">
        <f>IF(AF$121="입주/잔금",($F200-SUM($G200:AE200))*30%,IF(AE$121="입주/잔금",($F200-SUM($G200:AD200))*50%,IF(AD$121="입주/잔금",($F200-SUM($G200:AC200))*20%,IF(AF$121=0,0,IF(AF$121="2차중도금",$F200*30%-SUM($G200:AE200),IF(AF$121="3차중도금",$F200*40%-SUM($G200:AE200),IF(AF$121="4차중도금",$F200*50%-SUM($G200:AE200),$F200*10%)))))))+(IF(AF$121="5차중도금",$F200*60%-SUM($G200:AE200)-$F200*10%,IF(AF$121="6차중도금",$F200*70%-SUM($G200:AE200)-$F200*10%,0)))</f>
        <v>0</v>
      </c>
      <c r="AG200" s="605">
        <f>IF(AG$121="입주/잔금",($F200-SUM($G200:AF200))*30%,IF(AF$121="입주/잔금",($F200-SUM($G200:AE200))*50%,IF(AE$121="입주/잔금",($F200-SUM($G200:AD200))*20%,IF(AG$121=0,0,IF(AG$121="2차중도금",$F200*30%-SUM($G200:AF200),IF(AG$121="3차중도금",$F200*40%-SUM($G200:AF200),IF(AG$121="4차중도금",$F200*50%-SUM($G200:AF200),$F200*10%)))))))+(IF(AG$121="5차중도금",$F200*60%-SUM($G200:AF200)-$F200*10%,IF(AG$121="6차중도금",$F200*70%-SUM($G200:AF200)-$F200*10%,0)))</f>
        <v>0</v>
      </c>
      <c r="AH200" s="605">
        <f>IF(AH$121="입주/잔금",($F200-SUM($G200:AG200))*30%,IF(AG$121="입주/잔금",($F200-SUM($G200:AF200))*50%,IF(AF$121="입주/잔금",($F200-SUM($G200:AE200))*20%,IF(AH$121=0,0,IF(AH$121="2차중도금",$F200*30%-SUM($G200:AG200),IF(AH$121="3차중도금",$F200*40%-SUM($G200:AG200),IF(AH$121="4차중도금",$F200*50%-SUM($G200:AG200),$F200*10%)))))))+(IF(AH$121="5차중도금",$F200*60%-SUM($G200:AG200)-$F200*10%,IF(AH$121="6차중도금",$F200*70%-SUM($G200:AG200)-$F200*10%,0)))</f>
        <v>0</v>
      </c>
      <c r="AI200" s="605">
        <f>IF(AI$121="입주/잔금",($F200-SUM($G200:AH200))*30%,IF(AH$121="입주/잔금",($F200-SUM($G200:AG200))*50%,IF(AG$121="입주/잔금",($F200-SUM($G200:AF200))*20%,IF(AI$121=0,0,IF(AI$121="2차중도금",$F200*30%-SUM($G200:AH200),IF(AI$121="3차중도금",$F200*40%-SUM($G200:AH200),IF(AI$121="4차중도금",$F200*50%-SUM($G200:AH200),$F200*10%)))))))+(IF(AI$121="5차중도금",$F200*60%-SUM($G200:AH200)-$F200*10%,IF(AI$121="6차중도금",$F200*70%-SUM($G200:AH200)-$F200*10%,0)))</f>
        <v>0</v>
      </c>
      <c r="AJ200" s="605">
        <f>IF(AJ$121="입주/잔금",($F200-SUM($G200:AI200))*30%,IF(AI$121="입주/잔금",($F200-SUM($G200:AH200))*50%,IF(AH$121="입주/잔금",($F200-SUM($G200:AG200))*20%,IF(AJ$121=0,0,IF(AJ$121="2차중도금",$F200*30%-SUM($G200:AI200),IF(AJ$121="3차중도금",$F200*40%-SUM($G200:AI200),IF(AJ$121="4차중도금",$F200*50%-SUM($G200:AI200),$F200*10%)))))))+(IF(AJ$121="5차중도금",$F200*60%-SUM($G200:AI200)-$F200*10%,IF(AJ$121="6차중도금",$F200*70%-SUM($G200:AI200)-$F200*10%,0)))</f>
        <v>0</v>
      </c>
      <c r="AK200" s="605">
        <f>IF(AK$121="입주/잔금",($F200-SUM($G200:AJ200))*30%,IF(AJ$121="입주/잔금",($F200-SUM($G200:AI200))*50%,IF(AI$121="입주/잔금",($F200-SUM($G200:AH200))*20%,IF(AK$121=0,0,IF(AK$121="2차중도금",$F200*30%-SUM($G200:AJ200),IF(AK$121="3차중도금",$F200*40%-SUM($G200:AJ200),IF(AK$121="4차중도금",$F200*50%-SUM($G200:AJ200),$F200*10%)))))))+(IF(AK$121="5차중도금",$F200*60%-SUM($G200:AJ200)-$F200*10%,IF(AK$121="6차중도금",$F200*70%-SUM($G200:AJ200)-$F200*10%,0)))</f>
        <v>0</v>
      </c>
      <c r="AL200" s="605">
        <f>IF(AL$121="입주/잔금",($F200-SUM($G200:AK200))*30%,IF(AK$121="입주/잔금",($F200-SUM($G200:AJ200))*50%,IF(AJ$121="입주/잔금",($F200-SUM($G200:AI200))*20%,IF(AL$121=0,0,IF(AL$121="2차중도금",$F200*30%-SUM($G200:AK200),IF(AL$121="3차중도금",$F200*40%-SUM($G200:AK200),IF(AL$121="4차중도금",$F200*50%-SUM($G200:AK200),$F200*10%)))))))+(IF(AL$121="5차중도금",$F200*60%-SUM($G200:AK200)-$F200*10%,IF(AL$121="6차중도금",$F200*70%-SUM($G200:AK200)-$F200*10%,0)))</f>
        <v>0</v>
      </c>
      <c r="AM200" s="605">
        <f>IF(AM$121="입주/잔금",($F200-SUM($G200:AL200))*30%,IF(AL$121="입주/잔금",($F200-SUM($G200:AK200))*50%,IF(AK$121="입주/잔금",($F200-SUM($G200:AJ200))*20%,IF(AM$121=0,0,IF(AM$121="2차중도금",$F200*30%-SUM($G200:AL200),IF(AM$121="3차중도금",$F200*40%-SUM($G200:AL200),IF(AM$121="4차중도금",$F200*50%-SUM($G200:AL200),$F200*10%)))))))+(IF(AM$121="5차중도금",$F200*60%-SUM($G200:AL200)-$F200*10%,IF(AM$121="6차중도금",$F200*70%-SUM($G200:AL200)-$F200*10%,0)))</f>
        <v>0</v>
      </c>
      <c r="AN200" s="605">
        <f>IF(AN$121="입주/잔금",($F200-SUM($G200:AM200))*30%,IF(AM$121="입주/잔금",($F200-SUM($G200:AL200))*50%,IF(AL$121="입주/잔금",($F200-SUM($G200:AK200))*20%,IF(AN$121=0,0,IF(AN$121="2차중도금",$F200*30%-SUM($G200:AM200),IF(AN$121="3차중도금",$F200*40%-SUM($G200:AM200),IF(AN$121="4차중도금",$F200*50%-SUM($G200:AM200),$F200*10%)))))))+(IF(AN$121="5차중도금",$F200*60%-SUM($G200:AM200)-$F200*10%,IF(AN$121="6차중도금",$F200*70%-SUM($G200:AM200)-$F200*10%,0)))</f>
        <v>0</v>
      </c>
      <c r="AO200" s="605">
        <f>IF(AO$121="입주/잔금",($F200-SUM($G200:AN200))*30%,IF(AN$121="입주/잔금",($F200-SUM($G200:AM200))*50%,IF(AM$121="입주/잔금",($F200-SUM($G200:AL200))*20%,IF(AO$121=0,0,IF(AO$121="2차중도금",$F200*30%-SUM($G200:AN200),IF(AO$121="3차중도금",$F200*40%-SUM($G200:AN200),IF(AO$121="4차중도금",$F200*50%-SUM($G200:AN200),$F200*10%)))))))+(IF(AO$121="5차중도금",$F200*60%-SUM($G200:AN200)-$F200*10%,IF(AO$121="6차중도금",$F200*70%-SUM($G200:AN200)-$F200*10%,0)))</f>
        <v>0</v>
      </c>
      <c r="AP200" s="605">
        <f>IF(AP$121="입주/잔금",($F200-SUM($G200:AO200))*30%,IF(AO$121="입주/잔금",($F200-SUM($G200:AN200))*50%,IF(AN$121="입주/잔금",($F200-SUM($G200:AM200))*20%,IF(AP$121=0,0,IF(AP$121="2차중도금",$F200*30%-SUM($G200:AO200),IF(AP$121="3차중도금",$F200*40%-SUM($G200:AO200),IF(AP$121="4차중도금",$F200*50%-SUM($G200:AO200),$F200*10%)))))))+(IF(AP$121="5차중도금",$F200*60%-SUM($G200:AO200)-$F200*10%,IF(AP$121="6차중도금",$F200*70%-SUM($G200:AO200)-$F200*10%,0)))</f>
        <v>0</v>
      </c>
      <c r="AQ200" s="605">
        <f>IF(AQ$121="입주/잔금",($F200-SUM($G200:AP200))*30%,IF(AP$121="입주/잔금",($F200-SUM($G200:AO200))*50%,IF(AO$121="입주/잔금",($F200-SUM($G200:AN200))*20%,IF(AQ$121=0,0,IF(AQ$121="2차중도금",$F200*30%-SUM($G200:AP200),IF(AQ$121="3차중도금",$F200*40%-SUM($G200:AP200),IF(AQ$121="4차중도금",$F200*50%-SUM($G200:AP200),$F200*10%)))))))+(IF(AQ$121="5차중도금",$F200*60%-SUM($G200:AP200)-$F200*10%,IF(AQ$121="6차중도금",$F200*70%-SUM($G200:AP200)-$F200*10%,0)))</f>
        <v>0</v>
      </c>
      <c r="AR200" s="605">
        <f>IF(AR$121="입주/잔금",($F200-SUM($G200:AQ200))*30%,IF(AQ$121="입주/잔금",($F200-SUM($G200:AP200))*50%,IF(AP$121="입주/잔금",($F200-SUM($G200:AO200))*20%,IF(AR$121=0,0,IF(AR$121="2차중도금",$F200*30%-SUM($G200:AQ200),IF(AR$121="3차중도금",$F200*40%-SUM($G200:AQ200),IF(AR$121="4차중도금",$F200*50%-SUM($G200:AQ200),$F200*10%)))))))+(IF(AR$121="5차중도금",$F200*60%-SUM($G200:AQ200)-$F200*10%,IF(AR$121="6차중도금",$F200*70%-SUM($G200:AQ200)-$F200*10%,0)))</f>
        <v>0</v>
      </c>
      <c r="AS200" s="605">
        <f>IF(AS$121="입주/잔금",($F200-SUM($G200:AR200))*30%,IF(AR$121="입주/잔금",($F200-SUM($G200:AQ200))*50%,IF(AQ$121="입주/잔금",($F200-SUM($G200:AP200))*20%,IF(AS$121=0,0,IF(AS$121="2차중도금",$F200*30%-SUM($G200:AR200),IF(AS$121="3차중도금",$F200*40%-SUM($G200:AR200),IF(AS$121="4차중도금",$F200*50%-SUM($G200:AR200),$F200*10%)))))))+(IF(AS$121="5차중도금",$F200*60%-SUM($G200:AR200)-$F200*10%,IF(AS$121="6차중도금",$F200*70%-SUM($G200:AR200)-$F200*10%,0)))</f>
        <v>0</v>
      </c>
      <c r="AT200" s="605">
        <f>IF(AT$121="입주/잔금",($F200-SUM($G200:AS200))*30%,IF(AS$121="입주/잔금",($F200-SUM($G200:AR200))*50%,IF(AR$121="입주/잔금",($F200-SUM($G200:AQ200))*20%,IF(AT$121=0,0,IF(AT$121="2차중도금",$F200*30%-SUM($G200:AS200),IF(AT$121="3차중도금",$F200*40%-SUM($G200:AS200),IF(AT$121="4차중도금",$F200*50%-SUM($G200:AS200),$F200*10%)))))))+(IF(AT$121="5차중도금",$F200*60%-SUM($G200:AS200)-$F200*10%,IF(AT$121="6차중도금",$F200*70%-SUM($G200:AS200)-$F200*10%,0)))</f>
        <v>0</v>
      </c>
      <c r="AU200" s="605">
        <f>IF(AU$121="입주/잔금",($F200-SUM($G200:AT200))*30%,IF(AT$121="입주/잔금",($F200-SUM($G200:AS200))*50%,IF(AS$121="입주/잔금",($F200-SUM($G200:AR200))*20%,IF(AU$121=0,0,IF(AU$121="2차중도금",$F200*30%-SUM($G200:AT200),IF(AU$121="3차중도금",$F200*40%-SUM($G200:AT200),IF(AU$121="4차중도금",$F200*50%-SUM($G200:AT200),$F200*10%)))))))+(IF(AU$121="5차중도금",$F200*60%-SUM($G200:AT200)-$F200*10%,IF(AU$121="6차중도금",$F200*70%-SUM($G200:AT200)-$F200*10%,0)))</f>
        <v>0</v>
      </c>
      <c r="AV200" s="605">
        <f>IF(AV$121="입주/잔금",($F200-SUM($G200:AU200))*30%,IF(AU$121="입주/잔금",($F200-SUM($G200:AT200))*50%,IF(AT$121="입주/잔금",($F200-SUM($G200:AS200))*20%,IF(AV$121=0,0,IF(AV$121="2차중도금",$F200*30%-SUM($G200:AU200),IF(AV$121="3차중도금",$F200*40%-SUM($G200:AU200),IF(AV$121="4차중도금",$F200*50%-SUM($G200:AU200),$F200*10%)))))))+(IF(AV$121="5차중도금",$F200*60%-SUM($G200:AU200)-$F200*10%,IF(AV$121="6차중도금",$F200*70%-SUM($G200:AU200)-$F200*10%,0)))</f>
        <v>0</v>
      </c>
      <c r="AW200" s="605">
        <f>IF(AW$121="입주/잔금",($F200-SUM($G200:AV200))*30%,IF(AV$121="입주/잔금",($F200-SUM($G200:AU200))*50%,IF(AU$121="입주/잔금",($F200-SUM($G200:AT200))*20%,IF(AW$121=0,0,IF(AW$121="2차중도금",$F200*30%-SUM($G200:AV200),IF(AW$121="3차중도금",$F200*40%-SUM($G200:AV200),IF(AW$121="4차중도금",$F200*50%-SUM($G200:AV200),$F200*10%)))))))+(IF(AW$121="5차중도금",$F200*60%-SUM($G200:AV200)-$F200*10%,IF(AW$121="6차중도금",$F200*70%-SUM($G200:AV200)-$F200*10%,0)))</f>
        <v>0</v>
      </c>
      <c r="AX200" s="605">
        <f>IF(AX$121="입주/잔금",($F200-SUM($G200:AW200))*30%,IF(AW$121="입주/잔금",($F200-SUM($G200:AV200))*50%,IF(AV$121="입주/잔금",($F200-SUM($G200:AU200))*20%,IF(AX$121=0,0,IF(AX$121="2차중도금",$F200*30%-SUM($G200:AW200),IF(AX$121="3차중도금",$F200*40%-SUM($G200:AW200),IF(AX$121="4차중도금",$F200*50%-SUM($G200:AW200),$F200*10%)))))))+(IF(AX$121="5차중도금",$F200*60%-SUM($G200:AW200)-$F200*10%,IF(AX$121="6차중도금",$F200*70%-SUM($G200:AW200)-$F200*10%,0)))</f>
        <v>0</v>
      </c>
      <c r="AY200" s="605">
        <f>IF(AY$121="입주/잔금",($F200-SUM($G200:AX200))*30%,IF(AX$121="입주/잔금",($F200-SUM($G200:AW200))*50%,IF(AW$121="입주/잔금",($F200-SUM($G200:AV200))*20%,IF(AY$121=0,0,IF(AY$121="2차중도금",$F200*30%-SUM($G200:AX200),IF(AY$121="3차중도금",$F200*40%-SUM($G200:AX200),IF(AY$121="4차중도금",$F200*50%-SUM($G200:AX200),$F200*10%)))))))+(IF(AY$121="5차중도금",$F200*60%-SUM($G200:AX200)-$F200*10%,IF(AY$121="6차중도금",$F200*70%-SUM($G200:AX200)-$F200*10%,0)))</f>
        <v>0</v>
      </c>
      <c r="AZ200" s="605">
        <f>IF(AZ$121="입주/잔금",($F200-SUM($G200:AY200))*30%,IF(AY$121="입주/잔금",($F200-SUM($G200:AX200))*50%,IF(AX$121="입주/잔금",($F200-SUM($G200:AW200))*20%,IF(AZ$121=0,0,IF(AZ$121="2차중도금",$F200*30%-SUM($G200:AY200),IF(AZ$121="3차중도금",$F200*40%-SUM($G200:AY200),IF(AZ$121="4차중도금",$F200*50%-SUM($G200:AY200),$F200*10%)))))))+(IF(AZ$121="5차중도금",$F200*60%-SUM($G200:AY200)-$F200*10%,IF(AZ$121="6차중도금",$F200*70%-SUM($G200:AY200)-$F200*10%,0)))</f>
        <v>0</v>
      </c>
      <c r="BA200" s="605">
        <f>IF(BA$121="입주/잔금",($F200-SUM($G200:AZ200))*30%,IF(AZ$121="입주/잔금",($F200-SUM($G200:AY200))*50%,IF(AY$121="입주/잔금",($F200-SUM($G200:AX200))*20%,IF(BA$121=0,0,IF(BA$121="2차중도금",$F200*30%-SUM($G200:AZ200),IF(BA$121="3차중도금",$F200*40%-SUM($G200:AZ200),IF(BA$121="4차중도금",$F200*50%-SUM($G200:AZ200),$F200*10%)))))))+(IF(BA$121="5차중도금",$F200*60%-SUM($G200:AZ200)-$F200*10%,IF(BA$121="6차중도금",$F200*70%-SUM($G200:AZ200)-$F200*10%,0)))</f>
        <v>0</v>
      </c>
      <c r="BB200" s="605">
        <f>IF(BB$121="입주/잔금",($F200-SUM($G200:BA200))*30%,IF(BA$121="입주/잔금",($F200-SUM($G200:AZ200))*50%,IF(AZ$121="입주/잔금",($F200-SUM($G200:AY200))*20%,IF(BB$121=0,0,IF(BB$121="2차중도금",$F200*30%-SUM($G200:BA200),IF(BB$121="3차중도금",$F200*40%-SUM($G200:BA200),IF(BB$121="4차중도금",$F200*50%-SUM($G200:BA200),$F200*10%)))))))+(IF(BB$121="5차중도금",$F200*60%-SUM($G200:BA200)-$F200*10%,IF(BB$121="6차중도금",$F200*70%-SUM($G200:BA200)-$F200*10%,0)))</f>
        <v>0</v>
      </c>
      <c r="BC200" s="605">
        <f>IF(BC$121="입주/잔금",($F200-SUM($G200:BB200))*30%,IF(BB$121="입주/잔금",($F200-SUM($G200:BA200))*50%,IF(BA$121="입주/잔금",($F200-SUM($G200:AZ200))*20%,IF(BC$121=0,0,IF(BC$121="2차중도금",$F200*30%-SUM($G200:BB200),IF(BC$121="3차중도금",$F200*40%-SUM($G200:BB200),IF(BC$121="4차중도금",$F200*50%-SUM($G200:BB200),$F200*10%)))))))+(IF(BC$121="5차중도금",$F200*60%-SUM($G200:BB200)-$F200*10%,IF(BC$121="6차중도금",$F200*70%-SUM($G200:BB200)-$F200*10%,0)))</f>
        <v>0</v>
      </c>
      <c r="BD200" s="605">
        <f>IF(BD$121="입주/잔금",($F200-SUM($G200:BC200))*30%,IF(BC$121="입주/잔금",($F200-SUM($G200:BB200))*50%,IF(BB$121="입주/잔금",($F200-SUM($G200:BA200))*20%,IF(BD$121=0,0,IF(BD$121="2차중도금",$F200*30%-SUM($G200:BC200),IF(BD$121="3차중도금",$F200*40%-SUM($G200:BC200),IF(BD$121="4차중도금",$F200*50%-SUM($G200:BC200),$F200*10%)))))))+(IF(BD$121="5차중도금",$F200*60%-SUM($G200:BC200)-$F200*10%,IF(BD$121="6차중도금",$F200*70%-SUM($G200:BC200)-$F200*10%,0)))</f>
        <v>0</v>
      </c>
      <c r="BE200" s="605">
        <f>IF(BE$121="입주/잔금",($F200-SUM($G200:BD200))*30%,IF(BD$121="입주/잔금",($F200-SUM($G200:BC200))*50%,IF(BC$121="입주/잔금",($F200-SUM($G200:BB200))*20%,IF(BE$121=0,0,IF(BE$121="2차중도금",$F200*30%-SUM($G200:BD200),IF(BE$121="3차중도금",$F200*40%-SUM($G200:BD200),IF(BE$121="4차중도금",$F200*50%-SUM($G200:BD200),$F200*10%)))))))+(IF(BE$121="5차중도금",$F200*60%-SUM($G200:BD200)-$F200*10%,IF(BE$121="6차중도금",$F200*70%-SUM($G200:BD200)-$F200*10%,0)))</f>
        <v>0</v>
      </c>
      <c r="BF200" s="609">
        <f t="shared" si="57"/>
        <v>0</v>
      </c>
      <c r="BG200" s="556">
        <f t="shared" si="59"/>
        <v>0</v>
      </c>
      <c r="BH200" s="610"/>
    </row>
    <row r="201" spans="1:60" hidden="1">
      <c r="A201" s="1853"/>
      <c r="B201" s="613">
        <f t="shared" si="60"/>
        <v>45566</v>
      </c>
      <c r="C201" s="605">
        <f t="shared" ref="C201:C227" si="63">C190</f>
        <v>0</v>
      </c>
      <c r="D201" s="606"/>
      <c r="E201" s="607">
        <f t="shared" si="62"/>
        <v>0</v>
      </c>
      <c r="F201" s="608">
        <f t="shared" si="58"/>
        <v>0</v>
      </c>
      <c r="G201" s="605"/>
      <c r="H201" s="605"/>
      <c r="I201" s="605"/>
      <c r="J201" s="605"/>
      <c r="K201" s="605"/>
      <c r="L201" s="605"/>
      <c r="M201" s="605"/>
      <c r="N201" s="605"/>
      <c r="O201" s="605"/>
      <c r="P201" s="605"/>
      <c r="Q201" s="605"/>
      <c r="R201" s="605"/>
      <c r="S201" s="605"/>
      <c r="T201" s="605"/>
      <c r="U201" s="605"/>
      <c r="V201" s="605"/>
      <c r="W201" s="605"/>
      <c r="X201" s="605"/>
      <c r="Y201" s="605"/>
      <c r="Z201" s="605"/>
      <c r="AA201" s="605"/>
      <c r="AB201" s="605"/>
      <c r="AC201" s="605"/>
      <c r="AD201" s="605"/>
      <c r="AE201" s="605">
        <f>$F201*10%</f>
        <v>0</v>
      </c>
      <c r="AF201" s="605">
        <f>IF(AF$121="입주/잔금",($F201-SUM($G201:AE201))*30%,IF(AE$121="입주/잔금",($F201-SUM($G201:AD201))*50%,IF(AD$121="입주/잔금",($F201-SUM($G201:AC201))*20%,IF(AF$121=0,0,IF(AF$121="2차중도금",$F201*30%-SUM($G201:AE201),IF(AF$121="3차중도금",$F201*40%-SUM($G201:AE201),IF(AF$121="4차중도금",$F201*50%-SUM($G201:AE201),$F201*10%)))))))+(IF(AF$121="5차중도금",$F201*60%-SUM($G201:AE201)-$F201*10%,IF(AF$121="6차중도금",$F201*70%-SUM($G201:AE201)-$F201*10%,0)))</f>
        <v>0</v>
      </c>
      <c r="AG201" s="605">
        <f>IF(AG$121="입주/잔금",($F201-SUM($G201:AF201))*30%,IF(AF$121="입주/잔금",($F201-SUM($G201:AE201))*50%,IF(AE$121="입주/잔금",($F201-SUM($G201:AD201))*20%,IF(AG$121=0,0,IF(AG$121="2차중도금",$F201*30%-SUM($G201:AF201),IF(AG$121="3차중도금",$F201*40%-SUM($G201:AF201),IF(AG$121="4차중도금",$F201*50%-SUM($G201:AF201),$F201*10%)))))))+(IF(AG$121="5차중도금",$F201*60%-SUM($G201:AF201)-$F201*10%,IF(AG$121="6차중도금",$F201*70%-SUM($G201:AF201)-$F201*10%,0)))</f>
        <v>0</v>
      </c>
      <c r="AH201" s="605">
        <f>IF(AH$121="입주/잔금",($F201-SUM($G201:AG201))*30%,IF(AG$121="입주/잔금",($F201-SUM($G201:AF201))*50%,IF(AF$121="입주/잔금",($F201-SUM($G201:AE201))*20%,IF(AH$121=0,0,IF(AH$121="2차중도금",$F201*30%-SUM($G201:AG201),IF(AH$121="3차중도금",$F201*40%-SUM($G201:AG201),IF(AH$121="4차중도금",$F201*50%-SUM($G201:AG201),$F201*10%)))))))+(IF(AH$121="5차중도금",$F201*60%-SUM($G201:AG201)-$F201*10%,IF(AH$121="6차중도금",$F201*70%-SUM($G201:AG201)-$F201*10%,0)))</f>
        <v>0</v>
      </c>
      <c r="AI201" s="605">
        <f>IF(AI$121="입주/잔금",($F201-SUM($G201:AH201))*30%,IF(AH$121="입주/잔금",($F201-SUM($G201:AG201))*50%,IF(AG$121="입주/잔금",($F201-SUM($G201:AF201))*20%,IF(AI$121=0,0,IF(AI$121="2차중도금",$F201*30%-SUM($G201:AH201),IF(AI$121="3차중도금",$F201*40%-SUM($G201:AH201),IF(AI$121="4차중도금",$F201*50%-SUM($G201:AH201),$F201*10%)))))))+(IF(AI$121="5차중도금",$F201*60%-SUM($G201:AH201)-$F201*10%,IF(AI$121="6차중도금",$F201*70%-SUM($G201:AH201)-$F201*10%,0)))</f>
        <v>0</v>
      </c>
      <c r="AJ201" s="605">
        <f>IF(AJ$121="입주/잔금",($F201-SUM($G201:AI201))*30%,IF(AI$121="입주/잔금",($F201-SUM($G201:AH201))*50%,IF(AH$121="입주/잔금",($F201-SUM($G201:AG201))*20%,IF(AJ$121=0,0,IF(AJ$121="2차중도금",$F201*30%-SUM($G201:AI201),IF(AJ$121="3차중도금",$F201*40%-SUM($G201:AI201),IF(AJ$121="4차중도금",$F201*50%-SUM($G201:AI201),$F201*10%)))))))+(IF(AJ$121="5차중도금",$F201*60%-SUM($G201:AI201)-$F201*10%,IF(AJ$121="6차중도금",$F201*70%-SUM($G201:AI201)-$F201*10%,0)))</f>
        <v>0</v>
      </c>
      <c r="AK201" s="605">
        <f>IF(AK$121="입주/잔금",($F201-SUM($G201:AJ201))*30%,IF(AJ$121="입주/잔금",($F201-SUM($G201:AI201))*50%,IF(AI$121="입주/잔금",($F201-SUM($G201:AH201))*20%,IF(AK$121=0,0,IF(AK$121="2차중도금",$F201*30%-SUM($G201:AJ201),IF(AK$121="3차중도금",$F201*40%-SUM($G201:AJ201),IF(AK$121="4차중도금",$F201*50%-SUM($G201:AJ201),$F201*10%)))))))+(IF(AK$121="5차중도금",$F201*60%-SUM($G201:AJ201)-$F201*10%,IF(AK$121="6차중도금",$F201*70%-SUM($G201:AJ201)-$F201*10%,0)))</f>
        <v>0</v>
      </c>
      <c r="AL201" s="605">
        <f>IF(AL$121="입주/잔금",($F201-SUM($G201:AK201))*30%,IF(AK$121="입주/잔금",($F201-SUM($G201:AJ201))*50%,IF(AJ$121="입주/잔금",($F201-SUM($G201:AI201))*20%,IF(AL$121=0,0,IF(AL$121="2차중도금",$F201*30%-SUM($G201:AK201),IF(AL$121="3차중도금",$F201*40%-SUM($G201:AK201),IF(AL$121="4차중도금",$F201*50%-SUM($G201:AK201),$F201*10%)))))))+(IF(AL$121="5차중도금",$F201*60%-SUM($G201:AK201)-$F201*10%,IF(AL$121="6차중도금",$F201*70%-SUM($G201:AK201)-$F201*10%,0)))</f>
        <v>0</v>
      </c>
      <c r="AM201" s="605">
        <f>IF(AM$121="입주/잔금",($F201-SUM($G201:AL201))*30%,IF(AL$121="입주/잔금",($F201-SUM($G201:AK201))*50%,IF(AK$121="입주/잔금",($F201-SUM($G201:AJ201))*20%,IF(AM$121=0,0,IF(AM$121="2차중도금",$F201*30%-SUM($G201:AL201),IF(AM$121="3차중도금",$F201*40%-SUM($G201:AL201),IF(AM$121="4차중도금",$F201*50%-SUM($G201:AL201),$F201*10%)))))))+(IF(AM$121="5차중도금",$F201*60%-SUM($G201:AL201)-$F201*10%,IF(AM$121="6차중도금",$F201*70%-SUM($G201:AL201)-$F201*10%,0)))</f>
        <v>0</v>
      </c>
      <c r="AN201" s="605">
        <f>IF(AN$121="입주/잔금",($F201-SUM($G201:AM201))*30%,IF(AM$121="입주/잔금",($F201-SUM($G201:AL201))*50%,IF(AL$121="입주/잔금",($F201-SUM($G201:AK201))*20%,IF(AN$121=0,0,IF(AN$121="2차중도금",$F201*30%-SUM($G201:AM201),IF(AN$121="3차중도금",$F201*40%-SUM($G201:AM201),IF(AN$121="4차중도금",$F201*50%-SUM($G201:AM201),$F201*10%)))))))+(IF(AN$121="5차중도금",$F201*60%-SUM($G201:AM201)-$F201*10%,IF(AN$121="6차중도금",$F201*70%-SUM($G201:AM201)-$F201*10%,0)))</f>
        <v>0</v>
      </c>
      <c r="AO201" s="605">
        <f>IF(AO$121="입주/잔금",($F201-SUM($G201:AN201))*30%,IF(AN$121="입주/잔금",($F201-SUM($G201:AM201))*50%,IF(AM$121="입주/잔금",($F201-SUM($G201:AL201))*20%,IF(AO$121=0,0,IF(AO$121="2차중도금",$F201*30%-SUM($G201:AN201),IF(AO$121="3차중도금",$F201*40%-SUM($G201:AN201),IF(AO$121="4차중도금",$F201*50%-SUM($G201:AN201),$F201*10%)))))))+(IF(AO$121="5차중도금",$F201*60%-SUM($G201:AN201)-$F201*10%,IF(AO$121="6차중도금",$F201*70%-SUM($G201:AN201)-$F201*10%,0)))</f>
        <v>0</v>
      </c>
      <c r="AP201" s="605">
        <f>IF(AP$121="입주/잔금",($F201-SUM($G201:AO201))*30%,IF(AO$121="입주/잔금",($F201-SUM($G201:AN201))*50%,IF(AN$121="입주/잔금",($F201-SUM($G201:AM201))*20%,IF(AP$121=0,0,IF(AP$121="2차중도금",$F201*30%-SUM($G201:AO201),IF(AP$121="3차중도금",$F201*40%-SUM($G201:AO201),IF(AP$121="4차중도금",$F201*50%-SUM($G201:AO201),$F201*10%)))))))+(IF(AP$121="5차중도금",$F201*60%-SUM($G201:AO201)-$F201*10%,IF(AP$121="6차중도금",$F201*70%-SUM($G201:AO201)-$F201*10%,0)))</f>
        <v>0</v>
      </c>
      <c r="AQ201" s="605">
        <f>IF(AQ$121="입주/잔금",($F201-SUM($G201:AP201))*30%,IF(AP$121="입주/잔금",($F201-SUM($G201:AO201))*50%,IF(AO$121="입주/잔금",($F201-SUM($G201:AN201))*20%,IF(AQ$121=0,0,IF(AQ$121="2차중도금",$F201*30%-SUM($G201:AP201),IF(AQ$121="3차중도금",$F201*40%-SUM($G201:AP201),IF(AQ$121="4차중도금",$F201*50%-SUM($G201:AP201),$F201*10%)))))))+(IF(AQ$121="5차중도금",$F201*60%-SUM($G201:AP201)-$F201*10%,IF(AQ$121="6차중도금",$F201*70%-SUM($G201:AP201)-$F201*10%,0)))</f>
        <v>0</v>
      </c>
      <c r="AR201" s="605">
        <f>IF(AR$121="입주/잔금",($F201-SUM($G201:AQ201))*30%,IF(AQ$121="입주/잔금",($F201-SUM($G201:AP201))*50%,IF(AP$121="입주/잔금",($F201-SUM($G201:AO201))*20%,IF(AR$121=0,0,IF(AR$121="2차중도금",$F201*30%-SUM($G201:AQ201),IF(AR$121="3차중도금",$F201*40%-SUM($G201:AQ201),IF(AR$121="4차중도금",$F201*50%-SUM($G201:AQ201),$F201*10%)))))))+(IF(AR$121="5차중도금",$F201*60%-SUM($G201:AQ201)-$F201*10%,IF(AR$121="6차중도금",$F201*70%-SUM($G201:AQ201)-$F201*10%,0)))</f>
        <v>0</v>
      </c>
      <c r="AS201" s="605">
        <f>IF(AS$121="입주/잔금",($F201-SUM($G201:AR201))*30%,IF(AR$121="입주/잔금",($F201-SUM($G201:AQ201))*50%,IF(AQ$121="입주/잔금",($F201-SUM($G201:AP201))*20%,IF(AS$121=0,0,IF(AS$121="2차중도금",$F201*30%-SUM($G201:AR201),IF(AS$121="3차중도금",$F201*40%-SUM($G201:AR201),IF(AS$121="4차중도금",$F201*50%-SUM($G201:AR201),$F201*10%)))))))+(IF(AS$121="5차중도금",$F201*60%-SUM($G201:AR201)-$F201*10%,IF(AS$121="6차중도금",$F201*70%-SUM($G201:AR201)-$F201*10%,0)))</f>
        <v>0</v>
      </c>
      <c r="AT201" s="605">
        <f>IF(AT$121="입주/잔금",($F201-SUM($G201:AS201))*30%,IF(AS$121="입주/잔금",($F201-SUM($G201:AR201))*50%,IF(AR$121="입주/잔금",($F201-SUM($G201:AQ201))*20%,IF(AT$121=0,0,IF(AT$121="2차중도금",$F201*30%-SUM($G201:AS201),IF(AT$121="3차중도금",$F201*40%-SUM($G201:AS201),IF(AT$121="4차중도금",$F201*50%-SUM($G201:AS201),$F201*10%)))))))+(IF(AT$121="5차중도금",$F201*60%-SUM($G201:AS201)-$F201*10%,IF(AT$121="6차중도금",$F201*70%-SUM($G201:AS201)-$F201*10%,0)))</f>
        <v>0</v>
      </c>
      <c r="AU201" s="605">
        <f>IF(AU$121="입주/잔금",($F201-SUM($G201:AT201))*30%,IF(AT$121="입주/잔금",($F201-SUM($G201:AS201))*50%,IF(AS$121="입주/잔금",($F201-SUM($G201:AR201))*20%,IF(AU$121=0,0,IF(AU$121="2차중도금",$F201*30%-SUM($G201:AT201),IF(AU$121="3차중도금",$F201*40%-SUM($G201:AT201),IF(AU$121="4차중도금",$F201*50%-SUM($G201:AT201),$F201*10%)))))))+(IF(AU$121="5차중도금",$F201*60%-SUM($G201:AT201)-$F201*10%,IF(AU$121="6차중도금",$F201*70%-SUM($G201:AT201)-$F201*10%,0)))</f>
        <v>0</v>
      </c>
      <c r="AV201" s="605">
        <f>IF(AV$121="입주/잔금",($F201-SUM($G201:AU201))*30%,IF(AU$121="입주/잔금",($F201-SUM($G201:AT201))*50%,IF(AT$121="입주/잔금",($F201-SUM($G201:AS201))*20%,IF(AV$121=0,0,IF(AV$121="2차중도금",$F201*30%-SUM($G201:AU201),IF(AV$121="3차중도금",$F201*40%-SUM($G201:AU201),IF(AV$121="4차중도금",$F201*50%-SUM($G201:AU201),$F201*10%)))))))+(IF(AV$121="5차중도금",$F201*60%-SUM($G201:AU201)-$F201*10%,IF(AV$121="6차중도금",$F201*70%-SUM($G201:AU201)-$F201*10%,0)))</f>
        <v>0</v>
      </c>
      <c r="AW201" s="605">
        <f>IF(AW$121="입주/잔금",($F201-SUM($G201:AV201))*30%,IF(AV$121="입주/잔금",($F201-SUM($G201:AU201))*50%,IF(AU$121="입주/잔금",($F201-SUM($G201:AT201))*20%,IF(AW$121=0,0,IF(AW$121="2차중도금",$F201*30%-SUM($G201:AV201),IF(AW$121="3차중도금",$F201*40%-SUM($G201:AV201),IF(AW$121="4차중도금",$F201*50%-SUM($G201:AV201),$F201*10%)))))))+(IF(AW$121="5차중도금",$F201*60%-SUM($G201:AV201)-$F201*10%,IF(AW$121="6차중도금",$F201*70%-SUM($G201:AV201)-$F201*10%,0)))</f>
        <v>0</v>
      </c>
      <c r="AX201" s="605">
        <f>IF(AX$121="입주/잔금",($F201-SUM($G201:AW201))*30%,IF(AW$121="입주/잔금",($F201-SUM($G201:AV201))*50%,IF(AV$121="입주/잔금",($F201-SUM($G201:AU201))*20%,IF(AX$121=0,0,IF(AX$121="2차중도금",$F201*30%-SUM($G201:AW201),IF(AX$121="3차중도금",$F201*40%-SUM($G201:AW201),IF(AX$121="4차중도금",$F201*50%-SUM($G201:AW201),$F201*10%)))))))+(IF(AX$121="5차중도금",$F201*60%-SUM($G201:AW201)-$F201*10%,IF(AX$121="6차중도금",$F201*70%-SUM($G201:AW201)-$F201*10%,0)))</f>
        <v>0</v>
      </c>
      <c r="AY201" s="605">
        <f>IF(AY$121="입주/잔금",($F201-SUM($G201:AX201))*30%,IF(AX$121="입주/잔금",($F201-SUM($G201:AW201))*50%,IF(AW$121="입주/잔금",($F201-SUM($G201:AV201))*20%,IF(AY$121=0,0,IF(AY$121="2차중도금",$F201*30%-SUM($G201:AX201),IF(AY$121="3차중도금",$F201*40%-SUM($G201:AX201),IF(AY$121="4차중도금",$F201*50%-SUM($G201:AX201),$F201*10%)))))))+(IF(AY$121="5차중도금",$F201*60%-SUM($G201:AX201)-$F201*10%,IF(AY$121="6차중도금",$F201*70%-SUM($G201:AX201)-$F201*10%,0)))</f>
        <v>0</v>
      </c>
      <c r="AZ201" s="605">
        <f>IF(AZ$121="입주/잔금",($F201-SUM($G201:AY201))*30%,IF(AY$121="입주/잔금",($F201-SUM($G201:AX201))*50%,IF(AX$121="입주/잔금",($F201-SUM($G201:AW201))*20%,IF(AZ$121=0,0,IF(AZ$121="2차중도금",$F201*30%-SUM($G201:AY201),IF(AZ$121="3차중도금",$F201*40%-SUM($G201:AY201),IF(AZ$121="4차중도금",$F201*50%-SUM($G201:AY201),$F201*10%)))))))+(IF(AZ$121="5차중도금",$F201*60%-SUM($G201:AY201)-$F201*10%,IF(AZ$121="6차중도금",$F201*70%-SUM($G201:AY201)-$F201*10%,0)))</f>
        <v>0</v>
      </c>
      <c r="BA201" s="605">
        <f>IF(BA$121="입주/잔금",($F201-SUM($G201:AZ201))*30%,IF(AZ$121="입주/잔금",($F201-SUM($G201:AY201))*50%,IF(AY$121="입주/잔금",($F201-SUM($G201:AX201))*20%,IF(BA$121=0,0,IF(BA$121="2차중도금",$F201*30%-SUM($G201:AZ201),IF(BA$121="3차중도금",$F201*40%-SUM($G201:AZ201),IF(BA$121="4차중도금",$F201*50%-SUM($G201:AZ201),$F201*10%)))))))+(IF(BA$121="5차중도금",$F201*60%-SUM($G201:AZ201)-$F201*10%,IF(BA$121="6차중도금",$F201*70%-SUM($G201:AZ201)-$F201*10%,0)))</f>
        <v>0</v>
      </c>
      <c r="BB201" s="605">
        <f>IF(BB$121="입주/잔금",($F201-SUM($G201:BA201))*30%,IF(BA$121="입주/잔금",($F201-SUM($G201:AZ201))*50%,IF(AZ$121="입주/잔금",($F201-SUM($G201:AY201))*20%,IF(BB$121=0,0,IF(BB$121="2차중도금",$F201*30%-SUM($G201:BA201),IF(BB$121="3차중도금",$F201*40%-SUM($G201:BA201),IF(BB$121="4차중도금",$F201*50%-SUM($G201:BA201),$F201*10%)))))))+(IF(BB$121="5차중도금",$F201*60%-SUM($G201:BA201)-$F201*10%,IF(BB$121="6차중도금",$F201*70%-SUM($G201:BA201)-$F201*10%,0)))</f>
        <v>0</v>
      </c>
      <c r="BC201" s="605">
        <f>IF(BC$121="입주/잔금",($F201-SUM($G201:BB201))*30%,IF(BB$121="입주/잔금",($F201-SUM($G201:BA201))*50%,IF(BA$121="입주/잔금",($F201-SUM($G201:AZ201))*20%,IF(BC$121=0,0,IF(BC$121="2차중도금",$F201*30%-SUM($G201:BB201),IF(BC$121="3차중도금",$F201*40%-SUM($G201:BB201),IF(BC$121="4차중도금",$F201*50%-SUM($G201:BB201),$F201*10%)))))))+(IF(BC$121="5차중도금",$F201*60%-SUM($G201:BB201)-$F201*10%,IF(BC$121="6차중도금",$F201*70%-SUM($G201:BB201)-$F201*10%,0)))</f>
        <v>0</v>
      </c>
      <c r="BD201" s="605">
        <f>IF(BD$121="입주/잔금",($F201-SUM($G201:BC201))*30%,IF(BC$121="입주/잔금",($F201-SUM($G201:BB201))*50%,IF(BB$121="입주/잔금",($F201-SUM($G201:BA201))*20%,IF(BD$121=0,0,IF(BD$121="2차중도금",$F201*30%-SUM($G201:BC201),IF(BD$121="3차중도금",$F201*40%-SUM($G201:BC201),IF(BD$121="4차중도금",$F201*50%-SUM($G201:BC201),$F201*10%)))))))+(IF(BD$121="5차중도금",$F201*60%-SUM($G201:BC201)-$F201*10%,IF(BD$121="6차중도금",$F201*70%-SUM($G201:BC201)-$F201*10%,0)))</f>
        <v>0</v>
      </c>
      <c r="BE201" s="605">
        <f>IF(BE$121="입주/잔금",($F201-SUM($G201:BD201))*30%,IF(BD$121="입주/잔금",($F201-SUM($G201:BC201))*50%,IF(BC$121="입주/잔금",($F201-SUM($G201:BB201))*20%,IF(BE$121=0,0,IF(BE$121="2차중도금",$F201*30%-SUM($G201:BD201),IF(BE$121="3차중도금",$F201*40%-SUM($G201:BD201),IF(BE$121="4차중도금",$F201*50%-SUM($G201:BD201),$F201*10%)))))))+(IF(BE$121="5차중도금",$F201*60%-SUM($G201:BD201)-$F201*10%,IF(BE$121="6차중도금",$F201*70%-SUM($G201:BD201)-$F201*10%,0)))</f>
        <v>0</v>
      </c>
      <c r="BF201" s="609">
        <f t="shared" si="57"/>
        <v>0</v>
      </c>
      <c r="BG201" s="556">
        <f t="shared" si="59"/>
        <v>0</v>
      </c>
      <c r="BH201" s="610"/>
    </row>
    <row r="202" spans="1:60" hidden="1">
      <c r="A202" s="1853"/>
      <c r="B202" s="611">
        <f t="shared" si="60"/>
        <v>45597</v>
      </c>
      <c r="C202" s="605">
        <f t="shared" si="63"/>
        <v>0</v>
      </c>
      <c r="D202" s="606"/>
      <c r="E202" s="607">
        <f t="shared" si="62"/>
        <v>0</v>
      </c>
      <c r="F202" s="608">
        <f t="shared" si="58"/>
        <v>0</v>
      </c>
      <c r="G202" s="605"/>
      <c r="H202" s="605"/>
      <c r="I202" s="605"/>
      <c r="J202" s="605"/>
      <c r="K202" s="605"/>
      <c r="L202" s="605"/>
      <c r="M202" s="605"/>
      <c r="N202" s="605"/>
      <c r="O202" s="605"/>
      <c r="P202" s="605"/>
      <c r="Q202" s="605"/>
      <c r="R202" s="605"/>
      <c r="S202" s="605"/>
      <c r="T202" s="605"/>
      <c r="U202" s="605"/>
      <c r="V202" s="605"/>
      <c r="W202" s="605"/>
      <c r="X202" s="605"/>
      <c r="Y202" s="605"/>
      <c r="Z202" s="605"/>
      <c r="AA202" s="605"/>
      <c r="AB202" s="605"/>
      <c r="AC202" s="605"/>
      <c r="AD202" s="605"/>
      <c r="AE202" s="605"/>
      <c r="AF202" s="605">
        <f>$F202*10%</f>
        <v>0</v>
      </c>
      <c r="AG202" s="605">
        <f>IF(AG$121="입주/잔금",($F202-SUM($G202:AF202))*30%,IF(AF$121="입주/잔금",($F202-SUM($G202:AE202))*50%,IF(AE$121="입주/잔금",($F202-SUM($G202:AD202))*20%,IF(AG$121=0,0,IF(AG$121="2차중도금",$F202*30%-SUM($G202:AF202),IF(AG$121="3차중도금",$F202*40%-SUM($G202:AF202),IF(AG$121="4차중도금",$F202*50%-SUM($G202:AF202),$F202*10%)))))))+(IF(AG$121="5차중도금",$F202*60%-SUM($G202:AF202)-$F202*10%,IF(AG$121="6차중도금",$F202*70%-SUM($G202:AF202)-$F202*10%,0)))</f>
        <v>0</v>
      </c>
      <c r="AH202" s="605">
        <f>IF(AH$121="입주/잔금",($F202-SUM($G202:AG202))*30%,IF(AG$121="입주/잔금",($F202-SUM($G202:AF202))*50%,IF(AF$121="입주/잔금",($F202-SUM($G202:AE202))*20%,IF(AH$121=0,0,IF(AH$121="2차중도금",$F202*30%-SUM($G202:AG202),IF(AH$121="3차중도금",$F202*40%-SUM($G202:AG202),IF(AH$121="4차중도금",$F202*50%-SUM($G202:AG202),$F202*10%)))))))+(IF(AH$121="5차중도금",$F202*60%-SUM($G202:AG202)-$F202*10%,IF(AH$121="6차중도금",$F202*70%-SUM($G202:AG202)-$F202*10%,0)))</f>
        <v>0</v>
      </c>
      <c r="AI202" s="605">
        <f>IF(AI$121="입주/잔금",($F202-SUM($G202:AH202))*30%,IF(AH$121="입주/잔금",($F202-SUM($G202:AG202))*50%,IF(AG$121="입주/잔금",($F202-SUM($G202:AF202))*20%,IF(AI$121=0,0,IF(AI$121="2차중도금",$F202*30%-SUM($G202:AH202),IF(AI$121="3차중도금",$F202*40%-SUM($G202:AH202),IF(AI$121="4차중도금",$F202*50%-SUM($G202:AH202),$F202*10%)))))))+(IF(AI$121="5차중도금",$F202*60%-SUM($G202:AH202)-$F202*10%,IF(AI$121="6차중도금",$F202*70%-SUM($G202:AH202)-$F202*10%,0)))</f>
        <v>0</v>
      </c>
      <c r="AJ202" s="605">
        <f>IF(AJ$121="입주/잔금",($F202-SUM($G202:AI202))*30%,IF(AI$121="입주/잔금",($F202-SUM($G202:AH202))*50%,IF(AH$121="입주/잔금",($F202-SUM($G202:AG202))*20%,IF(AJ$121=0,0,IF(AJ$121="2차중도금",$F202*30%-SUM($G202:AI202),IF(AJ$121="3차중도금",$F202*40%-SUM($G202:AI202),IF(AJ$121="4차중도금",$F202*50%-SUM($G202:AI202),$F202*10%)))))))+(IF(AJ$121="5차중도금",$F202*60%-SUM($G202:AI202)-$F202*10%,IF(AJ$121="6차중도금",$F202*70%-SUM($G202:AI202)-$F202*10%,0)))</f>
        <v>0</v>
      </c>
      <c r="AK202" s="605">
        <f>IF(AK$121="입주/잔금",($F202-SUM($G202:AJ202))*30%,IF(AJ$121="입주/잔금",($F202-SUM($G202:AI202))*50%,IF(AI$121="입주/잔금",($F202-SUM($G202:AH202))*20%,IF(AK$121=0,0,IF(AK$121="2차중도금",$F202*30%-SUM($G202:AJ202),IF(AK$121="3차중도금",$F202*40%-SUM($G202:AJ202),IF(AK$121="4차중도금",$F202*50%-SUM($G202:AJ202),$F202*10%)))))))+(IF(AK$121="5차중도금",$F202*60%-SUM($G202:AJ202)-$F202*10%,IF(AK$121="6차중도금",$F202*70%-SUM($G202:AJ202)-$F202*10%,0)))</f>
        <v>0</v>
      </c>
      <c r="AL202" s="605">
        <f>IF(AL$121="입주/잔금",($F202-SUM($G202:AK202))*30%,IF(AK$121="입주/잔금",($F202-SUM($G202:AJ202))*50%,IF(AJ$121="입주/잔금",($F202-SUM($G202:AI202))*20%,IF(AL$121=0,0,IF(AL$121="2차중도금",$F202*30%-SUM($G202:AK202),IF(AL$121="3차중도금",$F202*40%-SUM($G202:AK202),IF(AL$121="4차중도금",$F202*50%-SUM($G202:AK202),$F202*10%)))))))+(IF(AL$121="5차중도금",$F202*60%-SUM($G202:AK202)-$F202*10%,IF(AL$121="6차중도금",$F202*70%-SUM($G202:AK202)-$F202*10%,0)))</f>
        <v>0</v>
      </c>
      <c r="AM202" s="605">
        <f>IF(AM$121="입주/잔금",($F202-SUM($G202:AL202))*30%,IF(AL$121="입주/잔금",($F202-SUM($G202:AK202))*50%,IF(AK$121="입주/잔금",($F202-SUM($G202:AJ202))*20%,IF(AM$121=0,0,IF(AM$121="2차중도금",$F202*30%-SUM($G202:AL202),IF(AM$121="3차중도금",$F202*40%-SUM($G202:AL202),IF(AM$121="4차중도금",$F202*50%-SUM($G202:AL202),$F202*10%)))))))+(IF(AM$121="5차중도금",$F202*60%-SUM($G202:AL202)-$F202*10%,IF(AM$121="6차중도금",$F202*70%-SUM($G202:AL202)-$F202*10%,0)))</f>
        <v>0</v>
      </c>
      <c r="AN202" s="605">
        <f>IF(AN$121="입주/잔금",($F202-SUM($G202:AM202))*30%,IF(AM$121="입주/잔금",($F202-SUM($G202:AL202))*50%,IF(AL$121="입주/잔금",($F202-SUM($G202:AK202))*20%,IF(AN$121=0,0,IF(AN$121="2차중도금",$F202*30%-SUM($G202:AM202),IF(AN$121="3차중도금",$F202*40%-SUM($G202:AM202),IF(AN$121="4차중도금",$F202*50%-SUM($G202:AM202),$F202*10%)))))))+(IF(AN$121="5차중도금",$F202*60%-SUM($G202:AM202)-$F202*10%,IF(AN$121="6차중도금",$F202*70%-SUM($G202:AM202)-$F202*10%,0)))</f>
        <v>0</v>
      </c>
      <c r="AO202" s="605">
        <f>IF(AO$121="입주/잔금",($F202-SUM($G202:AN202))*30%,IF(AN$121="입주/잔금",($F202-SUM($G202:AM202))*50%,IF(AM$121="입주/잔금",($F202-SUM($G202:AL202))*20%,IF(AO$121=0,0,IF(AO$121="2차중도금",$F202*30%-SUM($G202:AN202),IF(AO$121="3차중도금",$F202*40%-SUM($G202:AN202),IF(AO$121="4차중도금",$F202*50%-SUM($G202:AN202),$F202*10%)))))))+(IF(AO$121="5차중도금",$F202*60%-SUM($G202:AN202)-$F202*10%,IF(AO$121="6차중도금",$F202*70%-SUM($G202:AN202)-$F202*10%,0)))</f>
        <v>0</v>
      </c>
      <c r="AP202" s="605">
        <f>IF(AP$121="입주/잔금",($F202-SUM($G202:AO202))*30%,IF(AO$121="입주/잔금",($F202-SUM($G202:AN202))*50%,IF(AN$121="입주/잔금",($F202-SUM($G202:AM202))*20%,IF(AP$121=0,0,IF(AP$121="2차중도금",$F202*30%-SUM($G202:AO202),IF(AP$121="3차중도금",$F202*40%-SUM($G202:AO202),IF(AP$121="4차중도금",$F202*50%-SUM($G202:AO202),$F202*10%)))))))+(IF(AP$121="5차중도금",$F202*60%-SUM($G202:AO202)-$F202*10%,IF(AP$121="6차중도금",$F202*70%-SUM($G202:AO202)-$F202*10%,0)))</f>
        <v>0</v>
      </c>
      <c r="AQ202" s="605">
        <f>IF(AQ$121="입주/잔금",($F202-SUM($G202:AP202))*30%,IF(AP$121="입주/잔금",($F202-SUM($G202:AO202))*50%,IF(AO$121="입주/잔금",($F202-SUM($G202:AN202))*20%,IF(AQ$121=0,0,IF(AQ$121="2차중도금",$F202*30%-SUM($G202:AP202),IF(AQ$121="3차중도금",$F202*40%-SUM($G202:AP202),IF(AQ$121="4차중도금",$F202*50%-SUM($G202:AP202),$F202*10%)))))))+(IF(AQ$121="5차중도금",$F202*60%-SUM($G202:AP202)-$F202*10%,IF(AQ$121="6차중도금",$F202*70%-SUM($G202:AP202)-$F202*10%,0)))</f>
        <v>0</v>
      </c>
      <c r="AR202" s="605">
        <f>IF(AR$121="입주/잔금",($F202-SUM($G202:AQ202))*30%,IF(AQ$121="입주/잔금",($F202-SUM($G202:AP202))*50%,IF(AP$121="입주/잔금",($F202-SUM($G202:AO202))*20%,IF(AR$121=0,0,IF(AR$121="2차중도금",$F202*30%-SUM($G202:AQ202),IF(AR$121="3차중도금",$F202*40%-SUM($G202:AQ202),IF(AR$121="4차중도금",$F202*50%-SUM($G202:AQ202),$F202*10%)))))))+(IF(AR$121="5차중도금",$F202*60%-SUM($G202:AQ202)-$F202*10%,IF(AR$121="6차중도금",$F202*70%-SUM($G202:AQ202)-$F202*10%,0)))</f>
        <v>0</v>
      </c>
      <c r="AS202" s="605">
        <f>IF(AS$121="입주/잔금",($F202-SUM($G202:AR202))*30%,IF(AR$121="입주/잔금",($F202-SUM($G202:AQ202))*50%,IF(AQ$121="입주/잔금",($F202-SUM($G202:AP202))*20%,IF(AS$121=0,0,IF(AS$121="2차중도금",$F202*30%-SUM($G202:AR202),IF(AS$121="3차중도금",$F202*40%-SUM($G202:AR202),IF(AS$121="4차중도금",$F202*50%-SUM($G202:AR202),$F202*10%)))))))+(IF(AS$121="5차중도금",$F202*60%-SUM($G202:AR202)-$F202*10%,IF(AS$121="6차중도금",$F202*70%-SUM($G202:AR202)-$F202*10%,0)))</f>
        <v>0</v>
      </c>
      <c r="AT202" s="605">
        <f>IF(AT$121="입주/잔금",($F202-SUM($G202:AS202))*30%,IF(AS$121="입주/잔금",($F202-SUM($G202:AR202))*50%,IF(AR$121="입주/잔금",($F202-SUM($G202:AQ202))*20%,IF(AT$121=0,0,IF(AT$121="2차중도금",$F202*30%-SUM($G202:AS202),IF(AT$121="3차중도금",$F202*40%-SUM($G202:AS202),IF(AT$121="4차중도금",$F202*50%-SUM($G202:AS202),$F202*10%)))))))+(IF(AT$121="5차중도금",$F202*60%-SUM($G202:AS202)-$F202*10%,IF(AT$121="6차중도금",$F202*70%-SUM($G202:AS202)-$F202*10%,0)))</f>
        <v>0</v>
      </c>
      <c r="AU202" s="605">
        <f>IF(AU$121="입주/잔금",($F202-SUM($G202:AT202))*30%,IF(AT$121="입주/잔금",($F202-SUM($G202:AS202))*50%,IF(AS$121="입주/잔금",($F202-SUM($G202:AR202))*20%,IF(AU$121=0,0,IF(AU$121="2차중도금",$F202*30%-SUM($G202:AT202),IF(AU$121="3차중도금",$F202*40%-SUM($G202:AT202),IF(AU$121="4차중도금",$F202*50%-SUM($G202:AT202),$F202*10%)))))))+(IF(AU$121="5차중도금",$F202*60%-SUM($G202:AT202)-$F202*10%,IF(AU$121="6차중도금",$F202*70%-SUM($G202:AT202)-$F202*10%,0)))</f>
        <v>0</v>
      </c>
      <c r="AV202" s="605">
        <f>IF(AV$121="입주/잔금",($F202-SUM($G202:AU202))*30%,IF(AU$121="입주/잔금",($F202-SUM($G202:AT202))*50%,IF(AT$121="입주/잔금",($F202-SUM($G202:AS202))*20%,IF(AV$121=0,0,IF(AV$121="2차중도금",$F202*30%-SUM($G202:AU202),IF(AV$121="3차중도금",$F202*40%-SUM($G202:AU202),IF(AV$121="4차중도금",$F202*50%-SUM($G202:AU202),$F202*10%)))))))+(IF(AV$121="5차중도금",$F202*60%-SUM($G202:AU202)-$F202*10%,IF(AV$121="6차중도금",$F202*70%-SUM($G202:AU202)-$F202*10%,0)))</f>
        <v>0</v>
      </c>
      <c r="AW202" s="605">
        <f>IF(AW$121="입주/잔금",($F202-SUM($G202:AV202))*30%,IF(AV$121="입주/잔금",($F202-SUM($G202:AU202))*50%,IF(AU$121="입주/잔금",($F202-SUM($G202:AT202))*20%,IF(AW$121=0,0,IF(AW$121="2차중도금",$F202*30%-SUM($G202:AV202),IF(AW$121="3차중도금",$F202*40%-SUM($G202:AV202),IF(AW$121="4차중도금",$F202*50%-SUM($G202:AV202),$F202*10%)))))))+(IF(AW$121="5차중도금",$F202*60%-SUM($G202:AV202)-$F202*10%,IF(AW$121="6차중도금",$F202*70%-SUM($G202:AV202)-$F202*10%,0)))</f>
        <v>0</v>
      </c>
      <c r="AX202" s="605">
        <f>IF(AX$121="입주/잔금",($F202-SUM($G202:AW202))*30%,IF(AW$121="입주/잔금",($F202-SUM($G202:AV202))*50%,IF(AV$121="입주/잔금",($F202-SUM($G202:AU202))*20%,IF(AX$121=0,0,IF(AX$121="2차중도금",$F202*30%-SUM($G202:AW202),IF(AX$121="3차중도금",$F202*40%-SUM($G202:AW202),IF(AX$121="4차중도금",$F202*50%-SUM($G202:AW202),$F202*10%)))))))+(IF(AX$121="5차중도금",$F202*60%-SUM($G202:AW202)-$F202*10%,IF(AX$121="6차중도금",$F202*70%-SUM($G202:AW202)-$F202*10%,0)))</f>
        <v>0</v>
      </c>
      <c r="AY202" s="605">
        <f>IF(AY$121="입주/잔금",($F202-SUM($G202:AX202))*30%,IF(AX$121="입주/잔금",($F202-SUM($G202:AW202))*50%,IF(AW$121="입주/잔금",($F202-SUM($G202:AV202))*20%,IF(AY$121=0,0,IF(AY$121="2차중도금",$F202*30%-SUM($G202:AX202),IF(AY$121="3차중도금",$F202*40%-SUM($G202:AX202),IF(AY$121="4차중도금",$F202*50%-SUM($G202:AX202),$F202*10%)))))))+(IF(AY$121="5차중도금",$F202*60%-SUM($G202:AX202)-$F202*10%,IF(AY$121="6차중도금",$F202*70%-SUM($G202:AX202)-$F202*10%,0)))</f>
        <v>0</v>
      </c>
      <c r="AZ202" s="605">
        <f>IF(AZ$121="입주/잔금",($F202-SUM($G202:AY202))*30%,IF(AY$121="입주/잔금",($F202-SUM($G202:AX202))*50%,IF(AX$121="입주/잔금",($F202-SUM($G202:AW202))*20%,IF(AZ$121=0,0,IF(AZ$121="2차중도금",$F202*30%-SUM($G202:AY202),IF(AZ$121="3차중도금",$F202*40%-SUM($G202:AY202),IF(AZ$121="4차중도금",$F202*50%-SUM($G202:AY202),$F202*10%)))))))+(IF(AZ$121="5차중도금",$F202*60%-SUM($G202:AY202)-$F202*10%,IF(AZ$121="6차중도금",$F202*70%-SUM($G202:AY202)-$F202*10%,0)))</f>
        <v>0</v>
      </c>
      <c r="BA202" s="605">
        <f>IF(BA$121="입주/잔금",($F202-SUM($G202:AZ202))*30%,IF(AZ$121="입주/잔금",($F202-SUM($G202:AY202))*50%,IF(AY$121="입주/잔금",($F202-SUM($G202:AX202))*20%,IF(BA$121=0,0,IF(BA$121="2차중도금",$F202*30%-SUM($G202:AZ202),IF(BA$121="3차중도금",$F202*40%-SUM($G202:AZ202),IF(BA$121="4차중도금",$F202*50%-SUM($G202:AZ202),$F202*10%)))))))+(IF(BA$121="5차중도금",$F202*60%-SUM($G202:AZ202)-$F202*10%,IF(BA$121="6차중도금",$F202*70%-SUM($G202:AZ202)-$F202*10%,0)))</f>
        <v>0</v>
      </c>
      <c r="BB202" s="605">
        <f>IF(BB$121="입주/잔금",($F202-SUM($G202:BA202))*30%,IF(BA$121="입주/잔금",($F202-SUM($G202:AZ202))*50%,IF(AZ$121="입주/잔금",($F202-SUM($G202:AY202))*20%,IF(BB$121=0,0,IF(BB$121="2차중도금",$F202*30%-SUM($G202:BA202),IF(BB$121="3차중도금",$F202*40%-SUM($G202:BA202),IF(BB$121="4차중도금",$F202*50%-SUM($G202:BA202),$F202*10%)))))))+(IF(BB$121="5차중도금",$F202*60%-SUM($G202:BA202)-$F202*10%,IF(BB$121="6차중도금",$F202*70%-SUM($G202:BA202)-$F202*10%,0)))</f>
        <v>0</v>
      </c>
      <c r="BC202" s="605">
        <f>IF(BC$121="입주/잔금",($F202-SUM($G202:BB202))*30%,IF(BB$121="입주/잔금",($F202-SUM($G202:BA202))*50%,IF(BA$121="입주/잔금",($F202-SUM($G202:AZ202))*20%,IF(BC$121=0,0,IF(BC$121="2차중도금",$F202*30%-SUM($G202:BB202),IF(BC$121="3차중도금",$F202*40%-SUM($G202:BB202),IF(BC$121="4차중도금",$F202*50%-SUM($G202:BB202),$F202*10%)))))))+(IF(BC$121="5차중도금",$F202*60%-SUM($G202:BB202)-$F202*10%,IF(BC$121="6차중도금",$F202*70%-SUM($G202:BB202)-$F202*10%,0)))</f>
        <v>0</v>
      </c>
      <c r="BD202" s="605">
        <f>IF(BD$121="입주/잔금",($F202-SUM($G202:BC202))*30%,IF(BC$121="입주/잔금",($F202-SUM($G202:BB202))*50%,IF(BB$121="입주/잔금",($F202-SUM($G202:BA202))*20%,IF(BD$121=0,0,IF(BD$121="2차중도금",$F202*30%-SUM($G202:BC202),IF(BD$121="3차중도금",$F202*40%-SUM($G202:BC202),IF(BD$121="4차중도금",$F202*50%-SUM($G202:BC202),$F202*10%)))))))+(IF(BD$121="5차중도금",$F202*60%-SUM($G202:BC202)-$F202*10%,IF(BD$121="6차중도금",$F202*70%-SUM($G202:BC202)-$F202*10%,0)))</f>
        <v>0</v>
      </c>
      <c r="BE202" s="605">
        <f>IF(BE$121="입주/잔금",($F202-SUM($G202:BD202))*30%,IF(BD$121="입주/잔금",($F202-SUM($G202:BC202))*50%,IF(BC$121="입주/잔금",($F202-SUM($G202:BB202))*20%,IF(BE$121=0,0,IF(BE$121="2차중도금",$F202*30%-SUM($G202:BD202),IF(BE$121="3차중도금",$F202*40%-SUM($G202:BD202),IF(BE$121="4차중도금",$F202*50%-SUM($G202:BD202),$F202*10%)))))))+(IF(BE$121="5차중도금",$F202*60%-SUM($G202:BD202)-$F202*10%,IF(BE$121="6차중도금",$F202*70%-SUM($G202:BD202)-$F202*10%,0)))</f>
        <v>0</v>
      </c>
      <c r="BF202" s="609">
        <f t="shared" si="57"/>
        <v>0</v>
      </c>
      <c r="BG202" s="556">
        <f t="shared" si="59"/>
        <v>0</v>
      </c>
      <c r="BH202" s="610"/>
    </row>
    <row r="203" spans="1:60" hidden="1">
      <c r="A203" s="1853"/>
      <c r="B203" s="611">
        <f t="shared" si="60"/>
        <v>45627</v>
      </c>
      <c r="C203" s="605">
        <f t="shared" si="63"/>
        <v>0</v>
      </c>
      <c r="D203" s="606"/>
      <c r="E203" s="607">
        <f t="shared" si="62"/>
        <v>0</v>
      </c>
      <c r="F203" s="608">
        <f t="shared" si="58"/>
        <v>0</v>
      </c>
      <c r="G203" s="605"/>
      <c r="H203" s="605"/>
      <c r="I203" s="605"/>
      <c r="J203" s="605"/>
      <c r="K203" s="605"/>
      <c r="L203" s="605"/>
      <c r="M203" s="605"/>
      <c r="N203" s="605"/>
      <c r="O203" s="605"/>
      <c r="P203" s="605"/>
      <c r="Q203" s="605"/>
      <c r="R203" s="605"/>
      <c r="S203" s="605"/>
      <c r="T203" s="605"/>
      <c r="U203" s="605"/>
      <c r="V203" s="605"/>
      <c r="W203" s="605"/>
      <c r="X203" s="605"/>
      <c r="Y203" s="605"/>
      <c r="Z203" s="605"/>
      <c r="AA203" s="605"/>
      <c r="AB203" s="605"/>
      <c r="AC203" s="605"/>
      <c r="AD203" s="605"/>
      <c r="AE203" s="605"/>
      <c r="AF203" s="605"/>
      <c r="AG203" s="605">
        <f>$F203*10%</f>
        <v>0</v>
      </c>
      <c r="AH203" s="605">
        <f>IF(AH$121="입주/잔금",($F203-SUM($G203:AG203))*30%,IF(AG$121="입주/잔금",($F203-SUM($G203:AF203))*50%,IF(AF$121="입주/잔금",($F203-SUM($G203:AE203))*20%,IF(AH$121=0,0,IF(AH$121="2차중도금",$F203*30%-SUM($G203:AG203),IF(AH$121="3차중도금",$F203*40%-SUM($G203:AG203),IF(AH$121="4차중도금",$F203*50%-SUM($G203:AG203),$F203*10%)))))))+(IF(AH$121="5차중도금",$F203*60%-SUM($G203:AG203)-$F203*10%,IF(AH$121="6차중도금",$F203*70%-SUM($G203:AG203)-$F203*10%,0)))</f>
        <v>0</v>
      </c>
      <c r="AI203" s="605">
        <f>IF(AI$121="입주/잔금",($F203-SUM($G203:AH203))*30%,IF(AH$121="입주/잔금",($F203-SUM($G203:AG203))*50%,IF(AG$121="입주/잔금",($F203-SUM($G203:AF203))*20%,IF(AI$121=0,0,IF(AI$121="2차중도금",$F203*30%-SUM($G203:AH203),IF(AI$121="3차중도금",$F203*40%-SUM($G203:AH203),IF(AI$121="4차중도금",$F203*50%-SUM($G203:AH203),$F203*10%)))))))+(IF(AI$121="5차중도금",$F203*60%-SUM($G203:AH203)-$F203*10%,IF(AI$121="6차중도금",$F203*70%-SUM($G203:AH203)-$F203*10%,0)))</f>
        <v>0</v>
      </c>
      <c r="AJ203" s="605">
        <f>IF(AJ$121="입주/잔금",($F203-SUM($G203:AI203))*30%,IF(AI$121="입주/잔금",($F203-SUM($G203:AH203))*50%,IF(AH$121="입주/잔금",($F203-SUM($G203:AG203))*20%,IF(AJ$121=0,0,IF(AJ$121="2차중도금",$F203*30%-SUM($G203:AI203),IF(AJ$121="3차중도금",$F203*40%-SUM($G203:AI203),IF(AJ$121="4차중도금",$F203*50%-SUM($G203:AI203),$F203*10%)))))))+(IF(AJ$121="5차중도금",$F203*60%-SUM($G203:AI203)-$F203*10%,IF(AJ$121="6차중도금",$F203*70%-SUM($G203:AI203)-$F203*10%,0)))</f>
        <v>0</v>
      </c>
      <c r="AK203" s="605">
        <f>IF(AK$121="입주/잔금",($F203-SUM($G203:AJ203))*30%,IF(AJ$121="입주/잔금",($F203-SUM($G203:AI203))*50%,IF(AI$121="입주/잔금",($F203-SUM($G203:AH203))*20%,IF(AK$121=0,0,IF(AK$121="2차중도금",$F203*30%-SUM($G203:AJ203),IF(AK$121="3차중도금",$F203*40%-SUM($G203:AJ203),IF(AK$121="4차중도금",$F203*50%-SUM($G203:AJ203),$F203*10%)))))))+(IF(AK$121="5차중도금",$F203*60%-SUM($G203:AJ203)-$F203*10%,IF(AK$121="6차중도금",$F203*70%-SUM($G203:AJ203)-$F203*10%,0)))</f>
        <v>0</v>
      </c>
      <c r="AL203" s="605">
        <f>IF(AL$121="입주/잔금",($F203-SUM($G203:AK203))*30%,IF(AK$121="입주/잔금",($F203-SUM($G203:AJ203))*50%,IF(AJ$121="입주/잔금",($F203-SUM($G203:AI203))*20%,IF(AL$121=0,0,IF(AL$121="2차중도금",$F203*30%-SUM($G203:AK203),IF(AL$121="3차중도금",$F203*40%-SUM($G203:AK203),IF(AL$121="4차중도금",$F203*50%-SUM($G203:AK203),$F203*10%)))))))+(IF(AL$121="5차중도금",$F203*60%-SUM($G203:AK203)-$F203*10%,IF(AL$121="6차중도금",$F203*70%-SUM($G203:AK203)-$F203*10%,0)))</f>
        <v>0</v>
      </c>
      <c r="AM203" s="605">
        <f>IF(AM$121="입주/잔금",($F203-SUM($G203:AL203))*30%,IF(AL$121="입주/잔금",($F203-SUM($G203:AK203))*50%,IF(AK$121="입주/잔금",($F203-SUM($G203:AJ203))*20%,IF(AM$121=0,0,IF(AM$121="2차중도금",$F203*30%-SUM($G203:AL203),IF(AM$121="3차중도금",$F203*40%-SUM($G203:AL203),IF(AM$121="4차중도금",$F203*50%-SUM($G203:AL203),$F203*10%)))))))+(IF(AM$121="5차중도금",$F203*60%-SUM($G203:AL203)-$F203*10%,IF(AM$121="6차중도금",$F203*70%-SUM($G203:AL203)-$F203*10%,0)))</f>
        <v>0</v>
      </c>
      <c r="AN203" s="605">
        <f>IF(AN$121="입주/잔금",($F203-SUM($G203:AM203))*30%,IF(AM$121="입주/잔금",($F203-SUM($G203:AL203))*50%,IF(AL$121="입주/잔금",($F203-SUM($G203:AK203))*20%,IF(AN$121=0,0,IF(AN$121="2차중도금",$F203*30%-SUM($G203:AM203),IF(AN$121="3차중도금",$F203*40%-SUM($G203:AM203),IF(AN$121="4차중도금",$F203*50%-SUM($G203:AM203),$F203*10%)))))))+(IF(AN$121="5차중도금",$F203*60%-SUM($G203:AM203)-$F203*10%,IF(AN$121="6차중도금",$F203*70%-SUM($G203:AM203)-$F203*10%,0)))</f>
        <v>0</v>
      </c>
      <c r="AO203" s="605">
        <f>IF(AO$121="입주/잔금",($F203-SUM($G203:AN203))*30%,IF(AN$121="입주/잔금",($F203-SUM($G203:AM203))*50%,IF(AM$121="입주/잔금",($F203-SUM($G203:AL203))*20%,IF(AO$121=0,0,IF(AO$121="2차중도금",$F203*30%-SUM($G203:AN203),IF(AO$121="3차중도금",$F203*40%-SUM($G203:AN203),IF(AO$121="4차중도금",$F203*50%-SUM($G203:AN203),$F203*10%)))))))+(IF(AO$121="5차중도금",$F203*60%-SUM($G203:AN203)-$F203*10%,IF(AO$121="6차중도금",$F203*70%-SUM($G203:AN203)-$F203*10%,0)))</f>
        <v>0</v>
      </c>
      <c r="AP203" s="605">
        <f>IF(AP$121="입주/잔금",($F203-SUM($G203:AO203))*30%,IF(AO$121="입주/잔금",($F203-SUM($G203:AN203))*50%,IF(AN$121="입주/잔금",($F203-SUM($G203:AM203))*20%,IF(AP$121=0,0,IF(AP$121="2차중도금",$F203*30%-SUM($G203:AO203),IF(AP$121="3차중도금",$F203*40%-SUM($G203:AO203),IF(AP$121="4차중도금",$F203*50%-SUM($G203:AO203),$F203*10%)))))))+(IF(AP$121="5차중도금",$F203*60%-SUM($G203:AO203)-$F203*10%,IF(AP$121="6차중도금",$F203*70%-SUM($G203:AO203)-$F203*10%,0)))</f>
        <v>0</v>
      </c>
      <c r="AQ203" s="605">
        <f>IF(AQ$121="입주/잔금",($F203-SUM($G203:AP203))*30%,IF(AP$121="입주/잔금",($F203-SUM($G203:AO203))*50%,IF(AO$121="입주/잔금",($F203-SUM($G203:AN203))*20%,IF(AQ$121=0,0,IF(AQ$121="2차중도금",$F203*30%-SUM($G203:AP203),IF(AQ$121="3차중도금",$F203*40%-SUM($G203:AP203),IF(AQ$121="4차중도금",$F203*50%-SUM($G203:AP203),$F203*10%)))))))+(IF(AQ$121="5차중도금",$F203*60%-SUM($G203:AP203)-$F203*10%,IF(AQ$121="6차중도금",$F203*70%-SUM($G203:AP203)-$F203*10%,0)))</f>
        <v>0</v>
      </c>
      <c r="AR203" s="605">
        <f>IF(AR$121="입주/잔금",($F203-SUM($G203:AQ203))*30%,IF(AQ$121="입주/잔금",($F203-SUM($G203:AP203))*50%,IF(AP$121="입주/잔금",($F203-SUM($G203:AO203))*20%,IF(AR$121=0,0,IF(AR$121="2차중도금",$F203*30%-SUM($G203:AQ203),IF(AR$121="3차중도금",$F203*40%-SUM($G203:AQ203),IF(AR$121="4차중도금",$F203*50%-SUM($G203:AQ203),$F203*10%)))))))+(IF(AR$121="5차중도금",$F203*60%-SUM($G203:AQ203)-$F203*10%,IF(AR$121="6차중도금",$F203*70%-SUM($G203:AQ203)-$F203*10%,0)))</f>
        <v>0</v>
      </c>
      <c r="AS203" s="605">
        <f>IF(AS$121="입주/잔금",($F203-SUM($G203:AR203))*30%,IF(AR$121="입주/잔금",($F203-SUM($G203:AQ203))*50%,IF(AQ$121="입주/잔금",($F203-SUM($G203:AP203))*20%,IF(AS$121=0,0,IF(AS$121="2차중도금",$F203*30%-SUM($G203:AR203),IF(AS$121="3차중도금",$F203*40%-SUM($G203:AR203),IF(AS$121="4차중도금",$F203*50%-SUM($G203:AR203),$F203*10%)))))))+(IF(AS$121="5차중도금",$F203*60%-SUM($G203:AR203)-$F203*10%,IF(AS$121="6차중도금",$F203*70%-SUM($G203:AR203)-$F203*10%,0)))</f>
        <v>0</v>
      </c>
      <c r="AT203" s="605">
        <f>IF(AT$121="입주/잔금",($F203-SUM($G203:AS203))*30%,IF(AS$121="입주/잔금",($F203-SUM($G203:AR203))*50%,IF(AR$121="입주/잔금",($F203-SUM($G203:AQ203))*20%,IF(AT$121=0,0,IF(AT$121="2차중도금",$F203*30%-SUM($G203:AS203),IF(AT$121="3차중도금",$F203*40%-SUM($G203:AS203),IF(AT$121="4차중도금",$F203*50%-SUM($G203:AS203),$F203*10%)))))))+(IF(AT$121="5차중도금",$F203*60%-SUM($G203:AS203)-$F203*10%,IF(AT$121="6차중도금",$F203*70%-SUM($G203:AS203)-$F203*10%,0)))</f>
        <v>0</v>
      </c>
      <c r="AU203" s="605">
        <f>IF(AU$121="입주/잔금",($F203-SUM($G203:AT203))*30%,IF(AT$121="입주/잔금",($F203-SUM($G203:AS203))*50%,IF(AS$121="입주/잔금",($F203-SUM($G203:AR203))*20%,IF(AU$121=0,0,IF(AU$121="2차중도금",$F203*30%-SUM($G203:AT203),IF(AU$121="3차중도금",$F203*40%-SUM($G203:AT203),IF(AU$121="4차중도금",$F203*50%-SUM($G203:AT203),$F203*10%)))))))+(IF(AU$121="5차중도금",$F203*60%-SUM($G203:AT203)-$F203*10%,IF(AU$121="6차중도금",$F203*70%-SUM($G203:AT203)-$F203*10%,0)))</f>
        <v>0</v>
      </c>
      <c r="AV203" s="605">
        <f>IF(AV$121="입주/잔금",($F203-SUM($G203:AU203))*30%,IF(AU$121="입주/잔금",($F203-SUM($G203:AT203))*50%,IF(AT$121="입주/잔금",($F203-SUM($G203:AS203))*20%,IF(AV$121=0,0,IF(AV$121="2차중도금",$F203*30%-SUM($G203:AU203),IF(AV$121="3차중도금",$F203*40%-SUM($G203:AU203),IF(AV$121="4차중도금",$F203*50%-SUM($G203:AU203),$F203*10%)))))))+(IF(AV$121="5차중도금",$F203*60%-SUM($G203:AU203)-$F203*10%,IF(AV$121="6차중도금",$F203*70%-SUM($G203:AU203)-$F203*10%,0)))</f>
        <v>0</v>
      </c>
      <c r="AW203" s="605">
        <f>IF(AW$121="입주/잔금",($F203-SUM($G203:AV203))*30%,IF(AV$121="입주/잔금",($F203-SUM($G203:AU203))*50%,IF(AU$121="입주/잔금",($F203-SUM($G203:AT203))*20%,IF(AW$121=0,0,IF(AW$121="2차중도금",$F203*30%-SUM($G203:AV203),IF(AW$121="3차중도금",$F203*40%-SUM($G203:AV203),IF(AW$121="4차중도금",$F203*50%-SUM($G203:AV203),$F203*10%)))))))+(IF(AW$121="5차중도금",$F203*60%-SUM($G203:AV203)-$F203*10%,IF(AW$121="6차중도금",$F203*70%-SUM($G203:AV203)-$F203*10%,0)))</f>
        <v>0</v>
      </c>
      <c r="AX203" s="605">
        <f>IF(AX$121="입주/잔금",($F203-SUM($G203:AW203))*30%,IF(AW$121="입주/잔금",($F203-SUM($G203:AV203))*50%,IF(AV$121="입주/잔금",($F203-SUM($G203:AU203))*20%,IF(AX$121=0,0,IF(AX$121="2차중도금",$F203*30%-SUM($G203:AW203),IF(AX$121="3차중도금",$F203*40%-SUM($G203:AW203),IF(AX$121="4차중도금",$F203*50%-SUM($G203:AW203),$F203*10%)))))))+(IF(AX$121="5차중도금",$F203*60%-SUM($G203:AW203)-$F203*10%,IF(AX$121="6차중도금",$F203*70%-SUM($G203:AW203)-$F203*10%,0)))</f>
        <v>0</v>
      </c>
      <c r="AY203" s="605">
        <f>IF(AY$121="입주/잔금",($F203-SUM($G203:AX203))*30%,IF(AX$121="입주/잔금",($F203-SUM($G203:AW203))*50%,IF(AW$121="입주/잔금",($F203-SUM($G203:AV203))*20%,IF(AY$121=0,0,IF(AY$121="2차중도금",$F203*30%-SUM($G203:AX203),IF(AY$121="3차중도금",$F203*40%-SUM($G203:AX203),IF(AY$121="4차중도금",$F203*50%-SUM($G203:AX203),$F203*10%)))))))+(IF(AY$121="5차중도금",$F203*60%-SUM($G203:AX203)-$F203*10%,IF(AY$121="6차중도금",$F203*70%-SUM($G203:AX203)-$F203*10%,0)))</f>
        <v>0</v>
      </c>
      <c r="AZ203" s="605">
        <f>IF(AZ$121="입주/잔금",($F203-SUM($G203:AY203))*30%,IF(AY$121="입주/잔금",($F203-SUM($G203:AX203))*50%,IF(AX$121="입주/잔금",($F203-SUM($G203:AW203))*20%,IF(AZ$121=0,0,IF(AZ$121="2차중도금",$F203*30%-SUM($G203:AY203),IF(AZ$121="3차중도금",$F203*40%-SUM($G203:AY203),IF(AZ$121="4차중도금",$F203*50%-SUM($G203:AY203),$F203*10%)))))))+(IF(AZ$121="5차중도금",$F203*60%-SUM($G203:AY203)-$F203*10%,IF(AZ$121="6차중도금",$F203*70%-SUM($G203:AY203)-$F203*10%,0)))</f>
        <v>0</v>
      </c>
      <c r="BA203" s="605">
        <f>IF(BA$121="입주/잔금",($F203-SUM($G203:AZ203))*30%,IF(AZ$121="입주/잔금",($F203-SUM($G203:AY203))*50%,IF(AY$121="입주/잔금",($F203-SUM($G203:AX203))*20%,IF(BA$121=0,0,IF(BA$121="2차중도금",$F203*30%-SUM($G203:AZ203),IF(BA$121="3차중도금",$F203*40%-SUM($G203:AZ203),IF(BA$121="4차중도금",$F203*50%-SUM($G203:AZ203),$F203*10%)))))))+(IF(BA$121="5차중도금",$F203*60%-SUM($G203:AZ203)-$F203*10%,IF(BA$121="6차중도금",$F203*70%-SUM($G203:AZ203)-$F203*10%,0)))</f>
        <v>0</v>
      </c>
      <c r="BB203" s="605">
        <f>IF(BB$121="입주/잔금",($F203-SUM($G203:BA203))*30%,IF(BA$121="입주/잔금",($F203-SUM($G203:AZ203))*50%,IF(AZ$121="입주/잔금",($F203-SUM($G203:AY203))*20%,IF(BB$121=0,0,IF(BB$121="2차중도금",$F203*30%-SUM($G203:BA203),IF(BB$121="3차중도금",$F203*40%-SUM($G203:BA203),IF(BB$121="4차중도금",$F203*50%-SUM($G203:BA203),$F203*10%)))))))+(IF(BB$121="5차중도금",$F203*60%-SUM($G203:BA203)-$F203*10%,IF(BB$121="6차중도금",$F203*70%-SUM($G203:BA203)-$F203*10%,0)))</f>
        <v>0</v>
      </c>
      <c r="BC203" s="605">
        <f>IF(BC$121="입주/잔금",($F203-SUM($G203:BB203))*30%,IF(BB$121="입주/잔금",($F203-SUM($G203:BA203))*50%,IF(BA$121="입주/잔금",($F203-SUM($G203:AZ203))*20%,IF(BC$121=0,0,IF(BC$121="2차중도금",$F203*30%-SUM($G203:BB203),IF(BC$121="3차중도금",$F203*40%-SUM($G203:BB203),IF(BC$121="4차중도금",$F203*50%-SUM($G203:BB203),$F203*10%)))))))+(IF(BC$121="5차중도금",$F203*60%-SUM($G203:BB203)-$F203*10%,IF(BC$121="6차중도금",$F203*70%-SUM($G203:BB203)-$F203*10%,0)))</f>
        <v>0</v>
      </c>
      <c r="BD203" s="605">
        <f>IF(BD$121="입주/잔금",($F203-SUM($G203:BC203))*30%,IF(BC$121="입주/잔금",($F203-SUM($G203:BB203))*50%,IF(BB$121="입주/잔금",($F203-SUM($G203:BA203))*20%,IF(BD$121=0,0,IF(BD$121="2차중도금",$F203*30%-SUM($G203:BC203),IF(BD$121="3차중도금",$F203*40%-SUM($G203:BC203),IF(BD$121="4차중도금",$F203*50%-SUM($G203:BC203),$F203*10%)))))))+(IF(BD$121="5차중도금",$F203*60%-SUM($G203:BC203)-$F203*10%,IF(BD$121="6차중도금",$F203*70%-SUM($G203:BC203)-$F203*10%,0)))</f>
        <v>0</v>
      </c>
      <c r="BE203" s="605">
        <f>IF(BE$121="입주/잔금",($F203-SUM($G203:BD203))*30%,IF(BD$121="입주/잔금",($F203-SUM($G203:BC203))*50%,IF(BC$121="입주/잔금",($F203-SUM($G203:BB203))*20%,IF(BE$121=0,0,IF(BE$121="2차중도금",$F203*30%-SUM($G203:BD203),IF(BE$121="3차중도금",$F203*40%-SUM($G203:BD203),IF(BE$121="4차중도금",$F203*50%-SUM($G203:BD203),$F203*10%)))))))+(IF(BE$121="5차중도금",$F203*60%-SUM($G203:BD203)-$F203*10%,IF(BE$121="6차중도금",$F203*70%-SUM($G203:BD203)-$F203*10%,0)))</f>
        <v>0</v>
      </c>
      <c r="BF203" s="609">
        <f t="shared" si="57"/>
        <v>0</v>
      </c>
      <c r="BG203" s="556">
        <f t="shared" si="59"/>
        <v>0</v>
      </c>
      <c r="BH203" s="610"/>
    </row>
    <row r="204" spans="1:60" hidden="1">
      <c r="A204" s="1853"/>
      <c r="B204" s="611">
        <f t="shared" si="60"/>
        <v>45658</v>
      </c>
      <c r="C204" s="605">
        <f t="shared" si="63"/>
        <v>0</v>
      </c>
      <c r="D204" s="606"/>
      <c r="E204" s="607">
        <f t="shared" si="62"/>
        <v>0</v>
      </c>
      <c r="F204" s="608">
        <f t="shared" si="58"/>
        <v>0</v>
      </c>
      <c r="G204" s="605"/>
      <c r="H204" s="605"/>
      <c r="I204" s="605"/>
      <c r="J204" s="605"/>
      <c r="K204" s="605"/>
      <c r="L204" s="605"/>
      <c r="M204" s="605"/>
      <c r="N204" s="605"/>
      <c r="O204" s="605"/>
      <c r="P204" s="605"/>
      <c r="Q204" s="605"/>
      <c r="R204" s="605"/>
      <c r="S204" s="605"/>
      <c r="T204" s="605"/>
      <c r="U204" s="605"/>
      <c r="V204" s="605"/>
      <c r="W204" s="605"/>
      <c r="X204" s="605"/>
      <c r="Y204" s="605"/>
      <c r="Z204" s="605"/>
      <c r="AA204" s="605"/>
      <c r="AB204" s="605"/>
      <c r="AC204" s="605"/>
      <c r="AD204" s="605"/>
      <c r="AE204" s="605"/>
      <c r="AF204" s="605"/>
      <c r="AG204" s="605"/>
      <c r="AH204" s="605">
        <f>$F204*10%</f>
        <v>0</v>
      </c>
      <c r="AI204" s="605">
        <f>IF(AI$121="입주/잔금",($F204-SUM($G204:AH204))*30%,IF(AH$121="입주/잔금",($F204-SUM($G204:AG204))*50%,IF(AG$121="입주/잔금",($F204-SUM($G204:AF204))*20%,IF(AI$121=0,0,IF(AI$121="2차중도금",$F204*30%-SUM($G204:AH204),IF(AI$121="3차중도금",$F204*40%-SUM($G204:AH204),IF(AI$121="4차중도금",$F204*50%-SUM($G204:AH204),$F204*10%)))))))+(IF(AI$121="5차중도금",$F204*60%-SUM($G204:AH204)-$F204*10%,IF(AI$121="6차중도금",$F204*70%-SUM($G204:AH204)-$F204*10%,0)))</f>
        <v>0</v>
      </c>
      <c r="AJ204" s="605">
        <f>IF(AJ$121="입주/잔금",($F204-SUM($G204:AI204))*30%,IF(AI$121="입주/잔금",($F204-SUM($G204:AH204))*50%,IF(AH$121="입주/잔금",($F204-SUM($G204:AG204))*20%,IF(AJ$121=0,0,IF(AJ$121="2차중도금",$F204*30%-SUM($G204:AI204),IF(AJ$121="3차중도금",$F204*40%-SUM($G204:AI204),IF(AJ$121="4차중도금",$F204*50%-SUM($G204:AI204),$F204*10%)))))))+(IF(AJ$121="5차중도금",$F204*60%-SUM($G204:AI204)-$F204*10%,IF(AJ$121="6차중도금",$F204*70%-SUM($G204:AI204)-$F204*10%,0)))</f>
        <v>0</v>
      </c>
      <c r="AK204" s="605">
        <f>IF(AK$121="입주/잔금",($F204-SUM($G204:AJ204))*30%,IF(AJ$121="입주/잔금",($F204-SUM($G204:AI204))*50%,IF(AI$121="입주/잔금",($F204-SUM($G204:AH204))*20%,IF(AK$121=0,0,IF(AK$121="2차중도금",$F204*30%-SUM($G204:AJ204),IF(AK$121="3차중도금",$F204*40%-SUM($G204:AJ204),IF(AK$121="4차중도금",$F204*50%-SUM($G204:AJ204),$F204*10%)))))))+(IF(AK$121="5차중도금",$F204*60%-SUM($G204:AJ204)-$F204*10%,IF(AK$121="6차중도금",$F204*70%-SUM($G204:AJ204)-$F204*10%,0)))</f>
        <v>0</v>
      </c>
      <c r="AL204" s="605">
        <f>IF(AL$121="입주/잔금",($F204-SUM($G204:AK204))*30%,IF(AK$121="입주/잔금",($F204-SUM($G204:AJ204))*50%,IF(AJ$121="입주/잔금",($F204-SUM($G204:AI204))*20%,IF(AL$121=0,0,IF(AL$121="2차중도금",$F204*30%-SUM($G204:AK204),IF(AL$121="3차중도금",$F204*40%-SUM($G204:AK204),IF(AL$121="4차중도금",$F204*50%-SUM($G204:AK204),$F204*10%)))))))+(IF(AL$121="5차중도금",$F204*60%-SUM($G204:AK204)-$F204*10%,IF(AL$121="6차중도금",$F204*70%-SUM($G204:AK204)-$F204*10%,0)))</f>
        <v>0</v>
      </c>
      <c r="AM204" s="605">
        <f>IF(AM$121="입주/잔금",($F204-SUM($G204:AL204))*30%,IF(AL$121="입주/잔금",($F204-SUM($G204:AK204))*50%,IF(AK$121="입주/잔금",($F204-SUM($G204:AJ204))*20%,IF(AM$121=0,0,IF(AM$121="2차중도금",$F204*30%-SUM($G204:AL204),IF(AM$121="3차중도금",$F204*40%-SUM($G204:AL204),IF(AM$121="4차중도금",$F204*50%-SUM($G204:AL204),$F204*10%)))))))+(IF(AM$121="5차중도금",$F204*60%-SUM($G204:AL204)-$F204*10%,IF(AM$121="6차중도금",$F204*70%-SUM($G204:AL204)-$F204*10%,0)))</f>
        <v>0</v>
      </c>
      <c r="AN204" s="605">
        <f>IF(AN$121="입주/잔금",($F204-SUM($G204:AM204))*30%,IF(AM$121="입주/잔금",($F204-SUM($G204:AL204))*50%,IF(AL$121="입주/잔금",($F204-SUM($G204:AK204))*20%,IF(AN$121=0,0,IF(AN$121="2차중도금",$F204*30%-SUM($G204:AM204),IF(AN$121="3차중도금",$F204*40%-SUM($G204:AM204),IF(AN$121="4차중도금",$F204*50%-SUM($G204:AM204),$F204*10%)))))))+(IF(AN$121="5차중도금",$F204*60%-SUM($G204:AM204)-$F204*10%,IF(AN$121="6차중도금",$F204*70%-SUM($G204:AM204)-$F204*10%,0)))</f>
        <v>0</v>
      </c>
      <c r="AO204" s="605">
        <f>IF(AO$121="입주/잔금",($F204-SUM($G204:AN204))*30%,IF(AN$121="입주/잔금",($F204-SUM($G204:AM204))*50%,IF(AM$121="입주/잔금",($F204-SUM($G204:AL204))*20%,IF(AO$121=0,0,IF(AO$121="2차중도금",$F204*30%-SUM($G204:AN204),IF(AO$121="3차중도금",$F204*40%-SUM($G204:AN204),IF(AO$121="4차중도금",$F204*50%-SUM($G204:AN204),$F204*10%)))))))+(IF(AO$121="5차중도금",$F204*60%-SUM($G204:AN204)-$F204*10%,IF(AO$121="6차중도금",$F204*70%-SUM($G204:AN204)-$F204*10%,0)))</f>
        <v>0</v>
      </c>
      <c r="AP204" s="605">
        <f>IF(AP$121="입주/잔금",($F204-SUM($G204:AO204))*30%,IF(AO$121="입주/잔금",($F204-SUM($G204:AN204))*50%,IF(AN$121="입주/잔금",($F204-SUM($G204:AM204))*20%,IF(AP$121=0,0,IF(AP$121="2차중도금",$F204*30%-SUM($G204:AO204),IF(AP$121="3차중도금",$F204*40%-SUM($G204:AO204),IF(AP$121="4차중도금",$F204*50%-SUM($G204:AO204),$F204*10%)))))))+(IF(AP$121="5차중도금",$F204*60%-SUM($G204:AO204)-$F204*10%,IF(AP$121="6차중도금",$F204*70%-SUM($G204:AO204)-$F204*10%,0)))</f>
        <v>0</v>
      </c>
      <c r="AQ204" s="605">
        <f>IF(AQ$121="입주/잔금",($F204-SUM($G204:AP204))*30%,IF(AP$121="입주/잔금",($F204-SUM($G204:AO204))*50%,IF(AO$121="입주/잔금",($F204-SUM($G204:AN204))*20%,IF(AQ$121=0,0,IF(AQ$121="2차중도금",$F204*30%-SUM($G204:AP204),IF(AQ$121="3차중도금",$F204*40%-SUM($G204:AP204),IF(AQ$121="4차중도금",$F204*50%-SUM($G204:AP204),$F204*10%)))))))+(IF(AQ$121="5차중도금",$F204*60%-SUM($G204:AP204)-$F204*10%,IF(AQ$121="6차중도금",$F204*70%-SUM($G204:AP204)-$F204*10%,0)))</f>
        <v>0</v>
      </c>
      <c r="AR204" s="605">
        <f>IF(AR$121="입주/잔금",($F204-SUM($G204:AQ204))*30%,IF(AQ$121="입주/잔금",($F204-SUM($G204:AP204))*50%,IF(AP$121="입주/잔금",($F204-SUM($G204:AO204))*20%,IF(AR$121=0,0,IF(AR$121="2차중도금",$F204*30%-SUM($G204:AQ204),IF(AR$121="3차중도금",$F204*40%-SUM($G204:AQ204),IF(AR$121="4차중도금",$F204*50%-SUM($G204:AQ204),$F204*10%)))))))+(IF(AR$121="5차중도금",$F204*60%-SUM($G204:AQ204)-$F204*10%,IF(AR$121="6차중도금",$F204*70%-SUM($G204:AQ204)-$F204*10%,0)))</f>
        <v>0</v>
      </c>
      <c r="AS204" s="605">
        <f>IF(AS$121="입주/잔금",($F204-SUM($G204:AR204))*30%,IF(AR$121="입주/잔금",($F204-SUM($G204:AQ204))*50%,IF(AQ$121="입주/잔금",($F204-SUM($G204:AP204))*20%,IF(AS$121=0,0,IF(AS$121="2차중도금",$F204*30%-SUM($G204:AR204),IF(AS$121="3차중도금",$F204*40%-SUM($G204:AR204),IF(AS$121="4차중도금",$F204*50%-SUM($G204:AR204),$F204*10%)))))))+(IF(AS$121="5차중도금",$F204*60%-SUM($G204:AR204)-$F204*10%,IF(AS$121="6차중도금",$F204*70%-SUM($G204:AR204)-$F204*10%,0)))</f>
        <v>0</v>
      </c>
      <c r="AT204" s="605">
        <f>IF(AT$121="입주/잔금",($F204-SUM($G204:AS204))*30%,IF(AS$121="입주/잔금",($F204-SUM($G204:AR204))*50%,IF(AR$121="입주/잔금",($F204-SUM($G204:AQ204))*20%,IF(AT$121=0,0,IF(AT$121="2차중도금",$F204*30%-SUM($G204:AS204),IF(AT$121="3차중도금",$F204*40%-SUM($G204:AS204),IF(AT$121="4차중도금",$F204*50%-SUM($G204:AS204),$F204*10%)))))))+(IF(AT$121="5차중도금",$F204*60%-SUM($G204:AS204)-$F204*10%,IF(AT$121="6차중도금",$F204*70%-SUM($G204:AS204)-$F204*10%,0)))</f>
        <v>0</v>
      </c>
      <c r="AU204" s="605">
        <f>IF(AU$121="입주/잔금",($F204-SUM($G204:AT204))*30%,IF(AT$121="입주/잔금",($F204-SUM($G204:AS204))*50%,IF(AS$121="입주/잔금",($F204-SUM($G204:AR204))*20%,IF(AU$121=0,0,IF(AU$121="2차중도금",$F204*30%-SUM($G204:AT204),IF(AU$121="3차중도금",$F204*40%-SUM($G204:AT204),IF(AU$121="4차중도금",$F204*50%-SUM($G204:AT204),$F204*10%)))))))+(IF(AU$121="5차중도금",$F204*60%-SUM($G204:AT204)-$F204*10%,IF(AU$121="6차중도금",$F204*70%-SUM($G204:AT204)-$F204*10%,0)))</f>
        <v>0</v>
      </c>
      <c r="AV204" s="605">
        <f>IF(AV$121="입주/잔금",($F204-SUM($G204:AU204))*30%,IF(AU$121="입주/잔금",($F204-SUM($G204:AT204))*50%,IF(AT$121="입주/잔금",($F204-SUM($G204:AS204))*20%,IF(AV$121=0,0,IF(AV$121="2차중도금",$F204*30%-SUM($G204:AU204),IF(AV$121="3차중도금",$F204*40%-SUM($G204:AU204),IF(AV$121="4차중도금",$F204*50%-SUM($G204:AU204),$F204*10%)))))))+(IF(AV$121="5차중도금",$F204*60%-SUM($G204:AU204)-$F204*10%,IF(AV$121="6차중도금",$F204*70%-SUM($G204:AU204)-$F204*10%,0)))</f>
        <v>0</v>
      </c>
      <c r="AW204" s="605">
        <f>IF(AW$121="입주/잔금",($F204-SUM($G204:AV204))*30%,IF(AV$121="입주/잔금",($F204-SUM($G204:AU204))*50%,IF(AU$121="입주/잔금",($F204-SUM($G204:AT204))*20%,IF(AW$121=0,0,IF(AW$121="2차중도금",$F204*30%-SUM($G204:AV204),IF(AW$121="3차중도금",$F204*40%-SUM($G204:AV204),IF(AW$121="4차중도금",$F204*50%-SUM($G204:AV204),$F204*10%)))))))+(IF(AW$121="5차중도금",$F204*60%-SUM($G204:AV204)-$F204*10%,IF(AW$121="6차중도금",$F204*70%-SUM($G204:AV204)-$F204*10%,0)))</f>
        <v>0</v>
      </c>
      <c r="AX204" s="605">
        <f>IF(AX$121="입주/잔금",($F204-SUM($G204:AW204))*30%,IF(AW$121="입주/잔금",($F204-SUM($G204:AV204))*50%,IF(AV$121="입주/잔금",($F204-SUM($G204:AU204))*20%,IF(AX$121=0,0,IF(AX$121="2차중도금",$F204*30%-SUM($G204:AW204),IF(AX$121="3차중도금",$F204*40%-SUM($G204:AW204),IF(AX$121="4차중도금",$F204*50%-SUM($G204:AW204),$F204*10%)))))))+(IF(AX$121="5차중도금",$F204*60%-SUM($G204:AW204)-$F204*10%,IF(AX$121="6차중도금",$F204*70%-SUM($G204:AW204)-$F204*10%,0)))</f>
        <v>0</v>
      </c>
      <c r="AY204" s="605">
        <f>IF(AY$121="입주/잔금",($F204-SUM($G204:AX204))*30%,IF(AX$121="입주/잔금",($F204-SUM($G204:AW204))*50%,IF(AW$121="입주/잔금",($F204-SUM($G204:AV204))*20%,IF(AY$121=0,0,IF(AY$121="2차중도금",$F204*30%-SUM($G204:AX204),IF(AY$121="3차중도금",$F204*40%-SUM($G204:AX204),IF(AY$121="4차중도금",$F204*50%-SUM($G204:AX204),$F204*10%)))))))+(IF(AY$121="5차중도금",$F204*60%-SUM($G204:AX204)-$F204*10%,IF(AY$121="6차중도금",$F204*70%-SUM($G204:AX204)-$F204*10%,0)))</f>
        <v>0</v>
      </c>
      <c r="AZ204" s="605">
        <f>IF(AZ$121="입주/잔금",($F204-SUM($G204:AY204))*30%,IF(AY$121="입주/잔금",($F204-SUM($G204:AX204))*50%,IF(AX$121="입주/잔금",($F204-SUM($G204:AW204))*20%,IF(AZ$121=0,0,IF(AZ$121="2차중도금",$F204*30%-SUM($G204:AY204),IF(AZ$121="3차중도금",$F204*40%-SUM($G204:AY204),IF(AZ$121="4차중도금",$F204*50%-SUM($G204:AY204),$F204*10%)))))))+(IF(AZ$121="5차중도금",$F204*60%-SUM($G204:AY204)-$F204*10%,IF(AZ$121="6차중도금",$F204*70%-SUM($G204:AY204)-$F204*10%,0)))</f>
        <v>0</v>
      </c>
      <c r="BA204" s="605">
        <f>IF(BA$121="입주/잔금",($F204-SUM($G204:AZ204))*30%,IF(AZ$121="입주/잔금",($F204-SUM($G204:AY204))*50%,IF(AY$121="입주/잔금",($F204-SUM($G204:AX204))*20%,IF(BA$121=0,0,IF(BA$121="2차중도금",$F204*30%-SUM($G204:AZ204),IF(BA$121="3차중도금",$F204*40%-SUM($G204:AZ204),IF(BA$121="4차중도금",$F204*50%-SUM($G204:AZ204),$F204*10%)))))))+(IF(BA$121="5차중도금",$F204*60%-SUM($G204:AZ204)-$F204*10%,IF(BA$121="6차중도금",$F204*70%-SUM($G204:AZ204)-$F204*10%,0)))</f>
        <v>0</v>
      </c>
      <c r="BB204" s="605">
        <f>IF(BB$121="입주/잔금",($F204-SUM($G204:BA204))*30%,IF(BA$121="입주/잔금",($F204-SUM($G204:AZ204))*50%,IF(AZ$121="입주/잔금",($F204-SUM($G204:AY204))*20%,IF(BB$121=0,0,IF(BB$121="2차중도금",$F204*30%-SUM($G204:BA204),IF(BB$121="3차중도금",$F204*40%-SUM($G204:BA204),IF(BB$121="4차중도금",$F204*50%-SUM($G204:BA204),$F204*10%)))))))+(IF(BB$121="5차중도금",$F204*60%-SUM($G204:BA204)-$F204*10%,IF(BB$121="6차중도금",$F204*70%-SUM($G204:BA204)-$F204*10%,0)))</f>
        <v>0</v>
      </c>
      <c r="BC204" s="605">
        <f>IF(BC$121="입주/잔금",($F204-SUM($G204:BB204))*30%,IF(BB$121="입주/잔금",($F204-SUM($G204:BA204))*50%,IF(BA$121="입주/잔금",($F204-SUM($G204:AZ204))*20%,IF(BC$121=0,0,IF(BC$121="2차중도금",$F204*30%-SUM($G204:BB204),IF(BC$121="3차중도금",$F204*40%-SUM($G204:BB204),IF(BC$121="4차중도금",$F204*50%-SUM($G204:BB204),$F204*10%)))))))+(IF(BC$121="5차중도금",$F204*60%-SUM($G204:BB204)-$F204*10%,IF(BC$121="6차중도금",$F204*70%-SUM($G204:BB204)-$F204*10%,0)))</f>
        <v>0</v>
      </c>
      <c r="BD204" s="605">
        <f>IF(BD$121="입주/잔금",($F204-SUM($G204:BC204))*30%,IF(BC$121="입주/잔금",($F204-SUM($G204:BB204))*50%,IF(BB$121="입주/잔금",($F204-SUM($G204:BA204))*20%,IF(BD$121=0,0,IF(BD$121="2차중도금",$F204*30%-SUM($G204:BC204),IF(BD$121="3차중도금",$F204*40%-SUM($G204:BC204),IF(BD$121="4차중도금",$F204*50%-SUM($G204:BC204),$F204*10%)))))))+(IF(BD$121="5차중도금",$F204*60%-SUM($G204:BC204)-$F204*10%,IF(BD$121="6차중도금",$F204*70%-SUM($G204:BC204)-$F204*10%,0)))</f>
        <v>0</v>
      </c>
      <c r="BE204" s="605">
        <f>IF(BE$121="입주/잔금",($F204-SUM($G204:BD204))*30%,IF(BD$121="입주/잔금",($F204-SUM($G204:BC204))*50%,IF(BC$121="입주/잔금",($F204-SUM($G204:BB204))*20%,IF(BE$121=0,0,IF(BE$121="2차중도금",$F204*30%-SUM($G204:BD204),IF(BE$121="3차중도금",$F204*40%-SUM($G204:BD204),IF(BE$121="4차중도금",$F204*50%-SUM($G204:BD204),$F204*10%)))))))+(IF(BE$121="5차중도금",$F204*60%-SUM($G204:BD204)-$F204*10%,IF(BE$121="6차중도금",$F204*70%-SUM($G204:BD204)-$F204*10%,0)))</f>
        <v>0</v>
      </c>
      <c r="BF204" s="609">
        <f t="shared" si="57"/>
        <v>0</v>
      </c>
      <c r="BG204" s="556">
        <f t="shared" si="59"/>
        <v>0</v>
      </c>
      <c r="BH204" s="610"/>
    </row>
    <row r="205" spans="1:60" hidden="1">
      <c r="A205" s="1853"/>
      <c r="B205" s="611">
        <f t="shared" si="60"/>
        <v>45689</v>
      </c>
      <c r="C205" s="605">
        <f t="shared" si="63"/>
        <v>0</v>
      </c>
      <c r="D205" s="606"/>
      <c r="E205" s="607">
        <f t="shared" si="62"/>
        <v>0</v>
      </c>
      <c r="F205" s="608">
        <f t="shared" si="58"/>
        <v>0</v>
      </c>
      <c r="G205" s="605"/>
      <c r="H205" s="605"/>
      <c r="I205" s="605"/>
      <c r="J205" s="605"/>
      <c r="K205" s="605"/>
      <c r="L205" s="605"/>
      <c r="M205" s="605"/>
      <c r="N205" s="605"/>
      <c r="O205" s="605"/>
      <c r="P205" s="605"/>
      <c r="Q205" s="605"/>
      <c r="R205" s="605"/>
      <c r="S205" s="605"/>
      <c r="T205" s="605"/>
      <c r="U205" s="605"/>
      <c r="V205" s="605"/>
      <c r="W205" s="605"/>
      <c r="X205" s="605"/>
      <c r="Y205" s="605"/>
      <c r="Z205" s="605"/>
      <c r="AA205" s="605"/>
      <c r="AB205" s="605"/>
      <c r="AC205" s="605"/>
      <c r="AD205" s="605"/>
      <c r="AE205" s="605"/>
      <c r="AF205" s="605"/>
      <c r="AG205" s="605"/>
      <c r="AH205" s="605"/>
      <c r="AI205" s="605">
        <f>$F205*10%</f>
        <v>0</v>
      </c>
      <c r="AJ205" s="605">
        <f>IF(AJ$121="입주/잔금",($F205-SUM($G205:AI205))*30%,IF(AI$121="입주/잔금",($F205-SUM($G205:AH205))*50%,IF(AH$121="입주/잔금",($F205-SUM($G205:AG205))*20%,IF(AJ$121=0,0,IF(AJ$121="2차중도금",$F205*30%-SUM($G205:AI205),IF(AJ$121="3차중도금",$F205*40%-SUM($G205:AI205),IF(AJ$121="4차중도금",$F205*50%-SUM($G205:AI205),$F205*10%)))))))+(IF(AJ$121="5차중도금",$F205*60%-SUM($G205:AI205)-$F205*10%,IF(AJ$121="6차중도금",$F205*70%-SUM($G205:AI205)-$F205*10%,0)))</f>
        <v>0</v>
      </c>
      <c r="AK205" s="605">
        <f>IF(AK$121="입주/잔금",($F205-SUM($G205:AJ205))*30%,IF(AJ$121="입주/잔금",($F205-SUM($G205:AI205))*50%,IF(AI$121="입주/잔금",($F205-SUM($G205:AH205))*20%,IF(AK$121=0,0,IF(AK$121="2차중도금",$F205*30%-SUM($G205:AJ205),IF(AK$121="3차중도금",$F205*40%-SUM($G205:AJ205),IF(AK$121="4차중도금",$F205*50%-SUM($G205:AJ205),$F205*10%)))))))+(IF(AK$121="5차중도금",$F205*60%-SUM($G205:AJ205)-$F205*10%,IF(AK$121="6차중도금",$F205*70%-SUM($G205:AJ205)-$F205*10%,0)))</f>
        <v>0</v>
      </c>
      <c r="AL205" s="605">
        <f>IF(AL$121="입주/잔금",($F205-SUM($G205:AK205))*30%,IF(AK$121="입주/잔금",($F205-SUM($G205:AJ205))*50%,IF(AJ$121="입주/잔금",($F205-SUM($G205:AI205))*20%,IF(AL$121=0,0,IF(AL$121="2차중도금",$F205*30%-SUM($G205:AK205),IF(AL$121="3차중도금",$F205*40%-SUM($G205:AK205),IF(AL$121="4차중도금",$F205*50%-SUM($G205:AK205),$F205*10%)))))))+(IF(AL$121="5차중도금",$F205*60%-SUM($G205:AK205)-$F205*10%,IF(AL$121="6차중도금",$F205*70%-SUM($G205:AK205)-$F205*10%,0)))</f>
        <v>0</v>
      </c>
      <c r="AM205" s="605">
        <f>IF(AM$121="입주/잔금",($F205-SUM($G205:AL205))*30%,IF(AL$121="입주/잔금",($F205-SUM($G205:AK205))*50%,IF(AK$121="입주/잔금",($F205-SUM($G205:AJ205))*20%,IF(AM$121=0,0,IF(AM$121="2차중도금",$F205*30%-SUM($G205:AL205),IF(AM$121="3차중도금",$F205*40%-SUM($G205:AL205),IF(AM$121="4차중도금",$F205*50%-SUM($G205:AL205),$F205*10%)))))))+(IF(AM$121="5차중도금",$F205*60%-SUM($G205:AL205)-$F205*10%,IF(AM$121="6차중도금",$F205*70%-SUM($G205:AL205)-$F205*10%,0)))</f>
        <v>0</v>
      </c>
      <c r="AN205" s="605">
        <f>IF(AN$121="입주/잔금",($F205-SUM($G205:AM205))*30%,IF(AM$121="입주/잔금",($F205-SUM($G205:AL205))*50%,IF(AL$121="입주/잔금",($F205-SUM($G205:AK205))*20%,IF(AN$121=0,0,IF(AN$121="2차중도금",$F205*30%-SUM($G205:AM205),IF(AN$121="3차중도금",$F205*40%-SUM($G205:AM205),IF(AN$121="4차중도금",$F205*50%-SUM($G205:AM205),$F205*10%)))))))+(IF(AN$121="5차중도금",$F205*60%-SUM($G205:AM205)-$F205*10%,IF(AN$121="6차중도금",$F205*70%-SUM($G205:AM205)-$F205*10%,0)))</f>
        <v>0</v>
      </c>
      <c r="AO205" s="605">
        <f>IF(AO$121="입주/잔금",($F205-SUM($G205:AN205))*30%,IF(AN$121="입주/잔금",($F205-SUM($G205:AM205))*50%,IF(AM$121="입주/잔금",($F205-SUM($G205:AL205))*20%,IF(AO$121=0,0,IF(AO$121="2차중도금",$F205*30%-SUM($G205:AN205),IF(AO$121="3차중도금",$F205*40%-SUM($G205:AN205),IF(AO$121="4차중도금",$F205*50%-SUM($G205:AN205),$F205*10%)))))))+(IF(AO$121="5차중도금",$F205*60%-SUM($G205:AN205)-$F205*10%,IF(AO$121="6차중도금",$F205*70%-SUM($G205:AN205)-$F205*10%,0)))</f>
        <v>0</v>
      </c>
      <c r="AP205" s="605">
        <f>IF(AP$121="입주/잔금",($F205-SUM($G205:AO205))*30%,IF(AO$121="입주/잔금",($F205-SUM($G205:AN205))*50%,IF(AN$121="입주/잔금",($F205-SUM($G205:AM205))*20%,IF(AP$121=0,0,IF(AP$121="2차중도금",$F205*30%-SUM($G205:AO205),IF(AP$121="3차중도금",$F205*40%-SUM($G205:AO205),IF(AP$121="4차중도금",$F205*50%-SUM($G205:AO205),$F205*10%)))))))+(IF(AP$121="5차중도금",$F205*60%-SUM($G205:AO205)-$F205*10%,IF(AP$121="6차중도금",$F205*70%-SUM($G205:AO205)-$F205*10%,0)))</f>
        <v>0</v>
      </c>
      <c r="AQ205" s="605">
        <f>IF(AQ$121="입주/잔금",($F205-SUM($G205:AP205))*30%,IF(AP$121="입주/잔금",($F205-SUM($G205:AO205))*50%,IF(AO$121="입주/잔금",($F205-SUM($G205:AN205))*20%,IF(AQ$121=0,0,IF(AQ$121="2차중도금",$F205*30%-SUM($G205:AP205),IF(AQ$121="3차중도금",$F205*40%-SUM($G205:AP205),IF(AQ$121="4차중도금",$F205*50%-SUM($G205:AP205),$F205*10%)))))))+(IF(AQ$121="5차중도금",$F205*60%-SUM($G205:AP205)-$F205*10%,IF(AQ$121="6차중도금",$F205*70%-SUM($G205:AP205)-$F205*10%,0)))</f>
        <v>0</v>
      </c>
      <c r="AR205" s="605">
        <f>IF(AR$121="입주/잔금",($F205-SUM($G205:AQ205))*30%,IF(AQ$121="입주/잔금",($F205-SUM($G205:AP205))*50%,IF(AP$121="입주/잔금",($F205-SUM($G205:AO205))*20%,IF(AR$121=0,0,IF(AR$121="2차중도금",$F205*30%-SUM($G205:AQ205),IF(AR$121="3차중도금",$F205*40%-SUM($G205:AQ205),IF(AR$121="4차중도금",$F205*50%-SUM($G205:AQ205),$F205*10%)))))))+(IF(AR$121="5차중도금",$F205*60%-SUM($G205:AQ205)-$F205*10%,IF(AR$121="6차중도금",$F205*70%-SUM($G205:AQ205)-$F205*10%,0)))</f>
        <v>0</v>
      </c>
      <c r="AS205" s="605">
        <f>IF(AS$121="입주/잔금",($F205-SUM($G205:AR205))*30%,IF(AR$121="입주/잔금",($F205-SUM($G205:AQ205))*50%,IF(AQ$121="입주/잔금",($F205-SUM($G205:AP205))*20%,IF(AS$121=0,0,IF(AS$121="2차중도금",$F205*30%-SUM($G205:AR205),IF(AS$121="3차중도금",$F205*40%-SUM($G205:AR205),IF(AS$121="4차중도금",$F205*50%-SUM($G205:AR205),$F205*10%)))))))+(IF(AS$121="5차중도금",$F205*60%-SUM($G205:AR205)-$F205*10%,IF(AS$121="6차중도금",$F205*70%-SUM($G205:AR205)-$F205*10%,0)))</f>
        <v>0</v>
      </c>
      <c r="AT205" s="605">
        <f>IF(AT$121="입주/잔금",($F205-SUM($G205:AS205))*30%,IF(AS$121="입주/잔금",($F205-SUM($G205:AR205))*50%,IF(AR$121="입주/잔금",($F205-SUM($G205:AQ205))*20%,IF(AT$121=0,0,IF(AT$121="2차중도금",$F205*30%-SUM($G205:AS205),IF(AT$121="3차중도금",$F205*40%-SUM($G205:AS205),IF(AT$121="4차중도금",$F205*50%-SUM($G205:AS205),$F205*10%)))))))+(IF(AT$121="5차중도금",$F205*60%-SUM($G205:AS205)-$F205*10%,IF(AT$121="6차중도금",$F205*70%-SUM($G205:AS205)-$F205*10%,0)))</f>
        <v>0</v>
      </c>
      <c r="AU205" s="605">
        <f>IF(AU$121="입주/잔금",($F205-SUM($G205:AT205))*30%,IF(AT$121="입주/잔금",($F205-SUM($G205:AS205))*50%,IF(AS$121="입주/잔금",($F205-SUM($G205:AR205))*20%,IF(AU$121=0,0,IF(AU$121="2차중도금",$F205*30%-SUM($G205:AT205),IF(AU$121="3차중도금",$F205*40%-SUM($G205:AT205),IF(AU$121="4차중도금",$F205*50%-SUM($G205:AT205),$F205*10%)))))))+(IF(AU$121="5차중도금",$F205*60%-SUM($G205:AT205)-$F205*10%,IF(AU$121="6차중도금",$F205*70%-SUM($G205:AT205)-$F205*10%,0)))</f>
        <v>0</v>
      </c>
      <c r="AV205" s="605">
        <f>IF(AV$121="입주/잔금",($F205-SUM($G205:AU205))*30%,IF(AU$121="입주/잔금",($F205-SUM($G205:AT205))*50%,IF(AT$121="입주/잔금",($F205-SUM($G205:AS205))*20%,IF(AV$121=0,0,IF(AV$121="2차중도금",$F205*30%-SUM($G205:AU205),IF(AV$121="3차중도금",$F205*40%-SUM($G205:AU205),IF(AV$121="4차중도금",$F205*50%-SUM($G205:AU205),$F205*10%)))))))+(IF(AV$121="5차중도금",$F205*60%-SUM($G205:AU205)-$F205*10%,IF(AV$121="6차중도금",$F205*70%-SUM($G205:AU205)-$F205*10%,0)))</f>
        <v>0</v>
      </c>
      <c r="AW205" s="605">
        <f>IF(AW$121="입주/잔금",($F205-SUM($G205:AV205))*30%,IF(AV$121="입주/잔금",($F205-SUM($G205:AU205))*50%,IF(AU$121="입주/잔금",($F205-SUM($G205:AT205))*20%,IF(AW$121=0,0,IF(AW$121="2차중도금",$F205*30%-SUM($G205:AV205),IF(AW$121="3차중도금",$F205*40%-SUM($G205:AV205),IF(AW$121="4차중도금",$F205*50%-SUM($G205:AV205),$F205*10%)))))))+(IF(AW$121="5차중도금",$F205*60%-SUM($G205:AV205)-$F205*10%,IF(AW$121="6차중도금",$F205*70%-SUM($G205:AV205)-$F205*10%,0)))</f>
        <v>0</v>
      </c>
      <c r="AX205" s="605">
        <f>IF(AX$121="입주/잔금",($F205-SUM($G205:AW205))*30%,IF(AW$121="입주/잔금",($F205-SUM($G205:AV205))*50%,IF(AV$121="입주/잔금",($F205-SUM($G205:AU205))*20%,IF(AX$121=0,0,IF(AX$121="2차중도금",$F205*30%-SUM($G205:AW205),IF(AX$121="3차중도금",$F205*40%-SUM($G205:AW205),IF(AX$121="4차중도금",$F205*50%-SUM($G205:AW205),$F205*10%)))))))+(IF(AX$121="5차중도금",$F205*60%-SUM($G205:AW205)-$F205*10%,IF(AX$121="6차중도금",$F205*70%-SUM($G205:AW205)-$F205*10%,0)))</f>
        <v>0</v>
      </c>
      <c r="AY205" s="605">
        <f>IF(AY$121="입주/잔금",($F205-SUM($G205:AX205))*30%,IF(AX$121="입주/잔금",($F205-SUM($G205:AW205))*50%,IF(AW$121="입주/잔금",($F205-SUM($G205:AV205))*20%,IF(AY$121=0,0,IF(AY$121="2차중도금",$F205*30%-SUM($G205:AX205),IF(AY$121="3차중도금",$F205*40%-SUM($G205:AX205),IF(AY$121="4차중도금",$F205*50%-SUM($G205:AX205),$F205*10%)))))))+(IF(AY$121="5차중도금",$F205*60%-SUM($G205:AX205)-$F205*10%,IF(AY$121="6차중도금",$F205*70%-SUM($G205:AX205)-$F205*10%,0)))</f>
        <v>0</v>
      </c>
      <c r="AZ205" s="605">
        <f>IF(AZ$121="입주/잔금",($F205-SUM($G205:AY205))*30%,IF(AY$121="입주/잔금",($F205-SUM($G205:AX205))*50%,IF(AX$121="입주/잔금",($F205-SUM($G205:AW205))*20%,IF(AZ$121=0,0,IF(AZ$121="2차중도금",$F205*30%-SUM($G205:AY205),IF(AZ$121="3차중도금",$F205*40%-SUM($G205:AY205),IF(AZ$121="4차중도금",$F205*50%-SUM($G205:AY205),$F205*10%)))))))+(IF(AZ$121="5차중도금",$F205*60%-SUM($G205:AY205)-$F205*10%,IF(AZ$121="6차중도금",$F205*70%-SUM($G205:AY205)-$F205*10%,0)))</f>
        <v>0</v>
      </c>
      <c r="BA205" s="605">
        <f>IF(BA$121="입주/잔금",($F205-SUM($G205:AZ205))*30%,IF(AZ$121="입주/잔금",($F205-SUM($G205:AY205))*50%,IF(AY$121="입주/잔금",($F205-SUM($G205:AX205))*20%,IF(BA$121=0,0,IF(BA$121="2차중도금",$F205*30%-SUM($G205:AZ205),IF(BA$121="3차중도금",$F205*40%-SUM($G205:AZ205),IF(BA$121="4차중도금",$F205*50%-SUM($G205:AZ205),$F205*10%)))))))+(IF(BA$121="5차중도금",$F205*60%-SUM($G205:AZ205)-$F205*10%,IF(BA$121="6차중도금",$F205*70%-SUM($G205:AZ205)-$F205*10%,0)))</f>
        <v>0</v>
      </c>
      <c r="BB205" s="605">
        <f>IF(BB$121="입주/잔금",($F205-SUM($G205:BA205))*30%,IF(BA$121="입주/잔금",($F205-SUM($G205:AZ205))*50%,IF(AZ$121="입주/잔금",($F205-SUM($G205:AY205))*20%,IF(BB$121=0,0,IF(BB$121="2차중도금",$F205*30%-SUM($G205:BA205),IF(BB$121="3차중도금",$F205*40%-SUM($G205:BA205),IF(BB$121="4차중도금",$F205*50%-SUM($G205:BA205),$F205*10%)))))))+(IF(BB$121="5차중도금",$F205*60%-SUM($G205:BA205)-$F205*10%,IF(BB$121="6차중도금",$F205*70%-SUM($G205:BA205)-$F205*10%,0)))</f>
        <v>0</v>
      </c>
      <c r="BC205" s="605">
        <f>IF(BC$121="입주/잔금",($F205-SUM($G205:BB205))*30%,IF(BB$121="입주/잔금",($F205-SUM($G205:BA205))*50%,IF(BA$121="입주/잔금",($F205-SUM($G205:AZ205))*20%,IF(BC$121=0,0,IF(BC$121="2차중도금",$F205*30%-SUM($G205:BB205),IF(BC$121="3차중도금",$F205*40%-SUM($G205:BB205),IF(BC$121="4차중도금",$F205*50%-SUM($G205:BB205),$F205*10%)))))))+(IF(BC$121="5차중도금",$F205*60%-SUM($G205:BB205)-$F205*10%,IF(BC$121="6차중도금",$F205*70%-SUM($G205:BB205)-$F205*10%,0)))</f>
        <v>0</v>
      </c>
      <c r="BD205" s="605">
        <f>IF(BD$121="입주/잔금",($F205-SUM($G205:BC205))*30%,IF(BC$121="입주/잔금",($F205-SUM($G205:BB205))*50%,IF(BB$121="입주/잔금",($F205-SUM($G205:BA205))*20%,IF(BD$121=0,0,IF(BD$121="2차중도금",$F205*30%-SUM($G205:BC205),IF(BD$121="3차중도금",$F205*40%-SUM($G205:BC205),IF(BD$121="4차중도금",$F205*50%-SUM($G205:BC205),$F205*10%)))))))+(IF(BD$121="5차중도금",$F205*60%-SUM($G205:BC205)-$F205*10%,IF(BD$121="6차중도금",$F205*70%-SUM($G205:BC205)-$F205*10%,0)))</f>
        <v>0</v>
      </c>
      <c r="BE205" s="605">
        <f>IF(BE$121="입주/잔금",($F205-SUM($G205:BD205))*30%,IF(BD$121="입주/잔금",($F205-SUM($G205:BC205))*50%,IF(BC$121="입주/잔금",($F205-SUM($G205:BB205))*20%,IF(BE$121=0,0,IF(BE$121="2차중도금",$F205*30%-SUM($G205:BD205),IF(BE$121="3차중도금",$F205*40%-SUM($G205:BD205),IF(BE$121="4차중도금",$F205*50%-SUM($G205:BD205),$F205*10%)))))))+(IF(BE$121="5차중도금",$F205*60%-SUM($G205:BD205)-$F205*10%,IF(BE$121="6차중도금",$F205*70%-SUM($G205:BD205)-$F205*10%,0)))</f>
        <v>0</v>
      </c>
      <c r="BF205" s="609">
        <f t="shared" si="57"/>
        <v>0</v>
      </c>
      <c r="BG205" s="556">
        <f t="shared" si="59"/>
        <v>0</v>
      </c>
      <c r="BH205" s="610"/>
    </row>
    <row r="206" spans="1:60" hidden="1">
      <c r="A206" s="1853"/>
      <c r="B206" s="611">
        <f t="shared" si="60"/>
        <v>45717</v>
      </c>
      <c r="C206" s="605">
        <f t="shared" si="63"/>
        <v>0</v>
      </c>
      <c r="D206" s="606"/>
      <c r="E206" s="607">
        <f t="shared" si="62"/>
        <v>0</v>
      </c>
      <c r="F206" s="608">
        <f t="shared" si="58"/>
        <v>0</v>
      </c>
      <c r="G206" s="605"/>
      <c r="H206" s="605"/>
      <c r="I206" s="605"/>
      <c r="J206" s="605"/>
      <c r="K206" s="605"/>
      <c r="L206" s="605"/>
      <c r="M206" s="605"/>
      <c r="N206" s="605"/>
      <c r="O206" s="605"/>
      <c r="P206" s="605"/>
      <c r="Q206" s="605"/>
      <c r="R206" s="605"/>
      <c r="S206" s="605"/>
      <c r="T206" s="605"/>
      <c r="U206" s="605"/>
      <c r="V206" s="605"/>
      <c r="W206" s="605"/>
      <c r="X206" s="605"/>
      <c r="Y206" s="605"/>
      <c r="Z206" s="605"/>
      <c r="AA206" s="605"/>
      <c r="AB206" s="605"/>
      <c r="AC206" s="605"/>
      <c r="AD206" s="605"/>
      <c r="AE206" s="605"/>
      <c r="AF206" s="605"/>
      <c r="AG206" s="605"/>
      <c r="AH206" s="605"/>
      <c r="AI206" s="605"/>
      <c r="AJ206" s="605">
        <f>$F206*10%</f>
        <v>0</v>
      </c>
      <c r="AK206" s="605">
        <f>IF(AK$121="입주/잔금",($F206-SUM($G206:AJ206))*30%,IF(AJ$121="입주/잔금",($F206-SUM($G206:AI206))*50%,IF(AI$121="입주/잔금",($F206-SUM($G206:AH206))*20%,IF(AK$121=0,0,IF(AK$121="2차중도금",$F206*30%-SUM($G206:AJ206),IF(AK$121="3차중도금",$F206*40%-SUM($G206:AJ206),IF(AK$121="4차중도금",$F206*50%-SUM($G206:AJ206),$F206*10%)))))))+(IF(AK$121="5차중도금",$F206*60%-SUM($G206:AJ206)-$F206*10%,IF(AK$121="6차중도금",$F206*70%-SUM($G206:AJ206)-$F206*10%,0)))</f>
        <v>0</v>
      </c>
      <c r="AL206" s="605">
        <f>IF(AL$121="입주/잔금",($F206-SUM($G206:AK206))*30%,IF(AK$121="입주/잔금",($F206-SUM($G206:AJ206))*50%,IF(AJ$121="입주/잔금",($F206-SUM($G206:AI206))*20%,IF(AL$121=0,0,IF(AL$121="2차중도금",$F206*30%-SUM($G206:AK206),IF(AL$121="3차중도금",$F206*40%-SUM($G206:AK206),IF(AL$121="4차중도금",$F206*50%-SUM($G206:AK206),$F206*10%)))))))+(IF(AL$121="5차중도금",$F206*60%-SUM($G206:AK206)-$F206*10%,IF(AL$121="6차중도금",$F206*70%-SUM($G206:AK206)-$F206*10%,0)))</f>
        <v>0</v>
      </c>
      <c r="AM206" s="605">
        <f>IF(AM$121="입주/잔금",($F206-SUM($G206:AL206))*30%,IF(AL$121="입주/잔금",($F206-SUM($G206:AK206))*50%,IF(AK$121="입주/잔금",($F206-SUM($G206:AJ206))*20%,IF(AM$121=0,0,IF(AM$121="2차중도금",$F206*30%-SUM($G206:AL206),IF(AM$121="3차중도금",$F206*40%-SUM($G206:AL206),IF(AM$121="4차중도금",$F206*50%-SUM($G206:AL206),$F206*10%)))))))+(IF(AM$121="5차중도금",$F206*60%-SUM($G206:AL206)-$F206*10%,IF(AM$121="6차중도금",$F206*70%-SUM($G206:AL206)-$F206*10%,0)))</f>
        <v>0</v>
      </c>
      <c r="AN206" s="605">
        <f>IF(AN$121="입주/잔금",($F206-SUM($G206:AM206))*30%,IF(AM$121="입주/잔금",($F206-SUM($G206:AL206))*50%,IF(AL$121="입주/잔금",($F206-SUM($G206:AK206))*20%,IF(AN$121=0,0,IF(AN$121="2차중도금",$F206*30%-SUM($G206:AM206),IF(AN$121="3차중도금",$F206*40%-SUM($G206:AM206),IF(AN$121="4차중도금",$F206*50%-SUM($G206:AM206),$F206*10%)))))))+(IF(AN$121="5차중도금",$F206*60%-SUM($G206:AM206)-$F206*10%,IF(AN$121="6차중도금",$F206*70%-SUM($G206:AM206)-$F206*10%,0)))</f>
        <v>0</v>
      </c>
      <c r="AO206" s="605">
        <f>IF(AO$121="입주/잔금",($F206-SUM($G206:AN206))*30%,IF(AN$121="입주/잔금",($F206-SUM($G206:AM206))*50%,IF(AM$121="입주/잔금",($F206-SUM($G206:AL206))*20%,IF(AO$121=0,0,IF(AO$121="2차중도금",$F206*30%-SUM($G206:AN206),IF(AO$121="3차중도금",$F206*40%-SUM($G206:AN206),IF(AO$121="4차중도금",$F206*50%-SUM($G206:AN206),$F206*10%)))))))+(IF(AO$121="5차중도금",$F206*60%-SUM($G206:AN206)-$F206*10%,IF(AO$121="6차중도금",$F206*70%-SUM($G206:AN206)-$F206*10%,0)))</f>
        <v>0</v>
      </c>
      <c r="AP206" s="605">
        <f>IF(AP$121="입주/잔금",($F206-SUM($G206:AO206))*30%,IF(AO$121="입주/잔금",($F206-SUM($G206:AN206))*50%,IF(AN$121="입주/잔금",($F206-SUM($G206:AM206))*20%,IF(AP$121=0,0,IF(AP$121="2차중도금",$F206*30%-SUM($G206:AO206),IF(AP$121="3차중도금",$F206*40%-SUM($G206:AO206),IF(AP$121="4차중도금",$F206*50%-SUM($G206:AO206),$F206*10%)))))))+(IF(AP$121="5차중도금",$F206*60%-SUM($G206:AO206)-$F206*10%,IF(AP$121="6차중도금",$F206*70%-SUM($G206:AO206)-$F206*10%,0)))</f>
        <v>0</v>
      </c>
      <c r="AQ206" s="605">
        <f>IF(AQ$121="입주/잔금",($F206-SUM($G206:AP206))*30%,IF(AP$121="입주/잔금",($F206-SUM($G206:AO206))*50%,IF(AO$121="입주/잔금",($F206-SUM($G206:AN206))*20%,IF(AQ$121=0,0,IF(AQ$121="2차중도금",$F206*30%-SUM($G206:AP206),IF(AQ$121="3차중도금",$F206*40%-SUM($G206:AP206),IF(AQ$121="4차중도금",$F206*50%-SUM($G206:AP206),$F206*10%)))))))+(IF(AQ$121="5차중도금",$F206*60%-SUM($G206:AP206)-$F206*10%,IF(AQ$121="6차중도금",$F206*70%-SUM($G206:AP206)-$F206*10%,0)))</f>
        <v>0</v>
      </c>
      <c r="AR206" s="605">
        <f>IF(AR$121="입주/잔금",($F206-SUM($G206:AQ206))*30%,IF(AQ$121="입주/잔금",($F206-SUM($G206:AP206))*50%,IF(AP$121="입주/잔금",($F206-SUM($G206:AO206))*20%,IF(AR$121=0,0,IF(AR$121="2차중도금",$F206*30%-SUM($G206:AQ206),IF(AR$121="3차중도금",$F206*40%-SUM($G206:AQ206),IF(AR$121="4차중도금",$F206*50%-SUM($G206:AQ206),$F206*10%)))))))+(IF(AR$121="5차중도금",$F206*60%-SUM($G206:AQ206)-$F206*10%,IF(AR$121="6차중도금",$F206*70%-SUM($G206:AQ206)-$F206*10%,0)))</f>
        <v>0</v>
      </c>
      <c r="AS206" s="605">
        <f>IF(AS$121="입주/잔금",($F206-SUM($G206:AR206))*30%,IF(AR$121="입주/잔금",($F206-SUM($G206:AQ206))*50%,IF(AQ$121="입주/잔금",($F206-SUM($G206:AP206))*20%,IF(AS$121=0,0,IF(AS$121="2차중도금",$F206*30%-SUM($G206:AR206),IF(AS$121="3차중도금",$F206*40%-SUM($G206:AR206),IF(AS$121="4차중도금",$F206*50%-SUM($G206:AR206),$F206*10%)))))))+(IF(AS$121="5차중도금",$F206*60%-SUM($G206:AR206)-$F206*10%,IF(AS$121="6차중도금",$F206*70%-SUM($G206:AR206)-$F206*10%,0)))</f>
        <v>0</v>
      </c>
      <c r="AT206" s="605">
        <f>IF(AT$121="입주/잔금",($F206-SUM($G206:AS206))*30%,IF(AS$121="입주/잔금",($F206-SUM($G206:AR206))*50%,IF(AR$121="입주/잔금",($F206-SUM($G206:AQ206))*20%,IF(AT$121=0,0,IF(AT$121="2차중도금",$F206*30%-SUM($G206:AS206),IF(AT$121="3차중도금",$F206*40%-SUM($G206:AS206),IF(AT$121="4차중도금",$F206*50%-SUM($G206:AS206),$F206*10%)))))))+(IF(AT$121="5차중도금",$F206*60%-SUM($G206:AS206)-$F206*10%,IF(AT$121="6차중도금",$F206*70%-SUM($G206:AS206)-$F206*10%,0)))</f>
        <v>0</v>
      </c>
      <c r="AU206" s="605">
        <f>IF(AU$121="입주/잔금",($F206-SUM($G206:AT206))*30%,IF(AT$121="입주/잔금",($F206-SUM($G206:AS206))*50%,IF(AS$121="입주/잔금",($F206-SUM($G206:AR206))*20%,IF(AU$121=0,0,IF(AU$121="2차중도금",$F206*30%-SUM($G206:AT206),IF(AU$121="3차중도금",$F206*40%-SUM($G206:AT206),IF(AU$121="4차중도금",$F206*50%-SUM($G206:AT206),$F206*10%)))))))+(IF(AU$121="5차중도금",$F206*60%-SUM($G206:AT206)-$F206*10%,IF(AU$121="6차중도금",$F206*70%-SUM($G206:AT206)-$F206*10%,0)))</f>
        <v>0</v>
      </c>
      <c r="AV206" s="605">
        <f>IF(AV$121="입주/잔금",($F206-SUM($G206:AU206))*30%,IF(AU$121="입주/잔금",($F206-SUM($G206:AT206))*50%,IF(AT$121="입주/잔금",($F206-SUM($G206:AS206))*20%,IF(AV$121=0,0,IF(AV$121="2차중도금",$F206*30%-SUM($G206:AU206),IF(AV$121="3차중도금",$F206*40%-SUM($G206:AU206),IF(AV$121="4차중도금",$F206*50%-SUM($G206:AU206),$F206*10%)))))))+(IF(AV$121="5차중도금",$F206*60%-SUM($G206:AU206)-$F206*10%,IF(AV$121="6차중도금",$F206*70%-SUM($G206:AU206)-$F206*10%,0)))</f>
        <v>0</v>
      </c>
      <c r="AW206" s="605">
        <f>IF(AW$121="입주/잔금",($F206-SUM($G206:AV206))*30%,IF(AV$121="입주/잔금",($F206-SUM($G206:AU206))*50%,IF(AU$121="입주/잔금",($F206-SUM($G206:AT206))*20%,IF(AW$121=0,0,IF(AW$121="2차중도금",$F206*30%-SUM($G206:AV206),IF(AW$121="3차중도금",$F206*40%-SUM($G206:AV206),IF(AW$121="4차중도금",$F206*50%-SUM($G206:AV206),$F206*10%)))))))+(IF(AW$121="5차중도금",$F206*60%-SUM($G206:AV206)-$F206*10%,IF(AW$121="6차중도금",$F206*70%-SUM($G206:AV206)-$F206*10%,0)))</f>
        <v>0</v>
      </c>
      <c r="AX206" s="605">
        <f>IF(AX$121="입주/잔금",($F206-SUM($G206:AW206))*30%,IF(AW$121="입주/잔금",($F206-SUM($G206:AV206))*50%,IF(AV$121="입주/잔금",($F206-SUM($G206:AU206))*20%,IF(AX$121=0,0,IF(AX$121="2차중도금",$F206*30%-SUM($G206:AW206),IF(AX$121="3차중도금",$F206*40%-SUM($G206:AW206),IF(AX$121="4차중도금",$F206*50%-SUM($G206:AW206),$F206*10%)))))))+(IF(AX$121="5차중도금",$F206*60%-SUM($G206:AW206)-$F206*10%,IF(AX$121="6차중도금",$F206*70%-SUM($G206:AW206)-$F206*10%,0)))</f>
        <v>0</v>
      </c>
      <c r="AY206" s="605">
        <f>IF(AY$121="입주/잔금",($F206-SUM($G206:AX206))*30%,IF(AX$121="입주/잔금",($F206-SUM($G206:AW206))*50%,IF(AW$121="입주/잔금",($F206-SUM($G206:AV206))*20%,IF(AY$121=0,0,IF(AY$121="2차중도금",$F206*30%-SUM($G206:AX206),IF(AY$121="3차중도금",$F206*40%-SUM($G206:AX206),IF(AY$121="4차중도금",$F206*50%-SUM($G206:AX206),$F206*10%)))))))+(IF(AY$121="5차중도금",$F206*60%-SUM($G206:AX206)-$F206*10%,IF(AY$121="6차중도금",$F206*70%-SUM($G206:AX206)-$F206*10%,0)))</f>
        <v>0</v>
      </c>
      <c r="AZ206" s="605">
        <f>IF(AZ$121="입주/잔금",($F206-SUM($G206:AY206))*30%,IF(AY$121="입주/잔금",($F206-SUM($G206:AX206))*50%,IF(AX$121="입주/잔금",($F206-SUM($G206:AW206))*20%,IF(AZ$121=0,0,IF(AZ$121="2차중도금",$F206*30%-SUM($G206:AY206),IF(AZ$121="3차중도금",$F206*40%-SUM($G206:AY206),IF(AZ$121="4차중도금",$F206*50%-SUM($G206:AY206),$F206*10%)))))))+(IF(AZ$121="5차중도금",$F206*60%-SUM($G206:AY206)-$F206*10%,IF(AZ$121="6차중도금",$F206*70%-SUM($G206:AY206)-$F206*10%,0)))</f>
        <v>0</v>
      </c>
      <c r="BA206" s="605">
        <f>IF(BA$121="입주/잔금",($F206-SUM($G206:AZ206))*30%,IF(AZ$121="입주/잔금",($F206-SUM($G206:AY206))*50%,IF(AY$121="입주/잔금",($F206-SUM($G206:AX206))*20%,IF(BA$121=0,0,IF(BA$121="2차중도금",$F206*30%-SUM($G206:AZ206),IF(BA$121="3차중도금",$F206*40%-SUM($G206:AZ206),IF(BA$121="4차중도금",$F206*50%-SUM($G206:AZ206),$F206*10%)))))))+(IF(BA$121="5차중도금",$F206*60%-SUM($G206:AZ206)-$F206*10%,IF(BA$121="6차중도금",$F206*70%-SUM($G206:AZ206)-$F206*10%,0)))</f>
        <v>0</v>
      </c>
      <c r="BB206" s="605">
        <f>IF(BB$121="입주/잔금",($F206-SUM($G206:BA206))*30%,IF(BA$121="입주/잔금",($F206-SUM($G206:AZ206))*50%,IF(AZ$121="입주/잔금",($F206-SUM($G206:AY206))*20%,IF(BB$121=0,0,IF(BB$121="2차중도금",$F206*30%-SUM($G206:BA206),IF(BB$121="3차중도금",$F206*40%-SUM($G206:BA206),IF(BB$121="4차중도금",$F206*50%-SUM($G206:BA206),$F206*10%)))))))+(IF(BB$121="5차중도금",$F206*60%-SUM($G206:BA206)-$F206*10%,IF(BB$121="6차중도금",$F206*70%-SUM($G206:BA206)-$F206*10%,0)))</f>
        <v>0</v>
      </c>
      <c r="BC206" s="605">
        <f>IF(BC$121="입주/잔금",($F206-SUM($G206:BB206))*30%,IF(BB$121="입주/잔금",($F206-SUM($G206:BA206))*50%,IF(BA$121="입주/잔금",($F206-SUM($G206:AZ206))*20%,IF(BC$121=0,0,IF(BC$121="2차중도금",$F206*30%-SUM($G206:BB206),IF(BC$121="3차중도금",$F206*40%-SUM($G206:BB206),IF(BC$121="4차중도금",$F206*50%-SUM($G206:BB206),$F206*10%)))))))+(IF(BC$121="5차중도금",$F206*60%-SUM($G206:BB206)-$F206*10%,IF(BC$121="6차중도금",$F206*70%-SUM($G206:BB206)-$F206*10%,0)))</f>
        <v>0</v>
      </c>
      <c r="BD206" s="605">
        <f>IF(BD$121="입주/잔금",($F206-SUM($G206:BC206))*30%,IF(BC$121="입주/잔금",($F206-SUM($G206:BB206))*50%,IF(BB$121="입주/잔금",($F206-SUM($G206:BA206))*20%,IF(BD$121=0,0,IF(BD$121="2차중도금",$F206*30%-SUM($G206:BC206),IF(BD$121="3차중도금",$F206*40%-SUM($G206:BC206),IF(BD$121="4차중도금",$F206*50%-SUM($G206:BC206),$F206*10%)))))))+(IF(BD$121="5차중도금",$F206*60%-SUM($G206:BC206)-$F206*10%,IF(BD$121="6차중도금",$F206*70%-SUM($G206:BC206)-$F206*10%,0)))</f>
        <v>0</v>
      </c>
      <c r="BE206" s="605">
        <f>IF(BE$121="입주/잔금",($F206-SUM($G206:BD206))*30%,IF(BD$121="입주/잔금",($F206-SUM($G206:BC206))*50%,IF(BC$121="입주/잔금",($F206-SUM($G206:BB206))*20%,IF(BE$121=0,0,IF(BE$121="2차중도금",$F206*30%-SUM($G206:BD206),IF(BE$121="3차중도금",$F206*40%-SUM($G206:BD206),IF(BE$121="4차중도금",$F206*50%-SUM($G206:BD206),$F206*10%)))))))+(IF(BE$121="5차중도금",$F206*60%-SUM($G206:BD206)-$F206*10%,IF(BE$121="6차중도금",$F206*70%-SUM($G206:BD206)-$F206*10%,0)))</f>
        <v>0</v>
      </c>
      <c r="BF206" s="609">
        <f t="shared" si="57"/>
        <v>0</v>
      </c>
      <c r="BG206" s="556">
        <f t="shared" si="59"/>
        <v>0</v>
      </c>
      <c r="BH206" s="610"/>
    </row>
    <row r="207" spans="1:60" hidden="1">
      <c r="A207" s="1853"/>
      <c r="B207" s="611">
        <f t="shared" si="60"/>
        <v>45748</v>
      </c>
      <c r="C207" s="605">
        <f t="shared" si="63"/>
        <v>0</v>
      </c>
      <c r="D207" s="606"/>
      <c r="E207" s="607">
        <f t="shared" si="62"/>
        <v>0</v>
      </c>
      <c r="F207" s="608">
        <f t="shared" si="58"/>
        <v>0</v>
      </c>
      <c r="G207" s="605"/>
      <c r="H207" s="605"/>
      <c r="I207" s="605"/>
      <c r="J207" s="605"/>
      <c r="K207" s="605"/>
      <c r="L207" s="605"/>
      <c r="M207" s="605"/>
      <c r="N207" s="605"/>
      <c r="O207" s="605"/>
      <c r="P207" s="605"/>
      <c r="Q207" s="605"/>
      <c r="R207" s="605"/>
      <c r="S207" s="605"/>
      <c r="T207" s="605"/>
      <c r="U207" s="605"/>
      <c r="V207" s="605"/>
      <c r="W207" s="605"/>
      <c r="X207" s="605"/>
      <c r="Y207" s="605"/>
      <c r="Z207" s="605"/>
      <c r="AA207" s="605"/>
      <c r="AB207" s="605"/>
      <c r="AC207" s="605"/>
      <c r="AD207" s="605"/>
      <c r="AE207" s="605"/>
      <c r="AF207" s="605"/>
      <c r="AG207" s="605"/>
      <c r="AH207" s="605"/>
      <c r="AI207" s="605"/>
      <c r="AJ207" s="605"/>
      <c r="AK207" s="605">
        <f>$F207*10%</f>
        <v>0</v>
      </c>
      <c r="AL207" s="605">
        <f>IF(AL$121="입주/잔금",($F207-SUM($G207:AK207))*30%,IF(AK$121="입주/잔금",($F207-SUM($G207:AJ207))*50%,IF(AJ$121="입주/잔금",($F207-SUM($G207:AI207))*20%,IF(AL$121=0,0,IF(AL$121="2차중도금",$F207*30%-SUM($G207:AK207),IF(AL$121="3차중도금",$F207*40%-SUM($G207:AK207),IF(AL$121="4차중도금",$F207*50%-SUM($G207:AK207),$F207*10%)))))))+(IF(AL$121="5차중도금",$F207*60%-SUM($G207:AK207)-$F207*10%,IF(AL$121="6차중도금",$F207*70%-SUM($G207:AK207)-$F207*10%,0)))</f>
        <v>0</v>
      </c>
      <c r="AM207" s="605">
        <f>IF(AM$121="입주/잔금",($F207-SUM($G207:AL207))*30%,IF(AL$121="입주/잔금",($F207-SUM($G207:AK207))*50%,IF(AK$121="입주/잔금",($F207-SUM($G207:AJ207))*20%,IF(AM$121=0,0,IF(AM$121="2차중도금",$F207*30%-SUM($G207:AL207),IF(AM$121="3차중도금",$F207*40%-SUM($G207:AL207),IF(AM$121="4차중도금",$F207*50%-SUM($G207:AL207),$F207*10%)))))))+(IF(AM$121="5차중도금",$F207*60%-SUM($G207:AL207)-$F207*10%,IF(AM$121="6차중도금",$F207*70%-SUM($G207:AL207)-$F207*10%,0)))</f>
        <v>0</v>
      </c>
      <c r="AN207" s="605">
        <f>IF(AN$121="입주/잔금",($F207-SUM($G207:AM207))*30%,IF(AM$121="입주/잔금",($F207-SUM($G207:AL207))*50%,IF(AL$121="입주/잔금",($F207-SUM($G207:AK207))*20%,IF(AN$121=0,0,IF(AN$121="2차중도금",$F207*30%-SUM($G207:AM207),IF(AN$121="3차중도금",$F207*40%-SUM($G207:AM207),IF(AN$121="4차중도금",$F207*50%-SUM($G207:AM207),$F207*10%)))))))+(IF(AN$121="5차중도금",$F207*60%-SUM($G207:AM207)-$F207*10%,IF(AN$121="6차중도금",$F207*70%-SUM($G207:AM207)-$F207*10%,0)))</f>
        <v>0</v>
      </c>
      <c r="AO207" s="605">
        <f>IF(AO$121="입주/잔금",($F207-SUM($G207:AN207))*30%,IF(AN$121="입주/잔금",($F207-SUM($G207:AM207))*50%,IF(AM$121="입주/잔금",($F207-SUM($G207:AL207))*20%,IF(AO$121=0,0,IF(AO$121="2차중도금",$F207*30%-SUM($G207:AN207),IF(AO$121="3차중도금",$F207*40%-SUM($G207:AN207),IF(AO$121="4차중도금",$F207*50%-SUM($G207:AN207),$F207*10%)))))))+(IF(AO$121="5차중도금",$F207*60%-SUM($G207:AN207)-$F207*10%,IF(AO$121="6차중도금",$F207*70%-SUM($G207:AN207)-$F207*10%,0)))</f>
        <v>0</v>
      </c>
      <c r="AP207" s="605">
        <f>IF(AP$121="입주/잔금",($F207-SUM($G207:AO207))*30%,IF(AO$121="입주/잔금",($F207-SUM($G207:AN207))*50%,IF(AN$121="입주/잔금",($F207-SUM($G207:AM207))*20%,IF(AP$121=0,0,IF(AP$121="2차중도금",$F207*30%-SUM($G207:AO207),IF(AP$121="3차중도금",$F207*40%-SUM($G207:AO207),IF(AP$121="4차중도금",$F207*50%-SUM($G207:AO207),$F207*10%)))))))+(IF(AP$121="5차중도금",$F207*60%-SUM($G207:AO207)-$F207*10%,IF(AP$121="6차중도금",$F207*70%-SUM($G207:AO207)-$F207*10%,0)))</f>
        <v>0</v>
      </c>
      <c r="AQ207" s="605">
        <f>IF(AQ$121="입주/잔금",($F207-SUM($G207:AP207))*30%,IF(AP$121="입주/잔금",($F207-SUM($G207:AO207))*50%,IF(AO$121="입주/잔금",($F207-SUM($G207:AN207))*20%,IF(AQ$121=0,0,IF(AQ$121="2차중도금",$F207*30%-SUM($G207:AP207),IF(AQ$121="3차중도금",$F207*40%-SUM($G207:AP207),IF(AQ$121="4차중도금",$F207*50%-SUM($G207:AP207),$F207*10%)))))))+(IF(AQ$121="5차중도금",$F207*60%-SUM($G207:AP207)-$F207*10%,IF(AQ$121="6차중도금",$F207*70%-SUM($G207:AP207)-$F207*10%,0)))</f>
        <v>0</v>
      </c>
      <c r="AR207" s="605">
        <f>IF(AR$121="입주/잔금",($F207-SUM($G207:AQ207))*30%,IF(AQ$121="입주/잔금",($F207-SUM($G207:AP207))*50%,IF(AP$121="입주/잔금",($F207-SUM($G207:AO207))*20%,IF(AR$121=0,0,IF(AR$121="2차중도금",$F207*30%-SUM($G207:AQ207),IF(AR$121="3차중도금",$F207*40%-SUM($G207:AQ207),IF(AR$121="4차중도금",$F207*50%-SUM($G207:AQ207),$F207*10%)))))))+(IF(AR$121="5차중도금",$F207*60%-SUM($G207:AQ207)-$F207*10%,IF(AR$121="6차중도금",$F207*70%-SUM($G207:AQ207)-$F207*10%,0)))</f>
        <v>0</v>
      </c>
      <c r="AS207" s="605">
        <f>IF(AS$121="입주/잔금",($F207-SUM($G207:AR207))*30%,IF(AR$121="입주/잔금",($F207-SUM($G207:AQ207))*50%,IF(AQ$121="입주/잔금",($F207-SUM($G207:AP207))*20%,IF(AS$121=0,0,IF(AS$121="2차중도금",$F207*30%-SUM($G207:AR207),IF(AS$121="3차중도금",$F207*40%-SUM($G207:AR207),IF(AS$121="4차중도금",$F207*50%-SUM($G207:AR207),$F207*10%)))))))+(IF(AS$121="5차중도금",$F207*60%-SUM($G207:AR207)-$F207*10%,IF(AS$121="6차중도금",$F207*70%-SUM($G207:AR207)-$F207*10%,0)))</f>
        <v>0</v>
      </c>
      <c r="AT207" s="605">
        <f>IF(AT$121="입주/잔금",($F207-SUM($G207:AS207))*30%,IF(AS$121="입주/잔금",($F207-SUM($G207:AR207))*50%,IF(AR$121="입주/잔금",($F207-SUM($G207:AQ207))*20%,IF(AT$121=0,0,IF(AT$121="2차중도금",$F207*30%-SUM($G207:AS207),IF(AT$121="3차중도금",$F207*40%-SUM($G207:AS207),IF(AT$121="4차중도금",$F207*50%-SUM($G207:AS207),$F207*10%)))))))+(IF(AT$121="5차중도금",$F207*60%-SUM($G207:AS207)-$F207*10%,IF(AT$121="6차중도금",$F207*70%-SUM($G207:AS207)-$F207*10%,0)))</f>
        <v>0</v>
      </c>
      <c r="AU207" s="605">
        <f>IF(AU$121="입주/잔금",($F207-SUM($G207:AT207))*30%,IF(AT$121="입주/잔금",($F207-SUM($G207:AS207))*50%,IF(AS$121="입주/잔금",($F207-SUM($G207:AR207))*20%,IF(AU$121=0,0,IF(AU$121="2차중도금",$F207*30%-SUM($G207:AT207),IF(AU$121="3차중도금",$F207*40%-SUM($G207:AT207),IF(AU$121="4차중도금",$F207*50%-SUM($G207:AT207),$F207*10%)))))))+(IF(AU$121="5차중도금",$F207*60%-SUM($G207:AT207)-$F207*10%,IF(AU$121="6차중도금",$F207*70%-SUM($G207:AT207)-$F207*10%,0)))</f>
        <v>0</v>
      </c>
      <c r="AV207" s="605">
        <f>IF(AV$121="입주/잔금",($F207-SUM($G207:AU207))*30%,IF(AU$121="입주/잔금",($F207-SUM($G207:AT207))*50%,IF(AT$121="입주/잔금",($F207-SUM($G207:AS207))*20%,IF(AV$121=0,0,IF(AV$121="2차중도금",$F207*30%-SUM($G207:AU207),IF(AV$121="3차중도금",$F207*40%-SUM($G207:AU207),IF(AV$121="4차중도금",$F207*50%-SUM($G207:AU207),$F207*10%)))))))+(IF(AV$121="5차중도금",$F207*60%-SUM($G207:AU207)-$F207*10%,IF(AV$121="6차중도금",$F207*70%-SUM($G207:AU207)-$F207*10%,0)))</f>
        <v>0</v>
      </c>
      <c r="AW207" s="605">
        <f>IF(AW$121="입주/잔금",($F207-SUM($G207:AV207))*30%,IF(AV$121="입주/잔금",($F207-SUM($G207:AU207))*50%,IF(AU$121="입주/잔금",($F207-SUM($G207:AT207))*20%,IF(AW$121=0,0,IF(AW$121="2차중도금",$F207*30%-SUM($G207:AV207),IF(AW$121="3차중도금",$F207*40%-SUM($G207:AV207),IF(AW$121="4차중도금",$F207*50%-SUM($G207:AV207),$F207*10%)))))))+(IF(AW$121="5차중도금",$F207*60%-SUM($G207:AV207)-$F207*10%,IF(AW$121="6차중도금",$F207*70%-SUM($G207:AV207)-$F207*10%,0)))</f>
        <v>0</v>
      </c>
      <c r="AX207" s="605">
        <f>IF(AX$121="입주/잔금",($F207-SUM($G207:AW207))*30%,IF(AW$121="입주/잔금",($F207-SUM($G207:AV207))*50%,IF(AV$121="입주/잔금",($F207-SUM($G207:AU207))*20%,IF(AX$121=0,0,IF(AX$121="2차중도금",$F207*30%-SUM($G207:AW207),IF(AX$121="3차중도금",$F207*40%-SUM($G207:AW207),IF(AX$121="4차중도금",$F207*50%-SUM($G207:AW207),$F207*10%)))))))+(IF(AX$121="5차중도금",$F207*60%-SUM($G207:AW207)-$F207*10%,IF(AX$121="6차중도금",$F207*70%-SUM($G207:AW207)-$F207*10%,0)))</f>
        <v>0</v>
      </c>
      <c r="AY207" s="605">
        <f>IF(AY$121="입주/잔금",($F207-SUM($G207:AX207))*30%,IF(AX$121="입주/잔금",($F207-SUM($G207:AW207))*50%,IF(AW$121="입주/잔금",($F207-SUM($G207:AV207))*20%,IF(AY$121=0,0,IF(AY$121="2차중도금",$F207*30%-SUM($G207:AX207),IF(AY$121="3차중도금",$F207*40%-SUM($G207:AX207),IF(AY$121="4차중도금",$F207*50%-SUM($G207:AX207),$F207*10%)))))))+(IF(AY$121="5차중도금",$F207*60%-SUM($G207:AX207)-$F207*10%,IF(AY$121="6차중도금",$F207*70%-SUM($G207:AX207)-$F207*10%,0)))</f>
        <v>0</v>
      </c>
      <c r="AZ207" s="605">
        <f>IF(AZ$121="입주/잔금",($F207-SUM($G207:AY207))*30%,IF(AY$121="입주/잔금",($F207-SUM($G207:AX207))*50%,IF(AX$121="입주/잔금",($F207-SUM($G207:AW207))*20%,IF(AZ$121=0,0,IF(AZ$121="2차중도금",$F207*30%-SUM($G207:AY207),IF(AZ$121="3차중도금",$F207*40%-SUM($G207:AY207),IF(AZ$121="4차중도금",$F207*50%-SUM($G207:AY207),$F207*10%)))))))+(IF(AZ$121="5차중도금",$F207*60%-SUM($G207:AY207)-$F207*10%,IF(AZ$121="6차중도금",$F207*70%-SUM($G207:AY207)-$F207*10%,0)))</f>
        <v>0</v>
      </c>
      <c r="BA207" s="605">
        <f>IF(BA$121="입주/잔금",($F207-SUM($G207:AZ207))*30%,IF(AZ$121="입주/잔금",($F207-SUM($G207:AY207))*50%,IF(AY$121="입주/잔금",($F207-SUM($G207:AX207))*20%,IF(BA$121=0,0,IF(BA$121="2차중도금",$F207*30%-SUM($G207:AZ207),IF(BA$121="3차중도금",$F207*40%-SUM($G207:AZ207),IF(BA$121="4차중도금",$F207*50%-SUM($G207:AZ207),$F207*10%)))))))+(IF(BA$121="5차중도금",$F207*60%-SUM($G207:AZ207)-$F207*10%,IF(BA$121="6차중도금",$F207*70%-SUM($G207:AZ207)-$F207*10%,0)))</f>
        <v>0</v>
      </c>
      <c r="BB207" s="605">
        <f>IF(BB$121="입주/잔금",($F207-SUM($G207:BA207))*30%,IF(BA$121="입주/잔금",($F207-SUM($G207:AZ207))*50%,IF(AZ$121="입주/잔금",($F207-SUM($G207:AY207))*20%,IF(BB$121=0,0,IF(BB$121="2차중도금",$F207*30%-SUM($G207:BA207),IF(BB$121="3차중도금",$F207*40%-SUM($G207:BA207),IF(BB$121="4차중도금",$F207*50%-SUM($G207:BA207),$F207*10%)))))))+(IF(BB$121="5차중도금",$F207*60%-SUM($G207:BA207)-$F207*10%,IF(BB$121="6차중도금",$F207*70%-SUM($G207:BA207)-$F207*10%,0)))</f>
        <v>0</v>
      </c>
      <c r="BC207" s="605">
        <f>IF(BC$121="입주/잔금",($F207-SUM($G207:BB207))*30%,IF(BB$121="입주/잔금",($F207-SUM($G207:BA207))*50%,IF(BA$121="입주/잔금",($F207-SUM($G207:AZ207))*20%,IF(BC$121=0,0,IF(BC$121="2차중도금",$F207*30%-SUM($G207:BB207),IF(BC$121="3차중도금",$F207*40%-SUM($G207:BB207),IF(BC$121="4차중도금",$F207*50%-SUM($G207:BB207),$F207*10%)))))))+(IF(BC$121="5차중도금",$F207*60%-SUM($G207:BB207)-$F207*10%,IF(BC$121="6차중도금",$F207*70%-SUM($G207:BB207)-$F207*10%,0)))</f>
        <v>0</v>
      </c>
      <c r="BD207" s="605">
        <f>IF(BD$121="입주/잔금",($F207-SUM($G207:BC207))*30%,IF(BC$121="입주/잔금",($F207-SUM($G207:BB207))*50%,IF(BB$121="입주/잔금",($F207-SUM($G207:BA207))*20%,IF(BD$121=0,0,IF(BD$121="2차중도금",$F207*30%-SUM($G207:BC207),IF(BD$121="3차중도금",$F207*40%-SUM($G207:BC207),IF(BD$121="4차중도금",$F207*50%-SUM($G207:BC207),$F207*10%)))))))+(IF(BD$121="5차중도금",$F207*60%-SUM($G207:BC207)-$F207*10%,IF(BD$121="6차중도금",$F207*70%-SUM($G207:BC207)-$F207*10%,0)))</f>
        <v>0</v>
      </c>
      <c r="BE207" s="605">
        <f>IF(BE$121="입주/잔금",($F207-SUM($G207:BD207))*30%,IF(BD$121="입주/잔금",($F207-SUM($G207:BC207))*50%,IF(BC$121="입주/잔금",($F207-SUM($G207:BB207))*20%,IF(BE$121=0,0,IF(BE$121="2차중도금",$F207*30%-SUM($G207:BD207),IF(BE$121="3차중도금",$F207*40%-SUM($G207:BD207),IF(BE$121="4차중도금",$F207*50%-SUM($G207:BD207),$F207*10%)))))))+(IF(BE$121="5차중도금",$F207*60%-SUM($G207:BD207)-$F207*10%,IF(BE$121="6차중도금",$F207*70%-SUM($G207:BD207)-$F207*10%,0)))</f>
        <v>0</v>
      </c>
      <c r="BF207" s="609">
        <f t="shared" si="57"/>
        <v>0</v>
      </c>
      <c r="BG207" s="556">
        <f t="shared" si="59"/>
        <v>0</v>
      </c>
      <c r="BH207" s="610"/>
    </row>
    <row r="208" spans="1:60" hidden="1">
      <c r="A208" s="1853"/>
      <c r="B208" s="611">
        <f t="shared" si="60"/>
        <v>45778</v>
      </c>
      <c r="C208" s="615">
        <f t="shared" si="63"/>
        <v>0</v>
      </c>
      <c r="D208" s="606"/>
      <c r="E208" s="607">
        <f t="shared" si="62"/>
        <v>0</v>
      </c>
      <c r="F208" s="608">
        <f t="shared" si="58"/>
        <v>0</v>
      </c>
      <c r="G208" s="605"/>
      <c r="H208" s="605"/>
      <c r="I208" s="605"/>
      <c r="J208" s="605"/>
      <c r="K208" s="605"/>
      <c r="L208" s="605"/>
      <c r="M208" s="605"/>
      <c r="N208" s="605"/>
      <c r="O208" s="605"/>
      <c r="P208" s="605"/>
      <c r="Q208" s="605"/>
      <c r="R208" s="605"/>
      <c r="S208" s="605"/>
      <c r="T208" s="605"/>
      <c r="U208" s="605"/>
      <c r="V208" s="605"/>
      <c r="W208" s="605"/>
      <c r="X208" s="605"/>
      <c r="Y208" s="605"/>
      <c r="Z208" s="605"/>
      <c r="AA208" s="605"/>
      <c r="AB208" s="605"/>
      <c r="AC208" s="605"/>
      <c r="AD208" s="605"/>
      <c r="AE208" s="605"/>
      <c r="AF208" s="605"/>
      <c r="AG208" s="605"/>
      <c r="AH208" s="605"/>
      <c r="AI208" s="605"/>
      <c r="AJ208" s="605"/>
      <c r="AK208" s="605"/>
      <c r="AL208" s="605">
        <f>$F208*10%</f>
        <v>0</v>
      </c>
      <c r="AM208" s="605">
        <f>IF(AM$121="입주/잔금",($F208-SUM($G208:AL208))*30%,IF(AL$121="입주/잔금",($F208-SUM($G208:AK208))*50%,IF(AK$121="입주/잔금",($F208-SUM($G208:AJ208))*20%,IF(AM$121=0,0,IF(AM$121="2차중도금",$F208*30%-SUM($G208:AL208),IF(AM$121="3차중도금",$F208*40%-SUM($G208:AL208),IF(AM$121="4차중도금",$F208*50%-SUM($G208:AL208),$F208*10%)))))))+(IF(AM$121="5차중도금",$F208*60%-SUM($G208:AL208)-$F208*10%,IF(AM$121="6차중도금",$F208*70%-SUM($G208:AL208)-$F208*10%,0)))</f>
        <v>0</v>
      </c>
      <c r="AN208" s="605">
        <f>IF(AN$121="입주/잔금",($F208-SUM($G208:AM208))*30%,IF(AM$121="입주/잔금",($F208-SUM($G208:AL208))*50%,IF(AL$121="입주/잔금",($F208-SUM($G208:AK208))*20%,IF(AN$121=0,0,IF(AN$121="2차중도금",$F208*30%-SUM($G208:AM208),IF(AN$121="3차중도금",$F208*40%-SUM($G208:AM208),IF(AN$121="4차중도금",$F208*50%-SUM($G208:AM208),$F208*10%)))))))+(IF(AN$121="5차중도금",$F208*60%-SUM($G208:AM208)-$F208*10%,IF(AN$121="6차중도금",$F208*70%-SUM($G208:AM208)-$F208*10%,0)))</f>
        <v>0</v>
      </c>
      <c r="AO208" s="605">
        <f>IF(AO$121="입주/잔금",($F208-SUM($G208:AN208))*30%,IF(AN$121="입주/잔금",($F208-SUM($G208:AM208))*50%,IF(AM$121="입주/잔금",($F208-SUM($G208:AL208))*20%,IF(AO$121=0,0,IF(AO$121="2차중도금",$F208*30%-SUM($G208:AN208),IF(AO$121="3차중도금",$F208*40%-SUM($G208:AN208),IF(AO$121="4차중도금",$F208*50%-SUM($G208:AN208),$F208*10%)))))))+(IF(AO$121="5차중도금",$F208*60%-SUM($G208:AN208)-$F208*10%,IF(AO$121="6차중도금",$F208*70%-SUM($G208:AN208)-$F208*10%,0)))</f>
        <v>0</v>
      </c>
      <c r="AP208" s="605">
        <f>IF(AP$121="입주/잔금",($F208-SUM($G208:AO208))*30%,IF(AO$121="입주/잔금",($F208-SUM($G208:AN208))*50%,IF(AN$121="입주/잔금",($F208-SUM($G208:AM208))*20%,IF(AP$121=0,0,IF(AP$121="2차중도금",$F208*30%-SUM($G208:AO208),IF(AP$121="3차중도금",$F208*40%-SUM($G208:AO208),IF(AP$121="4차중도금",$F208*50%-SUM($G208:AO208),$F208*10%)))))))+(IF(AP$121="5차중도금",$F208*60%-SUM($G208:AO208)-$F208*10%,IF(AP$121="6차중도금",$F208*70%-SUM($G208:AO208)-$F208*10%,0)))</f>
        <v>0</v>
      </c>
      <c r="AQ208" s="605">
        <f>IF(AQ$121="입주/잔금",($F208-SUM($G208:AP208))*30%,IF(AP$121="입주/잔금",($F208-SUM($G208:AO208))*50%,IF(AO$121="입주/잔금",($F208-SUM($G208:AN208))*20%,IF(AQ$121=0,0,IF(AQ$121="2차중도금",$F208*30%-SUM($G208:AP208),IF(AQ$121="3차중도금",$F208*40%-SUM($G208:AP208),IF(AQ$121="4차중도금",$F208*50%-SUM($G208:AP208),$F208*10%)))))))+(IF(AQ$121="5차중도금",$F208*60%-SUM($G208:AP208)-$F208*10%,IF(AQ$121="6차중도금",$F208*70%-SUM($G208:AP208)-$F208*10%,0)))</f>
        <v>0</v>
      </c>
      <c r="AR208" s="605">
        <f>IF(AR$121="입주/잔금",($F208-SUM($G208:AQ208))*30%,IF(AQ$121="입주/잔금",($F208-SUM($G208:AP208))*50%,IF(AP$121="입주/잔금",($F208-SUM($G208:AO208))*20%,IF(AR$121=0,0,IF(AR$121="2차중도금",$F208*30%-SUM($G208:AQ208),IF(AR$121="3차중도금",$F208*40%-SUM($G208:AQ208),IF(AR$121="4차중도금",$F208*50%-SUM($G208:AQ208),$F208*10%)))))))+(IF(AR$121="5차중도금",$F208*60%-SUM($G208:AQ208)-$F208*10%,IF(AR$121="6차중도금",$F208*70%-SUM($G208:AQ208)-$F208*10%,0)))</f>
        <v>0</v>
      </c>
      <c r="AS208" s="605">
        <f>IF(AS$121="입주/잔금",($F208-SUM($G208:AR208))*30%,IF(AR$121="입주/잔금",($F208-SUM($G208:AQ208))*50%,IF(AQ$121="입주/잔금",($F208-SUM($G208:AP208))*20%,IF(AS$121=0,0,IF(AS$121="2차중도금",$F208*30%-SUM($G208:AR208),IF(AS$121="3차중도금",$F208*40%-SUM($G208:AR208),IF(AS$121="4차중도금",$F208*50%-SUM($G208:AR208),$F208*10%)))))))+(IF(AS$121="5차중도금",$F208*60%-SUM($G208:AR208)-$F208*10%,IF(AS$121="6차중도금",$F208*70%-SUM($G208:AR208)-$F208*10%,0)))</f>
        <v>0</v>
      </c>
      <c r="AT208" s="605">
        <f>IF(AT$121="입주/잔금",($F208-SUM($G208:AS208))*30%,IF(AS$121="입주/잔금",($F208-SUM($G208:AR208))*50%,IF(AR$121="입주/잔금",($F208-SUM($G208:AQ208))*20%,IF(AT$121=0,0,IF(AT$121="2차중도금",$F208*30%-SUM($G208:AS208),IF(AT$121="3차중도금",$F208*40%-SUM($G208:AS208),IF(AT$121="4차중도금",$F208*50%-SUM($G208:AS208),$F208*10%)))))))+(IF(AT$121="5차중도금",$F208*60%-SUM($G208:AS208)-$F208*10%,IF(AT$121="6차중도금",$F208*70%-SUM($G208:AS208)-$F208*10%,0)))</f>
        <v>0</v>
      </c>
      <c r="AU208" s="605">
        <f>IF(AU$121="입주/잔금",($F208-SUM($G208:AT208))*30%,IF(AT$121="입주/잔금",($F208-SUM($G208:AS208))*50%,IF(AS$121="입주/잔금",($F208-SUM($G208:AR208))*20%,IF(AU$121=0,0,IF(AU$121="2차중도금",$F208*30%-SUM($G208:AT208),IF(AU$121="3차중도금",$F208*40%-SUM($G208:AT208),IF(AU$121="4차중도금",$F208*50%-SUM($G208:AT208),$F208*10%)))))))+(IF(AU$121="5차중도금",$F208*60%-SUM($G208:AT208)-$F208*10%,IF(AU$121="6차중도금",$F208*70%-SUM($G208:AT208)-$F208*10%,0)))</f>
        <v>0</v>
      </c>
      <c r="AV208" s="605">
        <f>IF(AV$121="입주/잔금",($F208-SUM($G208:AU208))*30%,IF(AU$121="입주/잔금",($F208-SUM($G208:AT208))*50%,IF(AT$121="입주/잔금",($F208-SUM($G208:AS208))*20%,IF(AV$121=0,0,IF(AV$121="2차중도금",$F208*30%-SUM($G208:AU208),IF(AV$121="3차중도금",$F208*40%-SUM($G208:AU208),IF(AV$121="4차중도금",$F208*50%-SUM($G208:AU208),$F208*10%)))))))+(IF(AV$121="5차중도금",$F208*60%-SUM($G208:AU208)-$F208*10%,IF(AV$121="6차중도금",$F208*70%-SUM($G208:AU208)-$F208*10%,0)))</f>
        <v>0</v>
      </c>
      <c r="AW208" s="605">
        <f>IF(AW$121="입주/잔금",($F208-SUM($G208:AV208))*30%,IF(AV$121="입주/잔금",($F208-SUM($G208:AU208))*50%,IF(AU$121="입주/잔금",($F208-SUM($G208:AT208))*20%,IF(AW$121=0,0,IF(AW$121="2차중도금",$F208*30%-SUM($G208:AV208),IF(AW$121="3차중도금",$F208*40%-SUM($G208:AV208),IF(AW$121="4차중도금",$F208*50%-SUM($G208:AV208),$F208*10%)))))))+(IF(AW$121="5차중도금",$F208*60%-SUM($G208:AV208)-$F208*10%,IF(AW$121="6차중도금",$F208*70%-SUM($G208:AV208)-$F208*10%,0)))</f>
        <v>0</v>
      </c>
      <c r="AX208" s="605">
        <f>IF(AX$121="입주/잔금",($F208-SUM($G208:AW208))*30%,IF(AW$121="입주/잔금",($F208-SUM($G208:AV208))*50%,IF(AV$121="입주/잔금",($F208-SUM($G208:AU208))*20%,IF(AX$121=0,0,IF(AX$121="2차중도금",$F208*30%-SUM($G208:AW208),IF(AX$121="3차중도금",$F208*40%-SUM($G208:AW208),IF(AX$121="4차중도금",$F208*50%-SUM($G208:AW208),$F208*10%)))))))+(IF(AX$121="5차중도금",$F208*60%-SUM($G208:AW208)-$F208*10%,IF(AX$121="6차중도금",$F208*70%-SUM($G208:AW208)-$F208*10%,0)))</f>
        <v>0</v>
      </c>
      <c r="AY208" s="605">
        <f>IF(AY$121="입주/잔금",($F208-SUM($G208:AX208))*30%,IF(AX$121="입주/잔금",($F208-SUM($G208:AW208))*50%,IF(AW$121="입주/잔금",($F208-SUM($G208:AV208))*20%,IF(AY$121=0,0,IF(AY$121="2차중도금",$F208*30%-SUM($G208:AX208),IF(AY$121="3차중도금",$F208*40%-SUM($G208:AX208),IF(AY$121="4차중도금",$F208*50%-SUM($G208:AX208),$F208*10%)))))))+(IF(AY$121="5차중도금",$F208*60%-SUM($G208:AX208)-$F208*10%,IF(AY$121="6차중도금",$F208*70%-SUM($G208:AX208)-$F208*10%,0)))</f>
        <v>0</v>
      </c>
      <c r="AZ208" s="605">
        <f>IF(AZ$121="입주/잔금",($F208-SUM($G208:AY208))*30%,IF(AY$121="입주/잔금",($F208-SUM($G208:AX208))*50%,IF(AX$121="입주/잔금",($F208-SUM($G208:AW208))*20%,IF(AZ$121=0,0,IF(AZ$121="2차중도금",$F208*30%-SUM($G208:AY208),IF(AZ$121="3차중도금",$F208*40%-SUM($G208:AY208),IF(AZ$121="4차중도금",$F208*50%-SUM($G208:AY208),$F208*10%)))))))+(IF(AZ$121="5차중도금",$F208*60%-SUM($G208:AY208)-$F208*10%,IF(AZ$121="6차중도금",$F208*70%-SUM($G208:AY208)-$F208*10%,0)))</f>
        <v>0</v>
      </c>
      <c r="BA208" s="605">
        <f>IF(BA$121="입주/잔금",($F208-SUM($G208:AZ208))*30%,IF(AZ$121="입주/잔금",($F208-SUM($G208:AY208))*50%,IF(AY$121="입주/잔금",($F208-SUM($G208:AX208))*20%,IF(BA$121=0,0,IF(BA$121="2차중도금",$F208*30%-SUM($G208:AZ208),IF(BA$121="3차중도금",$F208*40%-SUM($G208:AZ208),IF(BA$121="4차중도금",$F208*50%-SUM($G208:AZ208),$F208*10%)))))))+(IF(BA$121="5차중도금",$F208*60%-SUM($G208:AZ208)-$F208*10%,IF(BA$121="6차중도금",$F208*70%-SUM($G208:AZ208)-$F208*10%,0)))</f>
        <v>0</v>
      </c>
      <c r="BB208" s="605">
        <f>IF(BB$121="입주/잔금",($F208-SUM($G208:BA208))*30%,IF(BA$121="입주/잔금",($F208-SUM($G208:AZ208))*50%,IF(AZ$121="입주/잔금",($F208-SUM($G208:AY208))*20%,IF(BB$121=0,0,IF(BB$121="2차중도금",$F208*30%-SUM($G208:BA208),IF(BB$121="3차중도금",$F208*40%-SUM($G208:BA208),IF(BB$121="4차중도금",$F208*50%-SUM($G208:BA208),$F208*10%)))))))+(IF(BB$121="5차중도금",$F208*60%-SUM($G208:BA208)-$F208*10%,IF(BB$121="6차중도금",$F208*70%-SUM($G208:BA208)-$F208*10%,0)))</f>
        <v>0</v>
      </c>
      <c r="BC208" s="605">
        <f>IF(BC$121="입주/잔금",($F208-SUM($G208:BB208))*30%,IF(BB$121="입주/잔금",($F208-SUM($G208:BA208))*50%,IF(BA$121="입주/잔금",($F208-SUM($G208:AZ208))*20%,IF(BC$121=0,0,IF(BC$121="2차중도금",$F208*30%-SUM($G208:BB208),IF(BC$121="3차중도금",$F208*40%-SUM($G208:BB208),IF(BC$121="4차중도금",$F208*50%-SUM($G208:BB208),$F208*10%)))))))+(IF(BC$121="5차중도금",$F208*60%-SUM($G208:BB208)-$F208*10%,IF(BC$121="6차중도금",$F208*70%-SUM($G208:BB208)-$F208*10%,0)))</f>
        <v>0</v>
      </c>
      <c r="BD208" s="605">
        <f>IF(BD$121="입주/잔금",($F208-SUM($G208:BC208))*30%,IF(BC$121="입주/잔금",($F208-SUM($G208:BB208))*50%,IF(BB$121="입주/잔금",($F208-SUM($G208:BA208))*20%,IF(BD$121=0,0,IF(BD$121="2차중도금",$F208*30%-SUM($G208:BC208),IF(BD$121="3차중도금",$F208*40%-SUM($G208:BC208),IF(BD$121="4차중도금",$F208*50%-SUM($G208:BC208),$F208*10%)))))))+(IF(BD$121="5차중도금",$F208*60%-SUM($G208:BC208)-$F208*10%,IF(BD$121="6차중도금",$F208*70%-SUM($G208:BC208)-$F208*10%,0)))</f>
        <v>0</v>
      </c>
      <c r="BE208" s="605">
        <f>IF(BE$121="입주/잔금",($F208-SUM($G208:BD208))*30%,IF(BD$121="입주/잔금",($F208-SUM($G208:BC208))*50%,IF(BC$121="입주/잔금",($F208-SUM($G208:BB208))*20%,IF(BE$121=0,0,IF(BE$121="2차중도금",$F208*30%-SUM($G208:BD208),IF(BE$121="3차중도금",$F208*40%-SUM($G208:BD208),IF(BE$121="4차중도금",$F208*50%-SUM($G208:BD208),$F208*10%)))))))+(IF(BE$121="5차중도금",$F208*60%-SUM($G208:BD208)-$F208*10%,IF(BE$121="6차중도금",$F208*70%-SUM($G208:BD208)-$F208*10%,0)))</f>
        <v>0</v>
      </c>
      <c r="BF208" s="609">
        <f t="shared" si="57"/>
        <v>0</v>
      </c>
      <c r="BG208" s="556">
        <f t="shared" si="59"/>
        <v>0</v>
      </c>
      <c r="BH208" s="610"/>
    </row>
    <row r="209" spans="1:60" hidden="1">
      <c r="A209" s="1853"/>
      <c r="B209" s="611">
        <f t="shared" si="60"/>
        <v>45809</v>
      </c>
      <c r="C209" s="615">
        <f t="shared" si="63"/>
        <v>0</v>
      </c>
      <c r="D209" s="606"/>
      <c r="E209" s="607">
        <f t="shared" si="62"/>
        <v>0</v>
      </c>
      <c r="F209" s="608">
        <f t="shared" si="58"/>
        <v>0</v>
      </c>
      <c r="G209" s="605"/>
      <c r="H209" s="605"/>
      <c r="I209" s="605"/>
      <c r="J209" s="605"/>
      <c r="K209" s="605"/>
      <c r="L209" s="605"/>
      <c r="M209" s="605"/>
      <c r="N209" s="605"/>
      <c r="O209" s="605"/>
      <c r="P209" s="605"/>
      <c r="Q209" s="605"/>
      <c r="R209" s="605"/>
      <c r="S209" s="605"/>
      <c r="T209" s="605"/>
      <c r="U209" s="605"/>
      <c r="V209" s="605"/>
      <c r="W209" s="605"/>
      <c r="X209" s="605"/>
      <c r="Y209" s="605"/>
      <c r="Z209" s="605"/>
      <c r="AA209" s="605"/>
      <c r="AB209" s="605"/>
      <c r="AC209" s="605"/>
      <c r="AD209" s="605"/>
      <c r="AE209" s="605"/>
      <c r="AF209" s="605"/>
      <c r="AG209" s="605"/>
      <c r="AH209" s="605"/>
      <c r="AI209" s="605"/>
      <c r="AJ209" s="605"/>
      <c r="AK209" s="605"/>
      <c r="AL209" s="605"/>
      <c r="AM209" s="605">
        <f>$F209*10%</f>
        <v>0</v>
      </c>
      <c r="AN209" s="605">
        <f>IF(AN$121="입주/잔금",($F209-SUM($G209:AM209))*30%,IF(AM$121="입주/잔금",($F209-SUM($G209:AL209))*50%,IF(AL$121="입주/잔금",($F209-SUM($G209:AK209))*20%,IF(AN$121=0,0,IF(AN$121="2차중도금",$F209*30%-SUM($G209:AM209),IF(AN$121="3차중도금",$F209*40%-SUM($G209:AM209),IF(AN$121="4차중도금",$F209*50%-SUM($G209:AM209),$F209*10%)))))))+(IF(AN$121="5차중도금",$F209*60%-SUM($G209:AM209)-$F209*10%,IF(AN$121="6차중도금",$F209*70%-SUM($G209:AM209)-$F209*10%,0)))</f>
        <v>0</v>
      </c>
      <c r="AO209" s="605">
        <f>IF(AO$121="입주/잔금",($F209-SUM($G209:AN209))*30%,IF(AN$121="입주/잔금",($F209-SUM($G209:AM209))*50%,IF(AM$121="입주/잔금",($F209-SUM($G209:AL209))*20%,IF(AO$121=0,0,IF(AO$121="2차중도금",$F209*30%-SUM($G209:AN209),IF(AO$121="3차중도금",$F209*40%-SUM($G209:AN209),IF(AO$121="4차중도금",$F209*50%-SUM($G209:AN209),$F209*10%)))))))+(IF(AO$121="5차중도금",$F209*60%-SUM($G209:AN209)-$F209*10%,IF(AO$121="6차중도금",$F209*70%-SUM($G209:AN209)-$F209*10%,0)))</f>
        <v>0</v>
      </c>
      <c r="AP209" s="605">
        <f>IF(AP$121="입주/잔금",($F209-SUM($G209:AO209))*30%,IF(AO$121="입주/잔금",($F209-SUM($G209:AN209))*50%,IF(AN$121="입주/잔금",($F209-SUM($G209:AM209))*20%,IF(AP$121=0,0,IF(AP$121="2차중도금",$F209*30%-SUM($G209:AO209),IF(AP$121="3차중도금",$F209*40%-SUM($G209:AO209),IF(AP$121="4차중도금",$F209*50%-SUM($G209:AO209),$F209*10%)))))))+(IF(AP$121="5차중도금",$F209*60%-SUM($G209:AO209)-$F209*10%,IF(AP$121="6차중도금",$F209*70%-SUM($G209:AO209)-$F209*10%,0)))</f>
        <v>0</v>
      </c>
      <c r="AQ209" s="605">
        <f>IF(AQ$121="입주/잔금",($F209-SUM($G209:AP209))*30%,IF(AP$121="입주/잔금",($F209-SUM($G209:AO209))*50%,IF(AO$121="입주/잔금",($F209-SUM($G209:AN209))*20%,IF(AQ$121=0,0,IF(AQ$121="2차중도금",$F209*30%-SUM($G209:AP209),IF(AQ$121="3차중도금",$F209*40%-SUM($G209:AP209),IF(AQ$121="4차중도금",$F209*50%-SUM($G209:AP209),$F209*10%)))))))+(IF(AQ$121="5차중도금",$F209*60%-SUM($G209:AP209)-$F209*10%,IF(AQ$121="6차중도금",$F209*70%-SUM($G209:AP209)-$F209*10%,0)))</f>
        <v>0</v>
      </c>
      <c r="AR209" s="605">
        <f>IF(AR$121="입주/잔금",($F209-SUM($G209:AQ209))*30%,IF(AQ$121="입주/잔금",($F209-SUM($G209:AP209))*50%,IF(AP$121="입주/잔금",($F209-SUM($G209:AO209))*20%,IF(AR$121=0,0,IF(AR$121="2차중도금",$F209*30%-SUM($G209:AQ209),IF(AR$121="3차중도금",$F209*40%-SUM($G209:AQ209),IF(AR$121="4차중도금",$F209*50%-SUM($G209:AQ209),$F209*10%)))))))+(IF(AR$121="5차중도금",$F209*60%-SUM($G209:AQ209)-$F209*10%,IF(AR$121="6차중도금",$F209*70%-SUM($G209:AQ209)-$F209*10%,0)))</f>
        <v>0</v>
      </c>
      <c r="AS209" s="605">
        <f>IF(AS$121="입주/잔금",($F209-SUM($G209:AR209))*30%,IF(AR$121="입주/잔금",($F209-SUM($G209:AQ209))*50%,IF(AQ$121="입주/잔금",($F209-SUM($G209:AP209))*20%,IF(AS$121=0,0,IF(AS$121="2차중도금",$F209*30%-SUM($G209:AR209),IF(AS$121="3차중도금",$F209*40%-SUM($G209:AR209),IF(AS$121="4차중도금",$F209*50%-SUM($G209:AR209),$F209*10%)))))))+(IF(AS$121="5차중도금",$F209*60%-SUM($G209:AR209)-$F209*10%,IF(AS$121="6차중도금",$F209*70%-SUM($G209:AR209)-$F209*10%,0)))</f>
        <v>0</v>
      </c>
      <c r="AT209" s="605">
        <f>IF(AT$121="입주/잔금",($F209-SUM($G209:AS209))*30%,IF(AS$121="입주/잔금",($F209-SUM($G209:AR209))*50%,IF(AR$121="입주/잔금",($F209-SUM($G209:AQ209))*20%,IF(AT$121=0,0,IF(AT$121="2차중도금",$F209*30%-SUM($G209:AS209),IF(AT$121="3차중도금",$F209*40%-SUM($G209:AS209),IF(AT$121="4차중도금",$F209*50%-SUM($G209:AS209),$F209*10%)))))))+(IF(AT$121="5차중도금",$F209*60%-SUM($G209:AS209)-$F209*10%,IF(AT$121="6차중도금",$F209*70%-SUM($G209:AS209)-$F209*10%,0)))</f>
        <v>0</v>
      </c>
      <c r="AU209" s="605">
        <f>IF(AU$121="입주/잔금",($F209-SUM($G209:AT209))*30%,IF(AT$121="입주/잔금",($F209-SUM($G209:AS209))*50%,IF(AS$121="입주/잔금",($F209-SUM($G209:AR209))*20%,IF(AU$121=0,0,IF(AU$121="2차중도금",$F209*30%-SUM($G209:AT209),IF(AU$121="3차중도금",$F209*40%-SUM($G209:AT209),IF(AU$121="4차중도금",$F209*50%-SUM($G209:AT209),$F209*10%)))))))+(IF(AU$121="5차중도금",$F209*60%-SUM($G209:AT209)-$F209*10%,IF(AU$121="6차중도금",$F209*70%-SUM($G209:AT209)-$F209*10%,0)))</f>
        <v>0</v>
      </c>
      <c r="AV209" s="605">
        <f>IF(AV$121="입주/잔금",($F209-SUM($G209:AU209))*30%,IF(AU$121="입주/잔금",($F209-SUM($G209:AT209))*50%,IF(AT$121="입주/잔금",($F209-SUM($G209:AS209))*20%,IF(AV$121=0,0,IF(AV$121="2차중도금",$F209*30%-SUM($G209:AU209),IF(AV$121="3차중도금",$F209*40%-SUM($G209:AU209),IF(AV$121="4차중도금",$F209*50%-SUM($G209:AU209),$F209*10%)))))))+(IF(AV$121="5차중도금",$F209*60%-SUM($G209:AU209)-$F209*10%,IF(AV$121="6차중도금",$F209*70%-SUM($G209:AU209)-$F209*10%,0)))</f>
        <v>0</v>
      </c>
      <c r="AW209" s="605">
        <f>IF(AW$121="입주/잔금",($F209-SUM($G209:AV209))*30%,IF(AV$121="입주/잔금",($F209-SUM($G209:AU209))*50%,IF(AU$121="입주/잔금",($F209-SUM($G209:AT209))*20%,IF(AW$121=0,0,IF(AW$121="2차중도금",$F209*30%-SUM($G209:AV209),IF(AW$121="3차중도금",$F209*40%-SUM($G209:AV209),IF(AW$121="4차중도금",$F209*50%-SUM($G209:AV209),$F209*10%)))))))+(IF(AW$121="5차중도금",$F209*60%-SUM($G209:AV209)-$F209*10%,IF(AW$121="6차중도금",$F209*70%-SUM($G209:AV209)-$F209*10%,0)))</f>
        <v>0</v>
      </c>
      <c r="AX209" s="605">
        <f>IF(AX$121="입주/잔금",($F209-SUM($G209:AW209))*30%,IF(AW$121="입주/잔금",($F209-SUM($G209:AV209))*50%,IF(AV$121="입주/잔금",($F209-SUM($G209:AU209))*20%,IF(AX$121=0,0,IF(AX$121="2차중도금",$F209*30%-SUM($G209:AW209),IF(AX$121="3차중도금",$F209*40%-SUM($G209:AW209),IF(AX$121="4차중도금",$F209*50%-SUM($G209:AW209),$F209*10%)))))))+(IF(AX$121="5차중도금",$F209*60%-SUM($G209:AW209)-$F209*10%,IF(AX$121="6차중도금",$F209*70%-SUM($G209:AW209)-$F209*10%,0)))</f>
        <v>0</v>
      </c>
      <c r="AY209" s="605">
        <f>IF(AY$121="입주/잔금",($F209-SUM($G209:AX209))*30%,IF(AX$121="입주/잔금",($F209-SUM($G209:AW209))*50%,IF(AW$121="입주/잔금",($F209-SUM($G209:AV209))*20%,IF(AY$121=0,0,IF(AY$121="2차중도금",$F209*30%-SUM($G209:AX209),IF(AY$121="3차중도금",$F209*40%-SUM($G209:AX209),IF(AY$121="4차중도금",$F209*50%-SUM($G209:AX209),$F209*10%)))))))+(IF(AY$121="5차중도금",$F209*60%-SUM($G209:AX209)-$F209*10%,IF(AY$121="6차중도금",$F209*70%-SUM($G209:AX209)-$F209*10%,0)))</f>
        <v>0</v>
      </c>
      <c r="AZ209" s="605">
        <f>IF(AZ$121="입주/잔금",($F209-SUM($G209:AY209))*30%,IF(AY$121="입주/잔금",($F209-SUM($G209:AX209))*50%,IF(AX$121="입주/잔금",($F209-SUM($G209:AW209))*20%,IF(AZ$121=0,0,IF(AZ$121="2차중도금",$F209*30%-SUM($G209:AY209),IF(AZ$121="3차중도금",$F209*40%-SUM($G209:AY209),IF(AZ$121="4차중도금",$F209*50%-SUM($G209:AY209),$F209*10%)))))))+(IF(AZ$121="5차중도금",$F209*60%-SUM($G209:AY209)-$F209*10%,IF(AZ$121="6차중도금",$F209*70%-SUM($G209:AY209)-$F209*10%,0)))</f>
        <v>0</v>
      </c>
      <c r="BA209" s="605">
        <f>IF(BA$121="입주/잔금",($F209-SUM($G209:AZ209))*30%,IF(AZ$121="입주/잔금",($F209-SUM($G209:AY209))*50%,IF(AY$121="입주/잔금",($F209-SUM($G209:AX209))*20%,IF(BA$121=0,0,IF(BA$121="2차중도금",$F209*30%-SUM($G209:AZ209),IF(BA$121="3차중도금",$F209*40%-SUM($G209:AZ209),IF(BA$121="4차중도금",$F209*50%-SUM($G209:AZ209),$F209*10%)))))))+(IF(BA$121="5차중도금",$F209*60%-SUM($G209:AZ209)-$F209*10%,IF(BA$121="6차중도금",$F209*70%-SUM($G209:AZ209)-$F209*10%,0)))</f>
        <v>0</v>
      </c>
      <c r="BB209" s="605">
        <f>IF(BB$121="입주/잔금",($F209-SUM($G209:BA209))*30%,IF(BA$121="입주/잔금",($F209-SUM($G209:AZ209))*50%,IF(AZ$121="입주/잔금",($F209-SUM($G209:AY209))*20%,IF(BB$121=0,0,IF(BB$121="2차중도금",$F209*30%-SUM($G209:BA209),IF(BB$121="3차중도금",$F209*40%-SUM($G209:BA209),IF(BB$121="4차중도금",$F209*50%-SUM($G209:BA209),$F209*10%)))))))+(IF(BB$121="5차중도금",$F209*60%-SUM($G209:BA209)-$F209*10%,IF(BB$121="6차중도금",$F209*70%-SUM($G209:BA209)-$F209*10%,0)))</f>
        <v>0</v>
      </c>
      <c r="BC209" s="605">
        <f>IF(BC$121="입주/잔금",($F209-SUM($G209:BB209))*30%,IF(BB$121="입주/잔금",($F209-SUM($G209:BA209))*50%,IF(BA$121="입주/잔금",($F209-SUM($G209:AZ209))*20%,IF(BC$121=0,0,IF(BC$121="2차중도금",$F209*30%-SUM($G209:BB209),IF(BC$121="3차중도금",$F209*40%-SUM($G209:BB209),IF(BC$121="4차중도금",$F209*50%-SUM($G209:BB209),$F209*10%)))))))+(IF(BC$121="5차중도금",$F209*60%-SUM($G209:BB209)-$F209*10%,IF(BC$121="6차중도금",$F209*70%-SUM($G209:BB209)-$F209*10%,0)))</f>
        <v>0</v>
      </c>
      <c r="BD209" s="605">
        <f>IF(BD$121="입주/잔금",($F209-SUM($G209:BC209))*30%,IF(BC$121="입주/잔금",($F209-SUM($G209:BB209))*50%,IF(BB$121="입주/잔금",($F209-SUM($G209:BA209))*20%,IF(BD$121=0,0,IF(BD$121="2차중도금",$F209*30%-SUM($G209:BC209),IF(BD$121="3차중도금",$F209*40%-SUM($G209:BC209),IF(BD$121="4차중도금",$F209*50%-SUM($G209:BC209),$F209*10%)))))))+(IF(BD$121="5차중도금",$F209*60%-SUM($G209:BC209)-$F209*10%,IF(BD$121="6차중도금",$F209*70%-SUM($G209:BC209)-$F209*10%,0)))</f>
        <v>0</v>
      </c>
      <c r="BE209" s="605">
        <f>IF(BE$121="입주/잔금",($F209-SUM($G209:BD209))*30%,IF(BD$121="입주/잔금",($F209-SUM($G209:BC209))*50%,IF(BC$121="입주/잔금",($F209-SUM($G209:BB209))*20%,IF(BE$121=0,0,IF(BE$121="2차중도금",$F209*30%-SUM($G209:BD209),IF(BE$121="3차중도금",$F209*40%-SUM($G209:BD209),IF(BE$121="4차중도금",$F209*50%-SUM($G209:BD209),$F209*10%)))))))+(IF(BE$121="5차중도금",$F209*60%-SUM($G209:BD209)-$F209*10%,IF(BE$121="6차중도금",$F209*70%-SUM($G209:BD209)-$F209*10%,0)))</f>
        <v>0</v>
      </c>
      <c r="BF209" s="609">
        <f t="shared" si="57"/>
        <v>0</v>
      </c>
      <c r="BG209" s="556">
        <f t="shared" si="59"/>
        <v>0</v>
      </c>
      <c r="BH209" s="610"/>
    </row>
    <row r="210" spans="1:60" hidden="1">
      <c r="A210" s="1853"/>
      <c r="B210" s="613">
        <f t="shared" si="60"/>
        <v>45839</v>
      </c>
      <c r="C210" s="615">
        <f t="shared" si="63"/>
        <v>0</v>
      </c>
      <c r="D210" s="606"/>
      <c r="E210" s="607">
        <f t="shared" si="62"/>
        <v>0</v>
      </c>
      <c r="F210" s="608">
        <f t="shared" si="58"/>
        <v>0</v>
      </c>
      <c r="G210" s="605"/>
      <c r="H210" s="605"/>
      <c r="I210" s="605"/>
      <c r="J210" s="605"/>
      <c r="K210" s="605"/>
      <c r="L210" s="605"/>
      <c r="M210" s="605"/>
      <c r="N210" s="605"/>
      <c r="O210" s="605"/>
      <c r="P210" s="605"/>
      <c r="Q210" s="605"/>
      <c r="R210" s="605"/>
      <c r="S210" s="605"/>
      <c r="T210" s="605"/>
      <c r="U210" s="605"/>
      <c r="V210" s="605"/>
      <c r="W210" s="605"/>
      <c r="X210" s="605"/>
      <c r="Y210" s="605"/>
      <c r="Z210" s="605"/>
      <c r="AA210" s="605"/>
      <c r="AB210" s="605"/>
      <c r="AC210" s="605"/>
      <c r="AD210" s="605"/>
      <c r="AE210" s="605"/>
      <c r="AF210" s="605"/>
      <c r="AG210" s="605"/>
      <c r="AH210" s="605"/>
      <c r="AI210" s="605"/>
      <c r="AJ210" s="605"/>
      <c r="AK210" s="605"/>
      <c r="AL210" s="605"/>
      <c r="AM210" s="605"/>
      <c r="AN210" s="605">
        <f>$F210*10%</f>
        <v>0</v>
      </c>
      <c r="AO210" s="605">
        <f>IF(AO$121="입주/잔금",($F210-SUM($G210:AN210))*30%,IF(AN$121="입주/잔금",($F210-SUM($G210:AM210))*50%,IF(AM$121="입주/잔금",($F210-SUM($G210:AL210))*20%,IF(AO$121=0,0,IF(AO$121="2차중도금",$F210*30%-SUM($G210:AN210),IF(AO$121="3차중도금",$F210*40%-SUM($G210:AN210),IF(AO$121="4차중도금",$F210*50%-SUM($G210:AN210),$F210*10%)))))))+(IF(AO$121="5차중도금",$F210*60%-SUM($G210:AN210)-$F210*10%,IF(AO$121="6차중도금",$F210*70%-SUM($G210:AN210)-$F210*10%,0)))</f>
        <v>0</v>
      </c>
      <c r="AP210" s="605">
        <f>IF(AP$121="입주/잔금",($F210-SUM($G210:AO210))*30%,IF(AO$121="입주/잔금",($F210-SUM($G210:AN210))*50%,IF(AN$121="입주/잔금",($F210-SUM($G210:AM210))*20%,IF(AP$121=0,0,IF(AP$121="2차중도금",$F210*30%-SUM($G210:AO210),IF(AP$121="3차중도금",$F210*40%-SUM($G210:AO210),IF(AP$121="4차중도금",$F210*50%-SUM($G210:AO210),$F210*10%)))))))+(IF(AP$121="5차중도금",$F210*60%-SUM($G210:AO210)-$F210*10%,IF(AP$121="6차중도금",$F210*70%-SUM($G210:AO210)-$F210*10%,0)))</f>
        <v>0</v>
      </c>
      <c r="AQ210" s="605">
        <f>IF(AQ$121="입주/잔금",($F210-SUM($G210:AP210))*30%,IF(AP$121="입주/잔금",($F210-SUM($G210:AO210))*50%,IF(AO$121="입주/잔금",($F210-SUM($G210:AN210))*20%,IF(AQ$121=0,0,IF(AQ$121="2차중도금",$F210*30%-SUM($G210:AP210),IF(AQ$121="3차중도금",$F210*40%-SUM($G210:AP210),IF(AQ$121="4차중도금",$F210*50%-SUM($G210:AP210),$F210*10%)))))))+(IF(AQ$121="5차중도금",$F210*60%-SUM($G210:AP210)-$F210*10%,IF(AQ$121="6차중도금",$F210*70%-SUM($G210:AP210)-$F210*10%,0)))</f>
        <v>0</v>
      </c>
      <c r="AR210" s="605">
        <f>IF(AR$121="입주/잔금",($F210-SUM($G210:AQ210))*30%,IF(AQ$121="입주/잔금",($F210-SUM($G210:AP210))*50%,IF(AP$121="입주/잔금",($F210-SUM($G210:AO210))*20%,IF(AR$121=0,0,IF(AR$121="2차중도금",$F210*30%-SUM($G210:AQ210),IF(AR$121="3차중도금",$F210*40%-SUM($G210:AQ210),IF(AR$121="4차중도금",$F210*50%-SUM($G210:AQ210),$F210*10%)))))))+(IF(AR$121="5차중도금",$F210*60%-SUM($G210:AQ210)-$F210*10%,IF(AR$121="6차중도금",$F210*70%-SUM($G210:AQ210)-$F210*10%,0)))</f>
        <v>0</v>
      </c>
      <c r="AS210" s="605">
        <f>IF(AS$121="입주/잔금",($F210-SUM($G210:AR210))*30%,IF(AR$121="입주/잔금",($F210-SUM($G210:AQ210))*50%,IF(AQ$121="입주/잔금",($F210-SUM($G210:AP210))*20%,IF(AS$121=0,0,IF(AS$121="2차중도금",$F210*30%-SUM($G210:AR210),IF(AS$121="3차중도금",$F210*40%-SUM($G210:AR210),IF(AS$121="4차중도금",$F210*50%-SUM($G210:AR210),$F210*10%)))))))+(IF(AS$121="5차중도금",$F210*60%-SUM($G210:AR210)-$F210*10%,IF(AS$121="6차중도금",$F210*70%-SUM($G210:AR210)-$F210*10%,0)))</f>
        <v>0</v>
      </c>
      <c r="AT210" s="605">
        <f>IF(AT$121="입주/잔금",($F210-SUM($G210:AS210))*30%,IF(AS$121="입주/잔금",($F210-SUM($G210:AR210))*50%,IF(AR$121="입주/잔금",($F210-SUM($G210:AQ210))*20%,IF(AT$121=0,0,IF(AT$121="2차중도금",$F210*30%-SUM($G210:AS210),IF(AT$121="3차중도금",$F210*40%-SUM($G210:AS210),IF(AT$121="4차중도금",$F210*50%-SUM($G210:AS210),$F210*10%)))))))+(IF(AT$121="5차중도금",$F210*60%-SUM($G210:AS210)-$F210*10%,IF(AT$121="6차중도금",$F210*70%-SUM($G210:AS210)-$F210*10%,0)))</f>
        <v>0</v>
      </c>
      <c r="AU210" s="605">
        <f>IF(AU$121="입주/잔금",($F210-SUM($G210:AT210))*30%,IF(AT$121="입주/잔금",($F210-SUM($G210:AS210))*50%,IF(AS$121="입주/잔금",($F210-SUM($G210:AR210))*20%,IF(AU$121=0,0,IF(AU$121="2차중도금",$F210*30%-SUM($G210:AT210),IF(AU$121="3차중도금",$F210*40%-SUM($G210:AT210),IF(AU$121="4차중도금",$F210*50%-SUM($G210:AT210),$F210*10%)))))))+(IF(AU$121="5차중도금",$F210*60%-SUM($G210:AT210)-$F210*10%,IF(AU$121="6차중도금",$F210*70%-SUM($G210:AT210)-$F210*10%,0)))</f>
        <v>0</v>
      </c>
      <c r="AV210" s="605">
        <f>IF(AV$121="입주/잔금",($F210-SUM($G210:AU210))*30%,IF(AU$121="입주/잔금",($F210-SUM($G210:AT210))*50%,IF(AT$121="입주/잔금",($F210-SUM($G210:AS210))*20%,IF(AV$121=0,0,IF(AV$121="2차중도금",$F210*30%-SUM($G210:AU210),IF(AV$121="3차중도금",$F210*40%-SUM($G210:AU210),IF(AV$121="4차중도금",$F210*50%-SUM($G210:AU210),$F210*10%)))))))+(IF(AV$121="5차중도금",$F210*60%-SUM($G210:AU210)-$F210*10%,IF(AV$121="6차중도금",$F210*70%-SUM($G210:AU210)-$F210*10%,0)))</f>
        <v>0</v>
      </c>
      <c r="AW210" s="605">
        <f>IF(AW$121="입주/잔금",($F210-SUM($G210:AV210))*30%,IF(AV$121="입주/잔금",($F210-SUM($G210:AU210))*50%,IF(AU$121="입주/잔금",($F210-SUM($G210:AT210))*20%,IF(AW$121=0,0,IF(AW$121="2차중도금",$F210*30%-SUM($G210:AV210),IF(AW$121="3차중도금",$F210*40%-SUM($G210:AV210),IF(AW$121="4차중도금",$F210*50%-SUM($G210:AV210),$F210*10%)))))))+(IF(AW$121="5차중도금",$F210*60%-SUM($G210:AV210)-$F210*10%,IF(AW$121="6차중도금",$F210*70%-SUM($G210:AV210)-$F210*10%,0)))</f>
        <v>0</v>
      </c>
      <c r="AX210" s="605">
        <f>IF(AX$121="입주/잔금",($F210-SUM($G210:AW210))*30%,IF(AW$121="입주/잔금",($F210-SUM($G210:AV210))*50%,IF(AV$121="입주/잔금",($F210-SUM($G210:AU210))*20%,IF(AX$121=0,0,IF(AX$121="2차중도금",$F210*30%-SUM($G210:AW210),IF(AX$121="3차중도금",$F210*40%-SUM($G210:AW210),IF(AX$121="4차중도금",$F210*50%-SUM($G210:AW210),$F210*10%)))))))+(IF(AX$121="5차중도금",$F210*60%-SUM($G210:AW210)-$F210*10%,IF(AX$121="6차중도금",$F210*70%-SUM($G210:AW210)-$F210*10%,0)))</f>
        <v>0</v>
      </c>
      <c r="AY210" s="605">
        <f>IF(AY$121="입주/잔금",($F210-SUM($G210:AX210))*30%,IF(AX$121="입주/잔금",($F210-SUM($G210:AW210))*50%,IF(AW$121="입주/잔금",($F210-SUM($G210:AV210))*20%,IF(AY$121=0,0,IF(AY$121="2차중도금",$F210*30%-SUM($G210:AX210),IF(AY$121="3차중도금",$F210*40%-SUM($G210:AX210),IF(AY$121="4차중도금",$F210*50%-SUM($G210:AX210),$F210*10%)))))))+(IF(AY$121="5차중도금",$F210*60%-SUM($G210:AX210)-$F210*10%,IF(AY$121="6차중도금",$F210*70%-SUM($G210:AX210)-$F210*10%,0)))</f>
        <v>0</v>
      </c>
      <c r="AZ210" s="605">
        <f>IF(AZ$121="입주/잔금",($F210-SUM($G210:AY210))*30%,IF(AY$121="입주/잔금",($F210-SUM($G210:AX210))*50%,IF(AX$121="입주/잔금",($F210-SUM($G210:AW210))*20%,IF(AZ$121=0,0,IF(AZ$121="2차중도금",$F210*30%-SUM($G210:AY210),IF(AZ$121="3차중도금",$F210*40%-SUM($G210:AY210),IF(AZ$121="4차중도금",$F210*50%-SUM($G210:AY210),$F210*10%)))))))+(IF(AZ$121="5차중도금",$F210*60%-SUM($G210:AY210)-$F210*10%,IF(AZ$121="6차중도금",$F210*70%-SUM($G210:AY210)-$F210*10%,0)))</f>
        <v>0</v>
      </c>
      <c r="BA210" s="605">
        <f>IF(BA$121="입주/잔금",($F210-SUM($G210:AZ210))*30%,IF(AZ$121="입주/잔금",($F210-SUM($G210:AY210))*50%,IF(AY$121="입주/잔금",($F210-SUM($G210:AX210))*20%,IF(BA$121=0,0,IF(BA$121="2차중도금",$F210*30%-SUM($G210:AZ210),IF(BA$121="3차중도금",$F210*40%-SUM($G210:AZ210),IF(BA$121="4차중도금",$F210*50%-SUM($G210:AZ210),$F210*10%)))))))+(IF(BA$121="5차중도금",$F210*60%-SUM($G210:AZ210)-$F210*10%,IF(BA$121="6차중도금",$F210*70%-SUM($G210:AZ210)-$F210*10%,0)))</f>
        <v>0</v>
      </c>
      <c r="BB210" s="605">
        <f>IF(BB$121="입주/잔금",($F210-SUM($G210:BA210))*30%,IF(BA$121="입주/잔금",($F210-SUM($G210:AZ210))*50%,IF(AZ$121="입주/잔금",($F210-SUM($G210:AY210))*20%,IF(BB$121=0,0,IF(BB$121="2차중도금",$F210*30%-SUM($G210:BA210),IF(BB$121="3차중도금",$F210*40%-SUM($G210:BA210),IF(BB$121="4차중도금",$F210*50%-SUM($G210:BA210),$F210*10%)))))))+(IF(BB$121="5차중도금",$F210*60%-SUM($G210:BA210)-$F210*10%,IF(BB$121="6차중도금",$F210*70%-SUM($G210:BA210)-$F210*10%,0)))</f>
        <v>0</v>
      </c>
      <c r="BC210" s="605">
        <f>IF(BC$121="입주/잔금",($F210-SUM($G210:BB210))*30%,IF(BB$121="입주/잔금",($F210-SUM($G210:BA210))*50%,IF(BA$121="입주/잔금",($F210-SUM($G210:AZ210))*20%,IF(BC$121=0,0,IF(BC$121="2차중도금",$F210*30%-SUM($G210:BB210),IF(BC$121="3차중도금",$F210*40%-SUM($G210:BB210),IF(BC$121="4차중도금",$F210*50%-SUM($G210:BB210),$F210*10%)))))))+(IF(BC$121="5차중도금",$F210*60%-SUM($G210:BB210)-$F210*10%,IF(BC$121="6차중도금",$F210*70%-SUM($G210:BB210)-$F210*10%,0)))</f>
        <v>0</v>
      </c>
      <c r="BD210" s="605">
        <f>IF(BD$121="입주/잔금",($F210-SUM($G210:BC210))*30%,IF(BC$121="입주/잔금",($F210-SUM($G210:BB210))*50%,IF(BB$121="입주/잔금",($F210-SUM($G210:BA210))*20%,IF(BD$121=0,0,IF(BD$121="2차중도금",$F210*30%-SUM($G210:BC210),IF(BD$121="3차중도금",$F210*40%-SUM($G210:BC210),IF(BD$121="4차중도금",$F210*50%-SUM($G210:BC210),$F210*10%)))))))+(IF(BD$121="5차중도금",$F210*60%-SUM($G210:BC210)-$F210*10%,IF(BD$121="6차중도금",$F210*70%-SUM($G210:BC210)-$F210*10%,0)))</f>
        <v>0</v>
      </c>
      <c r="BE210" s="605">
        <f>IF(BE$121="입주/잔금",($F210-SUM($G210:BD210))*30%,IF(BD$121="입주/잔금",($F210-SUM($G210:BC210))*50%,IF(BC$121="입주/잔금",($F210-SUM($G210:BB210))*20%,IF(BE$121=0,0,IF(BE$121="2차중도금",$F210*30%-SUM($G210:BD210),IF(BE$121="3차중도금",$F210*40%-SUM($G210:BD210),IF(BE$121="4차중도금",$F210*50%-SUM($G210:BD210),$F210*10%)))))))+(IF(BE$121="5차중도금",$F210*60%-SUM($G210:BD210)-$F210*10%,IF(BE$121="6차중도금",$F210*70%-SUM($G210:BD210)-$F210*10%,0)))</f>
        <v>0</v>
      </c>
      <c r="BF210" s="609">
        <f t="shared" ref="BF210:BF223" si="64">SUM(G210:BE210)</f>
        <v>0</v>
      </c>
      <c r="BG210" s="556">
        <f t="shared" si="59"/>
        <v>0</v>
      </c>
      <c r="BH210" s="610"/>
    </row>
    <row r="211" spans="1:60" hidden="1">
      <c r="A211" s="1853"/>
      <c r="B211" s="611">
        <f t="shared" si="60"/>
        <v>45870</v>
      </c>
      <c r="C211" s="615">
        <f t="shared" si="63"/>
        <v>0</v>
      </c>
      <c r="D211" s="606"/>
      <c r="E211" s="607">
        <f t="shared" si="62"/>
        <v>0</v>
      </c>
      <c r="F211" s="608">
        <f t="shared" si="58"/>
        <v>0</v>
      </c>
      <c r="G211" s="605"/>
      <c r="H211" s="605"/>
      <c r="I211" s="605"/>
      <c r="J211" s="605"/>
      <c r="K211" s="605"/>
      <c r="L211" s="605"/>
      <c r="M211" s="605"/>
      <c r="N211" s="605"/>
      <c r="O211" s="605"/>
      <c r="P211" s="605"/>
      <c r="Q211" s="605"/>
      <c r="R211" s="605"/>
      <c r="S211" s="605"/>
      <c r="T211" s="605"/>
      <c r="U211" s="605"/>
      <c r="V211" s="605"/>
      <c r="W211" s="605"/>
      <c r="X211" s="605"/>
      <c r="Y211" s="605"/>
      <c r="Z211" s="605"/>
      <c r="AA211" s="605"/>
      <c r="AB211" s="605"/>
      <c r="AC211" s="605"/>
      <c r="AD211" s="605"/>
      <c r="AE211" s="605"/>
      <c r="AF211" s="605"/>
      <c r="AG211" s="605"/>
      <c r="AH211" s="605"/>
      <c r="AI211" s="605"/>
      <c r="AJ211" s="605"/>
      <c r="AK211" s="605"/>
      <c r="AL211" s="605"/>
      <c r="AM211" s="605"/>
      <c r="AN211" s="605"/>
      <c r="AO211" s="605">
        <f>$F211*10%</f>
        <v>0</v>
      </c>
      <c r="AP211" s="605">
        <f>IF(AP$121="입주/잔금",($F211-SUM($G211:AO211))*30%,IF(AO$121="입주/잔금",($F211-SUM($G211:AN211))*50%,IF(AN$121="입주/잔금",($F211-SUM($G211:AM211))*20%,IF(AP$121=0,0,IF(AP$121="2차중도금",$F211*30%-SUM($G211:AO211),IF(AP$121="3차중도금",$F211*40%-SUM($G211:AO211),IF(AP$121="4차중도금",$F211*50%-SUM($G211:AO211),$F211*10%)))))))+(IF(AP$121="5차중도금",$F211*60%-SUM($G211:AO211)-$F211*10%,IF(AP$121="6차중도금",$F211*70%-SUM($G211:AO211)-$F211*10%,0)))</f>
        <v>0</v>
      </c>
      <c r="AQ211" s="605">
        <f>IF(AQ$121="입주/잔금",($F211-SUM($G211:AP211))*30%,IF(AP$121="입주/잔금",($F211-SUM($G211:AO211))*50%,IF(AO$121="입주/잔금",($F211-SUM($G211:AN211))*20%,IF(AQ$121=0,0,IF(AQ$121="2차중도금",$F211*30%-SUM($G211:AP211),IF(AQ$121="3차중도금",$F211*40%-SUM($G211:AP211),IF(AQ$121="4차중도금",$F211*50%-SUM($G211:AP211),$F211*10%)))))))+(IF(AQ$121="5차중도금",$F211*60%-SUM($G211:AP211)-$F211*10%,IF(AQ$121="6차중도금",$F211*70%-SUM($G211:AP211)-$F211*10%,0)))</f>
        <v>0</v>
      </c>
      <c r="AR211" s="605">
        <f>IF(AR$121="입주/잔금",($F211-SUM($G211:AQ211))*30%,IF(AQ$121="입주/잔금",($F211-SUM($G211:AP211))*50%,IF(AP$121="입주/잔금",($F211-SUM($G211:AO211))*20%,IF(AR$121=0,0,IF(AR$121="2차중도금",$F211*30%-SUM($G211:AQ211),IF(AR$121="3차중도금",$F211*40%-SUM($G211:AQ211),IF(AR$121="4차중도금",$F211*50%-SUM($G211:AQ211),$F211*10%)))))))+(IF(AR$121="5차중도금",$F211*60%-SUM($G211:AQ211)-$F211*10%,IF(AR$121="6차중도금",$F211*70%-SUM($G211:AQ211)-$F211*10%,0)))</f>
        <v>0</v>
      </c>
      <c r="AS211" s="605">
        <f>IF(AS$121="입주/잔금",($F211-SUM($G211:AR211))*30%,IF(AR$121="입주/잔금",($F211-SUM($G211:AQ211))*50%,IF(AQ$121="입주/잔금",($F211-SUM($G211:AP211))*20%,IF(AS$121=0,0,IF(AS$121="2차중도금",$F211*30%-SUM($G211:AR211),IF(AS$121="3차중도금",$F211*40%-SUM($G211:AR211),IF(AS$121="4차중도금",$F211*50%-SUM($G211:AR211),$F211*10%)))))))+(IF(AS$121="5차중도금",$F211*60%-SUM($G211:AR211)-$F211*10%,IF(AS$121="6차중도금",$F211*70%-SUM($G211:AR211)-$F211*10%,0)))</f>
        <v>0</v>
      </c>
      <c r="AT211" s="605">
        <f>IF(AT$121="입주/잔금",($F211-SUM($G211:AS211))*30%,IF(AS$121="입주/잔금",($F211-SUM($G211:AR211))*50%,IF(AR$121="입주/잔금",($F211-SUM($G211:AQ211))*20%,IF(AT$121=0,0,IF(AT$121="2차중도금",$F211*30%-SUM($G211:AS211),IF(AT$121="3차중도금",$F211*40%-SUM($G211:AS211),IF(AT$121="4차중도금",$F211*50%-SUM($G211:AS211),$F211*10%)))))))+(IF(AT$121="5차중도금",$F211*60%-SUM($G211:AS211)-$F211*10%,IF(AT$121="6차중도금",$F211*70%-SUM($G211:AS211)-$F211*10%,0)))</f>
        <v>0</v>
      </c>
      <c r="AU211" s="605">
        <f>IF(AU$121="입주/잔금",($F211-SUM($G211:AT211))*30%,IF(AT$121="입주/잔금",($F211-SUM($G211:AS211))*50%,IF(AS$121="입주/잔금",($F211-SUM($G211:AR211))*20%,IF(AU$121=0,0,IF(AU$121="2차중도금",$F211*30%-SUM($G211:AT211),IF(AU$121="3차중도금",$F211*40%-SUM($G211:AT211),IF(AU$121="4차중도금",$F211*50%-SUM($G211:AT211),$F211*10%)))))))+(IF(AU$121="5차중도금",$F211*60%-SUM($G211:AT211)-$F211*10%,IF(AU$121="6차중도금",$F211*70%-SUM($G211:AT211)-$F211*10%,0)))</f>
        <v>0</v>
      </c>
      <c r="AV211" s="605">
        <f>IF(AV$121="입주/잔금",($F211-SUM($G211:AU211))*30%,IF(AU$121="입주/잔금",($F211-SUM($G211:AT211))*50%,IF(AT$121="입주/잔금",($F211-SUM($G211:AS211))*20%,IF(AV$121=0,0,IF(AV$121="2차중도금",$F211*30%-SUM($G211:AU211),IF(AV$121="3차중도금",$F211*40%-SUM($G211:AU211),IF(AV$121="4차중도금",$F211*50%-SUM($G211:AU211),$F211*10%)))))))+(IF(AV$121="5차중도금",$F211*60%-SUM($G211:AU211)-$F211*10%,IF(AV$121="6차중도금",$F211*70%-SUM($G211:AU211)-$F211*10%,0)))</f>
        <v>0</v>
      </c>
      <c r="AW211" s="605">
        <f>IF(AW$121="입주/잔금",($F211-SUM($G211:AV211))*30%,IF(AV$121="입주/잔금",($F211-SUM($G211:AU211))*50%,IF(AU$121="입주/잔금",($F211-SUM($G211:AT211))*20%,IF(AW$121=0,0,IF(AW$121="2차중도금",$F211*30%-SUM($G211:AV211),IF(AW$121="3차중도금",$F211*40%-SUM($G211:AV211),IF(AW$121="4차중도금",$F211*50%-SUM($G211:AV211),$F211*10%)))))))+(IF(AW$121="5차중도금",$F211*60%-SUM($G211:AV211)-$F211*10%,IF(AW$121="6차중도금",$F211*70%-SUM($G211:AV211)-$F211*10%,0)))</f>
        <v>0</v>
      </c>
      <c r="AX211" s="605">
        <f>IF(AX$121="입주/잔금",($F211-SUM($G211:AW211))*30%,IF(AW$121="입주/잔금",($F211-SUM($G211:AV211))*50%,IF(AV$121="입주/잔금",($F211-SUM($G211:AU211))*20%,IF(AX$121=0,0,IF(AX$121="2차중도금",$F211*30%-SUM($G211:AW211),IF(AX$121="3차중도금",$F211*40%-SUM($G211:AW211),IF(AX$121="4차중도금",$F211*50%-SUM($G211:AW211),$F211*10%)))))))+(IF(AX$121="5차중도금",$F211*60%-SUM($G211:AW211)-$F211*10%,IF(AX$121="6차중도금",$F211*70%-SUM($G211:AW211)-$F211*10%,0)))</f>
        <v>0</v>
      </c>
      <c r="AY211" s="605">
        <f>IF(AY$121="입주/잔금",($F211-SUM($G211:AX211))*30%,IF(AX$121="입주/잔금",($F211-SUM($G211:AW211))*50%,IF(AW$121="입주/잔금",($F211-SUM($G211:AV211))*20%,IF(AY$121=0,0,IF(AY$121="2차중도금",$F211*30%-SUM($G211:AX211),IF(AY$121="3차중도금",$F211*40%-SUM($G211:AX211),IF(AY$121="4차중도금",$F211*50%-SUM($G211:AX211),$F211*10%)))))))+(IF(AY$121="5차중도금",$F211*60%-SUM($G211:AX211)-$F211*10%,IF(AY$121="6차중도금",$F211*70%-SUM($G211:AX211)-$F211*10%,0)))</f>
        <v>0</v>
      </c>
      <c r="AZ211" s="605">
        <f>IF(AZ$121="입주/잔금",($F211-SUM($G211:AY211))*30%,IF(AY$121="입주/잔금",($F211-SUM($G211:AX211))*50%,IF(AX$121="입주/잔금",($F211-SUM($G211:AW211))*20%,IF(AZ$121=0,0,IF(AZ$121="2차중도금",$F211*30%-SUM($G211:AY211),IF(AZ$121="3차중도금",$F211*40%-SUM($G211:AY211),IF(AZ$121="4차중도금",$F211*50%-SUM($G211:AY211),$F211*10%)))))))+(IF(AZ$121="5차중도금",$F211*60%-SUM($G211:AY211)-$F211*10%,IF(AZ$121="6차중도금",$F211*70%-SUM($G211:AY211)-$F211*10%,0)))</f>
        <v>0</v>
      </c>
      <c r="BA211" s="605">
        <f>IF(BA$121="입주/잔금",($F211-SUM($G211:AZ211))*30%,IF(AZ$121="입주/잔금",($F211-SUM($G211:AY211))*50%,IF(AY$121="입주/잔금",($F211-SUM($G211:AX211))*20%,IF(BA$121=0,0,IF(BA$121="2차중도금",$F211*30%-SUM($G211:AZ211),IF(BA$121="3차중도금",$F211*40%-SUM($G211:AZ211),IF(BA$121="4차중도금",$F211*50%-SUM($G211:AZ211),$F211*10%)))))))+(IF(BA$121="5차중도금",$F211*60%-SUM($G211:AZ211)-$F211*10%,IF(BA$121="6차중도금",$F211*70%-SUM($G211:AZ211)-$F211*10%,0)))</f>
        <v>0</v>
      </c>
      <c r="BB211" s="605">
        <f>IF(BB$121="입주/잔금",($F211-SUM($G211:BA211))*30%,IF(BA$121="입주/잔금",($F211-SUM($G211:AZ211))*50%,IF(AZ$121="입주/잔금",($F211-SUM($G211:AY211))*20%,IF(BB$121=0,0,IF(BB$121="2차중도금",$F211*30%-SUM($G211:BA211),IF(BB$121="3차중도금",$F211*40%-SUM($G211:BA211),IF(BB$121="4차중도금",$F211*50%-SUM($G211:BA211),$F211*10%)))))))+(IF(BB$121="5차중도금",$F211*60%-SUM($G211:BA211)-$F211*10%,IF(BB$121="6차중도금",$F211*70%-SUM($G211:BA211)-$F211*10%,0)))</f>
        <v>0</v>
      </c>
      <c r="BC211" s="605">
        <f>IF(BC$121="입주/잔금",($F211-SUM($G211:BB211))*30%,IF(BB$121="입주/잔금",($F211-SUM($G211:BA211))*50%,IF(BA$121="입주/잔금",($F211-SUM($G211:AZ211))*20%,IF(BC$121=0,0,IF(BC$121="2차중도금",$F211*30%-SUM($G211:BB211),IF(BC$121="3차중도금",$F211*40%-SUM($G211:BB211),IF(BC$121="4차중도금",$F211*50%-SUM($G211:BB211),$F211*10%)))))))+(IF(BC$121="5차중도금",$F211*60%-SUM($G211:BB211)-$F211*10%,IF(BC$121="6차중도금",$F211*70%-SUM($G211:BB211)-$F211*10%,0)))</f>
        <v>0</v>
      </c>
      <c r="BD211" s="605">
        <f>IF(BD$121="입주/잔금",($F211-SUM($G211:BC211))*30%,IF(BC$121="입주/잔금",($F211-SUM($G211:BB211))*50%,IF(BB$121="입주/잔금",($F211-SUM($G211:BA211))*20%,IF(BD$121=0,0,IF(BD$121="2차중도금",$F211*30%-SUM($G211:BC211),IF(BD$121="3차중도금",$F211*40%-SUM($G211:BC211),IF(BD$121="4차중도금",$F211*50%-SUM($G211:BC211),$F211*10%)))))))+(IF(BD$121="5차중도금",$F211*60%-SUM($G211:BC211)-$F211*10%,IF(BD$121="6차중도금",$F211*70%-SUM($G211:BC211)-$F211*10%,0)))</f>
        <v>0</v>
      </c>
      <c r="BE211" s="605">
        <f>IF(BE$121="입주/잔금",($F211-SUM($G211:BD211))*30%,IF(BD$121="입주/잔금",($F211-SUM($G211:BC211))*50%,IF(BC$121="입주/잔금",($F211-SUM($G211:BB211))*20%,IF(BE$121=0,0,IF(BE$121="2차중도금",$F211*30%-SUM($G211:BD211),IF(BE$121="3차중도금",$F211*40%-SUM($G211:BD211),IF(BE$121="4차중도금",$F211*50%-SUM($G211:BD211),$F211*10%)))))))+(IF(BE$121="5차중도금",$F211*60%-SUM($G211:BD211)-$F211*10%,IF(BE$121="6차중도금",$F211*70%-SUM($G211:BD211)-$F211*10%,0)))</f>
        <v>0</v>
      </c>
      <c r="BF211" s="609">
        <f t="shared" si="64"/>
        <v>0</v>
      </c>
      <c r="BG211" s="556">
        <f t="shared" si="59"/>
        <v>0</v>
      </c>
      <c r="BH211" s="610"/>
    </row>
    <row r="212" spans="1:60" hidden="1">
      <c r="A212" s="1853"/>
      <c r="B212" s="611">
        <f t="shared" si="60"/>
        <v>45901</v>
      </c>
      <c r="C212" s="615">
        <f t="shared" si="63"/>
        <v>0</v>
      </c>
      <c r="D212" s="606"/>
      <c r="E212" s="612">
        <f t="shared" si="62"/>
        <v>0</v>
      </c>
      <c r="F212" s="608">
        <f t="shared" si="58"/>
        <v>0</v>
      </c>
      <c r="G212" s="605"/>
      <c r="H212" s="605"/>
      <c r="I212" s="605"/>
      <c r="J212" s="605"/>
      <c r="K212" s="605"/>
      <c r="L212" s="605"/>
      <c r="M212" s="605"/>
      <c r="N212" s="605"/>
      <c r="O212" s="605"/>
      <c r="P212" s="605"/>
      <c r="Q212" s="605"/>
      <c r="R212" s="605"/>
      <c r="S212" s="605"/>
      <c r="T212" s="605"/>
      <c r="U212" s="605"/>
      <c r="V212" s="605"/>
      <c r="W212" s="605"/>
      <c r="X212" s="605"/>
      <c r="Y212" s="605"/>
      <c r="Z212" s="605"/>
      <c r="AA212" s="605"/>
      <c r="AB212" s="605"/>
      <c r="AC212" s="605"/>
      <c r="AD212" s="605"/>
      <c r="AE212" s="605"/>
      <c r="AF212" s="605"/>
      <c r="AG212" s="605"/>
      <c r="AH212" s="605"/>
      <c r="AI212" s="605"/>
      <c r="AJ212" s="605"/>
      <c r="AK212" s="605"/>
      <c r="AL212" s="605"/>
      <c r="AM212" s="605"/>
      <c r="AN212" s="605"/>
      <c r="AO212" s="605"/>
      <c r="AP212" s="605">
        <f>$F212*10%</f>
        <v>0</v>
      </c>
      <c r="AQ212" s="605">
        <f>IF(AQ$121="입주/잔금",($F212-SUM($G212:AP212))*30%,IF(AP$121="입주/잔금",($F212-SUM($G212:AO212))*50%,IF(AO$121="입주/잔금",($F212-SUM($G212:AN212))*20%,IF(AQ$121=0,0,IF(AQ$121="2차중도금",$F212*30%-SUM($G212:AP212),IF(AQ$121="3차중도금",$F212*40%-SUM($G212:AP212),IF(AQ$121="4차중도금",$F212*50%-SUM($G212:AP212),$F212*10%)))))))+(IF(AQ$121="5차중도금",$F212*60%-SUM($G212:AP212)-$F212*10%,IF(AQ$121="6차중도금",$F212*70%-SUM($G212:AP212)-$F212*10%,0)))</f>
        <v>0</v>
      </c>
      <c r="AR212" s="605">
        <f>IF(AR$121="입주/잔금",($F212-SUM($G212:AQ212))*30%,IF(AQ$121="입주/잔금",($F212-SUM($G212:AP212))*50%,IF(AP$121="입주/잔금",($F212-SUM($G212:AO212))*20%,IF(AR$121=0,0,IF(AR$121="2차중도금",$F212*30%-SUM($G212:AQ212),IF(AR$121="3차중도금",$F212*40%-SUM($G212:AQ212),IF(AR$121="4차중도금",$F212*50%-SUM($G212:AQ212),$F212*10%)))))))+(IF(AR$121="5차중도금",$F212*60%-SUM($G212:AQ212)-$F212*10%,IF(AR$121="6차중도금",$F212*70%-SUM($G212:AQ212)-$F212*10%,0)))</f>
        <v>0</v>
      </c>
      <c r="AS212" s="605">
        <f>IF(AS$121="입주/잔금",($F212-SUM($G212:AR212))*30%,IF(AR$121="입주/잔금",($F212-SUM($G212:AQ212))*50%,IF(AQ$121="입주/잔금",($F212-SUM($G212:AP212))*20%,IF(AS$121=0,0,IF(AS$121="2차중도금",$F212*30%-SUM($G212:AR212),IF(AS$121="3차중도금",$F212*40%-SUM($G212:AR212),IF(AS$121="4차중도금",$F212*50%-SUM($G212:AR212),$F212*10%)))))))+(IF(AS$121="5차중도금",$F212*60%-SUM($G212:AR212)-$F212*10%,IF(AS$121="6차중도금",$F212*70%-SUM($G212:AR212)-$F212*10%,0)))</f>
        <v>0</v>
      </c>
      <c r="AT212" s="605">
        <f>IF(AT$121="입주/잔금",($F212-SUM($G212:AS212))*30%,IF(AS$121="입주/잔금",($F212-SUM($G212:AR212))*50%,IF(AR$121="입주/잔금",($F212-SUM($G212:AQ212))*20%,IF(AT$121=0,0,IF(AT$121="2차중도금",$F212*30%-SUM($G212:AS212),IF(AT$121="3차중도금",$F212*40%-SUM($G212:AS212),IF(AT$121="4차중도금",$F212*50%-SUM($G212:AS212),$F212*10%)))))))+(IF(AT$121="5차중도금",$F212*60%-SUM($G212:AS212)-$F212*10%,IF(AT$121="6차중도금",$F212*70%-SUM($G212:AS212)-$F212*10%,0)))</f>
        <v>0</v>
      </c>
      <c r="AU212" s="605">
        <f>IF(AU$121="입주/잔금",($F212-SUM($G212:AT212))*30%,IF(AT$121="입주/잔금",($F212-SUM($G212:AS212))*50%,IF(AS$121="입주/잔금",($F212-SUM($G212:AR212))*20%,IF(AU$121=0,0,IF(AU$121="2차중도금",$F212*30%-SUM($G212:AT212),IF(AU$121="3차중도금",$F212*40%-SUM($G212:AT212),IF(AU$121="4차중도금",$F212*50%-SUM($G212:AT212),$F212*10%)))))))+(IF(AU$121="5차중도금",$F212*60%-SUM($G212:AT212)-$F212*10%,IF(AU$121="6차중도금",$F212*70%-SUM($G212:AT212)-$F212*10%,0)))</f>
        <v>0</v>
      </c>
      <c r="AV212" s="605">
        <f>IF(AV$121="입주/잔금",($F212-SUM($G212:AU212))*30%,IF(AU$121="입주/잔금",($F212-SUM($G212:AT212))*50%,IF(AT$121="입주/잔금",($F212-SUM($G212:AS212))*20%,IF(AV$121=0,0,IF(AV$121="2차중도금",$F212*30%-SUM($G212:AU212),IF(AV$121="3차중도금",$F212*40%-SUM($G212:AU212),IF(AV$121="4차중도금",$F212*50%-SUM($G212:AU212),$F212*10%)))))))+(IF(AV$121="5차중도금",$F212*60%-SUM($G212:AU212)-$F212*10%,IF(AV$121="6차중도금",$F212*70%-SUM($G212:AU212)-$F212*10%,0)))</f>
        <v>0</v>
      </c>
      <c r="AW212" s="605">
        <f>IF(AW$121="입주/잔금",($F212-SUM($G212:AV212))*30%,IF(AV$121="입주/잔금",($F212-SUM($G212:AU212))*50%,IF(AU$121="입주/잔금",($F212-SUM($G212:AT212))*20%,IF(AW$121=0,0,IF(AW$121="2차중도금",$F212*30%-SUM($G212:AV212),IF(AW$121="3차중도금",$F212*40%-SUM($G212:AV212),IF(AW$121="4차중도금",$F212*50%-SUM($G212:AV212),$F212*10%)))))))+(IF(AW$121="5차중도금",$F212*60%-SUM($G212:AV212)-$F212*10%,IF(AW$121="6차중도금",$F212*70%-SUM($G212:AV212)-$F212*10%,0)))</f>
        <v>0</v>
      </c>
      <c r="AX212" s="605">
        <f>IF(AX$121="입주/잔금",($F212-SUM($G212:AW212))*30%,IF(AW$121="입주/잔금",($F212-SUM($G212:AV212))*50%,IF(AV$121="입주/잔금",($F212-SUM($G212:AU212))*20%,IF(AX$121=0,0,IF(AX$121="2차중도금",$F212*30%-SUM($G212:AW212),IF(AX$121="3차중도금",$F212*40%-SUM($G212:AW212),IF(AX$121="4차중도금",$F212*50%-SUM($G212:AW212),$F212*10%)))))))+(IF(AX$121="5차중도금",$F212*60%-SUM($G212:AW212)-$F212*10%,IF(AX$121="6차중도금",$F212*70%-SUM($G212:AW212)-$F212*10%,0)))</f>
        <v>0</v>
      </c>
      <c r="AY212" s="605">
        <f>IF(AY$121="입주/잔금",($F212-SUM($G212:AX212))*30%,IF(AX$121="입주/잔금",($F212-SUM($G212:AW212))*50%,IF(AW$121="입주/잔금",($F212-SUM($G212:AV212))*20%,IF(AY$121=0,0,IF(AY$121="2차중도금",$F212*30%-SUM($G212:AX212),IF(AY$121="3차중도금",$F212*40%-SUM($G212:AX212),IF(AY$121="4차중도금",$F212*50%-SUM($G212:AX212),$F212*10%)))))))+(IF(AY$121="5차중도금",$F212*60%-SUM($G212:AX212)-$F212*10%,IF(AY$121="6차중도금",$F212*70%-SUM($G212:AX212)-$F212*10%,0)))</f>
        <v>0</v>
      </c>
      <c r="AZ212" s="605">
        <f>IF(AZ$121="입주/잔금",($F212-SUM($G212:AY212))*30%,IF(AY$121="입주/잔금",($F212-SUM($G212:AX212))*50%,IF(AX$121="입주/잔금",($F212-SUM($G212:AW212))*20%,IF(AZ$121=0,0,IF(AZ$121="2차중도금",$F212*30%-SUM($G212:AY212),IF(AZ$121="3차중도금",$F212*40%-SUM($G212:AY212),IF(AZ$121="4차중도금",$F212*50%-SUM($G212:AY212),$F212*10%)))))))+(IF(AZ$121="5차중도금",$F212*60%-SUM($G212:AY212)-$F212*10%,IF(AZ$121="6차중도금",$F212*70%-SUM($G212:AY212)-$F212*10%,0)))</f>
        <v>0</v>
      </c>
      <c r="BA212" s="605">
        <f>IF(BA$121="입주/잔금",($F212-SUM($G212:AZ212))*30%,IF(AZ$121="입주/잔금",($F212-SUM($G212:AY212))*50%,IF(AY$121="입주/잔금",($F212-SUM($G212:AX212))*20%,IF(BA$121=0,0,IF(BA$121="2차중도금",$F212*30%-SUM($G212:AZ212),IF(BA$121="3차중도금",$F212*40%-SUM($G212:AZ212),IF(BA$121="4차중도금",$F212*50%-SUM($G212:AZ212),$F212*10%)))))))+(IF(BA$121="5차중도금",$F212*60%-SUM($G212:AZ212)-$F212*10%,IF(BA$121="6차중도금",$F212*70%-SUM($G212:AZ212)-$F212*10%,0)))</f>
        <v>0</v>
      </c>
      <c r="BB212" s="605">
        <f>IF(BB$121="입주/잔금",($F212-SUM($G212:BA212))*30%,IF(BA$121="입주/잔금",($F212-SUM($G212:AZ212))*50%,IF(AZ$121="입주/잔금",($F212-SUM($G212:AY212))*20%,IF(BB$121=0,0,IF(BB$121="2차중도금",$F212*30%-SUM($G212:BA212),IF(BB$121="3차중도금",$F212*40%-SUM($G212:BA212),IF(BB$121="4차중도금",$F212*50%-SUM($G212:BA212),$F212*10%)))))))+(IF(BB$121="5차중도금",$F212*60%-SUM($G212:BA212)-$F212*10%,IF(BB$121="6차중도금",$F212*70%-SUM($G212:BA212)-$F212*10%,0)))</f>
        <v>0</v>
      </c>
      <c r="BC212" s="605">
        <f>IF(BC$121="입주/잔금",($F212-SUM($G212:BB212))*30%,IF(BB$121="입주/잔금",($F212-SUM($G212:BA212))*50%,IF(BA$121="입주/잔금",($F212-SUM($G212:AZ212))*20%,IF(BC$121=0,0,IF(BC$121="2차중도금",$F212*30%-SUM($G212:BB212),IF(BC$121="3차중도금",$F212*40%-SUM($G212:BB212),IF(BC$121="4차중도금",$F212*50%-SUM($G212:BB212),$F212*10%)))))))+(IF(BC$121="5차중도금",$F212*60%-SUM($G212:BB212)-$F212*10%,IF(BC$121="6차중도금",$F212*70%-SUM($G212:BB212)-$F212*10%,0)))</f>
        <v>0</v>
      </c>
      <c r="BD212" s="605">
        <f>IF(BD$121="입주/잔금",($F212-SUM($G212:BC212))*30%,IF(BC$121="입주/잔금",($F212-SUM($G212:BB212))*50%,IF(BB$121="입주/잔금",($F212-SUM($G212:BA212))*20%,IF(BD$121=0,0,IF(BD$121="2차중도금",$F212*30%-SUM($G212:BC212),IF(BD$121="3차중도금",$F212*40%-SUM($G212:BC212),IF(BD$121="4차중도금",$F212*50%-SUM($G212:BC212),$F212*10%)))))))+(IF(BD$121="5차중도금",$F212*60%-SUM($G212:BC212)-$F212*10%,IF(BD$121="6차중도금",$F212*70%-SUM($G212:BC212)-$F212*10%,0)))</f>
        <v>0</v>
      </c>
      <c r="BE212" s="605">
        <f>IF(BE$121="입주/잔금",($F212-SUM($G212:BD212))*30%,IF(BD$121="입주/잔금",($F212-SUM($G212:BC212))*50%,IF(BC$121="입주/잔금",($F212-SUM($G212:BB212))*20%,IF(BE$121=0,0,IF(BE$121="2차중도금",$F212*30%-SUM($G212:BD212),IF(BE$121="3차중도금",$F212*40%-SUM($G212:BD212),IF(BE$121="4차중도금",$F212*50%-SUM($G212:BD212),$F212*10%)))))))+(IF(BE$121="5차중도금",$F212*60%-SUM($G212:BD212)-$F212*10%,IF(BE$121="6차중도금",$F212*70%-SUM($G212:BD212)-$F212*10%,0)))</f>
        <v>0</v>
      </c>
      <c r="BF212" s="609">
        <f t="shared" si="64"/>
        <v>0</v>
      </c>
      <c r="BG212" s="556">
        <f t="shared" si="59"/>
        <v>0</v>
      </c>
      <c r="BH212" s="610"/>
    </row>
    <row r="213" spans="1:60" hidden="1">
      <c r="A213" s="1853"/>
      <c r="B213" s="611">
        <f t="shared" si="60"/>
        <v>45931</v>
      </c>
      <c r="C213" s="615">
        <f t="shared" si="63"/>
        <v>0</v>
      </c>
      <c r="D213" s="606"/>
      <c r="E213" s="607">
        <f t="shared" si="62"/>
        <v>0</v>
      </c>
      <c r="F213" s="608">
        <f t="shared" si="58"/>
        <v>0</v>
      </c>
      <c r="G213" s="605"/>
      <c r="H213" s="605"/>
      <c r="I213" s="605"/>
      <c r="J213" s="605"/>
      <c r="K213" s="605"/>
      <c r="L213" s="605"/>
      <c r="M213" s="605"/>
      <c r="N213" s="605"/>
      <c r="O213" s="605"/>
      <c r="P213" s="605"/>
      <c r="Q213" s="605"/>
      <c r="R213" s="605"/>
      <c r="S213" s="605"/>
      <c r="T213" s="605"/>
      <c r="U213" s="605"/>
      <c r="V213" s="605"/>
      <c r="W213" s="605"/>
      <c r="X213" s="605"/>
      <c r="Y213" s="605"/>
      <c r="Z213" s="605"/>
      <c r="AA213" s="605"/>
      <c r="AB213" s="605"/>
      <c r="AC213" s="605"/>
      <c r="AD213" s="605"/>
      <c r="AE213" s="605"/>
      <c r="AF213" s="605"/>
      <c r="AG213" s="605"/>
      <c r="AH213" s="605"/>
      <c r="AI213" s="605"/>
      <c r="AJ213" s="605"/>
      <c r="AK213" s="605"/>
      <c r="AL213" s="605"/>
      <c r="AM213" s="605"/>
      <c r="AN213" s="605"/>
      <c r="AO213" s="605"/>
      <c r="AP213" s="605"/>
      <c r="AQ213" s="605">
        <f>$F213*10%</f>
        <v>0</v>
      </c>
      <c r="AR213" s="605">
        <f>IF(AR$121="입주/잔금",($F213-SUM($G213:AQ213))*30%,IF(AQ$121="입주/잔금",($F213-SUM($G213:AP213))*50%,IF(AP$121="입주/잔금",($F213-SUM($G213:AO213))*20%,IF(AR$121=0,0,IF(AR$121="2차중도금",$F213*30%-SUM($G213:AQ213),IF(AR$121="3차중도금",$F213*40%-SUM($G213:AQ213),IF(AR$121="4차중도금",$F213*50%-SUM($G213:AQ213),$F213*10%)))))))+(IF(AR$121="5차중도금",$F213*60%-SUM($G213:AQ213)-$F213*10%,IF(AR$121="6차중도금",$F213*70%-SUM($G213:AQ213)-$F213*10%,0)))</f>
        <v>0</v>
      </c>
      <c r="AS213" s="605">
        <f>IF(AS$121="입주/잔금",($F213-SUM($G213:AR213))*30%,IF(AR$121="입주/잔금",($F213-SUM($G213:AQ213))*50%,IF(AQ$121="입주/잔금",($F213-SUM($G213:AP213))*20%,IF(AS$121=0,0,IF(AS$121="2차중도금",$F213*30%-SUM($G213:AR213),IF(AS$121="3차중도금",$F213*40%-SUM($G213:AR213),IF(AS$121="4차중도금",$F213*50%-SUM($G213:AR213),$F213*10%)))))))+(IF(AS$121="5차중도금",$F213*60%-SUM($G213:AR213)-$F213*10%,IF(AS$121="6차중도금",$F213*70%-SUM($G213:AR213)-$F213*10%,0)))</f>
        <v>0</v>
      </c>
      <c r="AT213" s="605">
        <f>IF(AT$121="입주/잔금",($F213-SUM($G213:AS213))*30%,IF(AS$121="입주/잔금",($F213-SUM($G213:AR213))*50%,IF(AR$121="입주/잔금",($F213-SUM($G213:AQ213))*20%,IF(AT$121=0,0,IF(AT$121="2차중도금",$F213*30%-SUM($G213:AS213),IF(AT$121="3차중도금",$F213*40%-SUM($G213:AS213),IF(AT$121="4차중도금",$F213*50%-SUM($G213:AS213),$F213*10%)))))))+(IF(AT$121="5차중도금",$F213*60%-SUM($G213:AS213)-$F213*10%,IF(AT$121="6차중도금",$F213*70%-SUM($G213:AS213)-$F213*10%,0)))</f>
        <v>0</v>
      </c>
      <c r="AU213" s="605">
        <f>IF(AU$121="입주/잔금",($F213-SUM($G213:AT213))*30%,IF(AT$121="입주/잔금",($F213-SUM($G213:AS213))*50%,IF(AS$121="입주/잔금",($F213-SUM($G213:AR213))*20%,IF(AU$121=0,0,IF(AU$121="2차중도금",$F213*30%-SUM($G213:AT213),IF(AU$121="3차중도금",$F213*40%-SUM($G213:AT213),IF(AU$121="4차중도금",$F213*50%-SUM($G213:AT213),$F213*10%)))))))+(IF(AU$121="5차중도금",$F213*60%-SUM($G213:AT213)-$F213*10%,IF(AU$121="6차중도금",$F213*70%-SUM($G213:AT213)-$F213*10%,0)))</f>
        <v>0</v>
      </c>
      <c r="AV213" s="605">
        <f>IF(AV$121="입주/잔금",($F213-SUM($G213:AU213))*30%,IF(AU$121="입주/잔금",($F213-SUM($G213:AT213))*50%,IF(AT$121="입주/잔금",($F213-SUM($G213:AS213))*20%,IF(AV$121=0,0,IF(AV$121="2차중도금",$F213*30%-SUM($G213:AU213),IF(AV$121="3차중도금",$F213*40%-SUM($G213:AU213),IF(AV$121="4차중도금",$F213*50%-SUM($G213:AU213),$F213*10%)))))))+(IF(AV$121="5차중도금",$F213*60%-SUM($G213:AU213)-$F213*10%,IF(AV$121="6차중도금",$F213*70%-SUM($G213:AU213)-$F213*10%,0)))</f>
        <v>0</v>
      </c>
      <c r="AW213" s="605">
        <f>IF(AW$121="입주/잔금",($F213-SUM($G213:AV213))*30%,IF(AV$121="입주/잔금",($F213-SUM($G213:AU213))*50%,IF(AU$121="입주/잔금",($F213-SUM($G213:AT213))*20%,IF(AW$121=0,0,IF(AW$121="2차중도금",$F213*30%-SUM($G213:AV213),IF(AW$121="3차중도금",$F213*40%-SUM($G213:AV213),IF(AW$121="4차중도금",$F213*50%-SUM($G213:AV213),$F213*10%)))))))+(IF(AW$121="5차중도금",$F213*60%-SUM($G213:AV213)-$F213*10%,IF(AW$121="6차중도금",$F213*70%-SUM($G213:AV213)-$F213*10%,0)))</f>
        <v>0</v>
      </c>
      <c r="AX213" s="605">
        <f>IF(AX$121="입주/잔금",($F213-SUM($G213:AW213))*30%,IF(AW$121="입주/잔금",($F213-SUM($G213:AV213))*50%,IF(AV$121="입주/잔금",($F213-SUM($G213:AU213))*20%,IF(AX$121=0,0,IF(AX$121="2차중도금",$F213*30%-SUM($G213:AW213),IF(AX$121="3차중도금",$F213*40%-SUM($G213:AW213),IF(AX$121="4차중도금",$F213*50%-SUM($G213:AW213),$F213*10%)))))))+(IF(AX$121="5차중도금",$F213*60%-SUM($G213:AW213)-$F213*10%,IF(AX$121="6차중도금",$F213*70%-SUM($G213:AW213)-$F213*10%,0)))</f>
        <v>0</v>
      </c>
      <c r="AY213" s="605">
        <f>IF(AY$121="입주/잔금",($F213-SUM($G213:AX213))*30%,IF(AX$121="입주/잔금",($F213-SUM($G213:AW213))*50%,IF(AW$121="입주/잔금",($F213-SUM($G213:AV213))*20%,IF(AY$121=0,0,IF(AY$121="2차중도금",$F213*30%-SUM($G213:AX213),IF(AY$121="3차중도금",$F213*40%-SUM($G213:AX213),IF(AY$121="4차중도금",$F213*50%-SUM($G213:AX213),$F213*10%)))))))+(IF(AY$121="5차중도금",$F213*60%-SUM($G213:AX213)-$F213*10%,IF(AY$121="6차중도금",$F213*70%-SUM($G213:AX213)-$F213*10%,0)))</f>
        <v>0</v>
      </c>
      <c r="AZ213" s="605">
        <f>IF(AZ$121="입주/잔금",($F213-SUM($G213:AY213))*30%,IF(AY$121="입주/잔금",($F213-SUM($G213:AX213))*50%,IF(AX$121="입주/잔금",($F213-SUM($G213:AW213))*20%,IF(AZ$121=0,0,IF(AZ$121="2차중도금",$F213*30%-SUM($G213:AY213),IF(AZ$121="3차중도금",$F213*40%-SUM($G213:AY213),IF(AZ$121="4차중도금",$F213*50%-SUM($G213:AY213),$F213*10%)))))))+(IF(AZ$121="5차중도금",$F213*60%-SUM($G213:AY213)-$F213*10%,IF(AZ$121="6차중도금",$F213*70%-SUM($G213:AY213)-$F213*10%,0)))</f>
        <v>0</v>
      </c>
      <c r="BA213" s="605">
        <f>IF(BA$121="입주/잔금",($F213-SUM($G213:AZ213))*30%,IF(AZ$121="입주/잔금",($F213-SUM($G213:AY213))*50%,IF(AY$121="입주/잔금",($F213-SUM($G213:AX213))*20%,IF(BA$121=0,0,IF(BA$121="2차중도금",$F213*30%-SUM($G213:AZ213),IF(BA$121="3차중도금",$F213*40%-SUM($G213:AZ213),IF(BA$121="4차중도금",$F213*50%-SUM($G213:AZ213),$F213*10%)))))))+(IF(BA$121="5차중도금",$F213*60%-SUM($G213:AZ213)-$F213*10%,IF(BA$121="6차중도금",$F213*70%-SUM($G213:AZ213)-$F213*10%,0)))</f>
        <v>0</v>
      </c>
      <c r="BB213" s="605">
        <f>IF(BB$121="입주/잔금",($F213-SUM($G213:BA213))*30%,IF(BA$121="입주/잔금",($F213-SUM($G213:AZ213))*50%,IF(AZ$121="입주/잔금",($F213-SUM($G213:AY213))*20%,IF(BB$121=0,0,IF(BB$121="2차중도금",$F213*30%-SUM($G213:BA213),IF(BB$121="3차중도금",$F213*40%-SUM($G213:BA213),IF(BB$121="4차중도금",$F213*50%-SUM($G213:BA213),$F213*10%)))))))+(IF(BB$121="5차중도금",$F213*60%-SUM($G213:BA213)-$F213*10%,IF(BB$121="6차중도금",$F213*70%-SUM($G213:BA213)-$F213*10%,0)))</f>
        <v>0</v>
      </c>
      <c r="BC213" s="605">
        <f>IF(BC$121="입주/잔금",($F213-SUM($G213:BB213))*30%,IF(BB$121="입주/잔금",($F213-SUM($G213:BA213))*50%,IF(BA$121="입주/잔금",($F213-SUM($G213:AZ213))*20%,IF(BC$121=0,0,IF(BC$121="2차중도금",$F213*30%-SUM($G213:BB213),IF(BC$121="3차중도금",$F213*40%-SUM($G213:BB213),IF(BC$121="4차중도금",$F213*50%-SUM($G213:BB213),$F213*10%)))))))+(IF(BC$121="5차중도금",$F213*60%-SUM($G213:BB213)-$F213*10%,IF(BC$121="6차중도금",$F213*70%-SUM($G213:BB213)-$F213*10%,0)))</f>
        <v>0</v>
      </c>
      <c r="BD213" s="605">
        <f>IF(BD$121="입주/잔금",($F213-SUM($G213:BC213))*30%,IF(BC$121="입주/잔금",($F213-SUM($G213:BB213))*50%,IF(BB$121="입주/잔금",($F213-SUM($G213:BA213))*20%,IF(BD$121=0,0,IF(BD$121="2차중도금",$F213*30%-SUM($G213:BC213),IF(BD$121="3차중도금",$F213*40%-SUM($G213:BC213),IF(BD$121="4차중도금",$F213*50%-SUM($G213:BC213),$F213*10%)))))))+(IF(BD$121="5차중도금",$F213*60%-SUM($G213:BC213)-$F213*10%,IF(BD$121="6차중도금",$F213*70%-SUM($G213:BC213)-$F213*10%,0)))</f>
        <v>0</v>
      </c>
      <c r="BE213" s="605">
        <f>IF(BE$121="입주/잔금",($F213-SUM($G213:BD213))*30%,IF(BD$121="입주/잔금",($F213-SUM($G213:BC213))*50%,IF(BC$121="입주/잔금",($F213-SUM($G213:BB213))*20%,IF(BE$121=0,0,IF(BE$121="2차중도금",$F213*30%-SUM($G213:BD213),IF(BE$121="3차중도금",$F213*40%-SUM($G213:BD213),IF(BE$121="4차중도금",$F213*50%-SUM($G213:BD213),$F213*10%)))))))+(IF(BE$121="5차중도금",$F213*60%-SUM($G213:BD213)-$F213*10%,IF(BE$121="6차중도금",$F213*70%-SUM($G213:BD213)-$F213*10%,0)))</f>
        <v>0</v>
      </c>
      <c r="BF213" s="609">
        <f t="shared" si="64"/>
        <v>0</v>
      </c>
      <c r="BG213" s="556">
        <f t="shared" si="59"/>
        <v>0</v>
      </c>
      <c r="BH213" s="610"/>
    </row>
    <row r="214" spans="1:60" hidden="1">
      <c r="A214" s="1853"/>
      <c r="B214" s="611">
        <f t="shared" si="60"/>
        <v>45962</v>
      </c>
      <c r="C214" s="615">
        <f t="shared" si="63"/>
        <v>0</v>
      </c>
      <c r="D214" s="606"/>
      <c r="E214" s="607">
        <f t="shared" si="62"/>
        <v>0</v>
      </c>
      <c r="F214" s="608">
        <f t="shared" si="58"/>
        <v>0</v>
      </c>
      <c r="G214" s="605"/>
      <c r="H214" s="605"/>
      <c r="I214" s="605"/>
      <c r="J214" s="605"/>
      <c r="K214" s="605"/>
      <c r="L214" s="605"/>
      <c r="M214" s="605"/>
      <c r="N214" s="605"/>
      <c r="O214" s="605"/>
      <c r="P214" s="605"/>
      <c r="Q214" s="605"/>
      <c r="R214" s="605"/>
      <c r="S214" s="605"/>
      <c r="T214" s="605"/>
      <c r="U214" s="605"/>
      <c r="V214" s="605"/>
      <c r="W214" s="605"/>
      <c r="X214" s="605"/>
      <c r="Y214" s="605"/>
      <c r="Z214" s="605"/>
      <c r="AA214" s="605"/>
      <c r="AB214" s="605"/>
      <c r="AC214" s="605"/>
      <c r="AD214" s="605"/>
      <c r="AE214" s="605"/>
      <c r="AF214" s="605"/>
      <c r="AG214" s="605"/>
      <c r="AH214" s="605"/>
      <c r="AI214" s="605"/>
      <c r="AJ214" s="605"/>
      <c r="AK214" s="605"/>
      <c r="AL214" s="605"/>
      <c r="AM214" s="605"/>
      <c r="AN214" s="605"/>
      <c r="AO214" s="605"/>
      <c r="AP214" s="605"/>
      <c r="AQ214" s="605"/>
      <c r="AR214" s="605">
        <f>$F214*10%</f>
        <v>0</v>
      </c>
      <c r="AS214" s="605">
        <f>IF(AS$121="입주/잔금",($F214-SUM($G214:AR214))*30%,IF(AR$121="입주/잔금",($F214-SUM($G214:AQ214))*50%,IF(AQ$121="입주/잔금",($F214-SUM($G214:AP214))*20%,IF(AS$121=0,0,IF(AS$121="2차중도금",$F214*30%-SUM($G214:AR214),IF(AS$121="3차중도금",$F214*40%-SUM($G214:AR214),IF(AS$121="4차중도금",$F214*50%-SUM($G214:AR214),$F214*10%)))))))+(IF(AS$121="5차중도금",$F214*60%-SUM($G214:AR214)-$F214*10%,IF(AS$121="6차중도금",$F214*70%-SUM($G214:AR214)-$F214*10%,0)))</f>
        <v>0</v>
      </c>
      <c r="AT214" s="605">
        <f>IF(AT$121="입주/잔금",($F214-SUM($G214:AS214))*30%,IF(AS$121="입주/잔금",($F214-SUM($G214:AR214))*50%,IF(AR$121="입주/잔금",($F214-SUM($G214:AQ214))*20%,IF(AT$121=0,0,IF(AT$121="2차중도금",$F214*30%-SUM($G214:AS214),IF(AT$121="3차중도금",$F214*40%-SUM($G214:AS214),IF(AT$121="4차중도금",$F214*50%-SUM($G214:AS214),$F214*10%)))))))+(IF(AT$121="5차중도금",$F214*60%-SUM($G214:AS214)-$F214*10%,IF(AT$121="6차중도금",$F214*70%-SUM($G214:AS214)-$F214*10%,0)))</f>
        <v>0</v>
      </c>
      <c r="AU214" s="605">
        <f>IF(AU$121="입주/잔금",($F214-SUM($G214:AT214))*30%,IF(AT$121="입주/잔금",($F214-SUM($G214:AS214))*50%,IF(AS$121="입주/잔금",($F214-SUM($G214:AR214))*20%,IF(AU$121=0,0,IF(AU$121="2차중도금",$F214*30%-SUM($G214:AT214),IF(AU$121="3차중도금",$F214*40%-SUM($G214:AT214),IF(AU$121="4차중도금",$F214*50%-SUM($G214:AT214),$F214*10%)))))))+(IF(AU$121="5차중도금",$F214*60%-SUM($G214:AT214)-$F214*10%,IF(AU$121="6차중도금",$F214*70%-SUM($G214:AT214)-$F214*10%,0)))</f>
        <v>0</v>
      </c>
      <c r="AV214" s="605">
        <f>IF(AV$121="입주/잔금",($F214-SUM($G214:AU214))*30%,IF(AU$121="입주/잔금",($F214-SUM($G214:AT214))*50%,IF(AT$121="입주/잔금",($F214-SUM($G214:AS214))*20%,IF(AV$121=0,0,IF(AV$121="2차중도금",$F214*30%-SUM($G214:AU214),IF(AV$121="3차중도금",$F214*40%-SUM($G214:AU214),IF(AV$121="4차중도금",$F214*50%-SUM($G214:AU214),$F214*10%)))))))+(IF(AV$121="5차중도금",$F214*60%-SUM($G214:AU214)-$F214*10%,IF(AV$121="6차중도금",$F214*70%-SUM($G214:AU214)-$F214*10%,0)))</f>
        <v>0</v>
      </c>
      <c r="AW214" s="605">
        <f>IF(AW$121="입주/잔금",($F214-SUM($G214:AV214))*30%,IF(AV$121="입주/잔금",($F214-SUM($G214:AU214))*50%,IF(AU$121="입주/잔금",($F214-SUM($G214:AT214))*20%,IF(AW$121=0,0,IF(AW$121="2차중도금",$F214*30%-SUM($G214:AV214),IF(AW$121="3차중도금",$F214*40%-SUM($G214:AV214),IF(AW$121="4차중도금",$F214*50%-SUM($G214:AV214),$F214*10%)))))))+(IF(AW$121="5차중도금",$F214*60%-SUM($G214:AV214)-$F214*10%,IF(AW$121="6차중도금",$F214*70%-SUM($G214:AV214)-$F214*10%,0)))</f>
        <v>0</v>
      </c>
      <c r="AX214" s="605">
        <f>IF(AX$121="입주/잔금",($F214-SUM($G214:AW214))*30%,IF(AW$121="입주/잔금",($F214-SUM($G214:AV214))*50%,IF(AV$121="입주/잔금",($F214-SUM($G214:AU214))*20%,IF(AX$121=0,0,IF(AX$121="2차중도금",$F214*30%-SUM($G214:AW214),IF(AX$121="3차중도금",$F214*40%-SUM($G214:AW214),IF(AX$121="4차중도금",$F214*50%-SUM($G214:AW214),$F214*10%)))))))+(IF(AX$121="5차중도금",$F214*60%-SUM($G214:AW214)-$F214*10%,IF(AX$121="6차중도금",$F214*70%-SUM($G214:AW214)-$F214*10%,0)))</f>
        <v>0</v>
      </c>
      <c r="AY214" s="605">
        <f>IF(AY$121="입주/잔금",($F214-SUM($G214:AX214))*30%,IF(AX$121="입주/잔금",($F214-SUM($G214:AW214))*50%,IF(AW$121="입주/잔금",($F214-SUM($G214:AV214))*20%,IF(AY$121=0,0,IF(AY$121="2차중도금",$F214*30%-SUM($G214:AX214),IF(AY$121="3차중도금",$F214*40%-SUM($G214:AX214),IF(AY$121="4차중도금",$F214*50%-SUM($G214:AX214),$F214*10%)))))))+(IF(AY$121="5차중도금",$F214*60%-SUM($G214:AX214)-$F214*10%,IF(AY$121="6차중도금",$F214*70%-SUM($G214:AX214)-$F214*10%,0)))</f>
        <v>0</v>
      </c>
      <c r="AZ214" s="605">
        <f>IF(AZ$121="입주/잔금",($F214-SUM($G214:AY214))*30%,IF(AY$121="입주/잔금",($F214-SUM($G214:AX214))*50%,IF(AX$121="입주/잔금",($F214-SUM($G214:AW214))*20%,IF(AZ$121=0,0,IF(AZ$121="2차중도금",$F214*30%-SUM($G214:AY214),IF(AZ$121="3차중도금",$F214*40%-SUM($G214:AY214),IF(AZ$121="4차중도금",$F214*50%-SUM($G214:AY214),$F214*10%)))))))+(IF(AZ$121="5차중도금",$F214*60%-SUM($G214:AY214)-$F214*10%,IF(AZ$121="6차중도금",$F214*70%-SUM($G214:AY214)-$F214*10%,0)))</f>
        <v>0</v>
      </c>
      <c r="BA214" s="605">
        <f>IF(BA$121="입주/잔금",($F214-SUM($G214:AZ214))*30%,IF(AZ$121="입주/잔금",($F214-SUM($G214:AY214))*50%,IF(AY$121="입주/잔금",($F214-SUM($G214:AX214))*20%,IF(BA$121=0,0,IF(BA$121="2차중도금",$F214*30%-SUM($G214:AZ214),IF(BA$121="3차중도금",$F214*40%-SUM($G214:AZ214),IF(BA$121="4차중도금",$F214*50%-SUM($G214:AZ214),$F214*10%)))))))+(IF(BA$121="5차중도금",$F214*60%-SUM($G214:AZ214)-$F214*10%,IF(BA$121="6차중도금",$F214*70%-SUM($G214:AZ214)-$F214*10%,0)))</f>
        <v>0</v>
      </c>
      <c r="BB214" s="605">
        <f>IF(BB$121="입주/잔금",($F214-SUM($G214:BA214))*30%,IF(BA$121="입주/잔금",($F214-SUM($G214:AZ214))*50%,IF(AZ$121="입주/잔금",($F214-SUM($G214:AY214))*20%,IF(BB$121=0,0,IF(BB$121="2차중도금",$F214*30%-SUM($G214:BA214),IF(BB$121="3차중도금",$F214*40%-SUM($G214:BA214),IF(BB$121="4차중도금",$F214*50%-SUM($G214:BA214),$F214*10%)))))))+(IF(BB$121="5차중도금",$F214*60%-SUM($G214:BA214)-$F214*10%,IF(BB$121="6차중도금",$F214*70%-SUM($G214:BA214)-$F214*10%,0)))</f>
        <v>0</v>
      </c>
      <c r="BC214" s="605">
        <f>IF(BC$121="입주/잔금",($F214-SUM($G214:BB214))*30%,IF(BB$121="입주/잔금",($F214-SUM($G214:BA214))*50%,IF(BA$121="입주/잔금",($F214-SUM($G214:AZ214))*20%,IF(BC$121=0,0,IF(BC$121="2차중도금",$F214*30%-SUM($G214:BB214),IF(BC$121="3차중도금",$F214*40%-SUM($G214:BB214),IF(BC$121="4차중도금",$F214*50%-SUM($G214:BB214),$F214*10%)))))))+(IF(BC$121="5차중도금",$F214*60%-SUM($G214:BB214)-$F214*10%,IF(BC$121="6차중도금",$F214*70%-SUM($G214:BB214)-$F214*10%,0)))</f>
        <v>0</v>
      </c>
      <c r="BD214" s="605">
        <f>IF(BD$121="입주/잔금",($F214-SUM($G214:BC214))*30%,IF(BC$121="입주/잔금",($F214-SUM($G214:BB214))*50%,IF(BB$121="입주/잔금",($F214-SUM($G214:BA214))*20%,IF(BD$121=0,0,IF(BD$121="2차중도금",$F214*30%-SUM($G214:BC214),IF(BD$121="3차중도금",$F214*40%-SUM($G214:BC214),IF(BD$121="4차중도금",$F214*50%-SUM($G214:BC214),$F214*10%)))))))+(IF(BD$121="5차중도금",$F214*60%-SUM($G214:BC214)-$F214*10%,IF(BD$121="6차중도금",$F214*70%-SUM($G214:BC214)-$F214*10%,0)))</f>
        <v>0</v>
      </c>
      <c r="BE214" s="605">
        <f>IF(BE$121="입주/잔금",($F214-SUM($G214:BD214))*30%,IF(BD$121="입주/잔금",($F214-SUM($G214:BC214))*50%,IF(BC$121="입주/잔금",($F214-SUM($G214:BB214))*20%,IF(BE$121=0,0,IF(BE$121="2차중도금",$F214*30%-SUM($G214:BD214),IF(BE$121="3차중도금",$F214*40%-SUM($G214:BD214),IF(BE$121="4차중도금",$F214*50%-SUM($G214:BD214),$F214*10%)))))))+(IF(BE$121="5차중도금",$F214*60%-SUM($G214:BD214)-$F214*10%,IF(BE$121="6차중도금",$F214*70%-SUM($G214:BD214)-$F214*10%,0)))</f>
        <v>0</v>
      </c>
      <c r="BF214" s="609">
        <f t="shared" si="64"/>
        <v>0</v>
      </c>
      <c r="BG214" s="556">
        <f t="shared" si="59"/>
        <v>0</v>
      </c>
      <c r="BH214" s="610"/>
    </row>
    <row r="215" spans="1:60" hidden="1">
      <c r="A215" s="1853"/>
      <c r="B215" s="611">
        <f t="shared" si="60"/>
        <v>45992</v>
      </c>
      <c r="C215" s="615">
        <f t="shared" si="63"/>
        <v>0</v>
      </c>
      <c r="D215" s="606"/>
      <c r="E215" s="607">
        <f t="shared" si="62"/>
        <v>0</v>
      </c>
      <c r="F215" s="608">
        <f t="shared" si="58"/>
        <v>0</v>
      </c>
      <c r="G215" s="605"/>
      <c r="H215" s="605"/>
      <c r="I215" s="605"/>
      <c r="J215" s="605"/>
      <c r="K215" s="605"/>
      <c r="L215" s="605"/>
      <c r="M215" s="605"/>
      <c r="N215" s="605"/>
      <c r="O215" s="605"/>
      <c r="P215" s="605"/>
      <c r="Q215" s="605"/>
      <c r="R215" s="605"/>
      <c r="S215" s="605"/>
      <c r="T215" s="605"/>
      <c r="U215" s="605"/>
      <c r="V215" s="605"/>
      <c r="W215" s="605"/>
      <c r="X215" s="605"/>
      <c r="Y215" s="605"/>
      <c r="Z215" s="605"/>
      <c r="AA215" s="605"/>
      <c r="AB215" s="605"/>
      <c r="AC215" s="605"/>
      <c r="AD215" s="605"/>
      <c r="AE215" s="605"/>
      <c r="AF215" s="605"/>
      <c r="AG215" s="605"/>
      <c r="AH215" s="605"/>
      <c r="AI215" s="605"/>
      <c r="AJ215" s="605"/>
      <c r="AK215" s="605"/>
      <c r="AL215" s="605"/>
      <c r="AM215" s="605"/>
      <c r="AN215" s="605"/>
      <c r="AO215" s="605"/>
      <c r="AP215" s="605"/>
      <c r="AQ215" s="605"/>
      <c r="AR215" s="605"/>
      <c r="AS215" s="605">
        <f>$F215*10%</f>
        <v>0</v>
      </c>
      <c r="AT215" s="605">
        <f>IF(AT$121="입주/잔금",($F215-SUM($G215:AS215))*30%,IF(AS$121="입주/잔금",($F215-SUM($G215:AR215))*50%,IF(AR$121="입주/잔금",($F215-SUM($G215:AQ215))*20%,IF(AT$121=0,0,IF(AT$121="2차중도금",$F215*30%-SUM($G215:AS215),IF(AT$121="3차중도금",$F215*40%-SUM($G215:AS215),IF(AT$121="4차중도금",$F215*50%-SUM($G215:AS215),$F215*10%)))))))+(IF(AT$121="5차중도금",$F215*60%-SUM($G215:AS215)-$F215*10%,IF(AT$121="6차중도금",$F215*70%-SUM($G215:AS215)-$F215*10%,0)))</f>
        <v>0</v>
      </c>
      <c r="AU215" s="605">
        <f>IF(AU$121="입주/잔금",($F215-SUM($G215:AT215))*30%,IF(AT$121="입주/잔금",($F215-SUM($G215:AS215))*50%,IF(AS$121="입주/잔금",($F215-SUM($G215:AR215))*20%,IF(AU$121=0,0,IF(AU$121="2차중도금",$F215*30%-SUM($G215:AT215),IF(AU$121="3차중도금",$F215*40%-SUM($G215:AT215),IF(AU$121="4차중도금",$F215*50%-SUM($G215:AT215),$F215*10%)))))))+(IF(AU$121="5차중도금",$F215*60%-SUM($G215:AT215)-$F215*10%,IF(AU$121="6차중도금",$F215*70%-SUM($G215:AT215)-$F215*10%,0)))</f>
        <v>0</v>
      </c>
      <c r="AV215" s="605">
        <f>IF(AV$121="입주/잔금",($F215-SUM($G215:AU215))*30%,IF(AU$121="입주/잔금",($F215-SUM($G215:AT215))*50%,IF(AT$121="입주/잔금",($F215-SUM($G215:AS215))*20%,IF(AV$121=0,0,IF(AV$121="2차중도금",$F215*30%-SUM($G215:AU215),IF(AV$121="3차중도금",$F215*40%-SUM($G215:AU215),IF(AV$121="4차중도금",$F215*50%-SUM($G215:AU215),$F215*10%)))))))+(IF(AV$121="5차중도금",$F215*60%-SUM($G215:AU215)-$F215*10%,IF(AV$121="6차중도금",$F215*70%-SUM($G215:AU215)-$F215*10%,0)))</f>
        <v>0</v>
      </c>
      <c r="AW215" s="605">
        <f>IF(AW$121="입주/잔금",($F215-SUM($G215:AV215))*30%,IF(AV$121="입주/잔금",($F215-SUM($G215:AU215))*50%,IF(AU$121="입주/잔금",($F215-SUM($G215:AT215))*20%,IF(AW$121=0,0,IF(AW$121="2차중도금",$F215*30%-SUM($G215:AV215),IF(AW$121="3차중도금",$F215*40%-SUM($G215:AV215),IF(AW$121="4차중도금",$F215*50%-SUM($G215:AV215),$F215*10%)))))))+(IF(AW$121="5차중도금",$F215*60%-SUM($G215:AV215)-$F215*10%,IF(AW$121="6차중도금",$F215*70%-SUM($G215:AV215)-$F215*10%,0)))</f>
        <v>0</v>
      </c>
      <c r="AX215" s="605">
        <f>IF(AX$121="입주/잔금",($F215-SUM($G215:AW215))*30%,IF(AW$121="입주/잔금",($F215-SUM($G215:AV215))*50%,IF(AV$121="입주/잔금",($F215-SUM($G215:AU215))*20%,IF(AX$121=0,0,IF(AX$121="2차중도금",$F215*30%-SUM($G215:AW215),IF(AX$121="3차중도금",$F215*40%-SUM($G215:AW215),IF(AX$121="4차중도금",$F215*50%-SUM($G215:AW215),$F215*10%)))))))+(IF(AX$121="5차중도금",$F215*60%-SUM($G215:AW215)-$F215*10%,IF(AX$121="6차중도금",$F215*70%-SUM($G215:AW215)-$F215*10%,0)))</f>
        <v>0</v>
      </c>
      <c r="AY215" s="605">
        <f>IF(AY$121="입주/잔금",($F215-SUM($G215:AX215))*30%,IF(AX$121="입주/잔금",($F215-SUM($G215:AW215))*50%,IF(AW$121="입주/잔금",($F215-SUM($G215:AV215))*20%,IF(AY$121=0,0,IF(AY$121="2차중도금",$F215*30%-SUM($G215:AX215),IF(AY$121="3차중도금",$F215*40%-SUM($G215:AX215),IF(AY$121="4차중도금",$F215*50%-SUM($G215:AX215),$F215*10%)))))))+(IF(AY$121="5차중도금",$F215*60%-SUM($G215:AX215)-$F215*10%,IF(AY$121="6차중도금",$F215*70%-SUM($G215:AX215)-$F215*10%,0)))</f>
        <v>0</v>
      </c>
      <c r="AZ215" s="605">
        <f>IF(AZ$121="입주/잔금",($F215-SUM($G215:AY215))*30%,IF(AY$121="입주/잔금",($F215-SUM($G215:AX215))*50%,IF(AX$121="입주/잔금",($F215-SUM($G215:AW215))*20%,IF(AZ$121=0,0,IF(AZ$121="2차중도금",$F215*30%-SUM($G215:AY215),IF(AZ$121="3차중도금",$F215*40%-SUM($G215:AY215),IF(AZ$121="4차중도금",$F215*50%-SUM($G215:AY215),$F215*10%)))))))+(IF(AZ$121="5차중도금",$F215*60%-SUM($G215:AY215)-$F215*10%,IF(AZ$121="6차중도금",$F215*70%-SUM($G215:AY215)-$F215*10%,0)))</f>
        <v>0</v>
      </c>
      <c r="BA215" s="605">
        <f>IF(BA$121="입주/잔금",($F215-SUM($G215:AZ215))*30%,IF(AZ$121="입주/잔금",($F215-SUM($G215:AY215))*50%,IF(AY$121="입주/잔금",($F215-SUM($G215:AX215))*20%,IF(BA$121=0,0,IF(BA$121="2차중도금",$F215*30%-SUM($G215:AZ215),IF(BA$121="3차중도금",$F215*40%-SUM($G215:AZ215),IF(BA$121="4차중도금",$F215*50%-SUM($G215:AZ215),$F215*10%)))))))+(IF(BA$121="5차중도금",$F215*60%-SUM($G215:AZ215)-$F215*10%,IF(BA$121="6차중도금",$F215*70%-SUM($G215:AZ215)-$F215*10%,0)))</f>
        <v>0</v>
      </c>
      <c r="BB215" s="605">
        <f>IF(BB$121="입주/잔금",($F215-SUM($G215:BA215))*30%,IF(BA$121="입주/잔금",($F215-SUM($G215:AZ215))*50%,IF(AZ$121="입주/잔금",($F215-SUM($G215:AY215))*20%,IF(BB$121=0,0,IF(BB$121="2차중도금",$F215*30%-SUM($G215:BA215),IF(BB$121="3차중도금",$F215*40%-SUM($G215:BA215),IF(BB$121="4차중도금",$F215*50%-SUM($G215:BA215),$F215*10%)))))))+(IF(BB$121="5차중도금",$F215*60%-SUM($G215:BA215)-$F215*10%,IF(BB$121="6차중도금",$F215*70%-SUM($G215:BA215)-$F215*10%,0)))</f>
        <v>0</v>
      </c>
      <c r="BC215" s="605">
        <f>IF(BC$121="입주/잔금",($F215-SUM($G215:BB215))*30%,IF(BB$121="입주/잔금",($F215-SUM($G215:BA215))*50%,IF(BA$121="입주/잔금",($F215-SUM($G215:AZ215))*20%,IF(BC$121=0,0,IF(BC$121="2차중도금",$F215*30%-SUM($G215:BB215),IF(BC$121="3차중도금",$F215*40%-SUM($G215:BB215),IF(BC$121="4차중도금",$F215*50%-SUM($G215:BB215),$F215*10%)))))))+(IF(BC$121="5차중도금",$F215*60%-SUM($G215:BB215)-$F215*10%,IF(BC$121="6차중도금",$F215*70%-SUM($G215:BB215)-$F215*10%,0)))</f>
        <v>0</v>
      </c>
      <c r="BD215" s="605">
        <f>IF(BD$121="입주/잔금",($F215-SUM($G215:BC215))*30%,IF(BC$121="입주/잔금",($F215-SUM($G215:BB215))*50%,IF(BB$121="입주/잔금",($F215-SUM($G215:BA215))*20%,IF(BD$121=0,0,IF(BD$121="2차중도금",$F215*30%-SUM($G215:BC215),IF(BD$121="3차중도금",$F215*40%-SUM($G215:BC215),IF(BD$121="4차중도금",$F215*50%-SUM($G215:BC215),$F215*10%)))))))+(IF(BD$121="5차중도금",$F215*60%-SUM($G215:BC215)-$F215*10%,IF(BD$121="6차중도금",$F215*70%-SUM($G215:BC215)-$F215*10%,0)))</f>
        <v>0</v>
      </c>
      <c r="BE215" s="605">
        <f>IF(BE$121="입주/잔금",($F215-SUM($G215:BD215))*30%,IF(BD$121="입주/잔금",($F215-SUM($G215:BC215))*50%,IF(BC$121="입주/잔금",($F215-SUM($G215:BB215))*20%,IF(BE$121=0,0,IF(BE$121="2차중도금",$F215*30%-SUM($G215:BD215),IF(BE$121="3차중도금",$F215*40%-SUM($G215:BD215),IF(BE$121="4차중도금",$F215*50%-SUM($G215:BD215),$F215*10%)))))))+(IF(BE$121="5차중도금",$F215*60%-SUM($G215:BD215)-$F215*10%,IF(BE$121="6차중도금",$F215*70%-SUM($G215:BD215)-$F215*10%,0)))</f>
        <v>0</v>
      </c>
      <c r="BF215" s="609">
        <f t="shared" si="64"/>
        <v>0</v>
      </c>
      <c r="BG215" s="556">
        <f t="shared" si="59"/>
        <v>0</v>
      </c>
      <c r="BH215" s="610"/>
    </row>
    <row r="216" spans="1:60" hidden="1">
      <c r="A216" s="1853"/>
      <c r="B216" s="611">
        <f t="shared" si="60"/>
        <v>46023</v>
      </c>
      <c r="C216" s="615">
        <f t="shared" si="63"/>
        <v>0</v>
      </c>
      <c r="D216" s="606"/>
      <c r="E216" s="607">
        <f t="shared" si="62"/>
        <v>0</v>
      </c>
      <c r="F216" s="608">
        <f t="shared" si="58"/>
        <v>0</v>
      </c>
      <c r="G216" s="605"/>
      <c r="H216" s="605"/>
      <c r="I216" s="605"/>
      <c r="J216" s="605"/>
      <c r="K216" s="605"/>
      <c r="L216" s="605"/>
      <c r="M216" s="605"/>
      <c r="N216" s="605"/>
      <c r="O216" s="605"/>
      <c r="P216" s="605"/>
      <c r="Q216" s="605"/>
      <c r="R216" s="605"/>
      <c r="S216" s="605"/>
      <c r="T216" s="605"/>
      <c r="U216" s="605"/>
      <c r="V216" s="605"/>
      <c r="W216" s="605"/>
      <c r="X216" s="605"/>
      <c r="Y216" s="605"/>
      <c r="Z216" s="605"/>
      <c r="AA216" s="605"/>
      <c r="AB216" s="605"/>
      <c r="AC216" s="605"/>
      <c r="AD216" s="605"/>
      <c r="AE216" s="605"/>
      <c r="AF216" s="605"/>
      <c r="AG216" s="605"/>
      <c r="AH216" s="605"/>
      <c r="AI216" s="605"/>
      <c r="AJ216" s="605"/>
      <c r="AK216" s="605"/>
      <c r="AL216" s="605"/>
      <c r="AM216" s="605"/>
      <c r="AN216" s="605"/>
      <c r="AO216" s="605"/>
      <c r="AP216" s="605"/>
      <c r="AQ216" s="605"/>
      <c r="AR216" s="605"/>
      <c r="AS216" s="605"/>
      <c r="AT216" s="605">
        <f>$F216*10%</f>
        <v>0</v>
      </c>
      <c r="AU216" s="605">
        <f>IF(AU$121="입주/잔금",($F216-SUM($G216:AT216))*30%,IF(AT$121="입주/잔금",($F216-SUM($G216:AS216))*50%,IF(AS$121="입주/잔금",($F216-SUM($G216:AR216))*20%,IF(AU$121=0,0,IF(AU$121="2차중도금",$F216*30%-SUM($G216:AT216),IF(AU$121="3차중도금",$F216*40%-SUM($G216:AT216),IF(AU$121="4차중도금",$F216*50%-SUM($G216:AT216),$F216*10%)))))))+(IF(AU$121="5차중도금",$F216*60%-SUM($G216:AT216)-$F216*10%,IF(AU$121="6차중도금",$F216*70%-SUM($G216:AT216)-$F216*10%,0)))</f>
        <v>0</v>
      </c>
      <c r="AV216" s="605">
        <f>IF(AV$121="입주/잔금",($F216-SUM($G216:AU216))*30%,IF(AU$121="입주/잔금",($F216-SUM($G216:AT216))*50%,IF(AT$121="입주/잔금",($F216-SUM($G216:AS216))*20%,IF(AV$121=0,0,IF(AV$121="2차중도금",$F216*30%-SUM($G216:AU216),IF(AV$121="3차중도금",$F216*40%-SUM($G216:AU216),IF(AV$121="4차중도금",$F216*50%-SUM($G216:AU216),$F216*10%)))))))+(IF(AV$121="5차중도금",$F216*60%-SUM($G216:AU216)-$F216*10%,IF(AV$121="6차중도금",$F216*70%-SUM($G216:AU216)-$F216*10%,0)))</f>
        <v>0</v>
      </c>
      <c r="AW216" s="605">
        <f>IF(AW$121="입주/잔금",($F216-SUM($G216:AV216))*30%,IF(AV$121="입주/잔금",($F216-SUM($G216:AU216))*50%,IF(AU$121="입주/잔금",($F216-SUM($G216:AT216))*20%,IF(AW$121=0,0,IF(AW$121="2차중도금",$F216*30%-SUM($G216:AV216),IF(AW$121="3차중도금",$F216*40%-SUM($G216:AV216),IF(AW$121="4차중도금",$F216*50%-SUM($G216:AV216),$F216*10%)))))))+(IF(AW$121="5차중도금",$F216*60%-SUM($G216:AV216)-$F216*10%,IF(AW$121="6차중도금",$F216*70%-SUM($G216:AV216)-$F216*10%,0)))</f>
        <v>0</v>
      </c>
      <c r="AX216" s="605">
        <f>IF(AX$121="입주/잔금",($F216-SUM($G216:AW216))*30%,IF(AW$121="입주/잔금",($F216-SUM($G216:AV216))*50%,IF(AV$121="입주/잔금",($F216-SUM($G216:AU216))*20%,IF(AX$121=0,0,IF(AX$121="2차중도금",$F216*30%-SUM($G216:AW216),IF(AX$121="3차중도금",$F216*40%-SUM($G216:AW216),IF(AX$121="4차중도금",$F216*50%-SUM($G216:AW216),$F216*10%)))))))+(IF(AX$121="5차중도금",$F216*60%-SUM($G216:AW216)-$F216*10%,IF(AX$121="6차중도금",$F216*70%-SUM($G216:AW216)-$F216*10%,0)))</f>
        <v>0</v>
      </c>
      <c r="AY216" s="605">
        <f>IF(AY$121="입주/잔금",($F216-SUM($G216:AX216))*30%,IF(AX$121="입주/잔금",($F216-SUM($G216:AW216))*50%,IF(AW$121="입주/잔금",($F216-SUM($G216:AV216))*20%,IF(AY$121=0,0,IF(AY$121="2차중도금",$F216*30%-SUM($G216:AX216),IF(AY$121="3차중도금",$F216*40%-SUM($G216:AX216),IF(AY$121="4차중도금",$F216*50%-SUM($G216:AX216),$F216*10%)))))))+(IF(AY$121="5차중도금",$F216*60%-SUM($G216:AX216)-$F216*10%,IF(AY$121="6차중도금",$F216*70%-SUM($G216:AX216)-$F216*10%,0)))</f>
        <v>0</v>
      </c>
      <c r="AZ216" s="605">
        <f>IF(AZ$121="입주/잔금",($F216-SUM($G216:AY216))*30%,IF(AY$121="입주/잔금",($F216-SUM($G216:AX216))*50%,IF(AX$121="입주/잔금",($F216-SUM($G216:AW216))*20%,IF(AZ$121=0,0,IF(AZ$121="2차중도금",$F216*30%-SUM($G216:AY216),IF(AZ$121="3차중도금",$F216*40%-SUM($G216:AY216),IF(AZ$121="4차중도금",$F216*50%-SUM($G216:AY216),$F216*10%)))))))+(IF(AZ$121="5차중도금",$F216*60%-SUM($G216:AY216)-$F216*10%,IF(AZ$121="6차중도금",$F216*70%-SUM($G216:AY216)-$F216*10%,0)))</f>
        <v>0</v>
      </c>
      <c r="BA216" s="605">
        <f>IF(BA$121="입주/잔금",($F216-SUM($G216:AZ216))*30%,IF(AZ$121="입주/잔금",($F216-SUM($G216:AY216))*50%,IF(AY$121="입주/잔금",($F216-SUM($G216:AX216))*20%,IF(BA$121=0,0,IF(BA$121="2차중도금",$F216*30%-SUM($G216:AZ216),IF(BA$121="3차중도금",$F216*40%-SUM($G216:AZ216),IF(BA$121="4차중도금",$F216*50%-SUM($G216:AZ216),$F216*10%)))))))+(IF(BA$121="5차중도금",$F216*60%-SUM($G216:AZ216)-$F216*10%,IF(BA$121="6차중도금",$F216*70%-SUM($G216:AZ216)-$F216*10%,0)))</f>
        <v>0</v>
      </c>
      <c r="BB216" s="605">
        <f>IF(BB$121="입주/잔금",($F216-SUM($G216:BA216))*30%,IF(BA$121="입주/잔금",($F216-SUM($G216:AZ216))*50%,IF(AZ$121="입주/잔금",($F216-SUM($G216:AY216))*20%,IF(BB$121=0,0,IF(BB$121="2차중도금",$F216*30%-SUM($G216:BA216),IF(BB$121="3차중도금",$F216*40%-SUM($G216:BA216),IF(BB$121="4차중도금",$F216*50%-SUM($G216:BA216),$F216*10%)))))))+(IF(BB$121="5차중도금",$F216*60%-SUM($G216:BA216)-$F216*10%,IF(BB$121="6차중도금",$F216*70%-SUM($G216:BA216)-$F216*10%,0)))</f>
        <v>0</v>
      </c>
      <c r="BC216" s="605">
        <f>IF(BC$121="입주/잔금",($F216-SUM($G216:BB216))*30%,IF(BB$121="입주/잔금",($F216-SUM($G216:BA216))*50%,IF(BA$121="입주/잔금",($F216-SUM($G216:AZ216))*20%,IF(BC$121=0,0,IF(BC$121="2차중도금",$F216*30%-SUM($G216:BB216),IF(BC$121="3차중도금",$F216*40%-SUM($G216:BB216),IF(BC$121="4차중도금",$F216*50%-SUM($G216:BB216),$F216*10%)))))))+(IF(BC$121="5차중도금",$F216*60%-SUM($G216:BB216)-$F216*10%,IF(BC$121="6차중도금",$F216*70%-SUM($G216:BB216)-$F216*10%,0)))</f>
        <v>0</v>
      </c>
      <c r="BD216" s="605">
        <f>IF(BD$121="입주/잔금",($F216-SUM($G216:BC216))*30%,IF(BC$121="입주/잔금",($F216-SUM($G216:BB216))*50%,IF(BB$121="입주/잔금",($F216-SUM($G216:BA216))*20%,IF(BD$121=0,0,IF(BD$121="2차중도금",$F216*30%-SUM($G216:BC216),IF(BD$121="3차중도금",$F216*40%-SUM($G216:BC216),IF(BD$121="4차중도금",$F216*50%-SUM($G216:BC216),$F216*10%)))))))+(IF(BD$121="5차중도금",$F216*60%-SUM($G216:BC216)-$F216*10%,IF(BD$121="6차중도금",$F216*70%-SUM($G216:BC216)-$F216*10%,0)))</f>
        <v>0</v>
      </c>
      <c r="BE216" s="605">
        <f>IF(BE$121="입주/잔금",($F216-SUM($G216:BD216))*30%,IF(BD$121="입주/잔금",($F216-SUM($G216:BC216))*50%,IF(BC$121="입주/잔금",($F216-SUM($G216:BB216))*20%,IF(BE$121=0,0,IF(BE$121="2차중도금",$F216*30%-SUM($G216:BD216),IF(BE$121="3차중도금",$F216*40%-SUM($G216:BD216),IF(BE$121="4차중도금",$F216*50%-SUM($G216:BD216),$F216*10%)))))))+(IF(BE$121="5차중도금",$F216*60%-SUM($G216:BD216)-$F216*10%,IF(BE$121="6차중도금",$F216*70%-SUM($G216:BD216)-$F216*10%,0)))</f>
        <v>0</v>
      </c>
      <c r="BF216" s="609">
        <f t="shared" si="64"/>
        <v>0</v>
      </c>
      <c r="BG216" s="556">
        <f t="shared" si="59"/>
        <v>0</v>
      </c>
      <c r="BH216" s="610"/>
    </row>
    <row r="217" spans="1:60" hidden="1">
      <c r="A217" s="1853"/>
      <c r="B217" s="611">
        <f t="shared" si="60"/>
        <v>46054</v>
      </c>
      <c r="C217" s="615">
        <f t="shared" si="63"/>
        <v>0</v>
      </c>
      <c r="D217" s="606"/>
      <c r="E217" s="607">
        <f t="shared" si="62"/>
        <v>0</v>
      </c>
      <c r="F217" s="608">
        <f t="shared" si="58"/>
        <v>0</v>
      </c>
      <c r="G217" s="605"/>
      <c r="H217" s="605"/>
      <c r="I217" s="605"/>
      <c r="J217" s="605"/>
      <c r="K217" s="605"/>
      <c r="L217" s="605"/>
      <c r="M217" s="605"/>
      <c r="N217" s="605"/>
      <c r="O217" s="605"/>
      <c r="P217" s="605"/>
      <c r="Q217" s="605"/>
      <c r="R217" s="605"/>
      <c r="S217" s="605"/>
      <c r="T217" s="605"/>
      <c r="U217" s="605"/>
      <c r="V217" s="605"/>
      <c r="W217" s="605"/>
      <c r="X217" s="605"/>
      <c r="Y217" s="605"/>
      <c r="Z217" s="605"/>
      <c r="AA217" s="605"/>
      <c r="AB217" s="605"/>
      <c r="AC217" s="605"/>
      <c r="AD217" s="605"/>
      <c r="AE217" s="605"/>
      <c r="AF217" s="605"/>
      <c r="AG217" s="605"/>
      <c r="AH217" s="605"/>
      <c r="AI217" s="605"/>
      <c r="AJ217" s="605"/>
      <c r="AK217" s="605"/>
      <c r="AL217" s="605"/>
      <c r="AM217" s="605"/>
      <c r="AN217" s="605"/>
      <c r="AO217" s="605"/>
      <c r="AP217" s="605"/>
      <c r="AQ217" s="605"/>
      <c r="AR217" s="605"/>
      <c r="AS217" s="605"/>
      <c r="AT217" s="605"/>
      <c r="AU217" s="605">
        <f>$F217*10%</f>
        <v>0</v>
      </c>
      <c r="AV217" s="605">
        <f>IF(AV$121="입주/잔금",($F217-SUM($G217:AU217))*30%,IF(AU$121="입주/잔금",($F217-SUM($G217:AT217))*50%,IF(AT$121="입주/잔금",($F217-SUM($G217:AS217))*20%,IF(AV$121=0,0,IF(AV$121="2차중도금",$F217*30%-SUM($G217:AU217),IF(AV$121="3차중도금",$F217*40%-SUM($G217:AU217),IF(AV$121="4차중도금",$F217*50%-SUM($G217:AU217),$F217*10%)))))))+(IF(AV$121="5차중도금",$F217*60%-SUM($G217:AU217)-$F217*10%,IF(AV$121="6차중도금",$F217*70%-SUM($G217:AU217)-$F217*10%,0)))</f>
        <v>0</v>
      </c>
      <c r="AW217" s="605">
        <f>IF(AW$121="입주/잔금",($F217-SUM($G217:AV217))*30%,IF(AV$121="입주/잔금",($F217-SUM($G217:AU217))*50%,IF(AU$121="입주/잔금",($F217-SUM($G217:AT217))*20%,IF(AW$121=0,0,IF(AW$121="2차중도금",$F217*30%-SUM($G217:AV217),IF(AW$121="3차중도금",$F217*40%-SUM($G217:AV217),IF(AW$121="4차중도금",$F217*50%-SUM($G217:AV217),$F217*10%)))))))+(IF(AW$121="5차중도금",$F217*60%-SUM($G217:AV217)-$F217*10%,IF(AW$121="6차중도금",$F217*70%-SUM($G217:AV217)-$F217*10%,0)))</f>
        <v>0</v>
      </c>
      <c r="AX217" s="605">
        <f>IF(AX$121="입주/잔금",($F217-SUM($G217:AW217))*30%,IF(AW$121="입주/잔금",($F217-SUM($G217:AV217))*50%,IF(AV$121="입주/잔금",($F217-SUM($G217:AU217))*20%,IF(AX$121=0,0,IF(AX$121="2차중도금",$F217*30%-SUM($G217:AW217),IF(AX$121="3차중도금",$F217*40%-SUM($G217:AW217),IF(AX$121="4차중도금",$F217*50%-SUM($G217:AW217),$F217*10%)))))))+(IF(AX$121="5차중도금",$F217*60%-SUM($G217:AW217)-$F217*10%,IF(AX$121="6차중도금",$F217*70%-SUM($G217:AW217)-$F217*10%,0)))</f>
        <v>0</v>
      </c>
      <c r="AY217" s="605">
        <f>IF(AY$121="입주/잔금",($F217-SUM($G217:AX217))*30%,IF(AX$121="입주/잔금",($F217-SUM($G217:AW217))*50%,IF(AW$121="입주/잔금",($F217-SUM($G217:AV217))*20%,IF(AY$121=0,0,IF(AY$121="2차중도금",$F217*30%-SUM($G217:AX217),IF(AY$121="3차중도금",$F217*40%-SUM($G217:AX217),IF(AY$121="4차중도금",$F217*50%-SUM($G217:AX217),$F217*10%)))))))+(IF(AY$121="5차중도금",$F217*60%-SUM($G217:AX217)-$F217*10%,IF(AY$121="6차중도금",$F217*70%-SUM($G217:AX217)-$F217*10%,0)))</f>
        <v>0</v>
      </c>
      <c r="AZ217" s="605">
        <f>IF(AZ$121="입주/잔금",($F217-SUM($G217:AY217))*30%,IF(AY$121="입주/잔금",($F217-SUM($G217:AX217))*50%,IF(AX$121="입주/잔금",($F217-SUM($G217:AW217))*20%,IF(AZ$121=0,0,IF(AZ$121="2차중도금",$F217*30%-SUM($G217:AY217),IF(AZ$121="3차중도금",$F217*40%-SUM($G217:AY217),IF(AZ$121="4차중도금",$F217*50%-SUM($G217:AY217),$F217*10%)))))))+(IF(AZ$121="5차중도금",$F217*60%-SUM($G217:AY217)-$F217*10%,IF(AZ$121="6차중도금",$F217*70%-SUM($G217:AY217)-$F217*10%,0)))</f>
        <v>0</v>
      </c>
      <c r="BA217" s="605">
        <f>IF(BA$121="입주/잔금",($F217-SUM($G217:AZ217))*30%,IF(AZ$121="입주/잔금",($F217-SUM($G217:AY217))*50%,IF(AY$121="입주/잔금",($F217-SUM($G217:AX217))*20%,IF(BA$121=0,0,IF(BA$121="2차중도금",$F217*30%-SUM($G217:AZ217),IF(BA$121="3차중도금",$F217*40%-SUM($G217:AZ217),IF(BA$121="4차중도금",$F217*50%-SUM($G217:AZ217),$F217*10%)))))))+(IF(BA$121="5차중도금",$F217*60%-SUM($G217:AZ217)-$F217*10%,IF(BA$121="6차중도금",$F217*70%-SUM($G217:AZ217)-$F217*10%,0)))</f>
        <v>0</v>
      </c>
      <c r="BB217" s="605">
        <f>IF(BB$121="입주/잔금",($F217-SUM($G217:BA217))*30%,IF(BA$121="입주/잔금",($F217-SUM($G217:AZ217))*50%,IF(AZ$121="입주/잔금",($F217-SUM($G217:AY217))*20%,IF(BB$121=0,0,IF(BB$121="2차중도금",$F217*30%-SUM($G217:BA217),IF(BB$121="3차중도금",$F217*40%-SUM($G217:BA217),IF(BB$121="4차중도금",$F217*50%-SUM($G217:BA217),$F217*10%)))))))+(IF(BB$121="5차중도금",$F217*60%-SUM($G217:BA217)-$F217*10%,IF(BB$121="6차중도금",$F217*70%-SUM($G217:BA217)-$F217*10%,0)))</f>
        <v>0</v>
      </c>
      <c r="BC217" s="605">
        <f>IF(BC$121="입주/잔금",($F217-SUM($G217:BB217))*30%,IF(BB$121="입주/잔금",($F217-SUM($G217:BA217))*50%,IF(BA$121="입주/잔금",($F217-SUM($G217:AZ217))*20%,IF(BC$121=0,0,IF(BC$121="2차중도금",$F217*30%-SUM($G217:BB217),IF(BC$121="3차중도금",$F217*40%-SUM($G217:BB217),IF(BC$121="4차중도금",$F217*50%-SUM($G217:BB217),$F217*10%)))))))+(IF(BC$121="5차중도금",$F217*60%-SUM($G217:BB217)-$F217*10%,IF(BC$121="6차중도금",$F217*70%-SUM($G217:BB217)-$F217*10%,0)))</f>
        <v>0</v>
      </c>
      <c r="BD217" s="605">
        <f>IF(BD$121="입주/잔금",($F217-SUM($G217:BC217))*30%,IF(BC$121="입주/잔금",($F217-SUM($G217:BB217))*50%,IF(BB$121="입주/잔금",($F217-SUM($G217:BA217))*20%,IF(BD$121=0,0,IF(BD$121="2차중도금",$F217*30%-SUM($G217:BC217),IF(BD$121="3차중도금",$F217*40%-SUM($G217:BC217),IF(BD$121="4차중도금",$F217*50%-SUM($G217:BC217),$F217*10%)))))))+(IF(BD$121="5차중도금",$F217*60%-SUM($G217:BC217)-$F217*10%,IF(BD$121="6차중도금",$F217*70%-SUM($G217:BC217)-$F217*10%,0)))</f>
        <v>0</v>
      </c>
      <c r="BE217" s="605">
        <f>IF(BE$121="입주/잔금",($F217-SUM($G217:BD217))*30%,IF(BD$121="입주/잔금",($F217-SUM($G217:BC217))*50%,IF(BC$121="입주/잔금",($F217-SUM($G217:BB217))*20%,IF(BE$121=0,0,IF(BE$121="2차중도금",$F217*30%-SUM($G217:BD217),IF(BE$121="3차중도금",$F217*40%-SUM($G217:BD217),IF(BE$121="4차중도금",$F217*50%-SUM($G217:BD217),$F217*10%)))))))+(IF(BE$121="5차중도금",$F217*60%-SUM($G217:BD217)-$F217*10%,IF(BE$121="6차중도금",$F217*70%-SUM($G217:BD217)-$F217*10%,0)))</f>
        <v>0</v>
      </c>
      <c r="BF217" s="609">
        <f t="shared" si="64"/>
        <v>0</v>
      </c>
      <c r="BG217" s="556">
        <f t="shared" si="59"/>
        <v>0</v>
      </c>
      <c r="BH217" s="610"/>
    </row>
    <row r="218" spans="1:60" hidden="1">
      <c r="A218" s="1853"/>
      <c r="B218" s="611">
        <f t="shared" si="60"/>
        <v>46082</v>
      </c>
      <c r="C218" s="615">
        <f t="shared" si="63"/>
        <v>0</v>
      </c>
      <c r="D218" s="606"/>
      <c r="E218" s="607">
        <f t="shared" si="62"/>
        <v>0</v>
      </c>
      <c r="F218" s="608">
        <f t="shared" si="58"/>
        <v>0</v>
      </c>
      <c r="G218" s="605"/>
      <c r="H218" s="605"/>
      <c r="I218" s="605"/>
      <c r="J218" s="605"/>
      <c r="K218" s="605"/>
      <c r="L218" s="605"/>
      <c r="M218" s="605"/>
      <c r="N218" s="605"/>
      <c r="O218" s="605"/>
      <c r="P218" s="605"/>
      <c r="Q218" s="605"/>
      <c r="R218" s="605"/>
      <c r="S218" s="605"/>
      <c r="T218" s="605"/>
      <c r="U218" s="605"/>
      <c r="V218" s="605"/>
      <c r="W218" s="605"/>
      <c r="X218" s="605"/>
      <c r="Y218" s="605"/>
      <c r="Z218" s="605"/>
      <c r="AA218" s="605"/>
      <c r="AB218" s="605"/>
      <c r="AC218" s="605"/>
      <c r="AD218" s="605"/>
      <c r="AE218" s="605"/>
      <c r="AF218" s="605"/>
      <c r="AG218" s="605"/>
      <c r="AH218" s="605"/>
      <c r="AI218" s="605"/>
      <c r="AJ218" s="605"/>
      <c r="AK218" s="605"/>
      <c r="AL218" s="605"/>
      <c r="AM218" s="605"/>
      <c r="AN218" s="605"/>
      <c r="AO218" s="605"/>
      <c r="AP218" s="605"/>
      <c r="AQ218" s="605"/>
      <c r="AR218" s="605"/>
      <c r="AS218" s="605"/>
      <c r="AT218" s="605"/>
      <c r="AU218" s="605"/>
      <c r="AV218" s="605">
        <f>$F218*10%</f>
        <v>0</v>
      </c>
      <c r="AW218" s="605">
        <f>IF(AW$121="입주/잔금",($F218-SUM($G218:AV218))*30%,IF(AV$121="입주/잔금",($F218-SUM($G218:AU218))*50%,IF(AU$121="입주/잔금",($F218-SUM($G218:AT218))*20%,IF(AW$121=0,0,IF(AW$121="2차중도금",$F218*30%-SUM($G218:AV218),IF(AW$121="3차중도금",$F218*40%-SUM($G218:AV218),IF(AW$121="4차중도금",$F218*50%-SUM($G218:AV218),$F218*10%)))))))+(IF(AW$121="5차중도금",$F218*60%-SUM($G218:AV218)-$F218*10%,IF(AW$121="6차중도금",$F218*70%-SUM($G218:AV218)-$F218*10%,0)))</f>
        <v>0</v>
      </c>
      <c r="AX218" s="605">
        <f>IF(AX$121="입주/잔금",($F218-SUM($G218:AW218))*30%,IF(AW$121="입주/잔금",($F218-SUM($G218:AV218))*50%,IF(AV$121="입주/잔금",($F218-SUM($G218:AU218))*20%,IF(AX$121=0,0,IF(AX$121="2차중도금",$F218*30%-SUM($G218:AW218),IF(AX$121="3차중도금",$F218*40%-SUM($G218:AW218),IF(AX$121="4차중도금",$F218*50%-SUM($G218:AW218),$F218*10%)))))))+(IF(AX$121="5차중도금",$F218*60%-SUM($G218:AW218)-$F218*10%,IF(AX$121="6차중도금",$F218*70%-SUM($G218:AW218)-$F218*10%,0)))</f>
        <v>0</v>
      </c>
      <c r="AY218" s="605">
        <f>IF(AY$121="입주/잔금",($F218-SUM($G218:AX218))*30%,IF(AX$121="입주/잔금",($F218-SUM($G218:AW218))*50%,IF(AW$121="입주/잔금",($F218-SUM($G218:AV218))*20%,IF(AY$121=0,0,IF(AY$121="2차중도금",$F218*30%-SUM($G218:AX218),IF(AY$121="3차중도금",$F218*40%-SUM($G218:AX218),IF(AY$121="4차중도금",$F218*50%-SUM($G218:AX218),$F218*10%)))))))+(IF(AY$121="5차중도금",$F218*60%-SUM($G218:AX218)-$F218*10%,IF(AY$121="6차중도금",$F218*70%-SUM($G218:AX218)-$F218*10%,0)))</f>
        <v>0</v>
      </c>
      <c r="AZ218" s="605">
        <f>IF(AZ$121="입주/잔금",($F218-SUM($G218:AY218))*30%,IF(AY$121="입주/잔금",($F218-SUM($G218:AX218))*50%,IF(AX$121="입주/잔금",($F218-SUM($G218:AW218))*20%,IF(AZ$121=0,0,IF(AZ$121="2차중도금",$F218*30%-SUM($G218:AY218),IF(AZ$121="3차중도금",$F218*40%-SUM($G218:AY218),IF(AZ$121="4차중도금",$F218*50%-SUM($G218:AY218),$F218*10%)))))))+(IF(AZ$121="5차중도금",$F218*60%-SUM($G218:AY218)-$F218*10%,IF(AZ$121="6차중도금",$F218*70%-SUM($G218:AY218)-$F218*10%,0)))</f>
        <v>0</v>
      </c>
      <c r="BA218" s="605">
        <f>IF(BA$121="입주/잔금",($F218-SUM($G218:AZ218))*30%,IF(AZ$121="입주/잔금",($F218-SUM($G218:AY218))*50%,IF(AY$121="입주/잔금",($F218-SUM($G218:AX218))*20%,IF(BA$121=0,0,IF(BA$121="2차중도금",$F218*30%-SUM($G218:AZ218),IF(BA$121="3차중도금",$F218*40%-SUM($G218:AZ218),IF(BA$121="4차중도금",$F218*50%-SUM($G218:AZ218),$F218*10%)))))))+(IF(BA$121="5차중도금",$F218*60%-SUM($G218:AZ218)-$F218*10%,IF(BA$121="6차중도금",$F218*70%-SUM($G218:AZ218)-$F218*10%,0)))</f>
        <v>0</v>
      </c>
      <c r="BB218" s="605">
        <f>IF(BB$121="입주/잔금",($F218-SUM($G218:BA218))*30%,IF(BA$121="입주/잔금",($F218-SUM($G218:AZ218))*50%,IF(AZ$121="입주/잔금",($F218-SUM($G218:AY218))*20%,IF(BB$121=0,0,IF(BB$121="2차중도금",$F218*30%-SUM($G218:BA218),IF(BB$121="3차중도금",$F218*40%-SUM($G218:BA218),IF(BB$121="4차중도금",$F218*50%-SUM($G218:BA218),$F218*10%)))))))+(IF(BB$121="5차중도금",$F218*60%-SUM($G218:BA218)-$F218*10%,IF(BB$121="6차중도금",$F218*70%-SUM($G218:BA218)-$F218*10%,0)))</f>
        <v>0</v>
      </c>
      <c r="BC218" s="605">
        <f>IF(BC$121="입주/잔금",($F218-SUM($G218:BB218))*30%,IF(BB$121="입주/잔금",($F218-SUM($G218:BA218))*50%,IF(BA$121="입주/잔금",($F218-SUM($G218:AZ218))*20%,IF(BC$121=0,0,IF(BC$121="2차중도금",$F218*30%-SUM($G218:BB218),IF(BC$121="3차중도금",$F218*40%-SUM($G218:BB218),IF(BC$121="4차중도금",$F218*50%-SUM($G218:BB218),$F218*10%)))))))+(IF(BC$121="5차중도금",$F218*60%-SUM($G218:BB218)-$F218*10%,IF(BC$121="6차중도금",$F218*70%-SUM($G218:BB218)-$F218*10%,0)))</f>
        <v>0</v>
      </c>
      <c r="BD218" s="605">
        <f>IF(BD$121="입주/잔금",($F218-SUM($G218:BC218))*30%,IF(BC$121="입주/잔금",($F218-SUM($G218:BB218))*50%,IF(BB$121="입주/잔금",($F218-SUM($G218:BA218))*20%,IF(BD$121=0,0,IF(BD$121="2차중도금",$F218*30%-SUM($G218:BC218),IF(BD$121="3차중도금",$F218*40%-SUM($G218:BC218),IF(BD$121="4차중도금",$F218*50%-SUM($G218:BC218),$F218*10%)))))))+(IF(BD$121="5차중도금",$F218*60%-SUM($G218:BC218)-$F218*10%,IF(BD$121="6차중도금",$F218*70%-SUM($G218:BC218)-$F218*10%,0)))</f>
        <v>0</v>
      </c>
      <c r="BE218" s="605">
        <f>IF(BE$121="입주/잔금",($F218-SUM($G218:BD218))*30%,IF(BD$121="입주/잔금",($F218-SUM($G218:BC218))*50%,IF(BC$121="입주/잔금",($F218-SUM($G218:BB218))*20%,IF(BE$121=0,0,IF(BE$121="2차중도금",$F218*30%-SUM($G218:BD218),IF(BE$121="3차중도금",$F218*40%-SUM($G218:BD218),IF(BE$121="4차중도금",$F218*50%-SUM($G218:BD218),$F218*10%)))))))+(IF(BE$121="5차중도금",$F218*60%-SUM($G218:BD218)-$F218*10%,IF(BE$121="6차중도금",$F218*70%-SUM($G218:BD218)-$F218*10%,0)))</f>
        <v>0</v>
      </c>
      <c r="BF218" s="609">
        <f t="shared" si="64"/>
        <v>0</v>
      </c>
      <c r="BG218" s="556">
        <f t="shared" si="59"/>
        <v>0</v>
      </c>
      <c r="BH218" s="610"/>
    </row>
    <row r="219" spans="1:60" hidden="1">
      <c r="A219" s="1853"/>
      <c r="B219" s="604">
        <f t="shared" si="60"/>
        <v>46113</v>
      </c>
      <c r="C219" s="615">
        <f t="shared" si="63"/>
        <v>0</v>
      </c>
      <c r="D219" s="606"/>
      <c r="E219" s="607">
        <f t="shared" si="62"/>
        <v>0</v>
      </c>
      <c r="F219" s="608">
        <f t="shared" si="58"/>
        <v>0</v>
      </c>
      <c r="G219" s="605"/>
      <c r="H219" s="605"/>
      <c r="I219" s="605"/>
      <c r="J219" s="605"/>
      <c r="K219" s="605"/>
      <c r="L219" s="605"/>
      <c r="M219" s="605"/>
      <c r="N219" s="605"/>
      <c r="O219" s="605"/>
      <c r="P219" s="605"/>
      <c r="Q219" s="605"/>
      <c r="R219" s="605"/>
      <c r="S219" s="605"/>
      <c r="T219" s="605"/>
      <c r="U219" s="605"/>
      <c r="V219" s="605"/>
      <c r="W219" s="605"/>
      <c r="X219" s="605"/>
      <c r="Y219" s="605"/>
      <c r="Z219" s="605"/>
      <c r="AA219" s="605"/>
      <c r="AB219" s="605"/>
      <c r="AC219" s="605"/>
      <c r="AD219" s="605"/>
      <c r="AE219" s="605"/>
      <c r="AF219" s="605"/>
      <c r="AG219" s="605"/>
      <c r="AH219" s="605"/>
      <c r="AI219" s="605"/>
      <c r="AJ219" s="605"/>
      <c r="AK219" s="605"/>
      <c r="AL219" s="605"/>
      <c r="AM219" s="605"/>
      <c r="AN219" s="605"/>
      <c r="AO219" s="605"/>
      <c r="AP219" s="605"/>
      <c r="AQ219" s="605"/>
      <c r="AR219" s="605"/>
      <c r="AS219" s="605"/>
      <c r="AT219" s="605"/>
      <c r="AU219" s="605"/>
      <c r="AV219" s="605"/>
      <c r="AW219" s="605">
        <f>$F219*10%</f>
        <v>0</v>
      </c>
      <c r="AX219" s="605">
        <f>IF(AX$121="입주/잔금",($F219-SUM($G219:AW219))*30%,IF(AW$121="입주/잔금",($F219-SUM($G219:AV219))*50%,IF(AV$121="입주/잔금",($F219-SUM($G219:AU219))*20%,IF(AX$121=0,0,IF(AX$121="2차중도금",$F219*30%-SUM($G219:AW219),IF(AX$121="3차중도금",$F219*40%-SUM($G219:AW219),IF(AX$121="4차중도금",$F219*50%-SUM($G219:AW219),$F219*10%)))))))+(IF(AX$121="5차중도금",$F219*60%-SUM($G219:AW219)-$F219*10%,IF(AX$121="6차중도금",$F219*70%-SUM($G219:AW219)-$F219*10%,0)))</f>
        <v>0</v>
      </c>
      <c r="AY219" s="605">
        <f>IF(AY$121="입주/잔금",($F219-SUM($G219:AX219))*30%,IF(AX$121="입주/잔금",($F219-SUM($G219:AW219))*50%,IF(AW$121="입주/잔금",($F219-SUM($G219:AV219))*20%,IF(AY$121=0,0,IF(AY$121="2차중도금",$F219*30%-SUM($G219:AX219),IF(AY$121="3차중도금",$F219*40%-SUM($G219:AX219),IF(AY$121="4차중도금",$F219*50%-SUM($G219:AX219),$F219*10%)))))))+(IF(AY$121="5차중도금",$F219*60%-SUM($G219:AX219)-$F219*10%,IF(AY$121="6차중도금",$F219*70%-SUM($G219:AX219)-$F219*10%,0)))</f>
        <v>0</v>
      </c>
      <c r="AZ219" s="605">
        <f>IF(AZ$121="입주/잔금",($F219-SUM($G219:AY219))*30%,IF(AY$121="입주/잔금",($F219-SUM($G219:AX219))*50%,IF(AX$121="입주/잔금",($F219-SUM($G219:AW219))*20%,IF(AZ$121=0,0,IF(AZ$121="2차중도금",$F219*30%-SUM($G219:AY219),IF(AZ$121="3차중도금",$F219*40%-SUM($G219:AY219),IF(AZ$121="4차중도금",$F219*50%-SUM($G219:AY219),$F219*10%)))))))+(IF(AZ$121="5차중도금",$F219*60%-SUM($G219:AY219)-$F219*10%,IF(AZ$121="6차중도금",$F219*70%-SUM($G219:AY219)-$F219*10%,0)))</f>
        <v>0</v>
      </c>
      <c r="BA219" s="605">
        <f>IF(BA$121="입주/잔금",($F219-SUM($G219:AZ219))*30%,IF(AZ$121="입주/잔금",($F219-SUM($G219:AY219))*50%,IF(AY$121="입주/잔금",($F219-SUM($G219:AX219))*20%,IF(BA$121=0,0,IF(BA$121="2차중도금",$F219*30%-SUM($G219:AZ219),IF(BA$121="3차중도금",$F219*40%-SUM($G219:AZ219),IF(BA$121="4차중도금",$F219*50%-SUM($G219:AZ219),$F219*10%)))))))+(IF(BA$121="5차중도금",$F219*60%-SUM($G219:AZ219)-$F219*10%,IF(BA$121="6차중도금",$F219*70%-SUM($G219:AZ219)-$F219*10%,0)))</f>
        <v>0</v>
      </c>
      <c r="BB219" s="605">
        <f>IF(BB$121="입주/잔금",($F219-SUM($G219:BA219))*30%,IF(BA$121="입주/잔금",($F219-SUM($G219:AZ219))*50%,IF(AZ$121="입주/잔금",($F219-SUM($G219:AY219))*20%,IF(BB$121=0,0,IF(BB$121="2차중도금",$F219*30%-SUM($G219:BA219),IF(BB$121="3차중도금",$F219*40%-SUM($G219:BA219),IF(BB$121="4차중도금",$F219*50%-SUM($G219:BA219),$F219*10%)))))))+(IF(BB$121="5차중도금",$F219*60%-SUM($G219:BA219)-$F219*10%,IF(BB$121="6차중도금",$F219*70%-SUM($G219:BA219)-$F219*10%,0)))</f>
        <v>0</v>
      </c>
      <c r="BC219" s="605">
        <f>IF(BC$121="입주/잔금",($F219-SUM($G219:BB219))*30%,IF(BB$121="입주/잔금",($F219-SUM($G219:BA219))*50%,IF(BA$121="입주/잔금",($F219-SUM($G219:AZ219))*20%,IF(BC$121=0,0,IF(BC$121="2차중도금",$F219*30%-SUM($G219:BB219),IF(BC$121="3차중도금",$F219*40%-SUM($G219:BB219),IF(BC$121="4차중도금",$F219*50%-SUM($G219:BB219),$F219*10%)))))))+(IF(BC$121="5차중도금",$F219*60%-SUM($G219:BB219)-$F219*10%,IF(BC$121="6차중도금",$F219*70%-SUM($G219:BB219)-$F219*10%,0)))</f>
        <v>0</v>
      </c>
      <c r="BD219" s="605">
        <f>IF(BD$121="입주/잔금",($F219-SUM($G219:BC219))*30%,IF(BC$121="입주/잔금",($F219-SUM($G219:BB219))*50%,IF(BB$121="입주/잔금",($F219-SUM($G219:BA219))*20%,IF(BD$121=0,0,IF(BD$121="2차중도금",$F219*30%-SUM($G219:BC219),IF(BD$121="3차중도금",$F219*40%-SUM($G219:BC219),IF(BD$121="4차중도금",$F219*50%-SUM($G219:BC219),$F219*10%)))))))+(IF(BD$121="5차중도금",$F219*60%-SUM($G219:BC219)-$F219*10%,IF(BD$121="6차중도금",$F219*70%-SUM($G219:BC219)-$F219*10%,0)))</f>
        <v>0</v>
      </c>
      <c r="BE219" s="605">
        <f>IF(BE$121="입주/잔금",($F219-SUM($G219:BD219))*30%,IF(BD$121="입주/잔금",($F219-SUM($G219:BC219))*50%,IF(BC$121="입주/잔금",($F219-SUM($G219:BB219))*20%,IF(BE$121=0,0,IF(BE$121="2차중도금",$F219*30%-SUM($G219:BD219),IF(BE$121="3차중도금",$F219*40%-SUM($G219:BD219),IF(BE$121="4차중도금",$F219*50%-SUM($G219:BD219),$F219*10%)))))))+(IF(BE$121="5차중도금",$F219*60%-SUM($G219:BD219)-$F219*10%,IF(BE$121="6차중도금",$F219*70%-SUM($G219:BD219)-$F219*10%,0)))</f>
        <v>0</v>
      </c>
      <c r="BF219" s="609">
        <f t="shared" si="64"/>
        <v>0</v>
      </c>
      <c r="BG219" s="556">
        <f t="shared" si="59"/>
        <v>0</v>
      </c>
      <c r="BH219" s="610"/>
    </row>
    <row r="220" spans="1:60" hidden="1">
      <c r="A220" s="1853"/>
      <c r="B220" s="611">
        <f t="shared" si="60"/>
        <v>46143</v>
      </c>
      <c r="C220" s="615">
        <f t="shared" si="63"/>
        <v>0</v>
      </c>
      <c r="D220" s="606"/>
      <c r="E220" s="607">
        <f t="shared" si="62"/>
        <v>0</v>
      </c>
      <c r="F220" s="608">
        <f t="shared" si="58"/>
        <v>0</v>
      </c>
      <c r="G220" s="605"/>
      <c r="H220" s="605"/>
      <c r="I220" s="605"/>
      <c r="J220" s="605"/>
      <c r="K220" s="605"/>
      <c r="L220" s="605"/>
      <c r="M220" s="605"/>
      <c r="N220" s="605"/>
      <c r="O220" s="605"/>
      <c r="P220" s="605"/>
      <c r="Q220" s="605"/>
      <c r="R220" s="605"/>
      <c r="S220" s="605"/>
      <c r="T220" s="605"/>
      <c r="U220" s="605"/>
      <c r="V220" s="605"/>
      <c r="W220" s="605"/>
      <c r="X220" s="605"/>
      <c r="Y220" s="605"/>
      <c r="Z220" s="605"/>
      <c r="AA220" s="605"/>
      <c r="AB220" s="605"/>
      <c r="AC220" s="605"/>
      <c r="AD220" s="605"/>
      <c r="AE220" s="605"/>
      <c r="AF220" s="605"/>
      <c r="AG220" s="605"/>
      <c r="AH220" s="605"/>
      <c r="AI220" s="605"/>
      <c r="AJ220" s="605"/>
      <c r="AK220" s="605"/>
      <c r="AL220" s="605"/>
      <c r="AM220" s="605"/>
      <c r="AN220" s="605"/>
      <c r="AO220" s="605"/>
      <c r="AP220" s="605"/>
      <c r="AQ220" s="605"/>
      <c r="AR220" s="605"/>
      <c r="AS220" s="605"/>
      <c r="AT220" s="605"/>
      <c r="AU220" s="605"/>
      <c r="AV220" s="605"/>
      <c r="AW220" s="605"/>
      <c r="AX220" s="605">
        <f>$F220*10%</f>
        <v>0</v>
      </c>
      <c r="AY220" s="605">
        <f>IF(AY$121="입주/잔금",($F220-SUM($G220:AX220))*30%,IF(AX$121="입주/잔금",($F220-SUM($G220:AW220))*50%,IF(AW$121="입주/잔금",($F220-SUM($G220:AV220))*20%,IF(AY$121=0,0,IF(AY$121="2차중도금",$F220*30%-SUM($G220:AX220),IF(AY$121="3차중도금",$F220*40%-SUM($G220:AX220),IF(AY$121="4차중도금",$F220*50%-SUM($G220:AX220),$F220*10%)))))))+(IF(AY$121="5차중도금",$F220*60%-SUM($G220:AX220)-$F220*10%,IF(AY$121="6차중도금",$F220*70%-SUM($G220:AX220)-$F220*10%,0)))</f>
        <v>0</v>
      </c>
      <c r="AZ220" s="605">
        <f>IF(AZ$121="입주/잔금",($F220-SUM($G220:AY220))*30%,IF(AY$121="입주/잔금",($F220-SUM($G220:AX220))*50%,IF(AX$121="입주/잔금",($F220-SUM($G220:AW220))*20%,IF(AZ$121=0,0,IF(AZ$121="2차중도금",$F220*30%-SUM($G220:AY220),IF(AZ$121="3차중도금",$F220*40%-SUM($G220:AY220),IF(AZ$121="4차중도금",$F220*50%-SUM($G220:AY220),$F220*10%)))))))+(IF(AZ$121="5차중도금",$F220*60%-SUM($G220:AY220)-$F220*10%,IF(AZ$121="6차중도금",$F220*70%-SUM($G220:AY220)-$F220*10%,0)))</f>
        <v>0</v>
      </c>
      <c r="BA220" s="605">
        <f>IF(BA$121="입주/잔금",($F220-SUM($G220:AZ220))*30%,IF(AZ$121="입주/잔금",($F220-SUM($G220:AY220))*50%,IF(AY$121="입주/잔금",($F220-SUM($G220:AX220))*20%,IF(BA$121=0,0,IF(BA$121="2차중도금",$F220*30%-SUM($G220:AZ220),IF(BA$121="3차중도금",$F220*40%-SUM($G220:AZ220),IF(BA$121="4차중도금",$F220*50%-SUM($G220:AZ220),$F220*10%)))))))+(IF(BA$121="5차중도금",$F220*60%-SUM($G220:AZ220)-$F220*10%,IF(BA$121="6차중도금",$F220*70%-SUM($G220:AZ220)-$F220*10%,0)))</f>
        <v>0</v>
      </c>
      <c r="BB220" s="605">
        <f>IF(BB$121="입주/잔금",($F220-SUM($G220:BA220))*30%,IF(BA$121="입주/잔금",($F220-SUM($G220:AZ220))*50%,IF(AZ$121="입주/잔금",($F220-SUM($G220:AY220))*20%,IF(BB$121=0,0,IF(BB$121="2차중도금",$F220*30%-SUM($G220:BA220),IF(BB$121="3차중도금",$F220*40%-SUM($G220:BA220),IF(BB$121="4차중도금",$F220*50%-SUM($G220:BA220),$F220*10%)))))))+(IF(BB$121="5차중도금",$F220*60%-SUM($G220:BA220)-$F220*10%,IF(BB$121="6차중도금",$F220*70%-SUM($G220:BA220)-$F220*10%,0)))</f>
        <v>0</v>
      </c>
      <c r="BC220" s="605">
        <f>IF(BC$121="입주/잔금",($F220-SUM($G220:BB220))*30%,IF(BB$121="입주/잔금",($F220-SUM($G220:BA220))*50%,IF(BA$121="입주/잔금",($F220-SUM($G220:AZ220))*20%,IF(BC$121=0,0,IF(BC$121="2차중도금",$F220*30%-SUM($G220:BB220),IF(BC$121="3차중도금",$F220*40%-SUM($G220:BB220),IF(BC$121="4차중도금",$F220*50%-SUM($G220:BB220),$F220*10%)))))))+(IF(BC$121="5차중도금",$F220*60%-SUM($G220:BB220)-$F220*10%,IF(BC$121="6차중도금",$F220*70%-SUM($G220:BB220)-$F220*10%,0)))</f>
        <v>0</v>
      </c>
      <c r="BD220" s="605">
        <f>IF(BD$121="입주/잔금",($F220-SUM($G220:BC220))*30%,IF(BC$121="입주/잔금",($F220-SUM($G220:BB220))*50%,IF(BB$121="입주/잔금",($F220-SUM($G220:BA220))*20%,IF(BD$121=0,0,IF(BD$121="2차중도금",$F220*30%-SUM($G220:BC220),IF(BD$121="3차중도금",$F220*40%-SUM($G220:BC220),IF(BD$121="4차중도금",$F220*50%-SUM($G220:BC220),$F220*10%)))))))+(IF(BD$121="5차중도금",$F220*60%-SUM($G220:BC220)-$F220*10%,IF(BD$121="6차중도금",$F220*70%-SUM($G220:BC220)-$F220*10%,0)))</f>
        <v>0</v>
      </c>
      <c r="BE220" s="605">
        <f>IF(BE$121="입주/잔금",($F220-SUM($G220:BD220))*30%,IF(BD$121="입주/잔금",($F220-SUM($G220:BC220))*50%,IF(BC$121="입주/잔금",($F220-SUM($G220:BB220))*20%,IF(BE$121=0,0,IF(BE$121="2차중도금",$F220*30%-SUM($G220:BD220),IF(BE$121="3차중도금",$F220*40%-SUM($G220:BD220),IF(BE$121="4차중도금",$F220*50%-SUM($G220:BD220),$F220*10%)))))))+(IF(BE$121="5차중도금",$F220*60%-SUM($G220:BD220)-$F220*10%,IF(BE$121="6차중도금",$F220*70%-SUM($G220:BD220)-$F220*10%,0)))</f>
        <v>0</v>
      </c>
      <c r="BF220" s="609">
        <f t="shared" si="64"/>
        <v>0</v>
      </c>
      <c r="BG220" s="556">
        <f t="shared" si="59"/>
        <v>0</v>
      </c>
      <c r="BH220" s="610"/>
    </row>
    <row r="221" spans="1:60" hidden="1">
      <c r="A221" s="1853"/>
      <c r="B221" s="611">
        <f t="shared" si="60"/>
        <v>46174</v>
      </c>
      <c r="C221" s="615">
        <f t="shared" si="63"/>
        <v>0</v>
      </c>
      <c r="D221" s="606"/>
      <c r="E221" s="607">
        <f t="shared" si="62"/>
        <v>0</v>
      </c>
      <c r="F221" s="608">
        <f t="shared" si="58"/>
        <v>0</v>
      </c>
      <c r="G221" s="605"/>
      <c r="H221" s="605"/>
      <c r="I221" s="605"/>
      <c r="J221" s="605"/>
      <c r="K221" s="605"/>
      <c r="L221" s="605"/>
      <c r="M221" s="605"/>
      <c r="N221" s="605"/>
      <c r="O221" s="605"/>
      <c r="P221" s="605"/>
      <c r="Q221" s="605"/>
      <c r="R221" s="605"/>
      <c r="S221" s="605"/>
      <c r="T221" s="605"/>
      <c r="U221" s="605"/>
      <c r="V221" s="605"/>
      <c r="W221" s="605"/>
      <c r="X221" s="605"/>
      <c r="Y221" s="605"/>
      <c r="Z221" s="605"/>
      <c r="AA221" s="605"/>
      <c r="AB221" s="605"/>
      <c r="AC221" s="605"/>
      <c r="AD221" s="605"/>
      <c r="AE221" s="605"/>
      <c r="AF221" s="605"/>
      <c r="AG221" s="605"/>
      <c r="AH221" s="605"/>
      <c r="AI221" s="605"/>
      <c r="AJ221" s="605"/>
      <c r="AK221" s="605"/>
      <c r="AL221" s="605"/>
      <c r="AM221" s="605"/>
      <c r="AN221" s="605"/>
      <c r="AO221" s="605"/>
      <c r="AP221" s="605"/>
      <c r="AQ221" s="605"/>
      <c r="AR221" s="605"/>
      <c r="AS221" s="605"/>
      <c r="AT221" s="605"/>
      <c r="AU221" s="605"/>
      <c r="AV221" s="605"/>
      <c r="AW221" s="605"/>
      <c r="AX221" s="605"/>
      <c r="AY221" s="605">
        <f>$F221*10%</f>
        <v>0</v>
      </c>
      <c r="AZ221" s="605">
        <f>IF(AZ$121="입주/잔금",($F221-SUM($G221:AY221))*30%,IF(AY$121="입주/잔금",($F221-SUM($G221:AX221))*50%,IF(AX$121="입주/잔금",($F221-SUM($G221:AW221))*20%,IF(AZ$121=0,0,IF(AZ$121="2차중도금",$F221*30%-SUM($G221:AY221),IF(AZ$121="3차중도금",$F221*40%-SUM($G221:AY221),IF(AZ$121="4차중도금",$F221*50%-SUM($G221:AY221),$F221*10%)))))))*AND(IF(AZ$121="5차중도금",$F221*60%-SUM($G221:AY221),IF(AZ$121="6차중도금",$F221*70%-SUM($G221:AY221),$F221*10%)))</f>
        <v>0</v>
      </c>
      <c r="BA221" s="605">
        <f>IF(BA$121="입주/잔금",($F221-SUM($G221:AZ221))*30%,IF(AZ$121="입주/잔금",($F221-SUM($G221:AY221))*50%,IF(AY$121="입주/잔금",($F221-SUM($G221:AX221))*20%,IF(BA$121=0,0,IF(BA$121="2차중도금",$F221*30%-SUM($G221:AZ221),IF(BA$121="3차중도금",$F221*40%-SUM($G221:AZ221),IF(BA$121="4차중도금",$F221*50%-SUM($G221:AZ221),$F221*10%)))))))*AND(IF(BA$121="5차중도금",$F221*60%-SUM($G221:AZ221),IF(BA$121="6차중도금",$F221*70%-SUM($G221:AZ221),$F221*10%)))</f>
        <v>0</v>
      </c>
      <c r="BB221" s="605">
        <f>IF(BB$121="입주/잔금",($F221-SUM($G221:BA221))*30%,IF(BA$121="입주/잔금",($F221-SUM($G221:AZ221))*50%,IF(AZ$121="입주/잔금",($F221-SUM($G221:AY221))*20%,IF(BB$121=0,0,IF(BB$121="2차중도금",$F221*30%-SUM($G221:BA221),IF(BB$121="3차중도금",$F221*40%-SUM($G221:BA221),IF(BB$121="4차중도금",$F221*50%-SUM($G221:BA221),$F221*10%)))))))*AND(IF(BB$121="5차중도금",$F221*60%-SUM($G221:BA221),IF(BB$121="6차중도금",$F221*70%-SUM($G221:BA221),$F221*10%)))</f>
        <v>0</v>
      </c>
      <c r="BC221" s="605">
        <f>IF(BC$121="입주/잔금",($F221-SUM($G221:BB221))*30%,IF(BB$121="입주/잔금",($F221-SUM($G221:BA221))*50%,IF(BA$121="입주/잔금",($F221-SUM($G221:AZ221))*20%,IF(BC$121=0,0,IF(BC$121="2차중도금",$F221*30%-SUM($G221:BB221),IF(BC$121="3차중도금",$F221*40%-SUM($G221:BB221),IF(BC$121="4차중도금",$F221*50%-SUM($G221:BB221),$F221*10%)))))))*AND(IF(BC$121="5차중도금",$F221*60%-SUM($G221:BB221),IF(BC$121="6차중도금",$F221*70%-SUM($G221:BB221),$F221*10%)))</f>
        <v>0</v>
      </c>
      <c r="BD221" s="605">
        <f>IF(BD$121="입주/잔금",($F221-SUM($G221:BC221))*30%,IF(BC$121="입주/잔금",($F221-SUM($G221:BB221))*50%,IF(BB$121="입주/잔금",($F221-SUM($G221:BA221))*20%,IF(BD$121=0,0,IF(BD$121="2차중도금",$F221*30%-SUM($G221:BC221),IF(BD$121="3차중도금",$F221*40%-SUM($G221:BC221),IF(BD$121="4차중도금",$F221*50%-SUM($G221:BC221),$F221*10%)))))))*AND(IF(BD$121="5차중도금",$F221*60%-SUM($G221:BC221),IF(BD$121="6차중도금",$F221*70%-SUM($G221:BC221),$F221*10%)))</f>
        <v>0</v>
      </c>
      <c r="BE221" s="605">
        <f>IF(BE$121="입주/잔금",($F221-SUM($G221:BD221))*30%,IF(BD$121="입주/잔금",($F221-SUM($G221:BC221))*50%,IF(BC$121="입주/잔금",($F221-SUM($G221:BB221))*20%,IF(BE$121=0,0,IF(BE$121="2차중도금",$F221*30%-SUM($G221:BD221),IF(BE$121="3차중도금",$F221*40%-SUM($G221:BD221),IF(BE$121="4차중도금",$F221*50%-SUM($G221:BD221),$F221*10%)))))))*AND(IF(BE$121="5차중도금",$F221*60%-SUM($G221:BD221),IF(BE$121="6차중도금",$F221*70%-SUM($G221:BD221),$F221*10%)))</f>
        <v>0</v>
      </c>
      <c r="BF221" s="609">
        <f t="shared" si="64"/>
        <v>0</v>
      </c>
      <c r="BG221" s="556">
        <f t="shared" si="59"/>
        <v>0</v>
      </c>
      <c r="BH221" s="610"/>
    </row>
    <row r="222" spans="1:60" hidden="1">
      <c r="A222" s="1853"/>
      <c r="B222" s="611">
        <f t="shared" si="60"/>
        <v>46204</v>
      </c>
      <c r="C222" s="615">
        <f t="shared" si="63"/>
        <v>0</v>
      </c>
      <c r="D222" s="606"/>
      <c r="E222" s="607">
        <f t="shared" si="62"/>
        <v>0</v>
      </c>
      <c r="F222" s="608">
        <f t="shared" si="58"/>
        <v>0</v>
      </c>
      <c r="G222" s="605"/>
      <c r="H222" s="605"/>
      <c r="I222" s="605"/>
      <c r="J222" s="605"/>
      <c r="K222" s="605"/>
      <c r="L222" s="605"/>
      <c r="M222" s="605"/>
      <c r="N222" s="605"/>
      <c r="O222" s="605"/>
      <c r="P222" s="605"/>
      <c r="Q222" s="605"/>
      <c r="R222" s="605"/>
      <c r="S222" s="605"/>
      <c r="T222" s="605"/>
      <c r="U222" s="605"/>
      <c r="V222" s="605"/>
      <c r="W222" s="605"/>
      <c r="X222" s="605"/>
      <c r="Y222" s="605"/>
      <c r="Z222" s="605"/>
      <c r="AA222" s="605"/>
      <c r="AB222" s="605"/>
      <c r="AC222" s="605"/>
      <c r="AD222" s="605"/>
      <c r="AE222" s="605"/>
      <c r="AF222" s="605"/>
      <c r="AG222" s="605"/>
      <c r="AH222" s="605"/>
      <c r="AI222" s="605"/>
      <c r="AJ222" s="605"/>
      <c r="AK222" s="605"/>
      <c r="AL222" s="605"/>
      <c r="AM222" s="605"/>
      <c r="AN222" s="605"/>
      <c r="AO222" s="605"/>
      <c r="AP222" s="605"/>
      <c r="AQ222" s="605"/>
      <c r="AR222" s="605"/>
      <c r="AS222" s="605"/>
      <c r="AT222" s="605"/>
      <c r="AU222" s="605"/>
      <c r="AV222" s="605"/>
      <c r="AW222" s="605"/>
      <c r="AX222" s="605"/>
      <c r="AY222" s="605"/>
      <c r="AZ222" s="605"/>
      <c r="BA222" s="605"/>
      <c r="BB222" s="605"/>
      <c r="BC222" s="605"/>
      <c r="BD222" s="605"/>
      <c r="BE222" s="605"/>
      <c r="BF222" s="609">
        <f t="shared" si="64"/>
        <v>0</v>
      </c>
      <c r="BG222" s="556">
        <f t="shared" si="59"/>
        <v>0</v>
      </c>
      <c r="BH222" s="610"/>
    </row>
    <row r="223" spans="1:60" hidden="1">
      <c r="A223" s="1853"/>
      <c r="B223" s="611">
        <f t="shared" si="60"/>
        <v>46235</v>
      </c>
      <c r="C223" s="615">
        <f t="shared" si="63"/>
        <v>0</v>
      </c>
      <c r="D223" s="606"/>
      <c r="E223" s="607">
        <f>E222+D223</f>
        <v>0</v>
      </c>
      <c r="F223" s="608">
        <f>C223*D223</f>
        <v>0</v>
      </c>
      <c r="G223" s="605"/>
      <c r="H223" s="605"/>
      <c r="I223" s="605"/>
      <c r="J223" s="605"/>
      <c r="K223" s="605"/>
      <c r="L223" s="605"/>
      <c r="M223" s="605"/>
      <c r="N223" s="605"/>
      <c r="O223" s="605"/>
      <c r="P223" s="605"/>
      <c r="Q223" s="605"/>
      <c r="R223" s="605"/>
      <c r="S223" s="605"/>
      <c r="T223" s="605"/>
      <c r="U223" s="605"/>
      <c r="V223" s="605"/>
      <c r="W223" s="605"/>
      <c r="X223" s="605"/>
      <c r="Y223" s="605"/>
      <c r="Z223" s="605"/>
      <c r="AA223" s="605"/>
      <c r="AB223" s="605"/>
      <c r="AC223" s="605"/>
      <c r="AD223" s="605"/>
      <c r="AE223" s="605"/>
      <c r="AF223" s="605"/>
      <c r="AG223" s="605"/>
      <c r="AH223" s="605"/>
      <c r="AI223" s="605"/>
      <c r="AJ223" s="605"/>
      <c r="AK223" s="605"/>
      <c r="AL223" s="605"/>
      <c r="AM223" s="605"/>
      <c r="AN223" s="605"/>
      <c r="AO223" s="605"/>
      <c r="AP223" s="605"/>
      <c r="AQ223" s="605"/>
      <c r="AR223" s="605"/>
      <c r="AS223" s="605"/>
      <c r="AT223" s="605"/>
      <c r="AU223" s="605"/>
      <c r="AV223" s="605"/>
      <c r="AW223" s="605"/>
      <c r="AX223" s="605"/>
      <c r="AY223" s="605"/>
      <c r="AZ223" s="605"/>
      <c r="BA223" s="605"/>
      <c r="BB223" s="605"/>
      <c r="BC223" s="605"/>
      <c r="BD223" s="605"/>
      <c r="BE223" s="605"/>
      <c r="BF223" s="609">
        <f t="shared" si="64"/>
        <v>0</v>
      </c>
      <c r="BG223" s="556">
        <f t="shared" si="59"/>
        <v>0</v>
      </c>
      <c r="BH223" s="610"/>
    </row>
    <row r="224" spans="1:60" hidden="1">
      <c r="A224" s="1853"/>
      <c r="B224" s="611">
        <f t="shared" si="60"/>
        <v>46266</v>
      </c>
      <c r="C224" s="615">
        <f t="shared" si="63"/>
        <v>0</v>
      </c>
      <c r="D224" s="606"/>
      <c r="E224" s="607">
        <f>E223+D224</f>
        <v>0</v>
      </c>
      <c r="F224" s="608">
        <f>C224*D224</f>
        <v>0</v>
      </c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05"/>
      <c r="AB224" s="605"/>
      <c r="AC224" s="605"/>
      <c r="AD224" s="605"/>
      <c r="AE224" s="605"/>
      <c r="AF224" s="605"/>
      <c r="AG224" s="605"/>
      <c r="AH224" s="605"/>
      <c r="AI224" s="605"/>
      <c r="AJ224" s="605"/>
      <c r="AK224" s="605"/>
      <c r="AL224" s="605"/>
      <c r="AM224" s="605"/>
      <c r="AN224" s="605"/>
      <c r="AO224" s="605"/>
      <c r="AP224" s="605"/>
      <c r="AQ224" s="605"/>
      <c r="AR224" s="605"/>
      <c r="AS224" s="605"/>
      <c r="AT224" s="605"/>
      <c r="AU224" s="605"/>
      <c r="AV224" s="605"/>
      <c r="AW224" s="605"/>
      <c r="AX224" s="605"/>
      <c r="AY224" s="605"/>
      <c r="AZ224" s="605"/>
      <c r="BA224" s="605"/>
      <c r="BB224" s="605"/>
      <c r="BC224" s="605"/>
      <c r="BD224" s="605"/>
      <c r="BE224" s="605"/>
      <c r="BF224" s="609">
        <f>SUM(G224:BE224)</f>
        <v>0</v>
      </c>
      <c r="BG224" s="556">
        <f>+F224-BF224</f>
        <v>0</v>
      </c>
      <c r="BH224" s="610"/>
    </row>
    <row r="225" spans="1:60" hidden="1">
      <c r="A225" s="1853"/>
      <c r="B225" s="611">
        <f t="shared" si="60"/>
        <v>46296</v>
      </c>
      <c r="C225" s="615">
        <f t="shared" si="63"/>
        <v>0</v>
      </c>
      <c r="D225" s="606"/>
      <c r="E225" s="607">
        <f>E224+D225</f>
        <v>0</v>
      </c>
      <c r="F225" s="608">
        <f>C225*D225</f>
        <v>0</v>
      </c>
      <c r="G225" s="605"/>
      <c r="H225" s="605"/>
      <c r="I225" s="605"/>
      <c r="J225" s="605"/>
      <c r="K225" s="605"/>
      <c r="L225" s="605"/>
      <c r="M225" s="605"/>
      <c r="N225" s="605"/>
      <c r="O225" s="605"/>
      <c r="P225" s="605"/>
      <c r="Q225" s="605"/>
      <c r="R225" s="605"/>
      <c r="S225" s="605"/>
      <c r="T225" s="605"/>
      <c r="U225" s="605"/>
      <c r="V225" s="605"/>
      <c r="W225" s="605"/>
      <c r="X225" s="605"/>
      <c r="Y225" s="605"/>
      <c r="Z225" s="605"/>
      <c r="AA225" s="605"/>
      <c r="AB225" s="605"/>
      <c r="AC225" s="605"/>
      <c r="AD225" s="605"/>
      <c r="AE225" s="605"/>
      <c r="AF225" s="605"/>
      <c r="AG225" s="605"/>
      <c r="AH225" s="605"/>
      <c r="AI225" s="605"/>
      <c r="AJ225" s="605"/>
      <c r="AK225" s="605"/>
      <c r="AL225" s="605"/>
      <c r="AM225" s="605"/>
      <c r="AN225" s="605"/>
      <c r="AO225" s="605"/>
      <c r="AP225" s="605"/>
      <c r="AQ225" s="605"/>
      <c r="AR225" s="605"/>
      <c r="AS225" s="605"/>
      <c r="AT225" s="605"/>
      <c r="AU225" s="605"/>
      <c r="AV225" s="605"/>
      <c r="AW225" s="605"/>
      <c r="AX225" s="605"/>
      <c r="AY225" s="605"/>
      <c r="AZ225" s="605"/>
      <c r="BA225" s="605"/>
      <c r="BB225" s="605"/>
      <c r="BC225" s="605"/>
      <c r="BD225" s="605"/>
      <c r="BE225" s="605"/>
      <c r="BF225" s="609">
        <f>SUM(G225:BE225)</f>
        <v>0</v>
      </c>
      <c r="BG225" s="556">
        <f>+F225-BF225</f>
        <v>0</v>
      </c>
      <c r="BH225" s="610"/>
    </row>
    <row r="226" spans="1:60" hidden="1">
      <c r="A226" s="1853"/>
      <c r="B226" s="611">
        <f t="shared" si="60"/>
        <v>46327</v>
      </c>
      <c r="C226" s="615">
        <f t="shared" si="63"/>
        <v>0</v>
      </c>
      <c r="D226" s="606"/>
      <c r="E226" s="607">
        <f>E225+D226</f>
        <v>0</v>
      </c>
      <c r="F226" s="608">
        <f>C226*D226</f>
        <v>0</v>
      </c>
      <c r="G226" s="605"/>
      <c r="H226" s="605"/>
      <c r="I226" s="605"/>
      <c r="J226" s="605"/>
      <c r="K226" s="605"/>
      <c r="L226" s="605"/>
      <c r="M226" s="605"/>
      <c r="N226" s="605"/>
      <c r="O226" s="605"/>
      <c r="P226" s="605"/>
      <c r="Q226" s="605"/>
      <c r="R226" s="605"/>
      <c r="S226" s="605"/>
      <c r="T226" s="605"/>
      <c r="U226" s="605"/>
      <c r="V226" s="605"/>
      <c r="W226" s="605"/>
      <c r="X226" s="605"/>
      <c r="Y226" s="605"/>
      <c r="Z226" s="605"/>
      <c r="AA226" s="605"/>
      <c r="AB226" s="605"/>
      <c r="AC226" s="605"/>
      <c r="AD226" s="605"/>
      <c r="AE226" s="605"/>
      <c r="AF226" s="605"/>
      <c r="AG226" s="605"/>
      <c r="AH226" s="605"/>
      <c r="AI226" s="605"/>
      <c r="AJ226" s="605"/>
      <c r="AK226" s="605"/>
      <c r="AL226" s="605"/>
      <c r="AM226" s="605"/>
      <c r="AN226" s="605"/>
      <c r="AO226" s="605"/>
      <c r="AP226" s="605"/>
      <c r="AQ226" s="605"/>
      <c r="AR226" s="605"/>
      <c r="AS226" s="605"/>
      <c r="AT226" s="605"/>
      <c r="AU226" s="605"/>
      <c r="AV226" s="605"/>
      <c r="AW226" s="605"/>
      <c r="AX226" s="605"/>
      <c r="AY226" s="605"/>
      <c r="AZ226" s="605"/>
      <c r="BA226" s="605"/>
      <c r="BB226" s="605"/>
      <c r="BC226" s="605"/>
      <c r="BD226" s="605"/>
      <c r="BE226" s="605"/>
      <c r="BF226" s="609">
        <f>SUM(G226:BE226)</f>
        <v>0</v>
      </c>
      <c r="BG226" s="556">
        <f>+F226-BF226</f>
        <v>0</v>
      </c>
      <c r="BH226" s="610"/>
    </row>
    <row r="227" spans="1:60" hidden="1">
      <c r="A227" s="1854"/>
      <c r="B227" s="611">
        <f t="shared" si="60"/>
        <v>46357</v>
      </c>
      <c r="C227" s="615">
        <f t="shared" si="63"/>
        <v>0</v>
      </c>
      <c r="D227" s="606"/>
      <c r="E227" s="607">
        <f>E226+D227</f>
        <v>0</v>
      </c>
      <c r="F227" s="608">
        <f>C227*D227</f>
        <v>0</v>
      </c>
      <c r="G227" s="605"/>
      <c r="H227" s="605"/>
      <c r="I227" s="605"/>
      <c r="J227" s="605"/>
      <c r="K227" s="605"/>
      <c r="L227" s="605"/>
      <c r="M227" s="605"/>
      <c r="N227" s="605"/>
      <c r="O227" s="605"/>
      <c r="P227" s="605"/>
      <c r="Q227" s="605"/>
      <c r="R227" s="605"/>
      <c r="S227" s="605"/>
      <c r="T227" s="605"/>
      <c r="U227" s="605"/>
      <c r="V227" s="605"/>
      <c r="W227" s="605"/>
      <c r="X227" s="605"/>
      <c r="Y227" s="605"/>
      <c r="Z227" s="605"/>
      <c r="AA227" s="605"/>
      <c r="AB227" s="605"/>
      <c r="AC227" s="605"/>
      <c r="AD227" s="605"/>
      <c r="AE227" s="605"/>
      <c r="AF227" s="605"/>
      <c r="AG227" s="605"/>
      <c r="AH227" s="605"/>
      <c r="AI227" s="605"/>
      <c r="AJ227" s="605"/>
      <c r="AK227" s="605"/>
      <c r="AL227" s="605"/>
      <c r="AM227" s="605"/>
      <c r="AN227" s="605"/>
      <c r="AO227" s="605"/>
      <c r="AP227" s="605"/>
      <c r="AQ227" s="605"/>
      <c r="AR227" s="605"/>
      <c r="AS227" s="605"/>
      <c r="AT227" s="605"/>
      <c r="AU227" s="605"/>
      <c r="AV227" s="605"/>
      <c r="AW227" s="605"/>
      <c r="AX227" s="605"/>
      <c r="AY227" s="605"/>
      <c r="AZ227" s="605"/>
      <c r="BA227" s="605"/>
      <c r="BB227" s="605"/>
      <c r="BC227" s="605"/>
      <c r="BD227" s="605"/>
      <c r="BE227" s="605"/>
      <c r="BF227" s="609">
        <f>SUM(G227:BE227)</f>
        <v>0</v>
      </c>
      <c r="BG227" s="556">
        <f>+F227-BF227</f>
        <v>0</v>
      </c>
      <c r="BH227" s="610"/>
    </row>
    <row r="228" spans="1:60" hidden="1">
      <c r="A228" s="1852" t="s">
        <v>366</v>
      </c>
      <c r="B228" s="616" t="s">
        <v>355</v>
      </c>
      <c r="C228" s="617">
        <f>C227</f>
        <v>0</v>
      </c>
      <c r="D228" s="618"/>
      <c r="E228" s="618"/>
      <c r="F228" s="617">
        <f t="shared" ref="F228:BE228" si="65">SUM(F177:F227)</f>
        <v>0</v>
      </c>
      <c r="G228" s="619">
        <f t="shared" si="65"/>
        <v>0</v>
      </c>
      <c r="H228" s="619">
        <f t="shared" si="65"/>
        <v>0</v>
      </c>
      <c r="I228" s="619">
        <f t="shared" si="65"/>
        <v>0</v>
      </c>
      <c r="J228" s="619">
        <f t="shared" si="65"/>
        <v>0</v>
      </c>
      <c r="K228" s="619">
        <f t="shared" si="65"/>
        <v>0</v>
      </c>
      <c r="L228" s="619">
        <f t="shared" si="65"/>
        <v>0</v>
      </c>
      <c r="M228" s="619">
        <f t="shared" si="65"/>
        <v>0</v>
      </c>
      <c r="N228" s="619">
        <f t="shared" si="65"/>
        <v>0</v>
      </c>
      <c r="O228" s="619">
        <f t="shared" si="65"/>
        <v>0</v>
      </c>
      <c r="P228" s="619">
        <f t="shared" si="65"/>
        <v>0</v>
      </c>
      <c r="Q228" s="619">
        <f t="shared" si="65"/>
        <v>0</v>
      </c>
      <c r="R228" s="619">
        <f t="shared" si="65"/>
        <v>0</v>
      </c>
      <c r="S228" s="619">
        <f t="shared" si="65"/>
        <v>0</v>
      </c>
      <c r="T228" s="619">
        <f t="shared" si="65"/>
        <v>0</v>
      </c>
      <c r="U228" s="619">
        <f t="shared" si="65"/>
        <v>0</v>
      </c>
      <c r="V228" s="619">
        <f t="shared" si="65"/>
        <v>0</v>
      </c>
      <c r="W228" s="619">
        <f t="shared" si="65"/>
        <v>0</v>
      </c>
      <c r="X228" s="619">
        <f t="shared" si="65"/>
        <v>0</v>
      </c>
      <c r="Y228" s="619">
        <f t="shared" si="65"/>
        <v>0</v>
      </c>
      <c r="Z228" s="619">
        <f t="shared" si="65"/>
        <v>0</v>
      </c>
      <c r="AA228" s="619">
        <f t="shared" si="65"/>
        <v>0</v>
      </c>
      <c r="AB228" s="619">
        <f t="shared" si="65"/>
        <v>0</v>
      </c>
      <c r="AC228" s="619">
        <f t="shared" si="65"/>
        <v>0</v>
      </c>
      <c r="AD228" s="619">
        <f t="shared" si="65"/>
        <v>0</v>
      </c>
      <c r="AE228" s="619">
        <f t="shared" si="65"/>
        <v>0</v>
      </c>
      <c r="AF228" s="619">
        <f t="shared" si="65"/>
        <v>0</v>
      </c>
      <c r="AG228" s="619">
        <f t="shared" si="65"/>
        <v>0</v>
      </c>
      <c r="AH228" s="619">
        <f t="shared" si="65"/>
        <v>0</v>
      </c>
      <c r="AI228" s="619">
        <f t="shared" si="65"/>
        <v>0</v>
      </c>
      <c r="AJ228" s="619">
        <f t="shared" si="65"/>
        <v>0</v>
      </c>
      <c r="AK228" s="619">
        <f t="shared" si="65"/>
        <v>0</v>
      </c>
      <c r="AL228" s="619">
        <f t="shared" si="65"/>
        <v>0</v>
      </c>
      <c r="AM228" s="619">
        <f t="shared" si="65"/>
        <v>0</v>
      </c>
      <c r="AN228" s="619">
        <f t="shared" si="65"/>
        <v>0</v>
      </c>
      <c r="AO228" s="619">
        <f t="shared" si="65"/>
        <v>0</v>
      </c>
      <c r="AP228" s="619">
        <f t="shared" si="65"/>
        <v>0</v>
      </c>
      <c r="AQ228" s="619">
        <f t="shared" si="65"/>
        <v>0</v>
      </c>
      <c r="AR228" s="619">
        <f t="shared" si="65"/>
        <v>0</v>
      </c>
      <c r="AS228" s="619">
        <f t="shared" si="65"/>
        <v>0</v>
      </c>
      <c r="AT228" s="619">
        <f t="shared" si="65"/>
        <v>0</v>
      </c>
      <c r="AU228" s="619">
        <f t="shared" si="65"/>
        <v>0</v>
      </c>
      <c r="AV228" s="619">
        <f t="shared" si="65"/>
        <v>0</v>
      </c>
      <c r="AW228" s="619">
        <f t="shared" si="65"/>
        <v>0</v>
      </c>
      <c r="AX228" s="619">
        <f t="shared" si="65"/>
        <v>0</v>
      </c>
      <c r="AY228" s="619">
        <f t="shared" si="65"/>
        <v>0</v>
      </c>
      <c r="AZ228" s="619">
        <f t="shared" si="65"/>
        <v>0</v>
      </c>
      <c r="BA228" s="619">
        <f t="shared" si="65"/>
        <v>0</v>
      </c>
      <c r="BB228" s="620">
        <f t="shared" si="65"/>
        <v>0</v>
      </c>
      <c r="BC228" s="620">
        <f t="shared" si="65"/>
        <v>0</v>
      </c>
      <c r="BD228" s="620">
        <f t="shared" si="65"/>
        <v>0</v>
      </c>
      <c r="BE228" s="620">
        <f t="shared" si="65"/>
        <v>0</v>
      </c>
      <c r="BF228" s="619">
        <f t="shared" si="57"/>
        <v>0</v>
      </c>
      <c r="BG228" s="556">
        <f t="shared" si="59"/>
        <v>0</v>
      </c>
      <c r="BH228" s="610"/>
    </row>
    <row r="229" spans="1:60" hidden="1">
      <c r="A229" s="1853"/>
      <c r="B229" s="621" t="s">
        <v>356</v>
      </c>
      <c r="C229" s="622">
        <f>C228</f>
        <v>0</v>
      </c>
      <c r="D229" s="623">
        <f>SUM(D177:D227)</f>
        <v>0</v>
      </c>
      <c r="E229" s="623"/>
      <c r="F229" s="622">
        <f>F228</f>
        <v>0</v>
      </c>
      <c r="G229" s="624" t="e">
        <f t="shared" ref="G229:BF229" si="66">G228/$F228</f>
        <v>#DIV/0!</v>
      </c>
      <c r="H229" s="624" t="e">
        <f t="shared" si="66"/>
        <v>#DIV/0!</v>
      </c>
      <c r="I229" s="624" t="e">
        <f t="shared" si="66"/>
        <v>#DIV/0!</v>
      </c>
      <c r="J229" s="624" t="e">
        <f t="shared" si="66"/>
        <v>#DIV/0!</v>
      </c>
      <c r="K229" s="624" t="e">
        <f t="shared" si="66"/>
        <v>#DIV/0!</v>
      </c>
      <c r="L229" s="624" t="e">
        <f t="shared" si="66"/>
        <v>#DIV/0!</v>
      </c>
      <c r="M229" s="624" t="e">
        <f t="shared" si="66"/>
        <v>#DIV/0!</v>
      </c>
      <c r="N229" s="624" t="e">
        <f t="shared" si="66"/>
        <v>#DIV/0!</v>
      </c>
      <c r="O229" s="624" t="e">
        <f t="shared" si="66"/>
        <v>#DIV/0!</v>
      </c>
      <c r="P229" s="624" t="e">
        <f t="shared" si="66"/>
        <v>#DIV/0!</v>
      </c>
      <c r="Q229" s="624" t="e">
        <f t="shared" si="66"/>
        <v>#DIV/0!</v>
      </c>
      <c r="R229" s="624" t="e">
        <f t="shared" si="66"/>
        <v>#DIV/0!</v>
      </c>
      <c r="S229" s="624" t="e">
        <f t="shared" si="66"/>
        <v>#DIV/0!</v>
      </c>
      <c r="T229" s="624" t="e">
        <f t="shared" si="66"/>
        <v>#DIV/0!</v>
      </c>
      <c r="U229" s="624" t="e">
        <f t="shared" si="66"/>
        <v>#DIV/0!</v>
      </c>
      <c r="V229" s="624" t="e">
        <f t="shared" si="66"/>
        <v>#DIV/0!</v>
      </c>
      <c r="W229" s="624" t="e">
        <f t="shared" si="66"/>
        <v>#DIV/0!</v>
      </c>
      <c r="X229" s="624" t="e">
        <f t="shared" si="66"/>
        <v>#DIV/0!</v>
      </c>
      <c r="Y229" s="624" t="e">
        <f t="shared" si="66"/>
        <v>#DIV/0!</v>
      </c>
      <c r="Z229" s="624" t="e">
        <f t="shared" si="66"/>
        <v>#DIV/0!</v>
      </c>
      <c r="AA229" s="624" t="e">
        <f t="shared" si="66"/>
        <v>#DIV/0!</v>
      </c>
      <c r="AB229" s="624" t="e">
        <f t="shared" si="66"/>
        <v>#DIV/0!</v>
      </c>
      <c r="AC229" s="624" t="e">
        <f t="shared" si="66"/>
        <v>#DIV/0!</v>
      </c>
      <c r="AD229" s="624" t="e">
        <f t="shared" si="66"/>
        <v>#DIV/0!</v>
      </c>
      <c r="AE229" s="624" t="e">
        <f t="shared" si="66"/>
        <v>#DIV/0!</v>
      </c>
      <c r="AF229" s="624" t="e">
        <f t="shared" si="66"/>
        <v>#DIV/0!</v>
      </c>
      <c r="AG229" s="624" t="e">
        <f t="shared" si="66"/>
        <v>#DIV/0!</v>
      </c>
      <c r="AH229" s="624" t="e">
        <f t="shared" si="66"/>
        <v>#DIV/0!</v>
      </c>
      <c r="AI229" s="624" t="e">
        <f t="shared" si="66"/>
        <v>#DIV/0!</v>
      </c>
      <c r="AJ229" s="624" t="e">
        <f t="shared" si="66"/>
        <v>#DIV/0!</v>
      </c>
      <c r="AK229" s="624" t="e">
        <f t="shared" si="66"/>
        <v>#DIV/0!</v>
      </c>
      <c r="AL229" s="624" t="e">
        <f t="shared" si="66"/>
        <v>#DIV/0!</v>
      </c>
      <c r="AM229" s="624" t="e">
        <f t="shared" si="66"/>
        <v>#DIV/0!</v>
      </c>
      <c r="AN229" s="624" t="e">
        <f t="shared" si="66"/>
        <v>#DIV/0!</v>
      </c>
      <c r="AO229" s="624" t="e">
        <f t="shared" si="66"/>
        <v>#DIV/0!</v>
      </c>
      <c r="AP229" s="624" t="e">
        <f t="shared" si="66"/>
        <v>#DIV/0!</v>
      </c>
      <c r="AQ229" s="624" t="e">
        <f t="shared" si="66"/>
        <v>#DIV/0!</v>
      </c>
      <c r="AR229" s="624" t="e">
        <f t="shared" si="66"/>
        <v>#DIV/0!</v>
      </c>
      <c r="AS229" s="624" t="e">
        <f t="shared" si="66"/>
        <v>#DIV/0!</v>
      </c>
      <c r="AT229" s="624" t="e">
        <f t="shared" si="66"/>
        <v>#DIV/0!</v>
      </c>
      <c r="AU229" s="624" t="e">
        <f t="shared" si="66"/>
        <v>#DIV/0!</v>
      </c>
      <c r="AV229" s="624" t="e">
        <f t="shared" si="66"/>
        <v>#DIV/0!</v>
      </c>
      <c r="AW229" s="624" t="e">
        <f t="shared" si="66"/>
        <v>#DIV/0!</v>
      </c>
      <c r="AX229" s="624" t="e">
        <f t="shared" si="66"/>
        <v>#DIV/0!</v>
      </c>
      <c r="AY229" s="624" t="e">
        <f t="shared" si="66"/>
        <v>#DIV/0!</v>
      </c>
      <c r="AZ229" s="624" t="e">
        <f t="shared" si="66"/>
        <v>#DIV/0!</v>
      </c>
      <c r="BA229" s="624" t="e">
        <f t="shared" si="66"/>
        <v>#DIV/0!</v>
      </c>
      <c r="BB229" s="624" t="e">
        <f t="shared" si="66"/>
        <v>#DIV/0!</v>
      </c>
      <c r="BC229" s="624" t="e">
        <f t="shared" si="66"/>
        <v>#DIV/0!</v>
      </c>
      <c r="BD229" s="624" t="e">
        <f t="shared" si="66"/>
        <v>#DIV/0!</v>
      </c>
      <c r="BE229" s="624" t="e">
        <f t="shared" si="66"/>
        <v>#DIV/0!</v>
      </c>
      <c r="BF229" s="625" t="e">
        <f t="shared" si="66"/>
        <v>#DIV/0!</v>
      </c>
      <c r="BG229" s="556"/>
      <c r="BH229" s="556"/>
    </row>
    <row r="230" spans="1:60" hidden="1">
      <c r="A230" s="1853"/>
      <c r="B230" s="1855" t="s">
        <v>367</v>
      </c>
      <c r="C230" s="1856"/>
      <c r="D230" s="1859" t="s">
        <v>368</v>
      </c>
      <c r="E230" s="1861">
        <f>'CASH FLOW'!C85</f>
        <v>0.05</v>
      </c>
      <c r="F230" s="626" t="s">
        <v>369</v>
      </c>
      <c r="G230" s="627"/>
      <c r="H230" s="627">
        <f ca="1">IF(H$7&lt;=손익!$M$5,SUM(OFFSET($G$177:$BE$227,0,0,2+COLUMN(H177)-9,COLUMN(H177)-6))-($C$177*SUMIF($B$177:$B$227,G$8,$E$177:$E$227)*10%),0)</f>
        <v>0</v>
      </c>
      <c r="I230" s="627">
        <f ca="1">IF(I$7&lt;=손익!$M$5,SUM(OFFSET($G$177:$BE$227,0,0,2+COLUMN(I177)-9,COLUMN(I177)-6))-($C$177*SUMIF($B$177:$B$227,H$8,$E$177:$E$227)*10%),0)</f>
        <v>0</v>
      </c>
      <c r="J230" s="627">
        <f ca="1">IF(J$7&lt;=손익!$M$5,SUM(OFFSET($G$177:$BE$227,0,0,2+COLUMN(J177)-9,COLUMN(J177)-6))-($C$177*SUMIF($B$177:$B$227,I$8,$E$177:$E$227)*10%),0)</f>
        <v>0</v>
      </c>
      <c r="K230" s="627">
        <f ca="1">IF(K$7&lt;=손익!$M$5,SUM(OFFSET($G$177:$BE$227,0,0,2+COLUMN(K177)-9,COLUMN(K177)-6))-($C$177*SUMIF($B$177:$B$227,J$8,$E$177:$E$227)*10%),0)</f>
        <v>0</v>
      </c>
      <c r="L230" s="627">
        <f ca="1">IF(L$7&lt;=손익!$M$5,SUM(OFFSET($G$177:$BE$227,0,0,2+COLUMN(L177)-9,COLUMN(L177)-6))-($C$177*SUMIF($B$177:$B$227,K$8,$E$177:$E$227)*10%),0)</f>
        <v>0</v>
      </c>
      <c r="M230" s="627">
        <f ca="1">IF(M$7&lt;=손익!$M$5,SUM(OFFSET($G$177:$BE$227,0,0,2+COLUMN(M177)-9,COLUMN(M177)-6))-($C$177*SUMIF($B$177:$B$227,L$8,$E$177:$E$227)*10%),0)</f>
        <v>0</v>
      </c>
      <c r="N230" s="627">
        <f ca="1">IF(N$7&lt;=손익!$M$5,SUM(OFFSET($G$177:$BE$227,0,0,2+COLUMN(N177)-9,COLUMN(N177)-6))-($C$177*SUMIF($B$177:$B$227,M$8,$E$177:$E$227)*10%),0)</f>
        <v>0</v>
      </c>
      <c r="O230" s="627">
        <f ca="1">IF(O$7&lt;=손익!$M$5,SUM(OFFSET($G$177:$BE$227,0,0,2+COLUMN(O177)-9,COLUMN(O177)-6))-($C$177*SUMIF($B$177:$B$227,N$8,$E$177:$E$227)*10%),0)</f>
        <v>0</v>
      </c>
      <c r="P230" s="627">
        <f ca="1">IF(P$7&lt;=손익!$M$5,SUM(OFFSET($G$177:$BE$227,0,0,2+COLUMN(P177)-9,COLUMN(P177)-6))-($C$177*SUMIF($B$177:$B$227,O$8,$E$177:$E$227)*10%),0)</f>
        <v>0</v>
      </c>
      <c r="Q230" s="627">
        <f ca="1">IF(Q$7&lt;=손익!$M$5,SUM(OFFSET($G$177:$BE$227,0,0,2+COLUMN(Q177)-9,COLUMN(Q177)-6))-($C$177*SUMIF($B$177:$B$227,P$8,$E$177:$E$227)*10%),0)</f>
        <v>0</v>
      </c>
      <c r="R230" s="627">
        <f ca="1">IF(R$7&lt;=손익!$M$5,SUM(OFFSET($G$177:$BE$227,0,0,2+COLUMN(R177)-9,COLUMN(R177)-6))-($C$177*SUMIF($B$177:$B$227,Q$8,$E$177:$E$227)*10%),0)</f>
        <v>0</v>
      </c>
      <c r="S230" s="627">
        <f ca="1">IF(S$7&lt;=손익!$M$5,SUM(OFFSET($G$177:$BE$227,0,0,2+COLUMN(S177)-9,COLUMN(S177)-6))-($C$177*SUMIF($B$177:$B$227,R$8,$E$177:$E$227)*10%),0)</f>
        <v>0</v>
      </c>
      <c r="T230" s="627">
        <f ca="1">IF(T$7&lt;=손익!$M$5,SUM(OFFSET($G$177:$BE$227,0,0,2+COLUMN(T177)-9,COLUMN(T177)-6))-($C$177*SUMIF($B$177:$B$227,S$8,$E$177:$E$227)*10%),0)</f>
        <v>0</v>
      </c>
      <c r="U230" s="627">
        <f ca="1">IF(U$7&lt;=손익!$M$5,SUM(OFFSET($G$177:$BE$227,0,0,2+COLUMN(U177)-9,COLUMN(U177)-6))-($C$177*SUMIF($B$177:$B$227,T$8,$E$177:$E$227)*10%),0)</f>
        <v>0</v>
      </c>
      <c r="V230" s="627">
        <f ca="1">IF(V$7&lt;=손익!$M$5,SUM(OFFSET($G$177:$BE$227,0,0,2+COLUMN(V177)-9,COLUMN(V177)-6))-($C$177*SUMIF($B$177:$B$227,U$8,$E$177:$E$227)*10%),0)</f>
        <v>0</v>
      </c>
      <c r="W230" s="627">
        <f ca="1">IF(W$7&lt;=손익!$M$5,SUM(OFFSET($G$177:$BE$227,0,0,2+COLUMN(W177)-9,COLUMN(W177)-6))-($C$177*SUMIF($B$177:$B$227,V$8,$E$177:$E$227)*10%),0)</f>
        <v>0</v>
      </c>
      <c r="X230" s="627">
        <f ca="1">IF(X$7&lt;=손익!$M$5,SUM(OFFSET($G$177:$BE$227,0,0,2+COLUMN(X177)-9,COLUMN(X177)-6))-($C$177*SUMIF($B$177:$B$227,W$8,$E$177:$E$227)*10%),0)</f>
        <v>0</v>
      </c>
      <c r="Y230" s="627">
        <f ca="1">IF(Y$7&lt;=손익!$M$5,SUM(OFFSET($G$177:$BE$227,0,0,2+COLUMN(Y177)-9,COLUMN(Y177)-6))-($C$177*SUMIF($B$177:$B$227,X$8,$E$177:$E$227)*10%),0)</f>
        <v>0</v>
      </c>
      <c r="Z230" s="627">
        <f ca="1">IF(Z$7&lt;=손익!$M$5,SUM(OFFSET($G$177:$BE$227,0,0,2+COLUMN(Z177)-9,COLUMN(Z177)-6))-($C$177*SUMIF($B$177:$B$227,Y$8,$E$177:$E$227)*10%),0)</f>
        <v>0</v>
      </c>
      <c r="AA230" s="627">
        <f ca="1">IF(AA$7&lt;=손익!$M$5,SUM(OFFSET($G$177:$BE$227,0,0,2+COLUMN(AA177)-9,COLUMN(AA177)-6))-($C$177*SUMIF($B$177:$B$227,Z$8,$E$177:$E$227)*10%),0)</f>
        <v>0</v>
      </c>
      <c r="AB230" s="627">
        <f ca="1">IF(AB$7&lt;=손익!$M$5,SUM(OFFSET($G$177:$BE$227,0,0,2+COLUMN(AB177)-9,COLUMN(AB177)-6))-($C$177*SUMIF($B$177:$B$227,AA$8,$E$177:$E$227)*10%),0)</f>
        <v>0</v>
      </c>
      <c r="AC230" s="627">
        <f ca="1">IF(AC$7&lt;=손익!$M$5,SUM(OFFSET($G$177:$BE$227,0,0,2+COLUMN(AC177)-9,COLUMN(AC177)-6))-($C$177*SUMIF($B$177:$B$227,AB$8,$E$177:$E$227)*10%),0)</f>
        <v>0</v>
      </c>
      <c r="AD230" s="627">
        <f ca="1">IF(AD$7&lt;=손익!$M$5,SUM(OFFSET($G$177:$BE$227,0,0,2+COLUMN(AD177)-9,COLUMN(AD177)-6))-($C$177*SUMIF($B$177:$B$227,AC$8,$E$177:$E$227)*10%),0)</f>
        <v>0</v>
      </c>
      <c r="AE230" s="627">
        <f ca="1">IF(AE$7&lt;=손익!$M$5,SUM(OFFSET($G$177:$BE$227,0,0,2+COLUMN(AE177)-9,COLUMN(AE177)-6))-($C$177*SUMIF($B$177:$B$227,AD$8,$E$177:$E$227)*10%),0)</f>
        <v>0</v>
      </c>
      <c r="AF230" s="627">
        <f ca="1">IF(AF$7&lt;=손익!$M$5,SUM(OFFSET($G$177:$BE$227,0,0,2+COLUMN(AF177)-9,COLUMN(AF177)-6))-($C$177*SUMIF($B$177:$B$227,AE$8,$E$177:$E$227)*10%),0)</f>
        <v>0</v>
      </c>
      <c r="AG230" s="627">
        <f ca="1">IF(AG$7&lt;=손익!$M$5,SUM(OFFSET($G$177:$BE$227,0,0,2+COLUMN(AG177)-9,COLUMN(AG177)-6))-($C$177*SUMIF($B$177:$B$227,AF$8,$E$177:$E$227)*10%),0)</f>
        <v>0</v>
      </c>
      <c r="AH230" s="627">
        <f ca="1">IF(AH$7&lt;=손익!$M$5,SUM(OFFSET($G$177:$BE$227,0,0,2+COLUMN(AH177)-9,COLUMN(AH177)-6))-($C$177*SUMIF($B$177:$B$227,AG$8,$E$177:$E$227)*10%),0)</f>
        <v>0</v>
      </c>
      <c r="AI230" s="627">
        <f ca="1">IF(AI$7&lt;=손익!$M$5,SUM(OFFSET($G$177:$BE$227,0,0,2+COLUMN(AI177)-9,COLUMN(AI177)-6))-($C$177*SUMIF($B$177:$B$227,AH$8,$E$177:$E$227)*10%),0)</f>
        <v>0</v>
      </c>
      <c r="AJ230" s="627">
        <f ca="1">IF(AJ$7&lt;=손익!$M$5,SUM(OFFSET($G$177:$BE$227,0,0,2+COLUMN(AJ177)-9,COLUMN(AJ177)-6))-($C$177*SUMIF($B$177:$B$227,AI$8,$E$177:$E$227)*10%),0)</f>
        <v>0</v>
      </c>
      <c r="AK230" s="627">
        <f ca="1">IF(AK$7&lt;=손익!$M$5,SUM(OFFSET($G$177:$BE$227,0,0,2+COLUMN(AK177)-9,COLUMN(AK177)-6))-($C$177*SUMIF($B$177:$B$227,AJ$8,$E$177:$E$227)*10%),0)</f>
        <v>0</v>
      </c>
      <c r="AL230" s="627">
        <f ca="1">IF(AL$7&lt;=손익!$M$5,SUM(OFFSET($G$177:$BE$227,0,0,2+COLUMN(AL177)-9,COLUMN(AL177)-6))-($C$177*SUMIF($B$177:$B$227,AK$8,$E$177:$E$227)*10%),0)</f>
        <v>0</v>
      </c>
      <c r="AM230" s="627">
        <f ca="1">IF(AM$7&lt;=손익!$M$5,SUM(OFFSET($G$177:$BE$227,0,0,2+COLUMN(AM177)-9,COLUMN(AM177)-6))-($C$177*SUMIF($B$177:$B$227,AL$8,$E$177:$E$227)*10%),0)</f>
        <v>0</v>
      </c>
      <c r="AN230" s="627">
        <f ca="1">IF(AN$7&lt;=손익!$M$5,SUM(OFFSET($G$177:$BE$227,0,0,2+COLUMN(AN177)-9,COLUMN(AN177)-6))-($C$177*SUMIF($B$177:$B$227,AM$8,$E$177:$E$227)*10%),0)</f>
        <v>0</v>
      </c>
      <c r="AO230" s="627">
        <f ca="1">IF(AO$7&lt;=손익!$M$5,SUM(OFFSET($G$177:$BE$227,0,0,2+COLUMN(AO177)-9,COLUMN(AO177)-6))-($C$177*SUMIF($B$177:$B$227,AN$8,$E$177:$E$227)*10%),0)</f>
        <v>0</v>
      </c>
      <c r="AP230" s="627">
        <f ca="1">IF(AP$7&lt;=손익!$M$5,SUM(OFFSET($G$177:$BE$227,0,0,2+COLUMN(AP177)-9,COLUMN(AP177)-6))-($C$177*SUMIF($B$177:$B$227,AO$8,$E$177:$E$227)*10%),0)</f>
        <v>0</v>
      </c>
      <c r="AQ230" s="627">
        <f ca="1">IF(AQ$7&lt;=손익!$M$5,SUM(OFFSET($G$177:$BE$227,0,0,2+COLUMN(AQ177)-9,COLUMN(AQ177)-6))-($C$177*SUMIF($B$177:$B$227,AP$8,$E$177:$E$227)*10%),0)</f>
        <v>0</v>
      </c>
      <c r="AR230" s="627">
        <f ca="1">IF(AR$7&lt;=손익!$M$5,SUM(OFFSET($G$177:$BE$227,0,0,2+COLUMN(AR177)-9,COLUMN(AR177)-6))-($C$177*SUMIF($B$177:$B$227,AQ$8,$E$177:$E$227)*10%),0)</f>
        <v>0</v>
      </c>
      <c r="AS230" s="627">
        <f ca="1">IF(AS$7&lt;=손익!$M$5,SUM(OFFSET($G$177:$BE$227,0,0,2+COLUMN(AS177)-9,COLUMN(AS177)-6))-($C$177*SUMIF($B$177:$B$227,AR$8,$E$177:$E$227)*10%),0)</f>
        <v>0</v>
      </c>
      <c r="AT230" s="627">
        <f ca="1">IF(AT$7&lt;=손익!$M$5,SUM(OFFSET($G$177:$BE$227,0,0,2+COLUMN(AT177)-9,COLUMN(AT177)-6))-($C$177*SUMIF($B$177:$B$227,AS$8,$E$177:$E$227)*10%),0)</f>
        <v>0</v>
      </c>
      <c r="AU230" s="627">
        <f ca="1">IF(AU$7&lt;=손익!$M$5,SUM(OFFSET($G$177:$BE$227,0,0,2+COLUMN(AU177)-9,COLUMN(AU177)-6))-($C$177*SUMIF($B$177:$B$227,AT$8,$E$177:$E$227)*10%),0)</f>
        <v>0</v>
      </c>
      <c r="AV230" s="627">
        <f ca="1">IF(AV$7&lt;=손익!$M$5,SUM(OFFSET($G$177:$BE$227,0,0,2+COLUMN(AV177)-9,COLUMN(AV177)-6))-($C$177*SUMIF($B$177:$B$227,AU$8,$E$177:$E$227)*10%),0)</f>
        <v>0</v>
      </c>
      <c r="AW230" s="627">
        <f ca="1">IF(AW$7&lt;=손익!$M$5,SUM(OFFSET($G$177:$BE$227,0,0,2+COLUMN(AW177)-9,COLUMN(AW177)-6))-($C$177*SUMIF($B$177:$B$227,AV$8,$E$177:$E$227)*10%),0)</f>
        <v>0</v>
      </c>
      <c r="AX230" s="627">
        <f ca="1">IF(AX$7&lt;=손익!$M$5,SUM(OFFSET($G$177:$BE$227,0,0,2+COLUMN(AX177)-9,COLUMN(AX177)-6))-($C$177*SUMIF($B$177:$B$227,AW$8,$E$177:$E$227)*10%),0)</f>
        <v>0</v>
      </c>
      <c r="AY230" s="627">
        <f ca="1">IF(AY$7&lt;=손익!$M$5,SUM(OFFSET($G$177:$BE$227,0,0,2+COLUMN(AY177)-9,COLUMN(AY177)-6))-($C$177*SUMIF($B$177:$B$227,AX$8,$E$177:$E$227)*10%),0)</f>
        <v>0</v>
      </c>
      <c r="AZ230" s="627">
        <f ca="1">IF(AZ$7&lt;=손익!$M$5,SUM(OFFSET($G$177:$BE$227,0,0,2+COLUMN(AZ177)-9,COLUMN(AZ177)-6))-($C$177*SUMIF($B$177:$B$227,AY$8,$E$177:$E$227)*10%),0)</f>
        <v>0</v>
      </c>
      <c r="BA230" s="627">
        <f ca="1">IF(BA$7&lt;=손익!$M$5,SUM(OFFSET($G$177:$BE$227,0,0,2+COLUMN(BA177)-9,COLUMN(BA177)-6))-($C$177*SUMIF($B$177:$B$227,AZ$8,$E$177:$E$227)*10%),0)</f>
        <v>0</v>
      </c>
      <c r="BB230" s="627">
        <f ca="1">IF(BB$7&lt;=손익!$M$5,SUM(OFFSET($G$177:$BE$227,0,0,2+COLUMN(BB177)-9,COLUMN(BB177)-6))-($C$177*SUMIF($B$177:$B$227,BA$8,$E$177:$E$227)*10%),0)</f>
        <v>0</v>
      </c>
      <c r="BC230" s="627">
        <f ca="1">IF(BC$7&lt;=손익!$M$5,SUM(OFFSET($G$177:$BE$227,0,0,2+COLUMN(BC177)-9,COLUMN(BC177)-6))-($C$177*SUMIF($B$177:$B$227,BB$8,$E$177:$E$227)*10%),0)</f>
        <v>0</v>
      </c>
      <c r="BD230" s="627">
        <f ca="1">IF(BD$7&lt;=손익!$M$5,SUM(OFFSET($G$177:$BE$227,0,0,2+COLUMN(BD177)-9,COLUMN(BD177)-6))-($C$177*SUMIF($B$177:$B$227,BC$8,$E$177:$E$227)*10%),0)</f>
        <v>0</v>
      </c>
      <c r="BE230" s="627">
        <f ca="1">IF(BE$7&lt;=손익!$M$5,SUM(OFFSET($G$177:$BE$227,0,0,2+COLUMN(BE177)-9,COLUMN(BE177)-6))-($C$177*SUMIF($B$177:$B$227,BD$8,$E$177:$E$227)*10%),0)</f>
        <v>0</v>
      </c>
      <c r="BF230" s="628"/>
      <c r="BG230" s="556"/>
      <c r="BH230" s="556"/>
    </row>
    <row r="231" spans="1:60" hidden="1">
      <c r="A231" s="1854"/>
      <c r="B231" s="1857"/>
      <c r="C231" s="1858"/>
      <c r="D231" s="1860"/>
      <c r="E231" s="1862"/>
      <c r="F231" s="629" t="s">
        <v>370</v>
      </c>
      <c r="G231" s="630"/>
      <c r="H231" s="630"/>
      <c r="I231" s="630">
        <f t="shared" ref="I231:BE231" ca="1" si="67">ROUNDDOWN(H230*$E$230*(I$8-H$8)/365,0)</f>
        <v>0</v>
      </c>
      <c r="J231" s="630">
        <f t="shared" ca="1" si="67"/>
        <v>0</v>
      </c>
      <c r="K231" s="630">
        <f t="shared" ca="1" si="67"/>
        <v>0</v>
      </c>
      <c r="L231" s="630">
        <f t="shared" ca="1" si="67"/>
        <v>0</v>
      </c>
      <c r="M231" s="630">
        <f t="shared" ca="1" si="67"/>
        <v>0</v>
      </c>
      <c r="N231" s="630">
        <f t="shared" ca="1" si="67"/>
        <v>0</v>
      </c>
      <c r="O231" s="630">
        <f t="shared" ca="1" si="67"/>
        <v>0</v>
      </c>
      <c r="P231" s="630">
        <f t="shared" ca="1" si="67"/>
        <v>0</v>
      </c>
      <c r="Q231" s="630">
        <f t="shared" ca="1" si="67"/>
        <v>0</v>
      </c>
      <c r="R231" s="630">
        <f t="shared" ca="1" si="67"/>
        <v>0</v>
      </c>
      <c r="S231" s="630">
        <f t="shared" ca="1" si="67"/>
        <v>0</v>
      </c>
      <c r="T231" s="630">
        <f t="shared" ca="1" si="67"/>
        <v>0</v>
      </c>
      <c r="U231" s="630">
        <f t="shared" ca="1" si="67"/>
        <v>0</v>
      </c>
      <c r="V231" s="630">
        <f t="shared" ca="1" si="67"/>
        <v>0</v>
      </c>
      <c r="W231" s="630">
        <f t="shared" ca="1" si="67"/>
        <v>0</v>
      </c>
      <c r="X231" s="630">
        <f t="shared" ca="1" si="67"/>
        <v>0</v>
      </c>
      <c r="Y231" s="630">
        <f t="shared" ca="1" si="67"/>
        <v>0</v>
      </c>
      <c r="Z231" s="630">
        <f t="shared" ca="1" si="67"/>
        <v>0</v>
      </c>
      <c r="AA231" s="630">
        <f t="shared" ca="1" si="67"/>
        <v>0</v>
      </c>
      <c r="AB231" s="630">
        <f t="shared" ca="1" si="67"/>
        <v>0</v>
      </c>
      <c r="AC231" s="630">
        <f t="shared" ca="1" si="67"/>
        <v>0</v>
      </c>
      <c r="AD231" s="630">
        <f t="shared" ca="1" si="67"/>
        <v>0</v>
      </c>
      <c r="AE231" s="630">
        <f t="shared" ca="1" si="67"/>
        <v>0</v>
      </c>
      <c r="AF231" s="630">
        <f t="shared" ca="1" si="67"/>
        <v>0</v>
      </c>
      <c r="AG231" s="630">
        <f t="shared" ca="1" si="67"/>
        <v>0</v>
      </c>
      <c r="AH231" s="630">
        <f t="shared" ca="1" si="67"/>
        <v>0</v>
      </c>
      <c r="AI231" s="630">
        <f t="shared" ca="1" si="67"/>
        <v>0</v>
      </c>
      <c r="AJ231" s="630">
        <f t="shared" ca="1" si="67"/>
        <v>0</v>
      </c>
      <c r="AK231" s="630">
        <f t="shared" ca="1" si="67"/>
        <v>0</v>
      </c>
      <c r="AL231" s="630">
        <f t="shared" ca="1" si="67"/>
        <v>0</v>
      </c>
      <c r="AM231" s="630">
        <f t="shared" ca="1" si="67"/>
        <v>0</v>
      </c>
      <c r="AN231" s="630">
        <f t="shared" ca="1" si="67"/>
        <v>0</v>
      </c>
      <c r="AO231" s="630">
        <f t="shared" ca="1" si="67"/>
        <v>0</v>
      </c>
      <c r="AP231" s="630">
        <f t="shared" ca="1" si="67"/>
        <v>0</v>
      </c>
      <c r="AQ231" s="630">
        <f t="shared" ca="1" si="67"/>
        <v>0</v>
      </c>
      <c r="AR231" s="630">
        <f t="shared" ca="1" si="67"/>
        <v>0</v>
      </c>
      <c r="AS231" s="630">
        <f t="shared" ca="1" si="67"/>
        <v>0</v>
      </c>
      <c r="AT231" s="630">
        <f t="shared" ca="1" si="67"/>
        <v>0</v>
      </c>
      <c r="AU231" s="630">
        <f t="shared" ca="1" si="67"/>
        <v>0</v>
      </c>
      <c r="AV231" s="630">
        <f t="shared" ca="1" si="67"/>
        <v>0</v>
      </c>
      <c r="AW231" s="630">
        <f t="shared" ca="1" si="67"/>
        <v>0</v>
      </c>
      <c r="AX231" s="630">
        <f t="shared" ca="1" si="67"/>
        <v>0</v>
      </c>
      <c r="AY231" s="630">
        <f t="shared" ca="1" si="67"/>
        <v>0</v>
      </c>
      <c r="AZ231" s="630">
        <f t="shared" ca="1" si="67"/>
        <v>0</v>
      </c>
      <c r="BA231" s="630">
        <f t="shared" ca="1" si="67"/>
        <v>0</v>
      </c>
      <c r="BB231" s="630">
        <f t="shared" ca="1" si="67"/>
        <v>0</v>
      </c>
      <c r="BC231" s="630">
        <f t="shared" ca="1" si="67"/>
        <v>0</v>
      </c>
      <c r="BD231" s="630">
        <f t="shared" ca="1" si="67"/>
        <v>0</v>
      </c>
      <c r="BE231" s="630">
        <f t="shared" ca="1" si="67"/>
        <v>0</v>
      </c>
      <c r="BF231" s="631">
        <f ca="1">SUM(G231:BE231)</f>
        <v>0</v>
      </c>
      <c r="BG231" s="556"/>
      <c r="BH231" s="556"/>
    </row>
    <row r="232" spans="1:60">
      <c r="A232" s="1872" t="s">
        <v>375</v>
      </c>
      <c r="B232" s="1873"/>
      <c r="C232" s="617">
        <f>SUM(C61,C117,C173,C228)</f>
        <v>432149701.29673964</v>
      </c>
      <c r="D232" s="638"/>
      <c r="E232" s="638"/>
      <c r="F232" s="617">
        <f t="shared" ref="F232:BF232" si="68">SUM(F61,F117,F173,F228)</f>
        <v>432149701.29673946</v>
      </c>
      <c r="G232" s="617">
        <f t="shared" ca="1" si="68"/>
        <v>7586171.0251470003</v>
      </c>
      <c r="H232" s="617">
        <f t="shared" ca="1" si="68"/>
        <v>3793085.5125735002</v>
      </c>
      <c r="I232" s="617">
        <f t="shared" ca="1" si="68"/>
        <v>1264361.8375245002</v>
      </c>
      <c r="J232" s="617">
        <f t="shared" ca="1" si="68"/>
        <v>1264361.8375245002</v>
      </c>
      <c r="K232" s="617">
        <f t="shared" ca="1" si="68"/>
        <v>1264361.8375245002</v>
      </c>
      <c r="L232" s="617">
        <f t="shared" ca="1" si="68"/>
        <v>16436703.887818499</v>
      </c>
      <c r="M232" s="617">
        <f t="shared" ca="1" si="68"/>
        <v>9083934.7276494913</v>
      </c>
      <c r="N232" s="617">
        <f t="shared" ca="1" si="68"/>
        <v>3234927.4212398981</v>
      </c>
      <c r="O232" s="617">
        <f t="shared" ca="1" si="68"/>
        <v>1655003.7714738986</v>
      </c>
      <c r="P232" s="617">
        <f t="shared" ca="1" si="68"/>
        <v>1655003.7714738986</v>
      </c>
      <c r="Q232" s="617">
        <f t="shared" ca="1" si="68"/>
        <v>19573367.964836489</v>
      </c>
      <c r="R232" s="617">
        <f t="shared" ca="1" si="68"/>
        <v>1655003.7714738986</v>
      </c>
      <c r="S232" s="617">
        <f t="shared" ca="1" si="68"/>
        <v>2296842.6382064838</v>
      </c>
      <c r="T232" s="617">
        <f t="shared" ca="1" si="68"/>
        <v>1339019.0415206985</v>
      </c>
      <c r="U232" s="617">
        <f t="shared" ca="1" si="68"/>
        <v>18244202.094016891</v>
      </c>
      <c r="V232" s="617">
        <f t="shared" ca="1" si="68"/>
        <v>5732729.2916323002</v>
      </c>
      <c r="W232" s="617">
        <f t="shared" ca="1" si="68"/>
        <v>1138456.7389136192</v>
      </c>
      <c r="X232" s="617">
        <f t="shared" ca="1" si="68"/>
        <v>864299.40259347938</v>
      </c>
      <c r="Y232" s="617">
        <f t="shared" ca="1" si="68"/>
        <v>20665171.104686562</v>
      </c>
      <c r="Z232" s="617">
        <f t="shared" ca="1" si="68"/>
        <v>0</v>
      </c>
      <c r="AA232" s="617">
        <f t="shared" ca="1" si="68"/>
        <v>0</v>
      </c>
      <c r="AB232" s="617">
        <f t="shared" ca="1" si="68"/>
        <v>4551702.6150881983</v>
      </c>
      <c r="AC232" s="617">
        <f t="shared" ca="1" si="68"/>
        <v>15799236.497659991</v>
      </c>
      <c r="AD232" s="617">
        <f t="shared" ca="1" si="68"/>
        <v>0</v>
      </c>
      <c r="AE232" s="617">
        <f t="shared" ca="1" si="68"/>
        <v>1489947.817066778</v>
      </c>
      <c r="AF232" s="617">
        <f t="shared" ca="1" si="68"/>
        <v>0</v>
      </c>
      <c r="AG232" s="617">
        <f t="shared" ca="1" si="68"/>
        <v>4551702.6150881983</v>
      </c>
      <c r="AH232" s="617">
        <f t="shared" ca="1" si="68"/>
        <v>15799236.497659992</v>
      </c>
      <c r="AI232" s="617">
        <f t="shared" ca="1" si="68"/>
        <v>0</v>
      </c>
      <c r="AJ232" s="617">
        <f t="shared" ca="1" si="68"/>
        <v>0</v>
      </c>
      <c r="AK232" s="617">
        <f t="shared" ca="1" si="68"/>
        <v>1489947.817066778</v>
      </c>
      <c r="AL232" s="617">
        <f t="shared" ca="1" si="68"/>
        <v>4551702.6150881983</v>
      </c>
      <c r="AM232" s="617">
        <f t="shared" ca="1" si="68"/>
        <v>15799236.497659991</v>
      </c>
      <c r="AN232" s="617">
        <f t="shared" ca="1" si="68"/>
        <v>0</v>
      </c>
      <c r="AO232" s="617">
        <f t="shared" ca="1" si="68"/>
        <v>0</v>
      </c>
      <c r="AP232" s="617">
        <f t="shared" ca="1" si="68"/>
        <v>0</v>
      </c>
      <c r="AQ232" s="617">
        <f t="shared" ca="1" si="68"/>
        <v>0</v>
      </c>
      <c r="AR232" s="617" t="e" vm="1">
        <f t="shared" si="68"/>
        <v>#VALUE!</v>
      </c>
      <c r="AS232" s="617" t="e" vm="1">
        <f t="shared" si="68"/>
        <v>#VALUE!</v>
      </c>
      <c r="AT232" s="617" t="e" vm="1">
        <f t="shared" si="68"/>
        <v>#VALUE!</v>
      </c>
      <c r="AU232" s="617" t="e" vm="1">
        <f t="shared" si="68"/>
        <v>#VALUE!</v>
      </c>
      <c r="AV232" s="617" t="e" vm="1">
        <f t="shared" si="68"/>
        <v>#VALUE!</v>
      </c>
      <c r="AW232" s="617">
        <f t="shared" ca="1" si="68"/>
        <v>0</v>
      </c>
      <c r="AX232" s="617">
        <f t="shared" ca="1" si="68"/>
        <v>0</v>
      </c>
      <c r="AY232" s="617">
        <f t="shared" ca="1" si="68"/>
        <v>0</v>
      </c>
      <c r="AZ232" s="617">
        <f t="shared" ca="1" si="68"/>
        <v>0</v>
      </c>
      <c r="BA232" s="617">
        <f t="shared" ca="1" si="68"/>
        <v>0</v>
      </c>
      <c r="BB232" s="617">
        <f t="shared" ca="1" si="68"/>
        <v>0</v>
      </c>
      <c r="BC232" s="617">
        <f t="shared" ca="1" si="68"/>
        <v>0</v>
      </c>
      <c r="BD232" s="617">
        <f t="shared" ca="1" si="68"/>
        <v>0</v>
      </c>
      <c r="BE232" s="617">
        <f t="shared" ca="1" si="68"/>
        <v>0</v>
      </c>
      <c r="BF232" s="619">
        <f t="shared" ca="1" si="68"/>
        <v>220110233.12621841</v>
      </c>
      <c r="BG232" s="639" t="b">
        <f ca="1">BF232=SUM(손익!AT7:AT9)</f>
        <v>0</v>
      </c>
      <c r="BH232" s="640"/>
    </row>
    <row r="233" spans="1:60">
      <c r="A233" s="641"/>
      <c r="B233" s="588"/>
      <c r="C233" s="588"/>
      <c r="D233" s="589"/>
      <c r="E233" s="589"/>
      <c r="F233" s="641"/>
      <c r="G233" s="641"/>
      <c r="H233" s="641"/>
      <c r="I233" s="641"/>
      <c r="J233" s="641"/>
      <c r="K233" s="641"/>
      <c r="L233" s="641"/>
      <c r="M233" s="641"/>
      <c r="N233" s="641"/>
      <c r="O233" s="641"/>
      <c r="P233" s="641"/>
      <c r="Q233" s="641"/>
      <c r="R233" s="641"/>
      <c r="S233" s="641"/>
      <c r="T233" s="641"/>
      <c r="U233" s="641"/>
      <c r="V233" s="641"/>
      <c r="W233" s="641"/>
      <c r="X233" s="641"/>
      <c r="Y233" s="641"/>
      <c r="Z233" s="641"/>
      <c r="AA233" s="641"/>
      <c r="AB233" s="641"/>
      <c r="AC233" s="641"/>
      <c r="AD233" s="641"/>
      <c r="AE233" s="641"/>
      <c r="AF233" s="641"/>
      <c r="AG233" s="641"/>
      <c r="AH233" s="641"/>
      <c r="AI233" s="641"/>
      <c r="AJ233" s="641"/>
      <c r="AK233" s="641"/>
      <c r="AL233" s="641"/>
      <c r="AM233" s="641"/>
      <c r="AN233" s="641"/>
      <c r="AO233" s="641"/>
      <c r="AP233" s="641"/>
      <c r="AQ233" s="641"/>
      <c r="AR233" s="641"/>
      <c r="AS233" s="641"/>
      <c r="AT233" s="641"/>
      <c r="AU233" s="641"/>
      <c r="AV233" s="641"/>
      <c r="AW233" s="641"/>
      <c r="AX233" s="641"/>
      <c r="AY233" s="641"/>
      <c r="AZ233" s="641"/>
      <c r="BA233" s="641"/>
      <c r="BB233" s="641"/>
      <c r="BC233" s="641"/>
      <c r="BD233" s="641"/>
      <c r="BE233" s="641"/>
      <c r="BF233" s="641"/>
      <c r="BG233" s="641"/>
      <c r="BH233" s="641"/>
    </row>
    <row r="234" spans="1:60">
      <c r="A234" s="1874" t="s">
        <v>376</v>
      </c>
      <c r="B234" s="1874"/>
      <c r="C234" s="1874"/>
      <c r="D234" s="642">
        <f>(C61*E51+C117*E107+C173*E163+C228*E218)/C232</f>
        <v>1.0000000000000002</v>
      </c>
      <c r="E234" s="589"/>
      <c r="F234" s="610"/>
      <c r="G234" s="610"/>
      <c r="H234" s="610"/>
      <c r="I234" s="610"/>
      <c r="J234" s="610"/>
      <c r="K234" s="610"/>
      <c r="L234" s="610"/>
      <c r="M234" s="610"/>
      <c r="N234" s="610"/>
      <c r="O234" s="610"/>
      <c r="P234" s="610"/>
      <c r="Q234" s="610"/>
      <c r="R234" s="610"/>
      <c r="S234" s="610"/>
      <c r="T234" s="610"/>
      <c r="U234" s="610"/>
      <c r="V234" s="610"/>
      <c r="W234" s="610"/>
      <c r="X234" s="610"/>
      <c r="Y234" s="610"/>
      <c r="Z234" s="610"/>
      <c r="AA234" s="610"/>
      <c r="AB234" s="610"/>
      <c r="AC234" s="610"/>
      <c r="AD234" s="610"/>
      <c r="AE234" s="610"/>
      <c r="AF234" s="610"/>
      <c r="AG234" s="610"/>
      <c r="AH234" s="610"/>
      <c r="AI234" s="610"/>
      <c r="AJ234" s="610"/>
      <c r="AK234" s="610"/>
      <c r="AL234" s="610"/>
      <c r="AM234" s="610"/>
      <c r="AN234" s="610"/>
      <c r="AO234" s="610"/>
      <c r="AP234" s="610"/>
      <c r="AQ234" s="610"/>
      <c r="AR234" s="610"/>
      <c r="AS234" s="610"/>
      <c r="AT234" s="610"/>
      <c r="AU234" s="610"/>
      <c r="AV234" s="610"/>
      <c r="AW234" s="610"/>
      <c r="AX234" s="610"/>
      <c r="AY234" s="610"/>
      <c r="AZ234" s="610"/>
      <c r="BA234" s="610"/>
      <c r="BB234" s="610"/>
      <c r="BC234" s="610"/>
      <c r="BD234" s="610"/>
      <c r="BE234" s="610"/>
      <c r="BF234" s="610"/>
      <c r="BG234" s="610"/>
      <c r="BH234" s="610"/>
    </row>
    <row r="236" spans="1:60">
      <c r="A236" s="610"/>
      <c r="B236" s="588"/>
      <c r="C236" s="588"/>
      <c r="D236" s="589"/>
      <c r="E236" s="1875">
        <f>'PF상환 민감도'!I11</f>
        <v>0.3</v>
      </c>
      <c r="F236" s="1875"/>
      <c r="G236" s="643">
        <f ca="1">IF(SUM($G232:G$232)&gt;($C$61*$E$236*(IF(LEFT(G9,2)="입주",SUM('PF상환 민감도'!$D$3:$E$3)+'PF상환 민감도'!$F$3*30%,IF(G8&gt;손익!$P$9+90,1,0))+IF(G8&lt;손익!$P$9,IF($B$248&gt;0,IF(G8&gt;=$B$248,20%),0),0)+IF(G8&lt;손익!$P$9,IF($B$247&gt;0,IF(G8&gt;=$B$247,10%),0),0)+IF(G8&lt;손익!$P$9,IF(G8&gt;=$B$246,50%,IF(G8&gt;=$B$245,40%,IF(G8&gt;=$B$244,30%,IF(G8&gt;=$B$243,20%,10%)))),0))+$C$117*$E$236*(IF(LEFT(G65,2)="입주",SUM('PF상환 민감도'!$D$4:$E$4)+'PF상환 민감도'!$F$4*30%,IF(G8&gt;손익!$P$9+90,1,0))+IF(G8&lt;손익!$P$9,IF($D$248&gt;0,IF(G8&gt;=$D$248,20%),0),0)+IF(G8&lt;손익!$P$9,IF($D$247&gt;0,IF(G8&gt;=$D$247,10%),0),0)+IF(G8&lt;손익!$P$9,IF(G8&gt;=$D$246,50%,IF(G8&gt;=$D$245,40%,IF(G8&gt;=$D$244,30%,IF(G8&gt;=$D$243,20%,10%)))),0))+$C$173*$E$236*(IF(LEFT(G121,2)="입주",SUM('PF상환 민감도'!$D$5:$E$5)+'PF상환 민감도'!$F$5*30%,IF(G8&gt;손익!$P$9+90,1,0))+IF(G8&lt;손익!$P$9,IF($F$248&gt;0,IF(G8&gt;=$F$248,20%),0),0)+IF(G8&lt;손익!$P$9,IF($F$247&gt;0,IF(G8&gt;=$F$247,10%),0),0)+IF(G8&lt;손익!$P$9,IF(G8&gt;=$F$246,50%,IF(G8&gt;=$F$245,40%,IF(G8&gt;=$F$244,30%,IF(G8&gt;=$F$243,20%,10%)))),0))+$C$228*$E$236*(IF(LEFT(G121,2)="입주",SUM('PF상환 민감도'!$D$6:$E$6)+'PF상환 민감도'!$F$6*30%,IF(G8&gt;손익!$P$9+90,1,0))+IF(G8&lt;손익!$P$9,IF($F$248&gt;0,IF(G8&gt;=$F$248,20%),0),0)+IF(G8&lt;손익!$P$9,IF($F$247&gt;0,IF(G8&gt;=$F$247,10%),0),0)+IF(G8&lt;손익!$P$9,IF(G8&gt;=$F$246,50%,IF(G8&gt;=$F$245,40%,IF(G8&gt;=$F$244,30%,IF(G8&gt;=$F$243,20%,10%)))),0))),($C$61*$E$236*(IF(LEFT(G9,2)="입주",SUM('PF상환 민감도'!$D$3:$E$3)+'PF상환 민감도'!$F$3*30%,IF(G8&gt;손익!$P$9+90,1,0))+IF(G8&lt;손익!$P$9,IF($B$248&gt;0,IF(G8&gt;=$B$248,20%),0),0)+IF(G8&lt;손익!$P$9,IF($B$247&gt;0,IF(G8&gt;=$B$247,10%),0),0)+IF(G8&lt;손익!$P$9,IF(G8&gt;=$B$246,50%,IF(G8&gt;=$B$245,40%,IF(G8&gt;=$B$244,30%,IF(G8&gt;=$B$243,20%,10%)))),0))+$C$117*$E$236*(IF(LEFT(G65,2)="입주",SUM('PF상환 민감도'!$D$4:$E$4)+'PF상환 민감도'!$F$4*30%,IF(G8&gt;손익!$P$9+90,1,0))+IF(G8&lt;손익!$P$9,IF($D$248&gt;0,IF(G8&gt;=$D$248,20%),0),0)+IF(G8&lt;손익!$P$9,IF($D$247&gt;0,IF(G8&gt;=$D$247,10%),0),0)+IF(G8&lt;손익!$P$9,IF(G8&gt;=$D$246,50%,IF(G8&gt;=$D$245,40%,IF(G8&gt;=$D$244,30%,IF(G8&gt;=$D$243,20%,10%)))),0))+$C$173*$E$236*(IF(LEFT(G121,2)="입주",SUM('PF상환 민감도'!$D$5:$E$5)+'PF상환 민감도'!$F$5*30%,IF(G8&gt;손익!$P$9+90,1,0))+IF(G8&lt;손익!$P$9,IF($F$248&gt;0,IF(G8&gt;=$F$248,20%),0),0)+IF(G8&lt;손익!$P$9,IF($F$247&gt;0,IF(G8&gt;=$F$247,10%),0),0)+IF(G8&lt;손익!$P$9,IF(G8&gt;=$F$246,50%,IF(G8&gt;=$F$245,40%,IF(G8&gt;=$F$244,30%,IF(G8&gt;=$F$243,20%,10%)))),0))+$C$228*$E$236*(IF(LEFT(G121,2)="입주",SUM('PF상환 민감도'!$D$6:$E$6)+'PF상환 민감도'!$F$6*30%,IF(G8&gt;손익!$P$9+90,1,0))+IF(G8&lt;손익!$P$9,IF($F$248&gt;0,IF(G8&gt;=$F$248,20%),0),0)+IF(G8&lt;손익!$P$9,IF($F$247&gt;0,IF(G8&gt;=$F$247,10%),0),0)+IF(G8&lt;손익!$P$9,IF(G8&gt;=$F$246,50%,IF(G8&gt;=$F$245,40%,IF(G8&gt;=$F$244,30%,IF(G8&gt;=$F$243,20%,10%)))),0))),G232)</f>
        <v>7586171.0251470003</v>
      </c>
      <c r="H236" s="643">
        <f ca="1">IF(SUM($G232:H$232)&gt;($C$61*$E$236*(IF(LEFT(H9,2)="입주",SUM('PF상환 민감도'!$D$3:$E$3)+'PF상환 민감도'!$F$3*30%,IF(LEFT(G9,2)="입주",SUM('PF상환 민감도'!$D$3:$E$3)+'PF상환 민감도'!$F$3*80%,IF(LEFT(F9,2)="입주",100%,IF(H8&gt;손익!$P$9+90,1,0))))+IF(H8&lt;손익!$P$9,IF($B$248&gt;0,IF(H8&gt;=$B$248,20%),0),0)+IF(H8&lt;손익!$P$9,IF($B$247&gt;0,IF(H8&gt;=$B$247,10%),0),0)+IF(H8&lt;손익!$P$9,IF(H8&gt;=$B$246,50%,IF(H8&gt;=$B$245,40%,IF(H8&gt;=$B$244,30%,IF(H8&gt;=$B$243,20%,10%)))),0))+$C$117*$E$236*(IF(LEFT(H65,2)="입주",SUM('PF상환 민감도'!$D$4:$E$4)+'PF상환 민감도'!$F$4*30%,IF(LEFT(G65,2)="입주",SUM('PF상환 민감도'!$D$4:$E$4)+'PF상환 민감도'!$F$4*80%,IF(LEFT(F65,2)="입주",100%,IF(H8&gt;손익!$P$9+90,1,0))))+IF(H8&lt;손익!$P$9,IF($D$248&gt;0,IF(H8&gt;=$D$248,20%),0),0)+IF(H8&lt;손익!$P$9,IF($D$247&gt;0,IF(H8&gt;=$D$247,10%),0),0)+IF(H8&lt;손익!$P$9,IF(H8&gt;=$D$246,50%,IF(H8&gt;=$D$245,40%,IF(H8&gt;=$D$244,30%,IF(H8&gt;=$D$243,20%,10%)))),0))+$C$173*$E$236*(IF(LEFT(H121,2)="입주",SUM('PF상환 민감도'!$D$5:$E$5)+'PF상환 민감도'!$F$5*30%,IF(LEFT(G121,2)="입주",SUM('PF상환 민감도'!$D$5:$E$5)+'PF상환 민감도'!$F$5*80%,IF(LEFT(F121,2)="입주",100%,IF(H8&gt;손익!$P$9+90,1,0))))+IF(H8&lt;손익!$P$9,IF($F$248&gt;0,IF(H8&gt;=$F$248,20%),0),0)+IF(H8&lt;손익!$P$9,IF($F$247&gt;0,IF(H8&gt;=$F$247,10%),0),0)+IF(H8&lt;손익!$P$9,IF(H8&gt;=$F$246,50%,IF(H8&gt;=$F$245,40%,IF(H8&gt;=$F$244,30%,IF(H8&gt;=$F$243,20%,10%)))),0))+$C$228*$E$236*(IF(LEFT(H121,2)="입주",SUM('PF상환 민감도'!$D$6:$E$6)+'PF상환 민감도'!$F$6*30%,IF(LEFT(G121,2)="입주",SUM('PF상환 민감도'!$D$6:$E$6)+'PF상환 민감도'!$F$6*80%,IF(LEFT(F121,2)="입주",100%,IF(H8&gt;손익!$P$9+90,1,0))))+IF(H8&lt;손익!$P$9,IF($F$248&gt;0,IF(H8&gt;=$F$248,20%),0),0)+IF(H8&lt;손익!$P$9,IF($F$247&gt;0,IF(H8&gt;=$F$247,10%),0),0)+IF(H8&lt;손익!$P$9,IF(H8&gt;=$F$246,50%,IF(H8&gt;=$F$245,40%,IF(H8&gt;=$F$244,30%,IF(H8&gt;=$F$243,20%,10%)))),0))),($C$61*$E$236*(IF(LEFT(H9,2)="입주",SUM('PF상환 민감도'!$D$3:$E$3)+'PF상환 민감도'!$F$3*30%,IF(LEFT(G9,2)="입주",SUM('PF상환 민감도'!$D$3:$E$3)+'PF상환 민감도'!$F$3*80%,IF(LEFT(F9,2)="입주",100%,IF(H8&gt;손익!$P$9+90,1,0))))+IF(H8&lt;손익!$P$9,IF($B$248&gt;0,IF(H8&gt;=$B$248,20%),0),0)+IF(H8&lt;손익!$P$9,IF($B$247&gt;0,IF(H8&gt;=$B$247,10%),0),0)+IF(H8&lt;손익!$P$9,IF(H8&gt;=$B$246,50%,IF(H8&gt;=$B$245,40%,IF(H8&gt;=$B$244,30%,IF(H8&gt;=$B$243,20%,10%)))),0))+$C$117*$E$236*(IF(LEFT(H65,2)="입주",SUM('PF상환 민감도'!$D$4:$E$4)+'PF상환 민감도'!$F$4*30%,IF(LEFT(G65,2)="입주",SUM('PF상환 민감도'!$D$4:$E$4)+'PF상환 민감도'!$F$4*80%,IF(LEFT(F65,2)="입주",100%,IF(H8&gt;손익!$P$9+90,1,0))))+IF(H8&lt;손익!$P$9,IF($D$248&gt;0,IF(H8&gt;=$D$248,20%),0),0)+IF(H8&lt;손익!$P$9,IF($D$247&gt;0,IF(H8&gt;=$D$247,10%),0),0)+IF(H8&lt;손익!$P$9,IF(H8&gt;=$D$246,50%,IF(H8&gt;=$D$245,40%,IF(H8&gt;=$D$244,30%,IF(H8&gt;=$D$243,20%,10%)))),0))+$C$173*$E$236*(IF(LEFT(H121,2)="입주",SUM('PF상환 민감도'!$D$5:$E$5)+'PF상환 민감도'!$F$5*30%,IF(LEFT(G121,2)="입주",SUM('PF상환 민감도'!$D$5:$E$5)+'PF상환 민감도'!$F$5*80%,IF(LEFT(F121,2)="입주",100%,IF(H8&gt;손익!$P$9+90,1,0))))+IF(H8&lt;손익!$P$9,IF($F$248&gt;0,IF(H8&gt;=$F$248,20%),0),0)+IF(H8&lt;손익!$P$9,IF($F$247&gt;0,IF(H8&gt;=$F$247,10%),0),0)+IF(H8&lt;손익!$P$9,IF(H8&gt;=$F$246,50%,IF(H8&gt;=$F$245,40%,IF(H8&gt;=$F$244,30%,IF(H8&gt;=$F$243,20%,10%)))),0))+$C$228*$E$236*(IF(LEFT(H121,2)="입주",SUM('PF상환 민감도'!$D$6:$E$6)+'PF상환 민감도'!$F$6*30%,IF(LEFT(G121,2)="입주",SUM('PF상환 민감도'!$D$6:$E$6)+'PF상환 민감도'!$F$6*80%,IF(LEFT(F121,2)="입주",100%,IF(H8&gt;손익!$P$9+90,1,0))))+IF(H8&lt;손익!$P$9,IF($F$248&gt;0,IF(H8&gt;=$F$248,20%),0),0)+IF(H8&lt;손익!$P$9,IF($F$247&gt;0,IF(H8&gt;=$F$247,10%),0),0)+IF(H8&lt;손익!$P$9,IF(H8&gt;=$F$246,50%,IF(H8&gt;=$F$245,40%,IF(H8&gt;=$F$244,30%,IF(H8&gt;=$F$243,20%,10%)))),0)))-SUM($G$236:G236),H232)</f>
        <v>3793085.5125735002</v>
      </c>
      <c r="I236" s="643">
        <f ca="1">IF(SUM($G232:I$232)&gt;($C$61*$E$236*(IF(LEFT(I9,2)="입주",SUM('PF상환 민감도'!$D$3:$E$3)+'PF상환 민감도'!$F$3*30%,IF(LEFT(H9,2)="입주",SUM('PF상환 민감도'!$D$3:$E$3)+'PF상환 민감도'!$F$3*80%,IF(LEFT(G9,2)="입주",100%,IF(I8&gt;손익!$P$9+90,1,0))))+IF(I8&lt;손익!$P$9,IF($B$248&gt;0,IF(I8&gt;=$B$248,20%),0),0)+IF(I8&lt;손익!$P$9,IF($B$247&gt;0,IF(I8&gt;=$B$247,10%),0),0)+IF(I8&lt;손익!$P$9,IF(I8&gt;=$B$246,50%,IF(I8&gt;=$B$245,40%,IF(I8&gt;=$B$244,30%,IF(I8&gt;=$B$243,20%,10%)))),0))+$C$117*$E$236*(IF(LEFT(I65,2)="입주",SUM('PF상환 민감도'!$D$4:$E$4)+'PF상환 민감도'!$F$4*30%,IF(LEFT(H65,2)="입주",SUM('PF상환 민감도'!$D$4:$E$4)+'PF상환 민감도'!$F$4*80%,IF(LEFT(G65,2)="입주",100%,IF(I8&gt;손익!$P$9+90,1,0))))+IF(I8&lt;손익!$P$9,IF($D$248&gt;0,IF(I8&gt;=$D$248,20%),0),0)+IF(I8&lt;손익!$P$9,IF($D$247&gt;0,IF(I8&gt;=$D$247,10%),0),0)+IF(I8&lt;손익!$P$9,IF(I8&gt;=$D$246,50%,IF(I8&gt;=$D$245,40%,IF(I8&gt;=$D$244,30%,IF(I8&gt;=$D$243,20%,10%)))),0))+$C$173*$E$236*(IF(LEFT(I121,2)="입주",SUM('PF상환 민감도'!$D$5:$E$5)+'PF상환 민감도'!$F$5*30%,IF(LEFT(H121,2)="입주",SUM('PF상환 민감도'!$D$5:$E$5)+'PF상환 민감도'!$F$5*80%,IF(LEFT(G121,2)="입주",100%,IF(I8&gt;손익!$P$9+90,1,0))))+IF(I8&lt;손익!$P$9,IF($F$248&gt;0,IF(I8&gt;=$F$248,20%),0),0)+IF(I8&lt;손익!$P$9,IF($F$247&gt;0,IF(I8&gt;=$F$247,10%),0),0)+IF(I8&lt;손익!$P$9,IF(I8&gt;=$F$246,50%,IF(I8&gt;=$F$245,40%,IF(I8&gt;=$F$244,30%,IF(I8&gt;=$F$243,20%,10%)))),0))+$C$228*$E$236*(IF(LEFT(I121,2)="입주",SUM('PF상환 민감도'!$D$6:$E$6)+'PF상환 민감도'!$F$6*30%,IF(LEFT(H121,2)="입주",SUM('PF상환 민감도'!$D$6:$E$6)+'PF상환 민감도'!$F$6*80%,IF(LEFT(G121,2)="입주",100%,IF(I8&gt;손익!$P$9+90,1,0))))+IF(I8&lt;손익!$P$9,IF($F$248&gt;0,IF(I8&gt;=$F$248,20%),0),0)+IF(I8&lt;손익!$P$9,IF($F$247&gt;0,IF(I8&gt;=$F$247,10%),0),0)+IF(I8&lt;손익!$P$9,IF(I8&gt;=$F$246,50%,IF(I8&gt;=$F$245,40%,IF(I8&gt;=$F$244,30%,IF(I8&gt;=$F$243,20%,10%)))),0))),($C$61*$E$236*(IF(LEFT(I9,2)="입주",SUM('PF상환 민감도'!$D$3:$E$3)+'PF상환 민감도'!$F$3*30%,IF(LEFT(H9,2)="입주",SUM('PF상환 민감도'!$D$3:$E$3)+'PF상환 민감도'!$F$3*80%,IF(LEFT(G9,2)="입주",100%,IF(I8&gt;손익!$P$9+90,1,0))))+IF(I8&lt;손익!$P$9,IF($B$248&gt;0,IF(I8&gt;=$B$248,20%),0),0)+IF(I8&lt;손익!$P$9,IF($B$247&gt;0,IF(I8&gt;=$B$247,10%),0),0)+IF(I8&lt;손익!$P$9,IF(I8&gt;=$B$246,50%,IF(I8&gt;=$B$245,40%,IF(I8&gt;=$B$244,30%,IF(I8&gt;=$B$243,20%,10%)))),0))+$C$117*$E$236*(IF(LEFT(I65,2)="입주",SUM('PF상환 민감도'!$D$4:$E$4)+'PF상환 민감도'!$F$4*30%,IF(LEFT(H65,2)="입주",SUM('PF상환 민감도'!$D$4:$E$4)+'PF상환 민감도'!$F$4*80%,IF(LEFT(G65,2)="입주",100%,IF(I8&gt;손익!$P$9+90,1,0))))+IF(I8&lt;손익!$P$9,IF($D$248&gt;0,IF(I8&gt;=$D$248,20%),0),0)+IF(I8&lt;손익!$P$9,IF($D$247&gt;0,IF(I8&gt;=$D$247,10%),0),0)+IF(I8&lt;손익!$P$9,IF(I8&gt;=$D$246,50%,IF(I8&gt;=$D$245,40%,IF(I8&gt;=$D$244,30%,IF(I8&gt;=$D$243,20%,10%)))),0))+$C$173*$E$236*(IF(LEFT(I121,2)="입주",SUM('PF상환 민감도'!$D$5:$E$5)+'PF상환 민감도'!$F$5*30%,IF(LEFT(H121,2)="입주",SUM('PF상환 민감도'!$D$5:$E$5)+'PF상환 민감도'!$F$5*80%,IF(LEFT(G121,2)="입주",100%,IF(I8&gt;손익!$P$9+90,1,0))))+IF(I8&lt;손익!$P$9,IF($F$248&gt;0,IF(I8&gt;=$F$248,20%),0),0)+IF(I8&lt;손익!$P$9,IF($F$247&gt;0,IF(I8&gt;=$F$247,10%),0),0)+IF(I8&lt;손익!$P$9,IF(I8&gt;=$F$246,50%,IF(I8&gt;=$F$245,40%,IF(I8&gt;=$F$244,30%,IF(I8&gt;=$F$243,20%,10%)))),0))+$C$228*$E$236*(IF(LEFT(I121,2)="입주",SUM('PF상환 민감도'!$D$6:$E$6)+'PF상환 민감도'!$F$6*30%,IF(LEFT(H121,2)="입주",SUM('PF상환 민감도'!$D$6:$E$6)+'PF상환 민감도'!$F$6*80%,IF(LEFT(G121,2)="입주",100%,IF(I8&gt;손익!$P$9+90,1,0))))+IF(I8&lt;손익!$P$9,IF($F$248&gt;0,IF(I8&gt;=$F$248,20%),0),0)+IF(I8&lt;손익!$P$9,IF($F$247&gt;0,IF(I8&gt;=$F$247,10%),0),0)+IF(I8&lt;손익!$P$9,IF(I8&gt;=$F$246,50%,IF(I8&gt;=$F$245,40%,IF(I8&gt;=$F$244,30%,IF(I8&gt;=$F$243,20%,10%)))),0)))-SUM($G$236:H236),I232)</f>
        <v>1264361.8375245002</v>
      </c>
      <c r="J236" s="643">
        <f ca="1">IF(SUM($G232:J$232)&gt;($C$61*$E$236*(IF(LEFT(J9,2)="입주",SUM('PF상환 민감도'!$D$3:$E$3)+'PF상환 민감도'!$F$3*30%,IF(LEFT(I9,2)="입주",SUM('PF상환 민감도'!$D$3:$E$3)+'PF상환 민감도'!$F$3*80%,IF(LEFT(H9,2)="입주",100%,IF(J8&gt;손익!$P$9+90,1,0))))+IF(J8&lt;손익!$P$9,IF($B$248&gt;0,IF(J8&gt;=$B$248,20%),0),0)+IF(J8&lt;손익!$P$9,IF($B$247&gt;0,IF(J8&gt;=$B$247,10%),0),0)+IF(J8&lt;손익!$P$9,IF(J8&gt;=$B$246,50%,IF(J8&gt;=$B$245,40%,IF(J8&gt;=$B$244,30%,IF(J8&gt;=$B$243,20%,10%)))),0))+$C$117*$E$236*(IF(LEFT(J65,2)="입주",SUM('PF상환 민감도'!$D$4:$E$4)+'PF상환 민감도'!$F$4*30%,IF(LEFT(I65,2)="입주",SUM('PF상환 민감도'!$D$4:$E$4)+'PF상환 민감도'!$F$4*80%,IF(LEFT(H65,2)="입주",100%,IF(J8&gt;손익!$P$9+90,1,0))))+IF(J8&lt;손익!$P$9,IF($D$248&gt;0,IF(J8&gt;=$D$248,20%),0),0)+IF(J8&lt;손익!$P$9,IF($D$247&gt;0,IF(J8&gt;=$D$247,10%),0),0)+IF(J8&lt;손익!$P$9,IF(J8&gt;=$D$246,50%,IF(J8&gt;=$D$245,40%,IF(J8&gt;=$D$244,30%,IF(J8&gt;=$D$243,20%,10%)))),0))+$C$173*$E$236*(IF(LEFT(J121,2)="입주",SUM('PF상환 민감도'!$D$5:$E$5)+'PF상환 민감도'!$F$5*30%,IF(LEFT(I121,2)="입주",SUM('PF상환 민감도'!$D$5:$E$5)+'PF상환 민감도'!$F$5*80%,IF(LEFT(H121,2)="입주",100%,IF(J8&gt;손익!$P$9+90,1,0))))+IF(J8&lt;손익!$P$9,IF($F$248&gt;0,IF(J8&gt;=$F$248,20%),0),0)+IF(J8&lt;손익!$P$9,IF($F$247&gt;0,IF(J8&gt;=$F$247,10%),0),0)+IF(J8&lt;손익!$P$9,IF(J8&gt;=$F$246,50%,IF(J8&gt;=$F$245,40%,IF(J8&gt;=$F$244,30%,IF(J8&gt;=$F$243,20%,10%)))),0))+$C$228*$E$236*(IF(LEFT(J121,2)="입주",SUM('PF상환 민감도'!$D$6:$E$6)+'PF상환 민감도'!$F$6*30%,IF(LEFT(I121,2)="입주",SUM('PF상환 민감도'!$D$6:$E$6)+'PF상환 민감도'!$F$6*80%,IF(LEFT(H121,2)="입주",100%,IF(J8&gt;손익!$P$9+90,1,0))))+IF(J8&lt;손익!$P$9,IF($F$248&gt;0,IF(J8&gt;=$F$248,20%),0),0)+IF(J8&lt;손익!$P$9,IF($F$247&gt;0,IF(J8&gt;=$F$247,10%),0),0)+IF(J8&lt;손익!$P$9,IF(J8&gt;=$F$246,50%,IF(J8&gt;=$F$245,40%,IF(J8&gt;=$F$244,30%,IF(J8&gt;=$F$243,20%,10%)))),0))),($C$61*$E$236*(IF(LEFT(J9,2)="입주",SUM('PF상환 민감도'!$D$3:$E$3)+'PF상환 민감도'!$F$3*30%,IF(LEFT(I9,2)="입주",SUM('PF상환 민감도'!$D$3:$E$3)+'PF상환 민감도'!$F$3*80%,IF(LEFT(H9,2)="입주",100%,IF(J8&gt;손익!$P$9+90,1,0))))+IF(J8&lt;손익!$P$9,IF($B$248&gt;0,IF(J8&gt;=$B$248,20%),0),0)+IF(J8&lt;손익!$P$9,IF($B$247&gt;0,IF(J8&gt;=$B$247,10%),0),0)+IF(J8&lt;손익!$P$9,IF(J8&gt;=$B$246,50%,IF(J8&gt;=$B$245,40%,IF(J8&gt;=$B$244,30%,IF(J8&gt;=$B$243,20%,10%)))),0))+$C$117*$E$236*(IF(LEFT(J65,2)="입주",SUM('PF상환 민감도'!$D$4:$E$4)+'PF상환 민감도'!$F$4*30%,IF(LEFT(I65,2)="입주",SUM('PF상환 민감도'!$D$4:$E$4)+'PF상환 민감도'!$F$4*80%,IF(LEFT(H65,2)="입주",100%,IF(J8&gt;손익!$P$9+90,1,0))))+IF(J8&lt;손익!$P$9,IF($D$248&gt;0,IF(J8&gt;=$D$248,20%),0),0)+IF(J8&lt;손익!$P$9,IF($D$247&gt;0,IF(J8&gt;=$D$247,10%),0),0)+IF(J8&lt;손익!$P$9,IF(J8&gt;=$D$246,50%,IF(J8&gt;=$D$245,40%,IF(J8&gt;=$D$244,30%,IF(J8&gt;=$D$243,20%,10%)))),0))+$C$173*$E$236*(IF(LEFT(J121,2)="입주",SUM('PF상환 민감도'!$D$5:$E$5)+'PF상환 민감도'!$F$5*30%,IF(LEFT(I121,2)="입주",SUM('PF상환 민감도'!$D$5:$E$5)+'PF상환 민감도'!$F$5*80%,IF(LEFT(H121,2)="입주",100%,IF(J8&gt;손익!$P$9+90,1,0))))+IF(J8&lt;손익!$P$9,IF($F$248&gt;0,IF(J8&gt;=$F$248,20%),0),0)+IF(J8&lt;손익!$P$9,IF($F$247&gt;0,IF(J8&gt;=$F$247,10%),0),0)+IF(J8&lt;손익!$P$9,IF(J8&gt;=$F$246,50%,IF(J8&gt;=$F$245,40%,IF(J8&gt;=$F$244,30%,IF(J8&gt;=$F$243,20%,10%)))),0))+$C$228*$E$236*(IF(LEFT(J121,2)="입주",SUM('PF상환 민감도'!$D$6:$E$6)+'PF상환 민감도'!$F$6*30%,IF(LEFT(I121,2)="입주",SUM('PF상환 민감도'!$D$6:$E$6)+'PF상환 민감도'!$F$6*80%,IF(LEFT(H121,2)="입주",100%,IF(J8&gt;손익!$P$9+90,1,0))))+IF(J8&lt;손익!$P$9,IF($F$248&gt;0,IF(J8&gt;=$F$248,20%),0),0)+IF(J8&lt;손익!$P$9,IF($F$247&gt;0,IF(J8&gt;=$F$247,10%),0),0)+IF(J8&lt;손익!$P$9,IF(J8&gt;=$F$246,50%,IF(J8&gt;=$F$245,40%,IF(J8&gt;=$F$244,30%,IF(J8&gt;=$F$243,20%,10%)))),0)))-SUM($G$236:I236),J232)</f>
        <v>320872.66365719028</v>
      </c>
      <c r="K236" s="643">
        <f ca="1">IF(SUM($G232:K$232)&gt;($C$61*$E$236*(IF(LEFT(K9,2)="입주",SUM('PF상환 민감도'!$D$3:$E$3)+'PF상환 민감도'!$F$3*30%,IF(LEFT(J9,2)="입주",SUM('PF상환 민감도'!$D$3:$E$3)+'PF상환 민감도'!$F$3*80%,IF(LEFT(I9,2)="입주",100%,IF(K8&gt;손익!$P$9+90,1,0))))+IF(K8&lt;손익!$P$9,IF($B$248&gt;0,IF(K8&gt;=$B$248,20%),0),0)+IF(K8&lt;손익!$P$9,IF($B$247&gt;0,IF(K8&gt;=$B$247,10%),0),0)+IF(K8&lt;손익!$P$9,IF(K8&gt;=$B$246,50%,IF(K8&gt;=$B$245,40%,IF(K8&gt;=$B$244,30%,IF(K8&gt;=$B$243,20%,10%)))),0))+$C$117*$E$236*(IF(LEFT(K65,2)="입주",SUM('PF상환 민감도'!$D$4:$E$4)+'PF상환 민감도'!$F$4*30%,IF(LEFT(J65,2)="입주",SUM('PF상환 민감도'!$D$4:$E$4)+'PF상환 민감도'!$F$4*80%,IF(LEFT(I65,2)="입주",100%,IF(K8&gt;손익!$P$9+90,1,0))))+IF(K8&lt;손익!$P$9,IF($D$248&gt;0,IF(K8&gt;=$D$248,20%),0),0)+IF(K8&lt;손익!$P$9,IF($D$247&gt;0,IF(K8&gt;=$D$247,10%),0),0)+IF(K8&lt;손익!$P$9,IF(K8&gt;=$D$246,50%,IF(K8&gt;=$D$245,40%,IF(K8&gt;=$D$244,30%,IF(K8&gt;=$D$243,20%,10%)))),0))+$C$173*$E$236*(IF(LEFT(K121,2)="입주",SUM('PF상환 민감도'!$D$5:$E$5)+'PF상환 민감도'!$F$5*30%,IF(LEFT(J121,2)="입주",SUM('PF상환 민감도'!$D$5:$E$5)+'PF상환 민감도'!$F$5*80%,IF(LEFT(I121,2)="입주",100%,IF(K8&gt;손익!$P$9+90,1,0))))+IF(K8&lt;손익!$P$9,IF($F$248&gt;0,IF(K8&gt;=$F$248,20%),0),0)+IF(K8&lt;손익!$P$9,IF($F$247&gt;0,IF(K8&gt;=$F$247,10%),0),0)+IF(K8&lt;손익!$P$9,IF(K8&gt;=$F$246,50%,IF(K8&gt;=$F$245,40%,IF(K8&gt;=$F$244,30%,IF(K8&gt;=$F$243,20%,10%)))),0))+$C$228*$E$236*(IF(LEFT(K121,2)="입주",SUM('PF상환 민감도'!$D$6:$E$6)+'PF상환 민감도'!$F$6*30%,IF(LEFT(J121,2)="입주",SUM('PF상환 민감도'!$D$6:$E$6)+'PF상환 민감도'!$F$6*80%,IF(LEFT(I121,2)="입주",100%,IF(K8&gt;손익!$P$9+90,1,0))))+IF(K8&lt;손익!$P$9,IF($F$248&gt;0,IF(K8&gt;=$F$248,20%),0),0)+IF(K8&lt;손익!$P$9,IF($F$247&gt;0,IF(K8&gt;=$F$247,10%),0),0)+IF(K8&lt;손익!$P$9,IF(K8&gt;=$F$246,50%,IF(K8&gt;=$F$245,40%,IF(K8&gt;=$F$244,30%,IF(K8&gt;=$F$243,20%,10%)))),0))),($C$61*$E$236*(IF(LEFT(K9,2)="입주",SUM('PF상환 민감도'!$D$3:$E$3)+'PF상환 민감도'!$F$3*30%,IF(LEFT(J9,2)="입주",SUM('PF상환 민감도'!$D$3:$E$3)+'PF상환 민감도'!$F$3*80%,IF(LEFT(I9,2)="입주",100%,IF(K8&gt;손익!$P$9+90,1,0))))+IF(K8&lt;손익!$P$9,IF($B$248&gt;0,IF(K8&gt;=$B$248,20%),0),0)+IF(K8&lt;손익!$P$9,IF($B$247&gt;0,IF(K8&gt;=$B$247,10%),0),0)+IF(K8&lt;손익!$P$9,IF(K8&gt;=$B$246,50%,IF(K8&gt;=$B$245,40%,IF(K8&gt;=$B$244,30%,IF(K8&gt;=$B$243,20%,10%)))),0))+$C$117*$E$236*(IF(LEFT(K65,2)="입주",SUM('PF상환 민감도'!$D$4:$E$4)+'PF상환 민감도'!$F$4*30%,IF(LEFT(J65,2)="입주",SUM('PF상환 민감도'!$D$4:$E$4)+'PF상환 민감도'!$F$4*80%,IF(LEFT(I65,2)="입주",100%,IF(K8&gt;손익!$P$9+90,1,0))))+IF(K8&lt;손익!$P$9,IF($D$248&gt;0,IF(K8&gt;=$D$248,20%),0),0)+IF(K8&lt;손익!$P$9,IF($D$247&gt;0,IF(K8&gt;=$D$247,10%),0),0)+IF(K8&lt;손익!$P$9,IF(K8&gt;=$D$246,50%,IF(K8&gt;=$D$245,40%,IF(K8&gt;=$D$244,30%,IF(K8&gt;=$D$243,20%,10%)))),0))+$C$173*$E$236*(IF(LEFT(K121,2)="입주",SUM('PF상환 민감도'!$D$5:$E$5)+'PF상환 민감도'!$F$5*30%,IF(LEFT(J121,2)="입주",SUM('PF상환 민감도'!$D$5:$E$5)+'PF상환 민감도'!$F$5*80%,IF(LEFT(I121,2)="입주",100%,IF(K8&gt;손익!$P$9+90,1,0))))+IF(K8&lt;손익!$P$9,IF($F$248&gt;0,IF(K8&gt;=$F$248,20%),0),0)+IF(K8&lt;손익!$P$9,IF($F$247&gt;0,IF(K8&gt;=$F$247,10%),0),0)+IF(K8&lt;손익!$P$9,IF(K8&gt;=$F$246,50%,IF(K8&gt;=$F$245,40%,IF(K8&gt;=$F$244,30%,IF(K8&gt;=$F$243,20%,10%)))),0))+$C$228*$E$236*(IF(LEFT(K121,2)="입주",SUM('PF상환 민감도'!$D$6:$E$6)+'PF상환 민감도'!$F$6*30%,IF(LEFT(J121,2)="입주",SUM('PF상환 민감도'!$D$6:$E$6)+'PF상환 민감도'!$F$6*80%,IF(LEFT(I121,2)="입주",100%,IF(K8&gt;손익!$P$9+90,1,0))))+IF(K8&lt;손익!$P$9,IF($F$248&gt;0,IF(K8&gt;=$F$248,20%),0),0)+IF(K8&lt;손익!$P$9,IF($F$247&gt;0,IF(K8&gt;=$F$247,10%),0),0)+IF(K8&lt;손익!$P$9,IF(K8&gt;=$F$246,50%,IF(K8&gt;=$F$245,40%,IF(K8&gt;=$F$244,30%,IF(K8&gt;=$F$243,20%,10%)))),0)))-SUM($G$236:J236),K232)</f>
        <v>0</v>
      </c>
      <c r="L236" s="643">
        <f ca="1">IF(SUM($G232:L$232)&gt;($C$61*$E$236*(IF(LEFT(L9,2)="입주",SUM('PF상환 민감도'!$D$3:$E$3)+'PF상환 민감도'!$F$3*30%,IF(LEFT(K9,2)="입주",SUM('PF상환 민감도'!$D$3:$E$3)+'PF상환 민감도'!$F$3*80%,IF(LEFT(J9,2)="입주",100%,IF(L8&gt;손익!$P$9+90,1,0))))+IF(L8&lt;손익!$P$9,IF($B$248&gt;0,IF(L8&gt;=$B$248,20%),0),0)+IF(L8&lt;손익!$P$9,IF($B$247&gt;0,IF(L8&gt;=$B$247,10%),0),0)+IF(L8&lt;손익!$P$9,IF(L8&gt;=$B$246,50%,IF(L8&gt;=$B$245,40%,IF(L8&gt;=$B$244,30%,IF(L8&gt;=$B$243,20%,10%)))),0))+$C$117*$E$236*(IF(LEFT(L65,2)="입주",SUM('PF상환 민감도'!$D$4:$E$4)+'PF상환 민감도'!$F$4*30%,IF(LEFT(K65,2)="입주",SUM('PF상환 민감도'!$D$4:$E$4)+'PF상환 민감도'!$F$4*80%,IF(LEFT(J65,2)="입주",100%,IF(L8&gt;손익!$P$9+90,1,0))))+IF(L8&lt;손익!$P$9,IF($D$248&gt;0,IF(L8&gt;=$D$248,20%),0),0)+IF(L8&lt;손익!$P$9,IF($D$247&gt;0,IF(L8&gt;=$D$247,10%),0),0)+IF(L8&lt;손익!$P$9,IF(L8&gt;=$D$246,50%,IF(L8&gt;=$D$245,40%,IF(L8&gt;=$D$244,30%,IF(L8&gt;=$D$243,20%,10%)))),0))+$C$173*$E$236*(IF(LEFT(L121,2)="입주",SUM('PF상환 민감도'!$D$5:$E$5)+'PF상환 민감도'!$F$5*30%,IF(LEFT(K121,2)="입주",SUM('PF상환 민감도'!$D$5:$E$5)+'PF상환 민감도'!$F$5*80%,IF(LEFT(J121,2)="입주",100%,IF(L8&gt;손익!$P$9+90,1,0))))+IF(L8&lt;손익!$P$9,IF($F$248&gt;0,IF(L8&gt;=$F$248,20%),0),0)+IF(L8&lt;손익!$P$9,IF($F$247&gt;0,IF(L8&gt;=$F$247,10%),0),0)+IF(L8&lt;손익!$P$9,IF(L8&gt;=$F$246,50%,IF(L8&gt;=$F$245,40%,IF(L8&gt;=$F$244,30%,IF(L8&gt;=$F$243,20%,10%)))),0))+$C$228*$E$236*(IF(LEFT(L121,2)="입주",SUM('PF상환 민감도'!$D$6:$E$6)+'PF상환 민감도'!$F$6*30%,IF(LEFT(K121,2)="입주",SUM('PF상환 민감도'!$D$6:$E$6)+'PF상환 민감도'!$F$6*80%,IF(LEFT(J121,2)="입주",100%,IF(L8&gt;손익!$P$9+90,1,0))))+IF(L8&lt;손익!$P$9,IF($F$248&gt;0,IF(L8&gt;=$F$248,20%),0),0)+IF(L8&lt;손익!$P$9,IF($F$247&gt;0,IF(L8&gt;=$F$247,10%),0),0)+IF(L8&lt;손익!$P$9,IF(L8&gt;=$F$246,50%,IF(L8&gt;=$F$245,40%,IF(L8&gt;=$F$244,30%,IF(L8&gt;=$F$243,20%,10%)))),0))),($C$61*$E$236*(IF(LEFT(L9,2)="입주",SUM('PF상환 민감도'!$D$3:$E$3)+'PF상환 민감도'!$F$3*30%,IF(LEFT(K9,2)="입주",SUM('PF상환 민감도'!$D$3:$E$3)+'PF상환 민감도'!$F$3*80%,IF(LEFT(J9,2)="입주",100%,IF(L8&gt;손익!$P$9+90,1,0))))+IF(L8&lt;손익!$P$9,IF($B$248&gt;0,IF(L8&gt;=$B$248,20%),0),0)+IF(L8&lt;손익!$P$9,IF($B$247&gt;0,IF(L8&gt;=$B$247,10%),0),0)+IF(L8&lt;손익!$P$9,IF(L8&gt;=$B$246,50%,IF(L8&gt;=$B$245,40%,IF(L8&gt;=$B$244,30%,IF(L8&gt;=$B$243,20%,10%)))),0))+$C$117*$E$236*(IF(LEFT(L65,2)="입주",SUM('PF상환 민감도'!$D$4:$E$4)+'PF상환 민감도'!$F$4*30%,IF(LEFT(K65,2)="입주",SUM('PF상환 민감도'!$D$4:$E$4)+'PF상환 민감도'!$F$4*80%,IF(LEFT(J65,2)="입주",100%,IF(L8&gt;손익!$P$9+90,1,0))))+IF(L8&lt;손익!$P$9,IF($D$248&gt;0,IF(L8&gt;=$D$248,20%),0),0)+IF(L8&lt;손익!$P$9,IF($D$247&gt;0,IF(L8&gt;=$D$247,10%),0),0)+IF(L8&lt;손익!$P$9,IF(L8&gt;=$D$246,50%,IF(L8&gt;=$D$245,40%,IF(L8&gt;=$D$244,30%,IF(L8&gt;=$D$243,20%,10%)))),0))+$C$173*$E$236*(IF(LEFT(L121,2)="입주",SUM('PF상환 민감도'!$D$5:$E$5)+'PF상환 민감도'!$F$5*30%,IF(LEFT(K121,2)="입주",SUM('PF상환 민감도'!$D$5:$E$5)+'PF상환 민감도'!$F$5*80%,IF(LEFT(J121,2)="입주",100%,IF(L8&gt;손익!$P$9+90,1,0))))+IF(L8&lt;손익!$P$9,IF($F$248&gt;0,IF(L8&gt;=$F$248,20%),0),0)+IF(L8&lt;손익!$P$9,IF($F$247&gt;0,IF(L8&gt;=$F$247,10%),0),0)+IF(L8&lt;손익!$P$9,IF(L8&gt;=$F$246,50%,IF(L8&gt;=$F$245,40%,IF(L8&gt;=$F$244,30%,IF(L8&gt;=$F$243,20%,10%)))),0))+$C$228*$E$236*(IF(LEFT(L121,2)="입주",SUM('PF상환 민감도'!$D$6:$E$6)+'PF상환 민감도'!$F$6*30%,IF(LEFT(K121,2)="입주",SUM('PF상환 민감도'!$D$6:$E$6)+'PF상환 민감도'!$F$6*80%,IF(LEFT(J121,2)="입주",100%,IF(L8&gt;손익!$P$9+90,1,0))))+IF(L8&lt;손익!$P$9,IF($F$248&gt;0,IF(L8&gt;=$F$248,20%),0),0)+IF(L8&lt;손익!$P$9,IF($F$247&gt;0,IF(L8&gt;=$F$247,10%),0),0)+IF(L8&lt;손익!$P$9,IF(L8&gt;=$F$246,50%,IF(L8&gt;=$F$245,40%,IF(L8&gt;=$F$244,30%,IF(L8&gt;=$F$243,20%,10%)))),0)))-SUM($G$236:K236),L232)</f>
        <v>7586171.0251469966</v>
      </c>
      <c r="M236" s="643">
        <f ca="1">IF(SUM($G232:M$232)&gt;($C$61*$E$236*(IF(LEFT(M9,2)="입주",SUM('PF상환 민감도'!$D$3:$E$3)+'PF상환 민감도'!$F$3*30%,IF(LEFT(L9,2)="입주",SUM('PF상환 민감도'!$D$3:$E$3)+'PF상환 민감도'!$F$3*80%,IF(LEFT(K9,2)="입주",100%,IF(M8&gt;손익!$P$9+90,1,0))))+IF(M8&lt;손익!$P$9,IF($B$248&gt;0,IF(M8&gt;=$B$248,20%),0),0)+IF(M8&lt;손익!$P$9,IF($B$247&gt;0,IF(M8&gt;=$B$247,10%),0),0)+IF(M8&lt;손익!$P$9,IF(M8&gt;=$B$246,50%,IF(M8&gt;=$B$245,40%,IF(M8&gt;=$B$244,30%,IF(M8&gt;=$B$243,20%,10%)))),0))+$C$117*$E$236*(IF(LEFT(M65,2)="입주",SUM('PF상환 민감도'!$D$4:$E$4)+'PF상환 민감도'!$F$4*30%,IF(LEFT(L65,2)="입주",SUM('PF상환 민감도'!$D$4:$E$4)+'PF상환 민감도'!$F$4*80%,IF(LEFT(K65,2)="입주",100%,IF(M8&gt;손익!$P$9+90,1,0))))+IF(M8&lt;손익!$P$9,IF($D$248&gt;0,IF(M8&gt;=$D$248,20%),0),0)+IF(M8&lt;손익!$P$9,IF($D$247&gt;0,IF(M8&gt;=$D$247,10%),0),0)+IF(M8&lt;손익!$P$9,IF(M8&gt;=$D$246,50%,IF(M8&gt;=$D$245,40%,IF(M8&gt;=$D$244,30%,IF(M8&gt;=$D$243,20%,10%)))),0))+$C$173*$E$236*(IF(LEFT(M121,2)="입주",SUM('PF상환 민감도'!$D$5:$E$5)+'PF상환 민감도'!$F$5*30%,IF(LEFT(L121,2)="입주",SUM('PF상환 민감도'!$D$5:$E$5)+'PF상환 민감도'!$F$5*80%,IF(LEFT(K121,2)="입주",100%,IF(M8&gt;손익!$P$9+90,1,0))))+IF(M8&lt;손익!$P$9,IF($F$248&gt;0,IF(M8&gt;=$F$248,20%),0),0)+IF(M8&lt;손익!$P$9,IF($F$247&gt;0,IF(M8&gt;=$F$247,10%),0),0)+IF(M8&lt;손익!$P$9,IF(M8&gt;=$F$246,50%,IF(M8&gt;=$F$245,40%,IF(M8&gt;=$F$244,30%,IF(M8&gt;=$F$243,20%,10%)))),0))+$C$228*$E$236*(IF(LEFT(M121,2)="입주",SUM('PF상환 민감도'!$D$6:$E$6)+'PF상환 민감도'!$F$6*30%,IF(LEFT(L121,2)="입주",SUM('PF상환 민감도'!$D$6:$E$6)+'PF상환 민감도'!$F$6*80%,IF(LEFT(K121,2)="입주",100%,IF(M8&gt;손익!$P$9+90,1,0))))+IF(M8&lt;손익!$P$9,IF($F$248&gt;0,IF(M8&gt;=$F$248,20%),0),0)+IF(M8&lt;손익!$P$9,IF($F$247&gt;0,IF(M8&gt;=$F$247,10%),0),0)+IF(M8&lt;손익!$P$9,IF(M8&gt;=$F$246,50%,IF(M8&gt;=$F$245,40%,IF(M8&gt;=$F$244,30%,IF(M8&gt;=$F$243,20%,10%)))),0))),($C$61*$E$236*(IF(LEFT(M9,2)="입주",SUM('PF상환 민감도'!$D$3:$E$3)+'PF상환 민감도'!$F$3*30%,IF(LEFT(L9,2)="입주",SUM('PF상환 민감도'!$D$3:$E$3)+'PF상환 민감도'!$F$3*80%,IF(LEFT(K9,2)="입주",100%,IF(M8&gt;손익!$P$9+90,1,0))))+IF(M8&lt;손익!$P$9,IF($B$248&gt;0,IF(M8&gt;=$B$248,20%),0),0)+IF(M8&lt;손익!$P$9,IF($B$247&gt;0,IF(M8&gt;=$B$247,10%),0),0)+IF(M8&lt;손익!$P$9,IF(M8&gt;=$B$246,50%,IF(M8&gt;=$B$245,40%,IF(M8&gt;=$B$244,30%,IF(M8&gt;=$B$243,20%,10%)))),0))+$C$117*$E$236*(IF(LEFT(M65,2)="입주",SUM('PF상환 민감도'!$D$4:$E$4)+'PF상환 민감도'!$F$4*30%,IF(LEFT(L65,2)="입주",SUM('PF상환 민감도'!$D$4:$E$4)+'PF상환 민감도'!$F$4*80%,IF(LEFT(K65,2)="입주",100%,IF(M8&gt;손익!$P$9+90,1,0))))+IF(M8&lt;손익!$P$9,IF($D$248&gt;0,IF(M8&gt;=$D$248,20%),0),0)+IF(M8&lt;손익!$P$9,IF($D$247&gt;0,IF(M8&gt;=$D$247,10%),0),0)+IF(M8&lt;손익!$P$9,IF(M8&gt;=$D$246,50%,IF(M8&gt;=$D$245,40%,IF(M8&gt;=$D$244,30%,IF(M8&gt;=$D$243,20%,10%)))),0))+$C$173*$E$236*(IF(LEFT(M121,2)="입주",SUM('PF상환 민감도'!$D$5:$E$5)+'PF상환 민감도'!$F$5*30%,IF(LEFT(L121,2)="입주",SUM('PF상환 민감도'!$D$5:$E$5)+'PF상환 민감도'!$F$5*80%,IF(LEFT(K121,2)="입주",100%,IF(M8&gt;손익!$P$9+90,1,0))))+IF(M8&lt;손익!$P$9,IF($F$248&gt;0,IF(M8&gt;=$F$248,20%),0),0)+IF(M8&lt;손익!$P$9,IF($F$247&gt;0,IF(M8&gt;=$F$247,10%),0),0)+IF(M8&lt;손익!$P$9,IF(M8&gt;=$F$246,50%,IF(M8&gt;=$F$245,40%,IF(M8&gt;=$F$244,30%,IF(M8&gt;=$F$243,20%,10%)))),0))+$C$228*$E$236*(IF(LEFT(M121,2)="입주",SUM('PF상환 민감도'!$D$6:$E$6)+'PF상환 민감도'!$F$6*30%,IF(LEFT(L121,2)="입주",SUM('PF상환 민감도'!$D$6:$E$6)+'PF상환 민감도'!$F$6*80%,IF(LEFT(K121,2)="입주",100%,IF(M8&gt;손익!$P$9+90,1,0))))+IF(M8&lt;손익!$P$9,IF($F$248&gt;0,IF(M8&gt;=$F$248,20%),0),0)+IF(M8&lt;손익!$P$9,IF($F$247&gt;0,IF(M8&gt;=$F$247,10%),0),0)+IF(M8&lt;손익!$P$9,IF(M8&gt;=$F$246,50%,IF(M8&gt;=$F$245,40%,IF(M8&gt;=$F$244,30%,IF(M8&gt;=$F$243,20%,10%)))),0)))-SUM($G$236:L236),M232)</f>
        <v>0</v>
      </c>
      <c r="N236" s="643">
        <f ca="1">IF(SUM($G232:N$232)&gt;($C$61*$E$236*(IF(LEFT(N9,2)="입주",SUM('PF상환 민감도'!$D$3:$E$3)+'PF상환 민감도'!$F$3*30%,IF(LEFT(M9,2)="입주",SUM('PF상환 민감도'!$D$3:$E$3)+'PF상환 민감도'!$F$3*80%,IF(LEFT(L9,2)="입주",100%,IF(N8&gt;손익!$P$9+90,1,0))))+IF(N8&lt;손익!$P$9,IF($B$248&gt;0,IF(N8&gt;=$B$248,20%),0),0)+IF(N8&lt;손익!$P$9,IF($B$247&gt;0,IF(N8&gt;=$B$247,10%),0),0)+IF(N8&lt;손익!$P$9,IF(N8&gt;=$B$246,50%,IF(N8&gt;=$B$245,40%,IF(N8&gt;=$B$244,30%,IF(N8&gt;=$B$243,20%,10%)))),0))+$C$117*$E$236*(IF(LEFT(N65,2)="입주",SUM('PF상환 민감도'!$D$4:$E$4)+'PF상환 민감도'!$F$4*30%,IF(LEFT(M65,2)="입주",SUM('PF상환 민감도'!$D$4:$E$4)+'PF상환 민감도'!$F$4*80%,IF(LEFT(L65,2)="입주",100%,IF(N8&gt;손익!$P$9+90,1,0))))+IF(N8&lt;손익!$P$9,IF($D$248&gt;0,IF(N8&gt;=$D$248,20%),0),0)+IF(N8&lt;손익!$P$9,IF($D$247&gt;0,IF(N8&gt;=$D$247,10%),0),0)+IF(N8&lt;손익!$P$9,IF(N8&gt;=$D$246,50%,IF(N8&gt;=$D$245,40%,IF(N8&gt;=$D$244,30%,IF(N8&gt;=$D$243,20%,10%)))),0))+$C$173*$E$236*(IF(LEFT(N121,2)="입주",SUM('PF상환 민감도'!$D$5:$E$5)+'PF상환 민감도'!$F$5*30%,IF(LEFT(M121,2)="입주",SUM('PF상환 민감도'!$D$5:$E$5)+'PF상환 민감도'!$F$5*80%,IF(LEFT(L121,2)="입주",100%,IF(N8&gt;손익!$P$9+90,1,0))))+IF(N8&lt;손익!$P$9,IF($F$248&gt;0,IF(N8&gt;=$F$248,20%),0),0)+IF(N8&lt;손익!$P$9,IF($F$247&gt;0,IF(N8&gt;=$F$247,10%),0),0)+IF(N8&lt;손익!$P$9,IF(N8&gt;=$F$246,50%,IF(N8&gt;=$F$245,40%,IF(N8&gt;=$F$244,30%,IF(N8&gt;=$F$243,20%,10%)))),0))+$C$228*$E$236*(IF(LEFT(N121,2)="입주",SUM('PF상환 민감도'!$D$6:$E$6)+'PF상환 민감도'!$F$6*30%,IF(LEFT(M121,2)="입주",SUM('PF상환 민감도'!$D$6:$E$6)+'PF상환 민감도'!$F$6*80%,IF(LEFT(L121,2)="입주",100%,IF(N8&gt;손익!$P$9+90,1,0))))+IF(N8&lt;손익!$P$9,IF($F$248&gt;0,IF(N8&gt;=$F$248,20%),0),0)+IF(N8&lt;손익!$P$9,IF($F$247&gt;0,IF(N8&gt;=$F$247,10%),0),0)+IF(N8&lt;손익!$P$9,IF(N8&gt;=$F$246,50%,IF(N8&gt;=$F$245,40%,IF(N8&gt;=$F$244,30%,IF(N8&gt;=$F$243,20%,10%)))),0))),($C$61*$E$236*(IF(LEFT(N9,2)="입주",SUM('PF상환 민감도'!$D$3:$E$3)+'PF상환 민감도'!$F$3*30%,IF(LEFT(M9,2)="입주",SUM('PF상환 민감도'!$D$3:$E$3)+'PF상환 민감도'!$F$3*80%,IF(LEFT(L9,2)="입주",100%,IF(N8&gt;손익!$P$9+90,1,0))))+IF(N8&lt;손익!$P$9,IF($B$248&gt;0,IF(N8&gt;=$B$248,20%),0),0)+IF(N8&lt;손익!$P$9,IF($B$247&gt;0,IF(N8&gt;=$B$247,10%),0),0)+IF(N8&lt;손익!$P$9,IF(N8&gt;=$B$246,50%,IF(N8&gt;=$B$245,40%,IF(N8&gt;=$B$244,30%,IF(N8&gt;=$B$243,20%,10%)))),0))+$C$117*$E$236*(IF(LEFT(N65,2)="입주",SUM('PF상환 민감도'!$D$4:$E$4)+'PF상환 민감도'!$F$4*30%,IF(LEFT(M65,2)="입주",SUM('PF상환 민감도'!$D$4:$E$4)+'PF상환 민감도'!$F$4*80%,IF(LEFT(L65,2)="입주",100%,IF(N8&gt;손익!$P$9+90,1,0))))+IF(N8&lt;손익!$P$9,IF($D$248&gt;0,IF(N8&gt;=$D$248,20%),0),0)+IF(N8&lt;손익!$P$9,IF($D$247&gt;0,IF(N8&gt;=$D$247,10%),0),0)+IF(N8&lt;손익!$P$9,IF(N8&gt;=$D$246,50%,IF(N8&gt;=$D$245,40%,IF(N8&gt;=$D$244,30%,IF(N8&gt;=$D$243,20%,10%)))),0))+$C$173*$E$236*(IF(LEFT(N121,2)="입주",SUM('PF상환 민감도'!$D$5:$E$5)+'PF상환 민감도'!$F$5*30%,IF(LEFT(M121,2)="입주",SUM('PF상환 민감도'!$D$5:$E$5)+'PF상환 민감도'!$F$5*80%,IF(LEFT(L121,2)="입주",100%,IF(N8&gt;손익!$P$9+90,1,0))))+IF(N8&lt;손익!$P$9,IF($F$248&gt;0,IF(N8&gt;=$F$248,20%),0),0)+IF(N8&lt;손익!$P$9,IF($F$247&gt;0,IF(N8&gt;=$F$247,10%),0),0)+IF(N8&lt;손익!$P$9,IF(N8&gt;=$F$246,50%,IF(N8&gt;=$F$245,40%,IF(N8&gt;=$F$244,30%,IF(N8&gt;=$F$243,20%,10%)))),0))+$C$228*$E$236*(IF(LEFT(N121,2)="입주",SUM('PF상환 민감도'!$D$6:$E$6)+'PF상환 민감도'!$F$6*30%,IF(LEFT(M121,2)="입주",SUM('PF상환 민감도'!$D$6:$E$6)+'PF상환 민감도'!$F$6*80%,IF(LEFT(L121,2)="입주",100%,IF(N8&gt;손익!$P$9+90,1,0))))+IF(N8&lt;손익!$P$9,IF($F$248&gt;0,IF(N8&gt;=$F$248,20%),0),0)+IF(N8&lt;손익!$P$9,IF($F$247&gt;0,IF(N8&gt;=$F$247,10%),0),0)+IF(N8&lt;손익!$P$9,IF(N8&gt;=$F$246,50%,IF(N8&gt;=$F$245,40%,IF(N8&gt;=$F$244,30%,IF(N8&gt;=$F$243,20%,10%)))),0)))-SUM($G$236:M236),N232)</f>
        <v>0</v>
      </c>
      <c r="O236" s="643">
        <f ca="1">IF(SUM($G232:O$232)&gt;($C$61*$E$236*(IF(LEFT(O9,2)="입주",SUM('PF상환 민감도'!$D$3:$E$3)+'PF상환 민감도'!$F$3*30%,IF(LEFT(N9,2)="입주",SUM('PF상환 민감도'!$D$3:$E$3)+'PF상환 민감도'!$F$3*80%,IF(LEFT(M9,2)="입주",100%,IF(O8&gt;손익!$P$9+90,1,0))))+IF(O8&lt;손익!$P$9,IF($B$248&gt;0,IF(O8&gt;=$B$248,20%),0),0)+IF(O8&lt;손익!$P$9,IF($B$247&gt;0,IF(O8&gt;=$B$247,10%),0),0)+IF(O8&lt;손익!$P$9,IF(O8&gt;=$B$246,50%,IF(O8&gt;=$B$245,40%,IF(O8&gt;=$B$244,30%,IF(O8&gt;=$B$243,20%,10%)))),0))+$C$117*$E$236*(IF(LEFT(O65,2)="입주",SUM('PF상환 민감도'!$D$4:$E$4)+'PF상환 민감도'!$F$4*30%,IF(LEFT(N65,2)="입주",SUM('PF상환 민감도'!$D$4:$E$4)+'PF상환 민감도'!$F$4*80%,IF(LEFT(M65,2)="입주",100%,IF(O8&gt;손익!$P$9+90,1,0))))+IF(O8&lt;손익!$P$9,IF($D$248&gt;0,IF(O8&gt;=$D$248,20%),0),0)+IF(O8&lt;손익!$P$9,IF($D$247&gt;0,IF(O8&gt;=$D$247,10%),0),0)+IF(O8&lt;손익!$P$9,IF(O8&gt;=$D$246,50%,IF(O8&gt;=$D$245,40%,IF(O8&gt;=$D$244,30%,IF(O8&gt;=$D$243,20%,10%)))),0))+$C$173*$E$236*(IF(LEFT(O121,2)="입주",SUM('PF상환 민감도'!$D$5:$E$5)+'PF상환 민감도'!$F$5*30%,IF(LEFT(N121,2)="입주",SUM('PF상환 민감도'!$D$5:$E$5)+'PF상환 민감도'!$F$5*80%,IF(LEFT(M121,2)="입주",100%,IF(O8&gt;손익!$P$9+90,1,0))))+IF(O8&lt;손익!$P$9,IF($F$248&gt;0,IF(O8&gt;=$F$248,20%),0),0)+IF(O8&lt;손익!$P$9,IF($F$247&gt;0,IF(O8&gt;=$F$247,10%),0),0)+IF(O8&lt;손익!$P$9,IF(O8&gt;=$F$246,50%,IF(O8&gt;=$F$245,40%,IF(O8&gt;=$F$244,30%,IF(O8&gt;=$F$243,20%,10%)))),0))+$C$228*$E$236*(IF(LEFT(O121,2)="입주",SUM('PF상환 민감도'!$D$6:$E$6)+'PF상환 민감도'!$F$6*30%,IF(LEFT(N121,2)="입주",SUM('PF상환 민감도'!$D$6:$E$6)+'PF상환 민감도'!$F$6*80%,IF(LEFT(M121,2)="입주",100%,IF(O8&gt;손익!$P$9+90,1,0))))+IF(O8&lt;손익!$P$9,IF($F$248&gt;0,IF(O8&gt;=$F$248,20%),0),0)+IF(O8&lt;손익!$P$9,IF($F$247&gt;0,IF(O8&gt;=$F$247,10%),0),0)+IF(O8&lt;손익!$P$9,IF(O8&gt;=$F$246,50%,IF(O8&gt;=$F$245,40%,IF(O8&gt;=$F$244,30%,IF(O8&gt;=$F$243,20%,10%)))),0))),($C$61*$E$236*(IF(LEFT(O9,2)="입주",SUM('PF상환 민감도'!$D$3:$E$3)+'PF상환 민감도'!$F$3*30%,IF(LEFT(N9,2)="입주",SUM('PF상환 민감도'!$D$3:$E$3)+'PF상환 민감도'!$F$3*80%,IF(LEFT(M9,2)="입주",100%,IF(O8&gt;손익!$P$9+90,1,0))))+IF(O8&lt;손익!$P$9,IF($B$248&gt;0,IF(O8&gt;=$B$248,20%),0),0)+IF(O8&lt;손익!$P$9,IF($B$247&gt;0,IF(O8&gt;=$B$247,10%),0),0)+IF(O8&lt;손익!$P$9,IF(O8&gt;=$B$246,50%,IF(O8&gt;=$B$245,40%,IF(O8&gt;=$B$244,30%,IF(O8&gt;=$B$243,20%,10%)))),0))+$C$117*$E$236*(IF(LEFT(O65,2)="입주",SUM('PF상환 민감도'!$D$4:$E$4)+'PF상환 민감도'!$F$4*30%,IF(LEFT(N65,2)="입주",SUM('PF상환 민감도'!$D$4:$E$4)+'PF상환 민감도'!$F$4*80%,IF(LEFT(M65,2)="입주",100%,IF(O8&gt;손익!$P$9+90,1,0))))+IF(O8&lt;손익!$P$9,IF($D$248&gt;0,IF(O8&gt;=$D$248,20%),0),0)+IF(O8&lt;손익!$P$9,IF($D$247&gt;0,IF(O8&gt;=$D$247,10%),0),0)+IF(O8&lt;손익!$P$9,IF(O8&gt;=$D$246,50%,IF(O8&gt;=$D$245,40%,IF(O8&gt;=$D$244,30%,IF(O8&gt;=$D$243,20%,10%)))),0))+$C$173*$E$236*(IF(LEFT(O121,2)="입주",SUM('PF상환 민감도'!$D$5:$E$5)+'PF상환 민감도'!$F$5*30%,IF(LEFT(N121,2)="입주",SUM('PF상환 민감도'!$D$5:$E$5)+'PF상환 민감도'!$F$5*80%,IF(LEFT(M121,2)="입주",100%,IF(O8&gt;손익!$P$9+90,1,0))))+IF(O8&lt;손익!$P$9,IF($F$248&gt;0,IF(O8&gt;=$F$248,20%),0),0)+IF(O8&lt;손익!$P$9,IF($F$247&gt;0,IF(O8&gt;=$F$247,10%),0),0)+IF(O8&lt;손익!$P$9,IF(O8&gt;=$F$246,50%,IF(O8&gt;=$F$245,40%,IF(O8&gt;=$F$244,30%,IF(O8&gt;=$F$243,20%,10%)))),0))+$C$228*$E$236*(IF(LEFT(O121,2)="입주",SUM('PF상환 민감도'!$D$6:$E$6)+'PF상환 민감도'!$F$6*30%,IF(LEFT(N121,2)="입주",SUM('PF상환 민감도'!$D$6:$E$6)+'PF상환 민감도'!$F$6*80%,IF(LEFT(M121,2)="입주",100%,IF(O8&gt;손익!$P$9+90,1,0))))+IF(O8&lt;손익!$P$9,IF($F$248&gt;0,IF(O8&gt;=$F$248,20%),0),0)+IF(O8&lt;손익!$P$9,IF($F$247&gt;0,IF(O8&gt;=$F$247,10%),0),0)+IF(O8&lt;손익!$P$9,IF(O8&gt;=$F$246,50%,IF(O8&gt;=$F$245,40%,IF(O8&gt;=$F$244,30%,IF(O8&gt;=$F$243,20%,10%)))),0)))-SUM($G$236:N236),O232)</f>
        <v>0</v>
      </c>
      <c r="P236" s="643">
        <f ca="1">IF(SUM($G232:P$232)&gt;($C$61*$E$236*(IF(LEFT(P9,2)="입주",SUM('PF상환 민감도'!$D$3:$E$3)+'PF상환 민감도'!$F$3*30%,IF(LEFT(O9,2)="입주",SUM('PF상환 민감도'!$D$3:$E$3)+'PF상환 민감도'!$F$3*80%,IF(LEFT(N9,2)="입주",100%,IF(P8&gt;손익!$P$9+90,1,0))))+IF(P8&lt;손익!$P$9,IF($B$248&gt;0,IF(P8&gt;=$B$248,20%),0),0)+IF(P8&lt;손익!$P$9,IF($B$247&gt;0,IF(P8&gt;=$B$247,10%),0),0)+IF(P8&lt;손익!$P$9,IF(P8&gt;=$B$246,50%,IF(P8&gt;=$B$245,40%,IF(P8&gt;=$B$244,30%,IF(P8&gt;=$B$243,20%,10%)))),0))+$C$117*$E$236*(IF(LEFT(P65,2)="입주",SUM('PF상환 민감도'!$D$4:$E$4)+'PF상환 민감도'!$F$4*30%,IF(LEFT(O65,2)="입주",SUM('PF상환 민감도'!$D$4:$E$4)+'PF상환 민감도'!$F$4*80%,IF(LEFT(N65,2)="입주",100%,IF(P8&gt;손익!$P$9+90,1,0))))+IF(P8&lt;손익!$P$9,IF($D$248&gt;0,IF(P8&gt;=$D$248,20%),0),0)+IF(P8&lt;손익!$P$9,IF($D$247&gt;0,IF(P8&gt;=$D$247,10%),0),0)+IF(P8&lt;손익!$P$9,IF(P8&gt;=$D$246,50%,IF(P8&gt;=$D$245,40%,IF(P8&gt;=$D$244,30%,IF(P8&gt;=$D$243,20%,10%)))),0))+$C$173*$E$236*(IF(LEFT(P121,2)="입주",SUM('PF상환 민감도'!$D$5:$E$5)+'PF상환 민감도'!$F$5*30%,IF(LEFT(O121,2)="입주",SUM('PF상환 민감도'!$D$5:$E$5)+'PF상환 민감도'!$F$5*80%,IF(LEFT(N121,2)="입주",100%,IF(P8&gt;손익!$P$9+90,1,0))))+IF(P8&lt;손익!$P$9,IF($F$248&gt;0,IF(P8&gt;=$F$248,20%),0),0)+IF(P8&lt;손익!$P$9,IF($F$247&gt;0,IF(P8&gt;=$F$247,10%),0),0)+IF(P8&lt;손익!$P$9,IF(P8&gt;=$F$246,50%,IF(P8&gt;=$F$245,40%,IF(P8&gt;=$F$244,30%,IF(P8&gt;=$F$243,20%,10%)))),0))+$C$228*$E$236*(IF(LEFT(P121,2)="입주",SUM('PF상환 민감도'!$D$6:$E$6)+'PF상환 민감도'!$F$6*30%,IF(LEFT(O121,2)="입주",SUM('PF상환 민감도'!$D$6:$E$6)+'PF상환 민감도'!$F$6*80%,IF(LEFT(N121,2)="입주",100%,IF(P8&gt;손익!$P$9+90,1,0))))+IF(P8&lt;손익!$P$9,IF($F$248&gt;0,IF(P8&gt;=$F$248,20%),0),0)+IF(P8&lt;손익!$P$9,IF($F$247&gt;0,IF(P8&gt;=$F$247,10%),0),0)+IF(P8&lt;손익!$P$9,IF(P8&gt;=$F$246,50%,IF(P8&gt;=$F$245,40%,IF(P8&gt;=$F$244,30%,IF(P8&gt;=$F$243,20%,10%)))),0))),($C$61*$E$236*(IF(LEFT(P9,2)="입주",SUM('PF상환 민감도'!$D$3:$E$3)+'PF상환 민감도'!$F$3*30%,IF(LEFT(O9,2)="입주",SUM('PF상환 민감도'!$D$3:$E$3)+'PF상환 민감도'!$F$3*80%,IF(LEFT(N9,2)="입주",100%,IF(P8&gt;손익!$P$9+90,1,0))))+IF(P8&lt;손익!$P$9,IF($B$248&gt;0,IF(P8&gt;=$B$248,20%),0),0)+IF(P8&lt;손익!$P$9,IF($B$247&gt;0,IF(P8&gt;=$B$247,10%),0),0)+IF(P8&lt;손익!$P$9,IF(P8&gt;=$B$246,50%,IF(P8&gt;=$B$245,40%,IF(P8&gt;=$B$244,30%,IF(P8&gt;=$B$243,20%,10%)))),0))+$C$117*$E$236*(IF(LEFT(P65,2)="입주",SUM('PF상환 민감도'!$D$4:$E$4)+'PF상환 민감도'!$F$4*30%,IF(LEFT(O65,2)="입주",SUM('PF상환 민감도'!$D$4:$E$4)+'PF상환 민감도'!$F$4*80%,IF(LEFT(N65,2)="입주",100%,IF(P8&gt;손익!$P$9+90,1,0))))+IF(P8&lt;손익!$P$9,IF($D$248&gt;0,IF(P8&gt;=$D$248,20%),0),0)+IF(P8&lt;손익!$P$9,IF($D$247&gt;0,IF(P8&gt;=$D$247,10%),0),0)+IF(P8&lt;손익!$P$9,IF(P8&gt;=$D$246,50%,IF(P8&gt;=$D$245,40%,IF(P8&gt;=$D$244,30%,IF(P8&gt;=$D$243,20%,10%)))),0))+$C$173*$E$236*(IF(LEFT(P121,2)="입주",SUM('PF상환 민감도'!$D$5:$E$5)+'PF상환 민감도'!$F$5*30%,IF(LEFT(O121,2)="입주",SUM('PF상환 민감도'!$D$5:$E$5)+'PF상환 민감도'!$F$5*80%,IF(LEFT(N121,2)="입주",100%,IF(P8&gt;손익!$P$9+90,1,0))))+IF(P8&lt;손익!$P$9,IF($F$248&gt;0,IF(P8&gt;=$F$248,20%),0),0)+IF(P8&lt;손익!$P$9,IF($F$247&gt;0,IF(P8&gt;=$F$247,10%),0),0)+IF(P8&lt;손익!$P$9,IF(P8&gt;=$F$246,50%,IF(P8&gt;=$F$245,40%,IF(P8&gt;=$F$244,30%,IF(P8&gt;=$F$243,20%,10%)))),0))+$C$228*$E$236*(IF(LEFT(P121,2)="입주",SUM('PF상환 민감도'!$D$6:$E$6)+'PF상환 민감도'!$F$6*30%,IF(LEFT(O121,2)="입주",SUM('PF상환 민감도'!$D$6:$E$6)+'PF상환 민감도'!$F$6*80%,IF(LEFT(N121,2)="입주",100%,IF(P8&gt;손익!$P$9+90,1,0))))+IF(P8&lt;손익!$P$9,IF($F$248&gt;0,IF(P8&gt;=$F$248,20%),0),0)+IF(P8&lt;손익!$P$9,IF($F$247&gt;0,IF(P8&gt;=$F$247,10%),0),0)+IF(P8&lt;손익!$P$9,IF(P8&gt;=$F$246,50%,IF(P8&gt;=$F$245,40%,IF(P8&gt;=$F$244,30%,IF(P8&gt;=$F$243,20%,10%)))),0)))-SUM($G$236:O236),P232)</f>
        <v>0</v>
      </c>
      <c r="Q236" s="643">
        <f ca="1">IF(SUM($G232:Q$232)&gt;($C$61*$E$236*(IF(LEFT(Q9,2)="입주",SUM('PF상환 민감도'!$D$3:$E$3)+'PF상환 민감도'!$F$3*30%,IF(LEFT(P9,2)="입주",SUM('PF상환 민감도'!$D$3:$E$3)+'PF상환 민감도'!$F$3*80%,IF(LEFT(O9,2)="입주",100%,IF(Q8&gt;손익!$P$9+90,1,0))))+IF(Q8&lt;손익!$P$9,IF($B$248&gt;0,IF(Q8&gt;=$B$248,20%),0),0)+IF(Q8&lt;손익!$P$9,IF($B$247&gt;0,IF(Q8&gt;=$B$247,10%),0),0)+IF(Q8&lt;손익!$P$9,IF(Q8&gt;=$B$246,50%,IF(Q8&gt;=$B$245,40%,IF(Q8&gt;=$B$244,30%,IF(Q8&gt;=$B$243,20%,10%)))),0))+$C$117*$E$236*(IF(LEFT(Q65,2)="입주",SUM('PF상환 민감도'!$D$4:$E$4)+'PF상환 민감도'!$F$4*30%,IF(LEFT(P65,2)="입주",SUM('PF상환 민감도'!$D$4:$E$4)+'PF상환 민감도'!$F$4*80%,IF(LEFT(O65,2)="입주",100%,IF(Q8&gt;손익!$P$9+90,1,0))))+IF(Q8&lt;손익!$P$9,IF($D$248&gt;0,IF(Q8&gt;=$D$248,20%),0),0)+IF(Q8&lt;손익!$P$9,IF($D$247&gt;0,IF(Q8&gt;=$D$247,10%),0),0)+IF(Q8&lt;손익!$P$9,IF(Q8&gt;=$D$246,50%,IF(Q8&gt;=$D$245,40%,IF(Q8&gt;=$D$244,30%,IF(Q8&gt;=$D$243,20%,10%)))),0))+$C$173*$E$236*(IF(LEFT(Q121,2)="입주",SUM('PF상환 민감도'!$D$5:$E$5)+'PF상환 민감도'!$F$5*30%,IF(LEFT(P121,2)="입주",SUM('PF상환 민감도'!$D$5:$E$5)+'PF상환 민감도'!$F$5*80%,IF(LEFT(O121,2)="입주",100%,IF(Q8&gt;손익!$P$9+90,1,0))))+IF(Q8&lt;손익!$P$9,IF($F$248&gt;0,IF(Q8&gt;=$F$248,20%),0),0)+IF(Q8&lt;손익!$P$9,IF($F$247&gt;0,IF(Q8&gt;=$F$247,10%),0),0)+IF(Q8&lt;손익!$P$9,IF(Q8&gt;=$F$246,50%,IF(Q8&gt;=$F$245,40%,IF(Q8&gt;=$F$244,30%,IF(Q8&gt;=$F$243,20%,10%)))),0))+$C$228*$E$236*(IF(LEFT(Q121,2)="입주",SUM('PF상환 민감도'!$D$6:$E$6)+'PF상환 민감도'!$F$6*30%,IF(LEFT(P121,2)="입주",SUM('PF상환 민감도'!$D$6:$E$6)+'PF상환 민감도'!$F$6*80%,IF(LEFT(O121,2)="입주",100%,IF(Q8&gt;손익!$P$9+90,1,0))))+IF(Q8&lt;손익!$P$9,IF($F$248&gt;0,IF(Q8&gt;=$F$248,20%),0),0)+IF(Q8&lt;손익!$P$9,IF($F$247&gt;0,IF(Q8&gt;=$F$247,10%),0),0)+IF(Q8&lt;손익!$P$9,IF(Q8&gt;=$F$246,50%,IF(Q8&gt;=$F$245,40%,IF(Q8&gt;=$F$244,30%,IF(Q8&gt;=$F$243,20%,10%)))),0))),($C$61*$E$236*(IF(LEFT(Q9,2)="입주",SUM('PF상환 민감도'!$D$3:$E$3)+'PF상환 민감도'!$F$3*30%,IF(LEFT(P9,2)="입주",SUM('PF상환 민감도'!$D$3:$E$3)+'PF상환 민감도'!$F$3*80%,IF(LEFT(O9,2)="입주",100%,IF(Q8&gt;손익!$P$9+90,1,0))))+IF(Q8&lt;손익!$P$9,IF($B$248&gt;0,IF(Q8&gt;=$B$248,20%),0),0)+IF(Q8&lt;손익!$P$9,IF($B$247&gt;0,IF(Q8&gt;=$B$247,10%),0),0)+IF(Q8&lt;손익!$P$9,IF(Q8&gt;=$B$246,50%,IF(Q8&gt;=$B$245,40%,IF(Q8&gt;=$B$244,30%,IF(Q8&gt;=$B$243,20%,10%)))),0))+$C$117*$E$236*(IF(LEFT(Q65,2)="입주",SUM('PF상환 민감도'!$D$4:$E$4)+'PF상환 민감도'!$F$4*30%,IF(LEFT(P65,2)="입주",SUM('PF상환 민감도'!$D$4:$E$4)+'PF상환 민감도'!$F$4*80%,IF(LEFT(O65,2)="입주",100%,IF(Q8&gt;손익!$P$9+90,1,0))))+IF(Q8&lt;손익!$P$9,IF($D$248&gt;0,IF(Q8&gt;=$D$248,20%),0),0)+IF(Q8&lt;손익!$P$9,IF($D$247&gt;0,IF(Q8&gt;=$D$247,10%),0),0)+IF(Q8&lt;손익!$P$9,IF(Q8&gt;=$D$246,50%,IF(Q8&gt;=$D$245,40%,IF(Q8&gt;=$D$244,30%,IF(Q8&gt;=$D$243,20%,10%)))),0))+$C$173*$E$236*(IF(LEFT(Q121,2)="입주",SUM('PF상환 민감도'!$D$5:$E$5)+'PF상환 민감도'!$F$5*30%,IF(LEFT(P121,2)="입주",SUM('PF상환 민감도'!$D$5:$E$5)+'PF상환 민감도'!$F$5*80%,IF(LEFT(O121,2)="입주",100%,IF(Q8&gt;손익!$P$9+90,1,0))))+IF(Q8&lt;손익!$P$9,IF($F$248&gt;0,IF(Q8&gt;=$F$248,20%),0),0)+IF(Q8&lt;손익!$P$9,IF($F$247&gt;0,IF(Q8&gt;=$F$247,10%),0),0)+IF(Q8&lt;손익!$P$9,IF(Q8&gt;=$F$246,50%,IF(Q8&gt;=$F$245,40%,IF(Q8&gt;=$F$244,30%,IF(Q8&gt;=$F$243,20%,10%)))),0))+$C$228*$E$236*(IF(LEFT(Q121,2)="입주",SUM('PF상환 민감도'!$D$6:$E$6)+'PF상환 민감도'!$F$6*30%,IF(LEFT(P121,2)="입주",SUM('PF상환 민감도'!$D$6:$E$6)+'PF상환 민감도'!$F$6*80%,IF(LEFT(O121,2)="입주",100%,IF(Q8&gt;손익!$P$9+90,1,0))))+IF(Q8&lt;손익!$P$9,IF($F$248&gt;0,IF(Q8&gt;=$F$248,20%),0),0)+IF(Q8&lt;손익!$P$9,IF($F$247&gt;0,IF(Q8&gt;=$F$247,10%),0),0)+IF(Q8&lt;손익!$P$9,IF(Q8&gt;=$F$246,50%,IF(Q8&gt;=$F$245,40%,IF(Q8&gt;=$F$244,30%,IF(Q8&gt;=$F$243,20%,10%)))),0)))-SUM($G$236:P236),Q232)</f>
        <v>12325941.974445</v>
      </c>
      <c r="R236" s="643">
        <f ca="1">IF(SUM($G232:R$232)&gt;($C$61*$E$236*(IF(LEFT(R9,2)="입주",SUM('PF상환 민감도'!$D$3:$E$3)+'PF상환 민감도'!$F$3*30%,IF(LEFT(Q9,2)="입주",SUM('PF상환 민감도'!$D$3:$E$3)+'PF상환 민감도'!$F$3*80%,IF(LEFT(P9,2)="입주",100%,IF(R8&gt;손익!$P$9+90,1,0))))+IF(R8&lt;손익!$P$9,IF($B$248&gt;0,IF(R8&gt;=$B$248,20%),0),0)+IF(R8&lt;손익!$P$9,IF($B$247&gt;0,IF(R8&gt;=$B$247,10%),0),0)+IF(R8&lt;손익!$P$9,IF(R8&gt;=$B$246,50%,IF(R8&gt;=$B$245,40%,IF(R8&gt;=$B$244,30%,IF(R8&gt;=$B$243,20%,10%)))),0))+$C$117*$E$236*(IF(LEFT(R65,2)="입주",SUM('PF상환 민감도'!$D$4:$E$4)+'PF상환 민감도'!$F$4*30%,IF(LEFT(Q65,2)="입주",SUM('PF상환 민감도'!$D$4:$E$4)+'PF상환 민감도'!$F$4*80%,IF(LEFT(P65,2)="입주",100%,IF(R8&gt;손익!$P$9+90,1,0))))+IF(R8&lt;손익!$P$9,IF($D$248&gt;0,IF(R8&gt;=$D$248,20%),0),0)+IF(R8&lt;손익!$P$9,IF($D$247&gt;0,IF(R8&gt;=$D$247,10%),0),0)+IF(R8&lt;손익!$P$9,IF(R8&gt;=$D$246,50%,IF(R8&gt;=$D$245,40%,IF(R8&gt;=$D$244,30%,IF(R8&gt;=$D$243,20%,10%)))),0))+$C$173*$E$236*(IF(LEFT(R121,2)="입주",SUM('PF상환 민감도'!$D$5:$E$5)+'PF상환 민감도'!$F$5*30%,IF(LEFT(Q121,2)="입주",SUM('PF상환 민감도'!$D$5:$E$5)+'PF상환 민감도'!$F$5*80%,IF(LEFT(P121,2)="입주",100%,IF(R8&gt;손익!$P$9+90,1,0))))+IF(R8&lt;손익!$P$9,IF($F$248&gt;0,IF(R8&gt;=$F$248,20%),0),0)+IF(R8&lt;손익!$P$9,IF($F$247&gt;0,IF(R8&gt;=$F$247,10%),0),0)+IF(R8&lt;손익!$P$9,IF(R8&gt;=$F$246,50%,IF(R8&gt;=$F$245,40%,IF(R8&gt;=$F$244,30%,IF(R8&gt;=$F$243,20%,10%)))),0))+$C$228*$E$236*(IF(LEFT(R121,2)="입주",SUM('PF상환 민감도'!$D$6:$E$6)+'PF상환 민감도'!$F$6*30%,IF(LEFT(Q121,2)="입주",SUM('PF상환 민감도'!$D$6:$E$6)+'PF상환 민감도'!$F$6*80%,IF(LEFT(P121,2)="입주",100%,IF(R8&gt;손익!$P$9+90,1,0))))+IF(R8&lt;손익!$P$9,IF($F$248&gt;0,IF(R8&gt;=$F$248,20%),0),0)+IF(R8&lt;손익!$P$9,IF($F$247&gt;0,IF(R8&gt;=$F$247,10%),0),0)+IF(R8&lt;손익!$P$9,IF(R8&gt;=$F$246,50%,IF(R8&gt;=$F$245,40%,IF(R8&gt;=$F$244,30%,IF(R8&gt;=$F$243,20%,10%)))),0))),($C$61*$E$236*(IF(LEFT(R9,2)="입주",SUM('PF상환 민감도'!$D$3:$E$3)+'PF상환 민감도'!$F$3*30%,IF(LEFT(Q9,2)="입주",SUM('PF상환 민감도'!$D$3:$E$3)+'PF상환 민감도'!$F$3*80%,IF(LEFT(P9,2)="입주",100%,IF(R8&gt;손익!$P$9+90,1,0))))+IF(R8&lt;손익!$P$9,IF($B$248&gt;0,IF(R8&gt;=$B$248,20%),0),0)+IF(R8&lt;손익!$P$9,IF($B$247&gt;0,IF(R8&gt;=$B$247,10%),0),0)+IF(R8&lt;손익!$P$9,IF(R8&gt;=$B$246,50%,IF(R8&gt;=$B$245,40%,IF(R8&gt;=$B$244,30%,IF(R8&gt;=$B$243,20%,10%)))),0))+$C$117*$E$236*(IF(LEFT(R65,2)="입주",SUM('PF상환 민감도'!$D$4:$E$4)+'PF상환 민감도'!$F$4*30%,IF(LEFT(Q65,2)="입주",SUM('PF상환 민감도'!$D$4:$E$4)+'PF상환 민감도'!$F$4*80%,IF(LEFT(P65,2)="입주",100%,IF(R8&gt;손익!$P$9+90,1,0))))+IF(R8&lt;손익!$P$9,IF($D$248&gt;0,IF(R8&gt;=$D$248,20%),0),0)+IF(R8&lt;손익!$P$9,IF($D$247&gt;0,IF(R8&gt;=$D$247,10%),0),0)+IF(R8&lt;손익!$P$9,IF(R8&gt;=$D$246,50%,IF(R8&gt;=$D$245,40%,IF(R8&gt;=$D$244,30%,IF(R8&gt;=$D$243,20%,10%)))),0))+$C$173*$E$236*(IF(LEFT(R121,2)="입주",SUM('PF상환 민감도'!$D$5:$E$5)+'PF상환 민감도'!$F$5*30%,IF(LEFT(Q121,2)="입주",SUM('PF상환 민감도'!$D$5:$E$5)+'PF상환 민감도'!$F$5*80%,IF(LEFT(P121,2)="입주",100%,IF(R8&gt;손익!$P$9+90,1,0))))+IF(R8&lt;손익!$P$9,IF($F$248&gt;0,IF(R8&gt;=$F$248,20%),0),0)+IF(R8&lt;손익!$P$9,IF($F$247&gt;0,IF(R8&gt;=$F$247,10%),0),0)+IF(R8&lt;손익!$P$9,IF(R8&gt;=$F$246,50%,IF(R8&gt;=$F$245,40%,IF(R8&gt;=$F$244,30%,IF(R8&gt;=$F$243,20%,10%)))),0))+$C$228*$E$236*(IF(LEFT(R121,2)="입주",SUM('PF상환 민감도'!$D$6:$E$6)+'PF상환 민감도'!$F$6*30%,IF(LEFT(Q121,2)="입주",SUM('PF상환 민감도'!$D$6:$E$6)+'PF상환 민감도'!$F$6*80%,IF(LEFT(P121,2)="입주",100%,IF(R8&gt;손익!$P$9+90,1,0))))+IF(R8&lt;손익!$P$9,IF($F$248&gt;0,IF(R8&gt;=$F$248,20%),0),0)+IF(R8&lt;손익!$P$9,IF($F$247&gt;0,IF(R8&gt;=$F$247,10%),0),0)+IF(R8&lt;손익!$P$9,IF(R8&gt;=$F$246,50%,IF(R8&gt;=$F$245,40%,IF(R8&gt;=$F$244,30%,IF(R8&gt;=$F$243,20%,10%)))),0)))-SUM($G$236:Q236),R232)</f>
        <v>0</v>
      </c>
      <c r="S236" s="643">
        <f ca="1">IF(SUM($G232:S$232)&gt;($C$61*$E$236*(IF(LEFT(S9,2)="입주",SUM('PF상환 민감도'!$D$3:$E$3)+'PF상환 민감도'!$F$3*30%,IF(LEFT(R9,2)="입주",SUM('PF상환 민감도'!$D$3:$E$3)+'PF상환 민감도'!$F$3*80%,IF(LEFT(Q9,2)="입주",100%,IF(S8&gt;손익!$P$9+90,1,0))))+IF(S8&lt;손익!$P$9,IF($B$248&gt;0,IF(S8&gt;=$B$248,20%),0),0)+IF(S8&lt;손익!$P$9,IF($B$247&gt;0,IF(S8&gt;=$B$247,10%),0),0)+IF(S8&lt;손익!$P$9,IF(S8&gt;=$B$246,50%,IF(S8&gt;=$B$245,40%,IF(S8&gt;=$B$244,30%,IF(S8&gt;=$B$243,20%,10%)))),0))+$C$117*$E$236*(IF(LEFT(S65,2)="입주",SUM('PF상환 민감도'!$D$4:$E$4)+'PF상환 민감도'!$F$4*30%,IF(LEFT(R65,2)="입주",SUM('PF상환 민감도'!$D$4:$E$4)+'PF상환 민감도'!$F$4*80%,IF(LEFT(Q65,2)="입주",100%,IF(S8&gt;손익!$P$9+90,1,0))))+IF(S8&lt;손익!$P$9,IF($D$248&gt;0,IF(S8&gt;=$D$248,20%),0),0)+IF(S8&lt;손익!$P$9,IF($D$247&gt;0,IF(S8&gt;=$D$247,10%),0),0)+IF(S8&lt;손익!$P$9,IF(S8&gt;=$D$246,50%,IF(S8&gt;=$D$245,40%,IF(S8&gt;=$D$244,30%,IF(S8&gt;=$D$243,20%,10%)))),0))+$C$173*$E$236*(IF(LEFT(S121,2)="입주",SUM('PF상환 민감도'!$D$5:$E$5)+'PF상환 민감도'!$F$5*30%,IF(LEFT(R121,2)="입주",SUM('PF상환 민감도'!$D$5:$E$5)+'PF상환 민감도'!$F$5*80%,IF(LEFT(Q121,2)="입주",100%,IF(S8&gt;손익!$P$9+90,1,0))))+IF(S8&lt;손익!$P$9,IF($F$248&gt;0,IF(S8&gt;=$F$248,20%),0),0)+IF(S8&lt;손익!$P$9,IF($F$247&gt;0,IF(S8&gt;=$F$247,10%),0),0)+IF(S8&lt;손익!$P$9,IF(S8&gt;=$F$246,50%,IF(S8&gt;=$F$245,40%,IF(S8&gt;=$F$244,30%,IF(S8&gt;=$F$243,20%,10%)))),0))+$C$228*$E$236*(IF(LEFT(S121,2)="입주",SUM('PF상환 민감도'!$D$6:$E$6)+'PF상환 민감도'!$F$6*30%,IF(LEFT(R121,2)="입주",SUM('PF상환 민감도'!$D$6:$E$6)+'PF상환 민감도'!$F$6*80%,IF(LEFT(Q121,2)="입주",100%,IF(S8&gt;손익!$P$9+90,1,0))))+IF(S8&lt;손익!$P$9,IF($F$248&gt;0,IF(S8&gt;=$F$248,20%),0),0)+IF(S8&lt;손익!$P$9,IF($F$247&gt;0,IF(S8&gt;=$F$247,10%),0),0)+IF(S8&lt;손익!$P$9,IF(S8&gt;=$F$246,50%,IF(S8&gt;=$F$245,40%,IF(S8&gt;=$F$244,30%,IF(S8&gt;=$F$243,20%,10%)))),0))),($C$61*$E$236*(IF(LEFT(S9,2)="입주",SUM('PF상환 민감도'!$D$3:$E$3)+'PF상환 민감도'!$F$3*30%,IF(LEFT(R9,2)="입주",SUM('PF상환 민감도'!$D$3:$E$3)+'PF상환 민감도'!$F$3*80%,IF(LEFT(Q9,2)="입주",100%,IF(S8&gt;손익!$P$9+90,1,0))))+IF(S8&lt;손익!$P$9,IF($B$248&gt;0,IF(S8&gt;=$B$248,20%),0),0)+IF(S8&lt;손익!$P$9,IF($B$247&gt;0,IF(S8&gt;=$B$247,10%),0),0)+IF(S8&lt;손익!$P$9,IF(S8&gt;=$B$246,50%,IF(S8&gt;=$B$245,40%,IF(S8&gt;=$B$244,30%,IF(S8&gt;=$B$243,20%,10%)))),0))+$C$117*$E$236*(IF(LEFT(S65,2)="입주",SUM('PF상환 민감도'!$D$4:$E$4)+'PF상환 민감도'!$F$4*30%,IF(LEFT(R65,2)="입주",SUM('PF상환 민감도'!$D$4:$E$4)+'PF상환 민감도'!$F$4*80%,IF(LEFT(Q65,2)="입주",100%,IF(S8&gt;손익!$P$9+90,1,0))))+IF(S8&lt;손익!$P$9,IF($D$248&gt;0,IF(S8&gt;=$D$248,20%),0),0)+IF(S8&lt;손익!$P$9,IF($D$247&gt;0,IF(S8&gt;=$D$247,10%),0),0)+IF(S8&lt;손익!$P$9,IF(S8&gt;=$D$246,50%,IF(S8&gt;=$D$245,40%,IF(S8&gt;=$D$244,30%,IF(S8&gt;=$D$243,20%,10%)))),0))+$C$173*$E$236*(IF(LEFT(S121,2)="입주",SUM('PF상환 민감도'!$D$5:$E$5)+'PF상환 민감도'!$F$5*30%,IF(LEFT(R121,2)="입주",SUM('PF상환 민감도'!$D$5:$E$5)+'PF상환 민감도'!$F$5*80%,IF(LEFT(Q121,2)="입주",100%,IF(S8&gt;손익!$P$9+90,1,0))))+IF(S8&lt;손익!$P$9,IF($F$248&gt;0,IF(S8&gt;=$F$248,20%),0),0)+IF(S8&lt;손익!$P$9,IF($F$247&gt;0,IF(S8&gt;=$F$247,10%),0),0)+IF(S8&lt;손익!$P$9,IF(S8&gt;=$F$246,50%,IF(S8&gt;=$F$245,40%,IF(S8&gt;=$F$244,30%,IF(S8&gt;=$F$243,20%,10%)))),0))+$C$228*$E$236*(IF(LEFT(S121,2)="입주",SUM('PF상환 민감도'!$D$6:$E$6)+'PF상환 민감도'!$F$6*30%,IF(LEFT(R121,2)="입주",SUM('PF상환 민감도'!$D$6:$E$6)+'PF상환 민감도'!$F$6*80%,IF(LEFT(Q121,2)="입주",100%,IF(S8&gt;손익!$P$9+90,1,0))))+IF(S8&lt;손익!$P$9,IF($F$248&gt;0,IF(S8&gt;=$F$248,20%),0),0)+IF(S8&lt;손익!$P$9,IF($F$247&gt;0,IF(S8&gt;=$F$247,10%),0),0)+IF(S8&lt;손익!$P$9,IF(S8&gt;=$F$246,50%,IF(S8&gt;=$F$245,40%,IF(S8&gt;=$F$244,30%,IF(S8&gt;=$F$243,20%,10%)))),0)))-SUM($G$236:R236),S232)</f>
        <v>638549.06445719302</v>
      </c>
      <c r="T236" s="643">
        <f ca="1">IF(SUM($G232:T$232)&gt;($C$61*$E$236*(IF(LEFT(T9,2)="입주",SUM('PF상환 민감도'!$D$3:$E$3)+'PF상환 민감도'!$F$3*30%,IF(LEFT(S9,2)="입주",SUM('PF상환 민감도'!$D$3:$E$3)+'PF상환 민감도'!$F$3*80%,IF(LEFT(R9,2)="입주",100%,IF(T8&gt;손익!$P$9+90,1,0))))+IF(T8&lt;손익!$P$9,IF($B$248&gt;0,IF(T8&gt;=$B$248,20%),0),0)+IF(T8&lt;손익!$P$9,IF($B$247&gt;0,IF(T8&gt;=$B$247,10%),0),0)+IF(T8&lt;손익!$P$9,IF(T8&gt;=$B$246,50%,IF(T8&gt;=$B$245,40%,IF(T8&gt;=$B$244,30%,IF(T8&gt;=$B$243,20%,10%)))),0))+$C$117*$E$236*(IF(LEFT(T65,2)="입주",SUM('PF상환 민감도'!$D$4:$E$4)+'PF상환 민감도'!$F$4*30%,IF(LEFT(S65,2)="입주",SUM('PF상환 민감도'!$D$4:$E$4)+'PF상환 민감도'!$F$4*80%,IF(LEFT(R65,2)="입주",100%,IF(T8&gt;손익!$P$9+90,1,0))))+IF(T8&lt;손익!$P$9,IF($D$248&gt;0,IF(T8&gt;=$D$248,20%),0),0)+IF(T8&lt;손익!$P$9,IF($D$247&gt;0,IF(T8&gt;=$D$247,10%),0),0)+IF(T8&lt;손익!$P$9,IF(T8&gt;=$D$246,50%,IF(T8&gt;=$D$245,40%,IF(T8&gt;=$D$244,30%,IF(T8&gt;=$D$243,20%,10%)))),0))+$C$173*$E$236*(IF(LEFT(T121,2)="입주",SUM('PF상환 민감도'!$D$5:$E$5)+'PF상환 민감도'!$F$5*30%,IF(LEFT(S121,2)="입주",SUM('PF상환 민감도'!$D$5:$E$5)+'PF상환 민감도'!$F$5*80%,IF(LEFT(R121,2)="입주",100%,IF(T8&gt;손익!$P$9+90,1,0))))+IF(T8&lt;손익!$P$9,IF($F$248&gt;0,IF(T8&gt;=$F$248,20%),0),0)+IF(T8&lt;손익!$P$9,IF($F$247&gt;0,IF(T8&gt;=$F$247,10%),0),0)+IF(T8&lt;손익!$P$9,IF(T8&gt;=$F$246,50%,IF(T8&gt;=$F$245,40%,IF(T8&gt;=$F$244,30%,IF(T8&gt;=$F$243,20%,10%)))),0))+$C$228*$E$236*(IF(LEFT(T121,2)="입주",SUM('PF상환 민감도'!$D$6:$E$6)+'PF상환 민감도'!$F$6*30%,IF(LEFT(S121,2)="입주",SUM('PF상환 민감도'!$D$6:$E$6)+'PF상환 민감도'!$F$6*80%,IF(LEFT(R121,2)="입주",100%,IF(T8&gt;손익!$P$9+90,1,0))))+IF(T8&lt;손익!$P$9,IF($F$248&gt;0,IF(T8&gt;=$F$248,20%),0),0)+IF(T8&lt;손익!$P$9,IF($F$247&gt;0,IF(T8&gt;=$F$247,10%),0),0)+IF(T8&lt;손익!$P$9,IF(T8&gt;=$F$246,50%,IF(T8&gt;=$F$245,40%,IF(T8&gt;=$F$244,30%,IF(T8&gt;=$F$243,20%,10%)))),0))),($C$61*$E$236*(IF(LEFT(T9,2)="입주",SUM('PF상환 민감도'!$D$3:$E$3)+'PF상환 민감도'!$F$3*30%,IF(LEFT(S9,2)="입주",SUM('PF상환 민감도'!$D$3:$E$3)+'PF상환 민감도'!$F$3*80%,IF(LEFT(R9,2)="입주",100%,IF(T8&gt;손익!$P$9+90,1,0))))+IF(T8&lt;손익!$P$9,IF($B$248&gt;0,IF(T8&gt;=$B$248,20%),0),0)+IF(T8&lt;손익!$P$9,IF($B$247&gt;0,IF(T8&gt;=$B$247,10%),0),0)+IF(T8&lt;손익!$P$9,IF(T8&gt;=$B$246,50%,IF(T8&gt;=$B$245,40%,IF(T8&gt;=$B$244,30%,IF(T8&gt;=$B$243,20%,10%)))),0))+$C$117*$E$236*(IF(LEFT(T65,2)="입주",SUM('PF상환 민감도'!$D$4:$E$4)+'PF상환 민감도'!$F$4*30%,IF(LEFT(S65,2)="입주",SUM('PF상환 민감도'!$D$4:$E$4)+'PF상환 민감도'!$F$4*80%,IF(LEFT(R65,2)="입주",100%,IF(T8&gt;손익!$P$9+90,1,0))))+IF(T8&lt;손익!$P$9,IF($D$248&gt;0,IF(T8&gt;=$D$248,20%),0),0)+IF(T8&lt;손익!$P$9,IF($D$247&gt;0,IF(T8&gt;=$D$247,10%),0),0)+IF(T8&lt;손익!$P$9,IF(T8&gt;=$D$246,50%,IF(T8&gt;=$D$245,40%,IF(T8&gt;=$D$244,30%,IF(T8&gt;=$D$243,20%,10%)))),0))+$C$173*$E$236*(IF(LEFT(T121,2)="입주",SUM('PF상환 민감도'!$D$5:$E$5)+'PF상환 민감도'!$F$5*30%,IF(LEFT(S121,2)="입주",SUM('PF상환 민감도'!$D$5:$E$5)+'PF상환 민감도'!$F$5*80%,IF(LEFT(R121,2)="입주",100%,IF(T8&gt;손익!$P$9+90,1,0))))+IF(T8&lt;손익!$P$9,IF($F$248&gt;0,IF(T8&gt;=$F$248,20%),0),0)+IF(T8&lt;손익!$P$9,IF($F$247&gt;0,IF(T8&gt;=$F$247,10%),0),0)+IF(T8&lt;손익!$P$9,IF(T8&gt;=$F$246,50%,IF(T8&gt;=$F$245,40%,IF(T8&gt;=$F$244,30%,IF(T8&gt;=$F$243,20%,10%)))),0))+$C$228*$E$236*(IF(LEFT(T121,2)="입주",SUM('PF상환 민감도'!$D$6:$E$6)+'PF상환 민감도'!$F$6*30%,IF(LEFT(S121,2)="입주",SUM('PF상환 민감도'!$D$6:$E$6)+'PF상환 민감도'!$F$6*80%,IF(LEFT(R121,2)="입주",100%,IF(T8&gt;손익!$P$9+90,1,0))))+IF(T8&lt;손익!$P$9,IF($F$248&gt;0,IF(T8&gt;=$F$248,20%),0),0)+IF(T8&lt;손익!$P$9,IF($F$247&gt;0,IF(T8&gt;=$F$247,10%),0),0)+IF(T8&lt;손익!$P$9,IF(T8&gt;=$F$246,50%,IF(T8&gt;=$F$245,40%,IF(T8&gt;=$F$244,30%,IF(T8&gt;=$F$243,20%,10%)))),0)))-SUM($G$236:S236),T232)</f>
        <v>0</v>
      </c>
      <c r="U236" s="643">
        <f ca="1">IF(SUM($G232:U$232)&gt;($C$61*$E$236*(IF(LEFT(U9,2)="입주",SUM('PF상환 민감도'!$D$3:$E$3)+'PF상환 민감도'!$F$3*30%,IF(LEFT(T9,2)="입주",SUM('PF상환 민감도'!$D$3:$E$3)+'PF상환 민감도'!$F$3*80%,IF(LEFT(S9,2)="입주",100%,IF(U8&gt;손익!$P$9+90,1,0))))+IF(U8&lt;손익!$P$9,IF($B$248&gt;0,IF(U8&gt;=$B$248,20%),0),0)+IF(U8&lt;손익!$P$9,IF($B$247&gt;0,IF(U8&gt;=$B$247,10%),0),0)+IF(U8&lt;손익!$P$9,IF(U8&gt;=$B$246,50%,IF(U8&gt;=$B$245,40%,IF(U8&gt;=$B$244,30%,IF(U8&gt;=$B$243,20%,10%)))),0))+$C$117*$E$236*(IF(LEFT(U65,2)="입주",SUM('PF상환 민감도'!$D$4:$E$4)+'PF상환 민감도'!$F$4*30%,IF(LEFT(T65,2)="입주",SUM('PF상환 민감도'!$D$4:$E$4)+'PF상환 민감도'!$F$4*80%,IF(LEFT(S65,2)="입주",100%,IF(U8&gt;손익!$P$9+90,1,0))))+IF(U8&lt;손익!$P$9,IF($D$248&gt;0,IF(U8&gt;=$D$248,20%),0),0)+IF(U8&lt;손익!$P$9,IF($D$247&gt;0,IF(U8&gt;=$D$247,10%),0),0)+IF(U8&lt;손익!$P$9,IF(U8&gt;=$D$246,50%,IF(U8&gt;=$D$245,40%,IF(U8&gt;=$D$244,30%,IF(U8&gt;=$D$243,20%,10%)))),0))+$C$173*$E$236*(IF(LEFT(U121,2)="입주",SUM('PF상환 민감도'!$D$5:$E$5)+'PF상환 민감도'!$F$5*30%,IF(LEFT(T121,2)="입주",SUM('PF상환 민감도'!$D$5:$E$5)+'PF상환 민감도'!$F$5*80%,IF(LEFT(S121,2)="입주",100%,IF(U8&gt;손익!$P$9+90,1,0))))+IF(U8&lt;손익!$P$9,IF($F$248&gt;0,IF(U8&gt;=$F$248,20%),0),0)+IF(U8&lt;손익!$P$9,IF($F$247&gt;0,IF(U8&gt;=$F$247,10%),0),0)+IF(U8&lt;손익!$P$9,IF(U8&gt;=$F$246,50%,IF(U8&gt;=$F$245,40%,IF(U8&gt;=$F$244,30%,IF(U8&gt;=$F$243,20%,10%)))),0))+$C$228*$E$236*(IF(LEFT(U121,2)="입주",SUM('PF상환 민감도'!$D$6:$E$6)+'PF상환 민감도'!$F$6*30%,IF(LEFT(T121,2)="입주",SUM('PF상환 민감도'!$D$6:$E$6)+'PF상환 민감도'!$F$6*80%,IF(LEFT(S121,2)="입주",100%,IF(U8&gt;손익!$P$9+90,1,0))))+IF(U8&lt;손익!$P$9,IF($F$248&gt;0,IF(U8&gt;=$F$248,20%),0),0)+IF(U8&lt;손익!$P$9,IF($F$247&gt;0,IF(U8&gt;=$F$247,10%),0),0)+IF(U8&lt;손익!$P$9,IF(U8&gt;=$F$246,50%,IF(U8&gt;=$F$245,40%,IF(U8&gt;=$F$244,30%,IF(U8&gt;=$F$243,20%,10%)))),0))),($C$61*$E$236*(IF(LEFT(U9,2)="입주",SUM('PF상환 민감도'!$D$3:$E$3)+'PF상환 민감도'!$F$3*30%,IF(LEFT(T9,2)="입주",SUM('PF상환 민감도'!$D$3:$E$3)+'PF상환 민감도'!$F$3*80%,IF(LEFT(S9,2)="입주",100%,IF(U8&gt;손익!$P$9+90,1,0))))+IF(U8&lt;손익!$P$9,IF($B$248&gt;0,IF(U8&gt;=$B$248,20%),0),0)+IF(U8&lt;손익!$P$9,IF($B$247&gt;0,IF(U8&gt;=$B$247,10%),0),0)+IF(U8&lt;손익!$P$9,IF(U8&gt;=$B$246,50%,IF(U8&gt;=$B$245,40%,IF(U8&gt;=$B$244,30%,IF(U8&gt;=$B$243,20%,10%)))),0))+$C$117*$E$236*(IF(LEFT(U65,2)="입주",SUM('PF상환 민감도'!$D$4:$E$4)+'PF상환 민감도'!$F$4*30%,IF(LEFT(T65,2)="입주",SUM('PF상환 민감도'!$D$4:$E$4)+'PF상환 민감도'!$F$4*80%,IF(LEFT(S65,2)="입주",100%,IF(U8&gt;손익!$P$9+90,1,0))))+IF(U8&lt;손익!$P$9,IF($D$248&gt;0,IF(U8&gt;=$D$248,20%),0),0)+IF(U8&lt;손익!$P$9,IF($D$247&gt;0,IF(U8&gt;=$D$247,10%),0),0)+IF(U8&lt;손익!$P$9,IF(U8&gt;=$D$246,50%,IF(U8&gt;=$D$245,40%,IF(U8&gt;=$D$244,30%,IF(U8&gt;=$D$243,20%,10%)))),0))+$C$173*$E$236*(IF(LEFT(U121,2)="입주",SUM('PF상환 민감도'!$D$5:$E$5)+'PF상환 민감도'!$F$5*30%,IF(LEFT(T121,2)="입주",SUM('PF상환 민감도'!$D$5:$E$5)+'PF상환 민감도'!$F$5*80%,IF(LEFT(S121,2)="입주",100%,IF(U8&gt;손익!$P$9+90,1,0))))+IF(U8&lt;손익!$P$9,IF($F$248&gt;0,IF(U8&gt;=$F$248,20%),0),0)+IF(U8&lt;손익!$P$9,IF($F$247&gt;0,IF(U8&gt;=$F$247,10%),0),0)+IF(U8&lt;손익!$P$9,IF(U8&gt;=$F$246,50%,IF(U8&gt;=$F$245,40%,IF(U8&gt;=$F$244,30%,IF(U8&gt;=$F$243,20%,10%)))),0))+$C$228*$E$236*(IF(LEFT(U121,2)="입주",SUM('PF상환 민감도'!$D$6:$E$6)+'PF상환 민감도'!$F$6*30%,IF(LEFT(T121,2)="입주",SUM('PF상환 민감도'!$D$6:$E$6)+'PF상환 민감도'!$F$6*80%,IF(LEFT(S121,2)="입주",100%,IF(U8&gt;손익!$P$9+90,1,0))))+IF(U8&lt;손익!$P$9,IF($F$248&gt;0,IF(U8&gt;=$F$248,20%),0),0)+IF(U8&lt;손익!$P$9,IF($F$247&gt;0,IF(U8&gt;=$F$247,10%),0),0)+IF(U8&lt;손익!$P$9,IF(U8&gt;=$F$246,50%,IF(U8&gt;=$F$245,40%,IF(U8&gt;=$F$244,30%,IF(U8&gt;=$F$243,20%,10%)))),0)))-SUM($G$236:T236),U232)</f>
        <v>4739770.9492979906</v>
      </c>
      <c r="V236" s="643">
        <f ca="1">IF(SUM($G232:V$232)&gt;($C$61*$E$236*(IF(LEFT(V9,2)="입주",SUM('PF상환 민감도'!$D$3:$E$3)+'PF상환 민감도'!$F$3*30%,IF(LEFT(U9,2)="입주",SUM('PF상환 민감도'!$D$3:$E$3)+'PF상환 민감도'!$F$3*80%,IF(LEFT(T9,2)="입주",100%,IF(V8&gt;손익!$P$9+90,1,0))))+IF(V8&lt;손익!$P$9,IF($B$248&gt;0,IF(V8&gt;=$B$248,20%),0),0)+IF(V8&lt;손익!$P$9,IF($B$247&gt;0,IF(V8&gt;=$B$247,10%),0),0)+IF(V8&lt;손익!$P$9,IF(V8&gt;=$B$246,50%,IF(V8&gt;=$B$245,40%,IF(V8&gt;=$B$244,30%,IF(V8&gt;=$B$243,20%,10%)))),0))+$C$117*$E$236*(IF(LEFT(V65,2)="입주",SUM('PF상환 민감도'!$D$4:$E$4)+'PF상환 민감도'!$F$4*30%,IF(LEFT(U65,2)="입주",SUM('PF상환 민감도'!$D$4:$E$4)+'PF상환 민감도'!$F$4*80%,IF(LEFT(T65,2)="입주",100%,IF(V8&gt;손익!$P$9+90,1,0))))+IF(V8&lt;손익!$P$9,IF($D$248&gt;0,IF(V8&gt;=$D$248,20%),0),0)+IF(V8&lt;손익!$P$9,IF($D$247&gt;0,IF(V8&gt;=$D$247,10%),0),0)+IF(V8&lt;손익!$P$9,IF(V8&gt;=$D$246,50%,IF(V8&gt;=$D$245,40%,IF(V8&gt;=$D$244,30%,IF(V8&gt;=$D$243,20%,10%)))),0))+$C$173*$E$236*(IF(LEFT(V121,2)="입주",SUM('PF상환 민감도'!$D$5:$E$5)+'PF상환 민감도'!$F$5*30%,IF(LEFT(U121,2)="입주",SUM('PF상환 민감도'!$D$5:$E$5)+'PF상환 민감도'!$F$5*80%,IF(LEFT(T121,2)="입주",100%,IF(V8&gt;손익!$P$9+90,1,0))))+IF(V8&lt;손익!$P$9,IF($F$248&gt;0,IF(V8&gt;=$F$248,20%),0),0)+IF(V8&lt;손익!$P$9,IF($F$247&gt;0,IF(V8&gt;=$F$247,10%),0),0)+IF(V8&lt;손익!$P$9,IF(V8&gt;=$F$246,50%,IF(V8&gt;=$F$245,40%,IF(V8&gt;=$F$244,30%,IF(V8&gt;=$F$243,20%,10%)))),0))+$C$228*$E$236*(IF(LEFT(V121,2)="입주",SUM('PF상환 민감도'!$D$6:$E$6)+'PF상환 민감도'!$F$6*30%,IF(LEFT(U121,2)="입주",SUM('PF상환 민감도'!$D$6:$E$6)+'PF상환 민감도'!$F$6*80%,IF(LEFT(T121,2)="입주",100%,IF(V8&gt;손익!$P$9+90,1,0))))+IF(V8&lt;손익!$P$9,IF($F$248&gt;0,IF(V8&gt;=$F$248,20%),0),0)+IF(V8&lt;손익!$P$9,IF($F$247&gt;0,IF(V8&gt;=$F$247,10%),0),0)+IF(V8&lt;손익!$P$9,IF(V8&gt;=$F$246,50%,IF(V8&gt;=$F$245,40%,IF(V8&gt;=$F$244,30%,IF(V8&gt;=$F$243,20%,10%)))),0))),($C$61*$E$236*(IF(LEFT(V9,2)="입주",SUM('PF상환 민감도'!$D$3:$E$3)+'PF상환 민감도'!$F$3*30%,IF(LEFT(U9,2)="입주",SUM('PF상환 민감도'!$D$3:$E$3)+'PF상환 민감도'!$F$3*80%,IF(LEFT(T9,2)="입주",100%,IF(V8&gt;손익!$P$9+90,1,0))))+IF(V8&lt;손익!$P$9,IF($B$248&gt;0,IF(V8&gt;=$B$248,20%),0),0)+IF(V8&lt;손익!$P$9,IF($B$247&gt;0,IF(V8&gt;=$B$247,10%),0),0)+IF(V8&lt;손익!$P$9,IF(V8&gt;=$B$246,50%,IF(V8&gt;=$B$245,40%,IF(V8&gt;=$B$244,30%,IF(V8&gt;=$B$243,20%,10%)))),0))+$C$117*$E$236*(IF(LEFT(V65,2)="입주",SUM('PF상환 민감도'!$D$4:$E$4)+'PF상환 민감도'!$F$4*30%,IF(LEFT(U65,2)="입주",SUM('PF상환 민감도'!$D$4:$E$4)+'PF상환 민감도'!$F$4*80%,IF(LEFT(T65,2)="입주",100%,IF(V8&gt;손익!$P$9+90,1,0))))+IF(V8&lt;손익!$P$9,IF($D$248&gt;0,IF(V8&gt;=$D$248,20%),0),0)+IF(V8&lt;손익!$P$9,IF($D$247&gt;0,IF(V8&gt;=$D$247,10%),0),0)+IF(V8&lt;손익!$P$9,IF(V8&gt;=$D$246,50%,IF(V8&gt;=$D$245,40%,IF(V8&gt;=$D$244,30%,IF(V8&gt;=$D$243,20%,10%)))),0))+$C$173*$E$236*(IF(LEFT(V121,2)="입주",SUM('PF상환 민감도'!$D$5:$E$5)+'PF상환 민감도'!$F$5*30%,IF(LEFT(U121,2)="입주",SUM('PF상환 민감도'!$D$5:$E$5)+'PF상환 민감도'!$F$5*80%,IF(LEFT(T121,2)="입주",100%,IF(V8&gt;손익!$P$9+90,1,0))))+IF(V8&lt;손익!$P$9,IF($F$248&gt;0,IF(V8&gt;=$F$248,20%),0),0)+IF(V8&lt;손익!$P$9,IF($F$247&gt;0,IF(V8&gt;=$F$247,10%),0),0)+IF(V8&lt;손익!$P$9,IF(V8&gt;=$F$246,50%,IF(V8&gt;=$F$245,40%,IF(V8&gt;=$F$244,30%,IF(V8&gt;=$F$243,20%,10%)))),0))+$C$228*$E$236*(IF(LEFT(V121,2)="입주",SUM('PF상환 민감도'!$D$6:$E$6)+'PF상환 민감도'!$F$6*30%,IF(LEFT(U121,2)="입주",SUM('PF상환 민감도'!$D$6:$E$6)+'PF상환 민감도'!$F$6*80%,IF(LEFT(T121,2)="입주",100%,IF(V8&gt;손익!$P$9+90,1,0))))+IF(V8&lt;손익!$P$9,IF($F$248&gt;0,IF(V8&gt;=$F$248,20%),0),0)+IF(V8&lt;손익!$P$9,IF($F$247&gt;0,IF(V8&gt;=$F$247,10%),0),0)+IF(V8&lt;손익!$P$9,IF(V8&gt;=$F$246,50%,IF(V8&gt;=$F$245,40%,IF(V8&gt;=$F$244,30%,IF(V8&gt;=$F$243,20%,10%)))),0)))-SUM($G$236:U236),V232)</f>
        <v>7586171.0251470059</v>
      </c>
      <c r="W236" s="643">
        <f ca="1">IF(SUM($G232:W$232)&gt;($C$61*$E$236*(IF(LEFT(W9,2)="입주",SUM('PF상환 민감도'!$D$3:$E$3)+'PF상환 민감도'!$F$3*30%,IF(LEFT(V9,2)="입주",SUM('PF상환 민감도'!$D$3:$E$3)+'PF상환 민감도'!$F$3*80%,IF(LEFT(U9,2)="입주",100%,IF(W8&gt;손익!$P$9+90,1,0))))+IF(W8&lt;손익!$P$9,IF($B$248&gt;0,IF(W8&gt;=$B$248,20%),0),0)+IF(W8&lt;손익!$P$9,IF($B$247&gt;0,IF(W8&gt;=$B$247,10%),0),0)+IF(W8&lt;손익!$P$9,IF(W8&gt;=$B$246,50%,IF(W8&gt;=$B$245,40%,IF(W8&gt;=$B$244,30%,IF(W8&gt;=$B$243,20%,10%)))),0))+$C$117*$E$236*(IF(LEFT(W65,2)="입주",SUM('PF상환 민감도'!$D$4:$E$4)+'PF상환 민감도'!$F$4*30%,IF(LEFT(V65,2)="입주",SUM('PF상환 민감도'!$D$4:$E$4)+'PF상환 민감도'!$F$4*80%,IF(LEFT(U65,2)="입주",100%,IF(W8&gt;손익!$P$9+90,1,0))))+IF(W8&lt;손익!$P$9,IF($D$248&gt;0,IF(W8&gt;=$D$248,20%),0),0)+IF(W8&lt;손익!$P$9,IF($D$247&gt;0,IF(W8&gt;=$D$247,10%),0),0)+IF(W8&lt;손익!$P$9,IF(W8&gt;=$D$246,50%,IF(W8&gt;=$D$245,40%,IF(W8&gt;=$D$244,30%,IF(W8&gt;=$D$243,20%,10%)))),0))+$C$173*$E$236*(IF(LEFT(W121,2)="입주",SUM('PF상환 민감도'!$D$5:$E$5)+'PF상환 민감도'!$F$5*30%,IF(LEFT(V121,2)="입주",SUM('PF상환 민감도'!$D$5:$E$5)+'PF상환 민감도'!$F$5*80%,IF(LEFT(U121,2)="입주",100%,IF(W8&gt;손익!$P$9+90,1,0))))+IF(W8&lt;손익!$P$9,IF($F$248&gt;0,IF(W8&gt;=$F$248,20%),0),0)+IF(W8&lt;손익!$P$9,IF($F$247&gt;0,IF(W8&gt;=$F$247,10%),0),0)+IF(W8&lt;손익!$P$9,IF(W8&gt;=$F$246,50%,IF(W8&gt;=$F$245,40%,IF(W8&gt;=$F$244,30%,IF(W8&gt;=$F$243,20%,10%)))),0))+$C$228*$E$236*(IF(LEFT(W121,2)="입주",SUM('PF상환 민감도'!$D$6:$E$6)+'PF상환 민감도'!$F$6*30%,IF(LEFT(V121,2)="입주",SUM('PF상환 민감도'!$D$6:$E$6)+'PF상환 민감도'!$F$6*80%,IF(LEFT(U121,2)="입주",100%,IF(W8&gt;손익!$P$9+90,1,0))))+IF(W8&lt;손익!$P$9,IF($F$248&gt;0,IF(W8&gt;=$F$248,20%),0),0)+IF(W8&lt;손익!$P$9,IF($F$247&gt;0,IF(W8&gt;=$F$247,10%),0),0)+IF(W8&lt;손익!$P$9,IF(W8&gt;=$F$246,50%,IF(W8&gt;=$F$245,40%,IF(W8&gt;=$F$244,30%,IF(W8&gt;=$F$243,20%,10%)))),0))),($C$61*$E$236*(IF(LEFT(W9,2)="입주",SUM('PF상환 민감도'!$D$3:$E$3)+'PF상환 민감도'!$F$3*30%,IF(LEFT(V9,2)="입주",SUM('PF상환 민감도'!$D$3:$E$3)+'PF상환 민감도'!$F$3*80%,IF(LEFT(U9,2)="입주",100%,IF(W8&gt;손익!$P$9+90,1,0))))+IF(W8&lt;손익!$P$9,IF($B$248&gt;0,IF(W8&gt;=$B$248,20%),0),0)+IF(W8&lt;손익!$P$9,IF($B$247&gt;0,IF(W8&gt;=$B$247,10%),0),0)+IF(W8&lt;손익!$P$9,IF(W8&gt;=$B$246,50%,IF(W8&gt;=$B$245,40%,IF(W8&gt;=$B$244,30%,IF(W8&gt;=$B$243,20%,10%)))),0))+$C$117*$E$236*(IF(LEFT(W65,2)="입주",SUM('PF상환 민감도'!$D$4:$E$4)+'PF상환 민감도'!$F$4*30%,IF(LEFT(V65,2)="입주",SUM('PF상환 민감도'!$D$4:$E$4)+'PF상환 민감도'!$F$4*80%,IF(LEFT(U65,2)="입주",100%,IF(W8&gt;손익!$P$9+90,1,0))))+IF(W8&lt;손익!$P$9,IF($D$248&gt;0,IF(W8&gt;=$D$248,20%),0),0)+IF(W8&lt;손익!$P$9,IF($D$247&gt;0,IF(W8&gt;=$D$247,10%),0),0)+IF(W8&lt;손익!$P$9,IF(W8&gt;=$D$246,50%,IF(W8&gt;=$D$245,40%,IF(W8&gt;=$D$244,30%,IF(W8&gt;=$D$243,20%,10%)))),0))+$C$173*$E$236*(IF(LEFT(W121,2)="입주",SUM('PF상환 민감도'!$D$5:$E$5)+'PF상환 민감도'!$F$5*30%,IF(LEFT(V121,2)="입주",SUM('PF상환 민감도'!$D$5:$E$5)+'PF상환 민감도'!$F$5*80%,IF(LEFT(U121,2)="입주",100%,IF(W8&gt;손익!$P$9+90,1,0))))+IF(W8&lt;손익!$P$9,IF($F$248&gt;0,IF(W8&gt;=$F$248,20%),0),0)+IF(W8&lt;손익!$P$9,IF($F$247&gt;0,IF(W8&gt;=$F$247,10%),0),0)+IF(W8&lt;손익!$P$9,IF(W8&gt;=$F$246,50%,IF(W8&gt;=$F$245,40%,IF(W8&gt;=$F$244,30%,IF(W8&gt;=$F$243,20%,10%)))),0))+$C$228*$E$236*(IF(LEFT(W121,2)="입주",SUM('PF상환 민감도'!$D$6:$E$6)+'PF상환 민감도'!$F$6*30%,IF(LEFT(V121,2)="입주",SUM('PF상환 민감도'!$D$6:$E$6)+'PF상환 민감도'!$F$6*80%,IF(LEFT(U121,2)="입주",100%,IF(W8&gt;손익!$P$9+90,1,0))))+IF(W8&lt;손익!$P$9,IF($F$248&gt;0,IF(W8&gt;=$F$248,20%),0),0)+IF(W8&lt;손익!$P$9,IF($F$247&gt;0,IF(W8&gt;=$F$247,10%),0),0)+IF(W8&lt;손익!$P$9,IF(W8&gt;=$F$246,50%,IF(W8&gt;=$F$245,40%,IF(W8&gt;=$F$244,30%,IF(W8&gt;=$F$243,20%,10%)))),0)))-SUM($G$236:V236),W232)</f>
        <v>0</v>
      </c>
      <c r="X236" s="643">
        <f ca="1">IF(SUM($G232:X$232)&gt;($C$61*$E$236*(IF(LEFT(X9,2)="입주",SUM('PF상환 민감도'!$D$3:$E$3)+'PF상환 민감도'!$F$3*30%,IF(LEFT(W9,2)="입주",SUM('PF상환 민감도'!$D$3:$E$3)+'PF상환 민감도'!$F$3*80%,IF(LEFT(V9,2)="입주",100%,IF(X8&gt;손익!$P$9+90,1,0))))+IF(X8&lt;손익!$P$9,IF($B$248&gt;0,IF(X8&gt;=$B$248,20%),0),0)+IF(X8&lt;손익!$P$9,IF($B$247&gt;0,IF(X8&gt;=$B$247,10%),0),0)+IF(X8&lt;손익!$P$9,IF(X8&gt;=$B$246,50%,IF(X8&gt;=$B$245,40%,IF(X8&gt;=$B$244,30%,IF(X8&gt;=$B$243,20%,10%)))),0))+$C$117*$E$236*(IF(LEFT(X65,2)="입주",SUM('PF상환 민감도'!$D$4:$E$4)+'PF상환 민감도'!$F$4*30%,IF(LEFT(W65,2)="입주",SUM('PF상환 민감도'!$D$4:$E$4)+'PF상환 민감도'!$F$4*80%,IF(LEFT(V65,2)="입주",100%,IF(X8&gt;손익!$P$9+90,1,0))))+IF(X8&lt;손익!$P$9,IF($D$248&gt;0,IF(X8&gt;=$D$248,20%),0),0)+IF(X8&lt;손익!$P$9,IF($D$247&gt;0,IF(X8&gt;=$D$247,10%),0),0)+IF(X8&lt;손익!$P$9,IF(X8&gt;=$D$246,50%,IF(X8&gt;=$D$245,40%,IF(X8&gt;=$D$244,30%,IF(X8&gt;=$D$243,20%,10%)))),0))+$C$173*$E$236*(IF(LEFT(X121,2)="입주",SUM('PF상환 민감도'!$D$5:$E$5)+'PF상환 민감도'!$F$5*30%,IF(LEFT(W121,2)="입주",SUM('PF상환 민감도'!$D$5:$E$5)+'PF상환 민감도'!$F$5*80%,IF(LEFT(V121,2)="입주",100%,IF(X8&gt;손익!$P$9+90,1,0))))+IF(X8&lt;손익!$P$9,IF($F$248&gt;0,IF(X8&gt;=$F$248,20%),0),0)+IF(X8&lt;손익!$P$9,IF($F$247&gt;0,IF(X8&gt;=$F$247,10%),0),0)+IF(X8&lt;손익!$P$9,IF(X8&gt;=$F$246,50%,IF(X8&gt;=$F$245,40%,IF(X8&gt;=$F$244,30%,IF(X8&gt;=$F$243,20%,10%)))),0))+$C$228*$E$236*(IF(LEFT(X121,2)="입주",SUM('PF상환 민감도'!$D$6:$E$6)+'PF상환 민감도'!$F$6*30%,IF(LEFT(W121,2)="입주",SUM('PF상환 민감도'!$D$6:$E$6)+'PF상환 민감도'!$F$6*80%,IF(LEFT(V121,2)="입주",100%,IF(X8&gt;손익!$P$9+90,1,0))))+IF(X8&lt;손익!$P$9,IF($F$248&gt;0,IF(X8&gt;=$F$248,20%),0),0)+IF(X8&lt;손익!$P$9,IF($F$247&gt;0,IF(X8&gt;=$F$247,10%),0),0)+IF(X8&lt;손익!$P$9,IF(X8&gt;=$F$246,50%,IF(X8&gt;=$F$245,40%,IF(X8&gt;=$F$244,30%,IF(X8&gt;=$F$243,20%,10%)))),0))),($C$61*$E$236*(IF(LEFT(X9,2)="입주",SUM('PF상환 민감도'!$D$3:$E$3)+'PF상환 민감도'!$F$3*30%,IF(LEFT(W9,2)="입주",SUM('PF상환 민감도'!$D$3:$E$3)+'PF상환 민감도'!$F$3*80%,IF(LEFT(V9,2)="입주",100%,IF(X8&gt;손익!$P$9+90,1,0))))+IF(X8&lt;손익!$P$9,IF($B$248&gt;0,IF(X8&gt;=$B$248,20%),0),0)+IF(X8&lt;손익!$P$9,IF($B$247&gt;0,IF(X8&gt;=$B$247,10%),0),0)+IF(X8&lt;손익!$P$9,IF(X8&gt;=$B$246,50%,IF(X8&gt;=$B$245,40%,IF(X8&gt;=$B$244,30%,IF(X8&gt;=$B$243,20%,10%)))),0))+$C$117*$E$236*(IF(LEFT(X65,2)="입주",SUM('PF상환 민감도'!$D$4:$E$4)+'PF상환 민감도'!$F$4*30%,IF(LEFT(W65,2)="입주",SUM('PF상환 민감도'!$D$4:$E$4)+'PF상환 민감도'!$F$4*80%,IF(LEFT(V65,2)="입주",100%,IF(X8&gt;손익!$P$9+90,1,0))))+IF(X8&lt;손익!$P$9,IF($D$248&gt;0,IF(X8&gt;=$D$248,20%),0),0)+IF(X8&lt;손익!$P$9,IF($D$247&gt;0,IF(X8&gt;=$D$247,10%),0),0)+IF(X8&lt;손익!$P$9,IF(X8&gt;=$D$246,50%,IF(X8&gt;=$D$245,40%,IF(X8&gt;=$D$244,30%,IF(X8&gt;=$D$243,20%,10%)))),0))+$C$173*$E$236*(IF(LEFT(X121,2)="입주",SUM('PF상환 민감도'!$D$5:$E$5)+'PF상환 민감도'!$F$5*30%,IF(LEFT(W121,2)="입주",SUM('PF상환 민감도'!$D$5:$E$5)+'PF상환 민감도'!$F$5*80%,IF(LEFT(V121,2)="입주",100%,IF(X8&gt;손익!$P$9+90,1,0))))+IF(X8&lt;손익!$P$9,IF($F$248&gt;0,IF(X8&gt;=$F$248,20%),0),0)+IF(X8&lt;손익!$P$9,IF($F$247&gt;0,IF(X8&gt;=$F$247,10%),0),0)+IF(X8&lt;손익!$P$9,IF(X8&gt;=$F$246,50%,IF(X8&gt;=$F$245,40%,IF(X8&gt;=$F$244,30%,IF(X8&gt;=$F$243,20%,10%)))),0))+$C$228*$E$236*(IF(LEFT(X121,2)="입주",SUM('PF상환 민감도'!$D$6:$E$6)+'PF상환 민감도'!$F$6*30%,IF(LEFT(W121,2)="입주",SUM('PF상환 민감도'!$D$6:$E$6)+'PF상환 민감도'!$F$6*80%,IF(LEFT(V121,2)="입주",100%,IF(X8&gt;손익!$P$9+90,1,0))))+IF(X8&lt;손익!$P$9,IF($F$248&gt;0,IF(X8&gt;=$F$248,20%),0),0)+IF(X8&lt;손익!$P$9,IF($F$247&gt;0,IF(X8&gt;=$F$247,10%),0),0)+IF(X8&lt;손익!$P$9,IF(X8&gt;=$F$246,50%,IF(X8&gt;=$F$245,40%,IF(X8&gt;=$F$244,30%,IF(X8&gt;=$F$243,20%,10%)))),0)))-SUM($G$236:W236),X232)</f>
        <v>0</v>
      </c>
      <c r="Y236" s="643">
        <f ca="1">IF(SUM($G232:Y$232)&gt;($C$61*$E$236*(IF(LEFT(Y9,2)="입주",SUM('PF상환 민감도'!$D$3:$E$3)+'PF상환 민감도'!$F$3*30%,IF(LEFT(X9,2)="입주",SUM('PF상환 민감도'!$D$3:$E$3)+'PF상환 민감도'!$F$3*80%,IF(LEFT(W9,2)="입주",100%,IF(Y8&gt;손익!$P$9+90,1,0))))+IF(Y8&lt;손익!$P$9,IF($B$248&gt;0,IF(Y8&gt;=$B$248,20%),0),0)+IF(Y8&lt;손익!$P$9,IF($B$247&gt;0,IF(Y8&gt;=$B$247,10%),0),0)+IF(Y8&lt;손익!$P$9,IF(Y8&gt;=$B$246,50%,IF(Y8&gt;=$B$245,40%,IF(Y8&gt;=$B$244,30%,IF(Y8&gt;=$B$243,20%,10%)))),0))+$C$117*$E$236*(IF(LEFT(Y65,2)="입주",SUM('PF상환 민감도'!$D$4:$E$4)+'PF상환 민감도'!$F$4*30%,IF(LEFT(X65,2)="입주",SUM('PF상환 민감도'!$D$4:$E$4)+'PF상환 민감도'!$F$4*80%,IF(LEFT(W65,2)="입주",100%,IF(Y8&gt;손익!$P$9+90,1,0))))+IF(Y8&lt;손익!$P$9,IF($D$248&gt;0,IF(Y8&gt;=$D$248,20%),0),0)+IF(Y8&lt;손익!$P$9,IF($D$247&gt;0,IF(Y8&gt;=$D$247,10%),0),0)+IF(Y8&lt;손익!$P$9,IF(Y8&gt;=$D$246,50%,IF(Y8&gt;=$D$245,40%,IF(Y8&gt;=$D$244,30%,IF(Y8&gt;=$D$243,20%,10%)))),0))+$C$173*$E$236*(IF(LEFT(Y121,2)="입주",SUM('PF상환 민감도'!$D$5:$E$5)+'PF상환 민감도'!$F$5*30%,IF(LEFT(X121,2)="입주",SUM('PF상환 민감도'!$D$5:$E$5)+'PF상환 민감도'!$F$5*80%,IF(LEFT(W121,2)="입주",100%,IF(Y8&gt;손익!$P$9+90,1,0))))+IF(Y8&lt;손익!$P$9,IF($F$248&gt;0,IF(Y8&gt;=$F$248,20%),0),0)+IF(Y8&lt;손익!$P$9,IF($F$247&gt;0,IF(Y8&gt;=$F$247,10%),0),0)+IF(Y8&lt;손익!$P$9,IF(Y8&gt;=$F$246,50%,IF(Y8&gt;=$F$245,40%,IF(Y8&gt;=$F$244,30%,IF(Y8&gt;=$F$243,20%,10%)))),0))+$C$228*$E$236*(IF(LEFT(Y121,2)="입주",SUM('PF상환 민감도'!$D$6:$E$6)+'PF상환 민감도'!$F$6*30%,IF(LEFT(X121,2)="입주",SUM('PF상환 민감도'!$D$6:$E$6)+'PF상환 민감도'!$F$6*80%,IF(LEFT(W121,2)="입주",100%,IF(Y8&gt;손익!$P$9+90,1,0))))+IF(Y8&lt;손익!$P$9,IF($F$248&gt;0,IF(Y8&gt;=$F$248,20%),0),0)+IF(Y8&lt;손익!$P$9,IF($F$247&gt;0,IF(Y8&gt;=$F$247,10%),0),0)+IF(Y8&lt;손익!$P$9,IF(Y8&gt;=$F$246,50%,IF(Y8&gt;=$F$245,40%,IF(Y8&gt;=$F$244,30%,IF(Y8&gt;=$F$243,20%,10%)))),0))),($C$61*$E$236*(IF(LEFT(Y9,2)="입주",SUM('PF상환 민감도'!$D$3:$E$3)+'PF상환 민감도'!$F$3*30%,IF(LEFT(X9,2)="입주",SUM('PF상환 민감도'!$D$3:$E$3)+'PF상환 민감도'!$F$3*80%,IF(LEFT(W9,2)="입주",100%,IF(Y8&gt;손익!$P$9+90,1,0))))+IF(Y8&lt;손익!$P$9,IF($B$248&gt;0,IF(Y8&gt;=$B$248,20%),0),0)+IF(Y8&lt;손익!$P$9,IF($B$247&gt;0,IF(Y8&gt;=$B$247,10%),0),0)+IF(Y8&lt;손익!$P$9,IF(Y8&gt;=$B$246,50%,IF(Y8&gt;=$B$245,40%,IF(Y8&gt;=$B$244,30%,IF(Y8&gt;=$B$243,20%,10%)))),0))+$C$117*$E$236*(IF(LEFT(Y65,2)="입주",SUM('PF상환 민감도'!$D$4:$E$4)+'PF상환 민감도'!$F$4*30%,IF(LEFT(X65,2)="입주",SUM('PF상환 민감도'!$D$4:$E$4)+'PF상환 민감도'!$F$4*80%,IF(LEFT(W65,2)="입주",100%,IF(Y8&gt;손익!$P$9+90,1,0))))+IF(Y8&lt;손익!$P$9,IF($D$248&gt;0,IF(Y8&gt;=$D$248,20%),0),0)+IF(Y8&lt;손익!$P$9,IF($D$247&gt;0,IF(Y8&gt;=$D$247,10%),0),0)+IF(Y8&lt;손익!$P$9,IF(Y8&gt;=$D$246,50%,IF(Y8&gt;=$D$245,40%,IF(Y8&gt;=$D$244,30%,IF(Y8&gt;=$D$243,20%,10%)))),0))+$C$173*$E$236*(IF(LEFT(Y121,2)="입주",SUM('PF상환 민감도'!$D$5:$E$5)+'PF상환 민감도'!$F$5*30%,IF(LEFT(X121,2)="입주",SUM('PF상환 민감도'!$D$5:$E$5)+'PF상환 민감도'!$F$5*80%,IF(LEFT(W121,2)="입주",100%,IF(Y8&gt;손익!$P$9+90,1,0))))+IF(Y8&lt;손익!$P$9,IF($F$248&gt;0,IF(Y8&gt;=$F$248,20%),0),0)+IF(Y8&lt;손익!$P$9,IF($F$247&gt;0,IF(Y8&gt;=$F$247,10%),0),0)+IF(Y8&lt;손익!$P$9,IF(Y8&gt;=$F$246,50%,IF(Y8&gt;=$F$245,40%,IF(Y8&gt;=$F$244,30%,IF(Y8&gt;=$F$243,20%,10%)))),0))+$C$228*$E$236*(IF(LEFT(Y121,2)="입주",SUM('PF상환 민감도'!$D$6:$E$6)+'PF상환 민감도'!$F$6*30%,IF(LEFT(X121,2)="입주",SUM('PF상환 민감도'!$D$6:$E$6)+'PF상환 민감도'!$F$6*80%,IF(LEFT(W121,2)="입주",100%,IF(Y8&gt;손익!$P$9+90,1,0))))+IF(Y8&lt;손익!$P$9,IF($F$248&gt;0,IF(Y8&gt;=$F$248,20%),0),0)+IF(Y8&lt;손익!$P$9,IF($F$247&gt;0,IF(Y8&gt;=$F$247,10%),0),0)+IF(Y8&lt;손익!$P$9,IF(Y8&gt;=$F$246,50%,IF(Y8&gt;=$F$245,40%,IF(Y8&gt;=$F$244,30%,IF(Y8&gt;=$F$243,20%,10%)))),0)))-SUM($G$236:X236),Y232)</f>
        <v>5378320.0137551948</v>
      </c>
      <c r="Z236" s="643">
        <f ca="1">IF(SUM($G232:Z$232)&gt;($C$61*$E$236*(IF(LEFT(Z9,2)="입주",SUM('PF상환 민감도'!$D$3:$E$3)+'PF상환 민감도'!$F$3*30%,IF(LEFT(Y9,2)="입주",SUM('PF상환 민감도'!$D$3:$E$3)+'PF상환 민감도'!$F$3*80%,IF(LEFT(X9,2)="입주",100%,IF(Z8&gt;손익!$P$9+90,1,0))))+IF(Z8&lt;손익!$P$9,IF($B$248&gt;0,IF(Z8&gt;=$B$248,20%),0),0)+IF(Z8&lt;손익!$P$9,IF($B$247&gt;0,IF(Z8&gt;=$B$247,10%),0),0)+IF(Z8&lt;손익!$P$9,IF(Z8&gt;=$B$246,50%,IF(Z8&gt;=$B$245,40%,IF(Z8&gt;=$B$244,30%,IF(Z8&gt;=$B$243,20%,10%)))),0))+$C$117*$E$236*(IF(LEFT(Z65,2)="입주",SUM('PF상환 민감도'!$D$4:$E$4)+'PF상환 민감도'!$F$4*30%,IF(LEFT(Y65,2)="입주",SUM('PF상환 민감도'!$D$4:$E$4)+'PF상환 민감도'!$F$4*80%,IF(LEFT(X65,2)="입주",100%,IF(Z8&gt;손익!$P$9+90,1,0))))+IF(Z8&lt;손익!$P$9,IF($D$248&gt;0,IF(Z8&gt;=$D$248,20%),0),0)+IF(Z8&lt;손익!$P$9,IF($D$247&gt;0,IF(Z8&gt;=$D$247,10%),0),0)+IF(Z8&lt;손익!$P$9,IF(Z8&gt;=$D$246,50%,IF(Z8&gt;=$D$245,40%,IF(Z8&gt;=$D$244,30%,IF(Z8&gt;=$D$243,20%,10%)))),0))+$C$173*$E$236*(IF(LEFT(Z121,2)="입주",SUM('PF상환 민감도'!$D$5:$E$5)+'PF상환 민감도'!$F$5*30%,IF(LEFT(Y121,2)="입주",SUM('PF상환 민감도'!$D$5:$E$5)+'PF상환 민감도'!$F$5*80%,IF(LEFT(X121,2)="입주",100%,IF(Z8&gt;손익!$P$9+90,1,0))))+IF(Z8&lt;손익!$P$9,IF($F$248&gt;0,IF(Z8&gt;=$F$248,20%),0),0)+IF(Z8&lt;손익!$P$9,IF($F$247&gt;0,IF(Z8&gt;=$F$247,10%),0),0)+IF(Z8&lt;손익!$P$9,IF(Z8&gt;=$F$246,50%,IF(Z8&gt;=$F$245,40%,IF(Z8&gt;=$F$244,30%,IF(Z8&gt;=$F$243,20%,10%)))),0))+$C$228*$E$236*(IF(LEFT(Z121,2)="입주",SUM('PF상환 민감도'!$D$6:$E$6)+'PF상환 민감도'!$F$6*30%,IF(LEFT(Y121,2)="입주",SUM('PF상환 민감도'!$D$6:$E$6)+'PF상환 민감도'!$F$6*80%,IF(LEFT(X121,2)="입주",100%,IF(Z8&gt;손익!$P$9+90,1,0))))+IF(Z8&lt;손익!$P$9,IF($F$248&gt;0,IF(Z8&gt;=$F$248,20%),0),0)+IF(Z8&lt;손익!$P$9,IF($F$247&gt;0,IF(Z8&gt;=$F$247,10%),0),0)+IF(Z8&lt;손익!$P$9,IF(Z8&gt;=$F$246,50%,IF(Z8&gt;=$F$245,40%,IF(Z8&gt;=$F$244,30%,IF(Z8&gt;=$F$243,20%,10%)))),0))),($C$61*$E$236*(IF(LEFT(Z9,2)="입주",SUM('PF상환 민감도'!$D$3:$E$3)+'PF상환 민감도'!$F$3*30%,IF(LEFT(Y9,2)="입주",SUM('PF상환 민감도'!$D$3:$E$3)+'PF상환 민감도'!$F$3*80%,IF(LEFT(X9,2)="입주",100%,IF(Z8&gt;손익!$P$9+90,1,0))))+IF(Z8&lt;손익!$P$9,IF($B$248&gt;0,IF(Z8&gt;=$B$248,20%),0),0)+IF(Z8&lt;손익!$P$9,IF($B$247&gt;0,IF(Z8&gt;=$B$247,10%),0),0)+IF(Z8&lt;손익!$P$9,IF(Z8&gt;=$B$246,50%,IF(Z8&gt;=$B$245,40%,IF(Z8&gt;=$B$244,30%,IF(Z8&gt;=$B$243,20%,10%)))),0))+$C$117*$E$236*(IF(LEFT(Z65,2)="입주",SUM('PF상환 민감도'!$D$4:$E$4)+'PF상환 민감도'!$F$4*30%,IF(LEFT(Y65,2)="입주",SUM('PF상환 민감도'!$D$4:$E$4)+'PF상환 민감도'!$F$4*80%,IF(LEFT(X65,2)="입주",100%,IF(Z8&gt;손익!$P$9+90,1,0))))+IF(Z8&lt;손익!$P$9,IF($D$248&gt;0,IF(Z8&gt;=$D$248,20%),0),0)+IF(Z8&lt;손익!$P$9,IF($D$247&gt;0,IF(Z8&gt;=$D$247,10%),0),0)+IF(Z8&lt;손익!$P$9,IF(Z8&gt;=$D$246,50%,IF(Z8&gt;=$D$245,40%,IF(Z8&gt;=$D$244,30%,IF(Z8&gt;=$D$243,20%,10%)))),0))+$C$173*$E$236*(IF(LEFT(Z121,2)="입주",SUM('PF상환 민감도'!$D$5:$E$5)+'PF상환 민감도'!$F$5*30%,IF(LEFT(Y121,2)="입주",SUM('PF상환 민감도'!$D$5:$E$5)+'PF상환 민감도'!$F$5*80%,IF(LEFT(X121,2)="입주",100%,IF(Z8&gt;손익!$P$9+90,1,0))))+IF(Z8&lt;손익!$P$9,IF($F$248&gt;0,IF(Z8&gt;=$F$248,20%),0),0)+IF(Z8&lt;손익!$P$9,IF($F$247&gt;0,IF(Z8&gt;=$F$247,10%),0),0)+IF(Z8&lt;손익!$P$9,IF(Z8&gt;=$F$246,50%,IF(Z8&gt;=$F$245,40%,IF(Z8&gt;=$F$244,30%,IF(Z8&gt;=$F$243,20%,10%)))),0))+$C$228*$E$236*(IF(LEFT(Z121,2)="입주",SUM('PF상환 민감도'!$D$6:$E$6)+'PF상환 민감도'!$F$6*30%,IF(LEFT(Y121,2)="입주",SUM('PF상환 민감도'!$D$6:$E$6)+'PF상환 민감도'!$F$6*80%,IF(LEFT(X121,2)="입주",100%,IF(Z8&gt;손익!$P$9+90,1,0))))+IF(Z8&lt;손익!$P$9,IF($F$248&gt;0,IF(Z8&gt;=$F$248,20%),0),0)+IF(Z8&lt;손익!$P$9,IF($F$247&gt;0,IF(Z8&gt;=$F$247,10%),0),0)+IF(Z8&lt;손익!$P$9,IF(Z8&gt;=$F$246,50%,IF(Z8&gt;=$F$245,40%,IF(Z8&gt;=$F$244,30%,IF(Z8&gt;=$F$243,20%,10%)))),0)))-SUM($G$236:Y236),Z232)</f>
        <v>0</v>
      </c>
      <c r="AA236" s="643">
        <f ca="1">IF(SUM($G232:AA$232)&gt;($C$61*$E$236*(IF(LEFT(AA9,2)="입주",SUM('PF상환 민감도'!$D$3:$E$3)+'PF상환 민감도'!$F$3*30%,IF(LEFT(Z9,2)="입주",SUM('PF상환 민감도'!$D$3:$E$3)+'PF상환 민감도'!$F$3*80%,IF(LEFT(Y9,2)="입주",100%,IF(AA8&gt;손익!$P$9+90,1,0))))+IF(AA8&lt;손익!$P$9,IF($B$248&gt;0,IF(AA8&gt;=$B$248,20%),0),0)+IF(AA8&lt;손익!$P$9,IF($B$247&gt;0,IF(AA8&gt;=$B$247,10%),0),0)+IF(AA8&lt;손익!$P$9,IF(AA8&gt;=$B$246,50%,IF(AA8&gt;=$B$245,40%,IF(AA8&gt;=$B$244,30%,IF(AA8&gt;=$B$243,20%,10%)))),0))+$C$117*$E$236*(IF(LEFT(AA65,2)="입주",SUM('PF상환 민감도'!$D$4:$E$4)+'PF상환 민감도'!$F$4*30%,IF(LEFT(Z65,2)="입주",SUM('PF상환 민감도'!$D$4:$E$4)+'PF상환 민감도'!$F$4*80%,IF(LEFT(Y65,2)="입주",100%,IF(AA8&gt;손익!$P$9+90,1,0))))+IF(AA8&lt;손익!$P$9,IF($D$248&gt;0,IF(AA8&gt;=$D$248,20%),0),0)+IF(AA8&lt;손익!$P$9,IF($D$247&gt;0,IF(AA8&gt;=$D$247,10%),0),0)+IF(AA8&lt;손익!$P$9,IF(AA8&gt;=$D$246,50%,IF(AA8&gt;=$D$245,40%,IF(AA8&gt;=$D$244,30%,IF(AA8&gt;=$D$243,20%,10%)))),0))+$C$173*$E$236*(IF(LEFT(AA121,2)="입주",SUM('PF상환 민감도'!$D$5:$E$5)+'PF상환 민감도'!$F$5*30%,IF(LEFT(Z121,2)="입주",SUM('PF상환 민감도'!$D$5:$E$5)+'PF상환 민감도'!$F$5*80%,IF(LEFT(Y121,2)="입주",100%,IF(AA8&gt;손익!$P$9+90,1,0))))+IF(AA8&lt;손익!$P$9,IF($F$248&gt;0,IF(AA8&gt;=$F$248,20%),0),0)+IF(AA8&lt;손익!$P$9,IF($F$247&gt;0,IF(AA8&gt;=$F$247,10%),0),0)+IF(AA8&lt;손익!$P$9,IF(AA8&gt;=$F$246,50%,IF(AA8&gt;=$F$245,40%,IF(AA8&gt;=$F$244,30%,IF(AA8&gt;=$F$243,20%,10%)))),0))+$C$228*$E$236*(IF(LEFT(AA121,2)="입주",SUM('PF상환 민감도'!$D$6:$E$6)+'PF상환 민감도'!$F$6*30%,IF(LEFT(Z121,2)="입주",SUM('PF상환 민감도'!$D$6:$E$6)+'PF상환 민감도'!$F$6*80%,IF(LEFT(Y121,2)="입주",100%,IF(AA8&gt;손익!$P$9+90,1,0))))+IF(AA8&lt;손익!$P$9,IF($F$248&gt;0,IF(AA8&gt;=$F$248,20%),0),0)+IF(AA8&lt;손익!$P$9,IF($F$247&gt;0,IF(AA8&gt;=$F$247,10%),0),0)+IF(AA8&lt;손익!$P$9,IF(AA8&gt;=$F$246,50%,IF(AA8&gt;=$F$245,40%,IF(AA8&gt;=$F$244,30%,IF(AA8&gt;=$F$243,20%,10%)))),0))),($C$61*$E$236*(IF(LEFT(AA9,2)="입주",SUM('PF상환 민감도'!$D$3:$E$3)+'PF상환 민감도'!$F$3*30%,IF(LEFT(Z9,2)="입주",SUM('PF상환 민감도'!$D$3:$E$3)+'PF상환 민감도'!$F$3*80%,IF(LEFT(Y9,2)="입주",100%,IF(AA8&gt;손익!$P$9+90,1,0))))+IF(AA8&lt;손익!$P$9,IF($B$248&gt;0,IF(AA8&gt;=$B$248,20%),0),0)+IF(AA8&lt;손익!$P$9,IF($B$247&gt;0,IF(AA8&gt;=$B$247,10%),0),0)+IF(AA8&lt;손익!$P$9,IF(AA8&gt;=$B$246,50%,IF(AA8&gt;=$B$245,40%,IF(AA8&gt;=$B$244,30%,IF(AA8&gt;=$B$243,20%,10%)))),0))+$C$117*$E$236*(IF(LEFT(AA65,2)="입주",SUM('PF상환 민감도'!$D$4:$E$4)+'PF상환 민감도'!$F$4*30%,IF(LEFT(Z65,2)="입주",SUM('PF상환 민감도'!$D$4:$E$4)+'PF상환 민감도'!$F$4*80%,IF(LEFT(Y65,2)="입주",100%,IF(AA8&gt;손익!$P$9+90,1,0))))+IF(AA8&lt;손익!$P$9,IF($D$248&gt;0,IF(AA8&gt;=$D$248,20%),0),0)+IF(AA8&lt;손익!$P$9,IF($D$247&gt;0,IF(AA8&gt;=$D$247,10%),0),0)+IF(AA8&lt;손익!$P$9,IF(AA8&gt;=$D$246,50%,IF(AA8&gt;=$D$245,40%,IF(AA8&gt;=$D$244,30%,IF(AA8&gt;=$D$243,20%,10%)))),0))+$C$173*$E$236*(IF(LEFT(AA121,2)="입주",SUM('PF상환 민감도'!$D$5:$E$5)+'PF상환 민감도'!$F$5*30%,IF(LEFT(Z121,2)="입주",SUM('PF상환 민감도'!$D$5:$E$5)+'PF상환 민감도'!$F$5*80%,IF(LEFT(Y121,2)="입주",100%,IF(AA8&gt;손익!$P$9+90,1,0))))+IF(AA8&lt;손익!$P$9,IF($F$248&gt;0,IF(AA8&gt;=$F$248,20%),0),0)+IF(AA8&lt;손익!$P$9,IF($F$247&gt;0,IF(AA8&gt;=$F$247,10%),0),0)+IF(AA8&lt;손익!$P$9,IF(AA8&gt;=$F$246,50%,IF(AA8&gt;=$F$245,40%,IF(AA8&gt;=$F$244,30%,IF(AA8&gt;=$F$243,20%,10%)))),0))+$C$228*$E$236*(IF(LEFT(AA121,2)="입주",SUM('PF상환 민감도'!$D$6:$E$6)+'PF상환 민감도'!$F$6*30%,IF(LEFT(Z121,2)="입주",SUM('PF상환 민감도'!$D$6:$E$6)+'PF상환 민감도'!$F$6*80%,IF(LEFT(Y121,2)="입주",100%,IF(AA8&gt;손익!$P$9+90,1,0))))+IF(AA8&lt;손익!$P$9,IF($F$248&gt;0,IF(AA8&gt;=$F$248,20%),0),0)+IF(AA8&lt;손익!$P$9,IF($F$247&gt;0,IF(AA8&gt;=$F$247,10%),0),0)+IF(AA8&lt;손익!$P$9,IF(AA8&gt;=$F$246,50%,IF(AA8&gt;=$F$245,40%,IF(AA8&gt;=$F$244,30%,IF(AA8&gt;=$F$243,20%,10%)))),0)))-SUM($G$236:Z236),AA232)</f>
        <v>0</v>
      </c>
      <c r="AB236" s="643">
        <f ca="1">IF(SUM($G232:AB$232)&gt;($C$61*$E$236*(IF(LEFT(AB9,2)="입주",SUM('PF상환 민감도'!$D$3:$E$3)+'PF상환 민감도'!$F$3*30%,IF(LEFT(AA9,2)="입주",SUM('PF상환 민감도'!$D$3:$E$3)+'PF상환 민감도'!$F$3*80%,IF(LEFT(Z9,2)="입주",100%,IF(AB8&gt;손익!$P$9+90,1,0))))+IF(AB8&lt;손익!$P$9,IF($B$248&gt;0,IF(AB8&gt;=$B$248,20%),0),0)+IF(AB8&lt;손익!$P$9,IF($B$247&gt;0,IF(AB8&gt;=$B$247,10%),0),0)+IF(AB8&lt;손익!$P$9,IF(AB8&gt;=$B$246,50%,IF(AB8&gt;=$B$245,40%,IF(AB8&gt;=$B$244,30%,IF(AB8&gt;=$B$243,20%,10%)))),0))+$C$117*$E$236*(IF(LEFT(AB65,2)="입주",SUM('PF상환 민감도'!$D$4:$E$4)+'PF상환 민감도'!$F$4*30%,IF(LEFT(AA65,2)="입주",SUM('PF상환 민감도'!$D$4:$E$4)+'PF상환 민감도'!$F$4*80%,IF(LEFT(Z65,2)="입주",100%,IF(AB8&gt;손익!$P$9+90,1,0))))+IF(AB8&lt;손익!$P$9,IF($D$248&gt;0,IF(AB8&gt;=$D$248,20%),0),0)+IF(AB8&lt;손익!$P$9,IF($D$247&gt;0,IF(AB8&gt;=$D$247,10%),0),0)+IF(AB8&lt;손익!$P$9,IF(AB8&gt;=$D$246,50%,IF(AB8&gt;=$D$245,40%,IF(AB8&gt;=$D$244,30%,IF(AB8&gt;=$D$243,20%,10%)))),0))+$C$173*$E$236*(IF(LEFT(AB121,2)="입주",SUM('PF상환 민감도'!$D$5:$E$5)+'PF상환 민감도'!$F$5*30%,IF(LEFT(AA121,2)="입주",SUM('PF상환 민감도'!$D$5:$E$5)+'PF상환 민감도'!$F$5*80%,IF(LEFT(Z121,2)="입주",100%,IF(AB8&gt;손익!$P$9+90,1,0))))+IF(AB8&lt;손익!$P$9,IF($F$248&gt;0,IF(AB8&gt;=$F$248,20%),0),0)+IF(AB8&lt;손익!$P$9,IF($F$247&gt;0,IF(AB8&gt;=$F$247,10%),0),0)+IF(AB8&lt;손익!$P$9,IF(AB8&gt;=$F$246,50%,IF(AB8&gt;=$F$245,40%,IF(AB8&gt;=$F$244,30%,IF(AB8&gt;=$F$243,20%,10%)))),0))+$C$228*$E$236*(IF(LEFT(AB121,2)="입주",SUM('PF상환 민감도'!$D$6:$E$6)+'PF상환 민감도'!$F$6*30%,IF(LEFT(AA121,2)="입주",SUM('PF상환 민감도'!$D$6:$E$6)+'PF상환 민감도'!$F$6*80%,IF(LEFT(Z121,2)="입주",100%,IF(AB8&gt;손익!$P$9+90,1,0))))+IF(AB8&lt;손익!$P$9,IF($F$248&gt;0,IF(AB8&gt;=$F$248,20%),0),0)+IF(AB8&lt;손익!$P$9,IF($F$247&gt;0,IF(AB8&gt;=$F$247,10%),0),0)+IF(AB8&lt;손익!$P$9,IF(AB8&gt;=$F$246,50%,IF(AB8&gt;=$F$245,40%,IF(AB8&gt;=$F$244,30%,IF(AB8&gt;=$F$243,20%,10%)))),0))),($C$61*$E$236*(IF(LEFT(AB9,2)="입주",SUM('PF상환 민감도'!$D$3:$E$3)+'PF상환 민감도'!$F$3*30%,IF(LEFT(AA9,2)="입주",SUM('PF상환 민감도'!$D$3:$E$3)+'PF상환 민감도'!$F$3*80%,IF(LEFT(Z9,2)="입주",100%,IF(AB8&gt;손익!$P$9+90,1,0))))+IF(AB8&lt;손익!$P$9,IF($B$248&gt;0,IF(AB8&gt;=$B$248,20%),0),0)+IF(AB8&lt;손익!$P$9,IF($B$247&gt;0,IF(AB8&gt;=$B$247,10%),0),0)+IF(AB8&lt;손익!$P$9,IF(AB8&gt;=$B$246,50%,IF(AB8&gt;=$B$245,40%,IF(AB8&gt;=$B$244,30%,IF(AB8&gt;=$B$243,20%,10%)))),0))+$C$117*$E$236*(IF(LEFT(AB65,2)="입주",SUM('PF상환 민감도'!$D$4:$E$4)+'PF상환 민감도'!$F$4*30%,IF(LEFT(AA65,2)="입주",SUM('PF상환 민감도'!$D$4:$E$4)+'PF상환 민감도'!$F$4*80%,IF(LEFT(Z65,2)="입주",100%,IF(AB8&gt;손익!$P$9+90,1,0))))+IF(AB8&lt;손익!$P$9,IF($D$248&gt;0,IF(AB8&gt;=$D$248,20%),0),0)+IF(AB8&lt;손익!$P$9,IF($D$247&gt;0,IF(AB8&gt;=$D$247,10%),0),0)+IF(AB8&lt;손익!$P$9,IF(AB8&gt;=$D$246,50%,IF(AB8&gt;=$D$245,40%,IF(AB8&gt;=$D$244,30%,IF(AB8&gt;=$D$243,20%,10%)))),0))+$C$173*$E$236*(IF(LEFT(AB121,2)="입주",SUM('PF상환 민감도'!$D$5:$E$5)+'PF상환 민감도'!$F$5*30%,IF(LEFT(AA121,2)="입주",SUM('PF상환 민감도'!$D$5:$E$5)+'PF상환 민감도'!$F$5*80%,IF(LEFT(Z121,2)="입주",100%,IF(AB8&gt;손익!$P$9+90,1,0))))+IF(AB8&lt;손익!$P$9,IF($F$248&gt;0,IF(AB8&gt;=$F$248,20%),0),0)+IF(AB8&lt;손익!$P$9,IF($F$247&gt;0,IF(AB8&gt;=$F$247,10%),0),0)+IF(AB8&lt;손익!$P$9,IF(AB8&gt;=$F$246,50%,IF(AB8&gt;=$F$245,40%,IF(AB8&gt;=$F$244,30%,IF(AB8&gt;=$F$243,20%,10%)))),0))+$C$228*$E$236*(IF(LEFT(AB121,2)="입주",SUM('PF상환 민감도'!$D$6:$E$6)+'PF상환 민감도'!$F$6*30%,IF(LEFT(AA121,2)="입주",SUM('PF상환 민감도'!$D$6:$E$6)+'PF상환 민감도'!$F$6*80%,IF(LEFT(Z121,2)="입주",100%,IF(AB8&gt;손익!$P$9+90,1,0))))+IF(AB8&lt;손익!$P$9,IF($F$248&gt;0,IF(AB8&gt;=$F$248,20%),0),0)+IF(AB8&lt;손익!$P$9,IF($F$247&gt;0,IF(AB8&gt;=$F$247,10%),0),0)+IF(AB8&lt;손익!$P$9,IF(AB8&gt;=$F$246,50%,IF(AB8&gt;=$F$245,40%,IF(AB8&gt;=$F$244,30%,IF(AB8&gt;=$F$243,20%,10%)))),0)))-SUM($G$236:AA236),AB232)</f>
        <v>7586171.025146991</v>
      </c>
      <c r="AC236" s="643">
        <f ca="1">IF(SUM($G232:AC$232)&gt;($C$61*$E$236*(IF(LEFT(AC9,2)="입주",SUM('PF상환 민감도'!$D$3:$E$3)+'PF상환 민감도'!$F$3*30%,IF(LEFT(AB9,2)="입주",SUM('PF상환 민감도'!$D$3:$E$3)+'PF상환 민감도'!$F$3*80%,IF(LEFT(AA9,2)="입주",100%,IF(AC8&gt;손익!$P$9+90,1,0))))+IF(AC8&lt;손익!$P$9,IF($B$248&gt;0,IF(AC8&gt;=$B$248,20%),0),0)+IF(AC8&lt;손익!$P$9,IF($B$247&gt;0,IF(AC8&gt;=$B$247,10%),0),0)+IF(AC8&lt;손익!$P$9,IF(AC8&gt;=$B$246,50%,IF(AC8&gt;=$B$245,40%,IF(AC8&gt;=$B$244,30%,IF(AC8&gt;=$B$243,20%,10%)))),0))+$C$117*$E$236*(IF(LEFT(AC65,2)="입주",SUM('PF상환 민감도'!$D$4:$E$4)+'PF상환 민감도'!$F$4*30%,IF(LEFT(AB65,2)="입주",SUM('PF상환 민감도'!$D$4:$E$4)+'PF상환 민감도'!$F$4*80%,IF(LEFT(AA65,2)="입주",100%,IF(AC8&gt;손익!$P$9+90,1,0))))+IF(AC8&lt;손익!$P$9,IF($D$248&gt;0,IF(AC8&gt;=$D$248,20%),0),0)+IF(AC8&lt;손익!$P$9,IF($D$247&gt;0,IF(AC8&gt;=$D$247,10%),0),0)+IF(AC8&lt;손익!$P$9,IF(AC8&gt;=$D$246,50%,IF(AC8&gt;=$D$245,40%,IF(AC8&gt;=$D$244,30%,IF(AC8&gt;=$D$243,20%,10%)))),0))+$C$173*$E$236*(IF(LEFT(AC121,2)="입주",SUM('PF상환 민감도'!$D$5:$E$5)+'PF상환 민감도'!$F$5*30%,IF(LEFT(AB121,2)="입주",SUM('PF상환 민감도'!$D$5:$E$5)+'PF상환 민감도'!$F$5*80%,IF(LEFT(AA121,2)="입주",100%,IF(AC8&gt;손익!$P$9+90,1,0))))+IF(AC8&lt;손익!$P$9,IF($F$248&gt;0,IF(AC8&gt;=$F$248,20%),0),0)+IF(AC8&lt;손익!$P$9,IF($F$247&gt;0,IF(AC8&gt;=$F$247,10%),0),0)+IF(AC8&lt;손익!$P$9,IF(AC8&gt;=$F$246,50%,IF(AC8&gt;=$F$245,40%,IF(AC8&gt;=$F$244,30%,IF(AC8&gt;=$F$243,20%,10%)))),0))+$C$228*$E$236*(IF(LEFT(AC121,2)="입주",SUM('PF상환 민감도'!$D$6:$E$6)+'PF상환 민감도'!$F$6*30%,IF(LEFT(AB121,2)="입주",SUM('PF상환 민감도'!$D$6:$E$6)+'PF상환 민감도'!$F$6*80%,IF(LEFT(AA121,2)="입주",100%,IF(AC8&gt;손익!$P$9+90,1,0))))+IF(AC8&lt;손익!$P$9,IF($F$248&gt;0,IF(AC8&gt;=$F$248,20%),0),0)+IF(AC8&lt;손익!$P$9,IF($F$247&gt;0,IF(AC8&gt;=$F$247,10%),0),0)+IF(AC8&lt;손익!$P$9,IF(AC8&gt;=$F$246,50%,IF(AC8&gt;=$F$245,40%,IF(AC8&gt;=$F$244,30%,IF(AC8&gt;=$F$243,20%,10%)))),0))),($C$61*$E$236*(IF(LEFT(AC9,2)="입주",SUM('PF상환 민감도'!$D$3:$E$3)+'PF상환 민감도'!$F$3*30%,IF(LEFT(AB9,2)="입주",SUM('PF상환 민감도'!$D$3:$E$3)+'PF상환 민감도'!$F$3*80%,IF(LEFT(AA9,2)="입주",100%,IF(AC8&gt;손익!$P$9+90,1,0))))+IF(AC8&lt;손익!$P$9,IF($B$248&gt;0,IF(AC8&gt;=$B$248,20%),0),0)+IF(AC8&lt;손익!$P$9,IF($B$247&gt;0,IF(AC8&gt;=$B$247,10%),0),0)+IF(AC8&lt;손익!$P$9,IF(AC8&gt;=$B$246,50%,IF(AC8&gt;=$B$245,40%,IF(AC8&gt;=$B$244,30%,IF(AC8&gt;=$B$243,20%,10%)))),0))+$C$117*$E$236*(IF(LEFT(AC65,2)="입주",SUM('PF상환 민감도'!$D$4:$E$4)+'PF상환 민감도'!$F$4*30%,IF(LEFT(AB65,2)="입주",SUM('PF상환 민감도'!$D$4:$E$4)+'PF상환 민감도'!$F$4*80%,IF(LEFT(AA65,2)="입주",100%,IF(AC8&gt;손익!$P$9+90,1,0))))+IF(AC8&lt;손익!$P$9,IF($D$248&gt;0,IF(AC8&gt;=$D$248,20%),0),0)+IF(AC8&lt;손익!$P$9,IF($D$247&gt;0,IF(AC8&gt;=$D$247,10%),0),0)+IF(AC8&lt;손익!$P$9,IF(AC8&gt;=$D$246,50%,IF(AC8&gt;=$D$245,40%,IF(AC8&gt;=$D$244,30%,IF(AC8&gt;=$D$243,20%,10%)))),0))+$C$173*$E$236*(IF(LEFT(AC121,2)="입주",SUM('PF상환 민감도'!$D$5:$E$5)+'PF상환 민감도'!$F$5*30%,IF(LEFT(AB121,2)="입주",SUM('PF상환 민감도'!$D$5:$E$5)+'PF상환 민감도'!$F$5*80%,IF(LEFT(AA121,2)="입주",100%,IF(AC8&gt;손익!$P$9+90,1,0))))+IF(AC8&lt;손익!$P$9,IF($F$248&gt;0,IF(AC8&gt;=$F$248,20%),0),0)+IF(AC8&lt;손익!$P$9,IF($F$247&gt;0,IF(AC8&gt;=$F$247,10%),0),0)+IF(AC8&lt;손익!$P$9,IF(AC8&gt;=$F$246,50%,IF(AC8&gt;=$F$245,40%,IF(AC8&gt;=$F$244,30%,IF(AC8&gt;=$F$243,20%,10%)))),0))+$C$228*$E$236*(IF(LEFT(AC121,2)="입주",SUM('PF상환 민감도'!$D$6:$E$6)+'PF상환 민감도'!$F$6*30%,IF(LEFT(AB121,2)="입주",SUM('PF상환 민감도'!$D$6:$E$6)+'PF상환 민감도'!$F$6*80%,IF(LEFT(AA121,2)="입주",100%,IF(AC8&gt;손익!$P$9+90,1,0))))+IF(AC8&lt;손익!$P$9,IF($F$248&gt;0,IF(AC8&gt;=$F$248,20%),0),0)+IF(AC8&lt;손익!$P$9,IF($F$247&gt;0,IF(AC8&gt;=$F$247,10%),0),0)+IF(AC8&lt;손익!$P$9,IF(AC8&gt;=$F$246,50%,IF(AC8&gt;=$F$245,40%,IF(AC8&gt;=$F$244,30%,IF(AC8&gt;=$F$243,20%,10%)))),0)))-SUM($G$236:AB236),AC232)</f>
        <v>4739770.9492980018</v>
      </c>
      <c r="AD236" s="643">
        <f ca="1">IF(SUM($G232:AD$232)&gt;($C$61*$E$236*(IF(LEFT(AD9,2)="입주",SUM('PF상환 민감도'!$D$3:$E$3)+'PF상환 민감도'!$F$3*30%,IF(LEFT(AC9,2)="입주",SUM('PF상환 민감도'!$D$3:$E$3)+'PF상환 민감도'!$F$3*80%,IF(LEFT(AB9,2)="입주",100%,IF(AD8&gt;손익!$P$9+90,1,0))))+IF(AD8&lt;손익!$P$9,IF($B$248&gt;0,IF(AD8&gt;=$B$248,20%),0),0)+IF(AD8&lt;손익!$P$9,IF($B$247&gt;0,IF(AD8&gt;=$B$247,10%),0),0)+IF(AD8&lt;손익!$P$9,IF(AD8&gt;=$B$246,50%,IF(AD8&gt;=$B$245,40%,IF(AD8&gt;=$B$244,30%,IF(AD8&gt;=$B$243,20%,10%)))),0))+$C$117*$E$236*(IF(LEFT(AD65,2)="입주",SUM('PF상환 민감도'!$D$4:$E$4)+'PF상환 민감도'!$F$4*30%,IF(LEFT(AC65,2)="입주",SUM('PF상환 민감도'!$D$4:$E$4)+'PF상환 민감도'!$F$4*80%,IF(LEFT(AB65,2)="입주",100%,IF(AD8&gt;손익!$P$9+90,1,0))))+IF(AD8&lt;손익!$P$9,IF($D$248&gt;0,IF(AD8&gt;=$D$248,20%),0),0)+IF(AD8&lt;손익!$P$9,IF($D$247&gt;0,IF(AD8&gt;=$D$247,10%),0),0)+IF(AD8&lt;손익!$P$9,IF(AD8&gt;=$D$246,50%,IF(AD8&gt;=$D$245,40%,IF(AD8&gt;=$D$244,30%,IF(AD8&gt;=$D$243,20%,10%)))),0))+$C$173*$E$236*(IF(LEFT(AD121,2)="입주",SUM('PF상환 민감도'!$D$5:$E$5)+'PF상환 민감도'!$F$5*30%,IF(LEFT(AC121,2)="입주",SUM('PF상환 민감도'!$D$5:$E$5)+'PF상환 민감도'!$F$5*80%,IF(LEFT(AB121,2)="입주",100%,IF(AD8&gt;손익!$P$9+90,1,0))))+IF(AD8&lt;손익!$P$9,IF($F$248&gt;0,IF(AD8&gt;=$F$248,20%),0),0)+IF(AD8&lt;손익!$P$9,IF($F$247&gt;0,IF(AD8&gt;=$F$247,10%),0),0)+IF(AD8&lt;손익!$P$9,IF(AD8&gt;=$F$246,50%,IF(AD8&gt;=$F$245,40%,IF(AD8&gt;=$F$244,30%,IF(AD8&gt;=$F$243,20%,10%)))),0))+$C$228*$E$236*(IF(LEFT(AD121,2)="입주",SUM('PF상환 민감도'!$D$6:$E$6)+'PF상환 민감도'!$F$6*30%,IF(LEFT(AC121,2)="입주",SUM('PF상환 민감도'!$D$6:$E$6)+'PF상환 민감도'!$F$6*80%,IF(LEFT(AB121,2)="입주",100%,IF(AD8&gt;손익!$P$9+90,1,0))))+IF(AD8&lt;손익!$P$9,IF($F$248&gt;0,IF(AD8&gt;=$F$248,20%),0),0)+IF(AD8&lt;손익!$P$9,IF($F$247&gt;0,IF(AD8&gt;=$F$247,10%),0),0)+IF(AD8&lt;손익!$P$9,IF(AD8&gt;=$F$246,50%,IF(AD8&gt;=$F$245,40%,IF(AD8&gt;=$F$244,30%,IF(AD8&gt;=$F$243,20%,10%)))),0))),($C$61*$E$236*(IF(LEFT(AD9,2)="입주",SUM('PF상환 민감도'!$D$3:$E$3)+'PF상환 민감도'!$F$3*30%,IF(LEFT(AC9,2)="입주",SUM('PF상환 민감도'!$D$3:$E$3)+'PF상환 민감도'!$F$3*80%,IF(LEFT(AB9,2)="입주",100%,IF(AD8&gt;손익!$P$9+90,1,0))))+IF(AD8&lt;손익!$P$9,IF($B$248&gt;0,IF(AD8&gt;=$B$248,20%),0),0)+IF(AD8&lt;손익!$P$9,IF($B$247&gt;0,IF(AD8&gt;=$B$247,10%),0),0)+IF(AD8&lt;손익!$P$9,IF(AD8&gt;=$B$246,50%,IF(AD8&gt;=$B$245,40%,IF(AD8&gt;=$B$244,30%,IF(AD8&gt;=$B$243,20%,10%)))),0))+$C$117*$E$236*(IF(LEFT(AD65,2)="입주",SUM('PF상환 민감도'!$D$4:$E$4)+'PF상환 민감도'!$F$4*30%,IF(LEFT(AC65,2)="입주",SUM('PF상환 민감도'!$D$4:$E$4)+'PF상환 민감도'!$F$4*80%,IF(LEFT(AB65,2)="입주",100%,IF(AD8&gt;손익!$P$9+90,1,0))))+IF(AD8&lt;손익!$P$9,IF($D$248&gt;0,IF(AD8&gt;=$D$248,20%),0),0)+IF(AD8&lt;손익!$P$9,IF($D$247&gt;0,IF(AD8&gt;=$D$247,10%),0),0)+IF(AD8&lt;손익!$P$9,IF(AD8&gt;=$D$246,50%,IF(AD8&gt;=$D$245,40%,IF(AD8&gt;=$D$244,30%,IF(AD8&gt;=$D$243,20%,10%)))),0))+$C$173*$E$236*(IF(LEFT(AD121,2)="입주",SUM('PF상환 민감도'!$D$5:$E$5)+'PF상환 민감도'!$F$5*30%,IF(LEFT(AC121,2)="입주",SUM('PF상환 민감도'!$D$5:$E$5)+'PF상환 민감도'!$F$5*80%,IF(LEFT(AB121,2)="입주",100%,IF(AD8&gt;손익!$P$9+90,1,0))))+IF(AD8&lt;손익!$P$9,IF($F$248&gt;0,IF(AD8&gt;=$F$248,20%),0),0)+IF(AD8&lt;손익!$P$9,IF($F$247&gt;0,IF(AD8&gt;=$F$247,10%),0),0)+IF(AD8&lt;손익!$P$9,IF(AD8&gt;=$F$246,50%,IF(AD8&gt;=$F$245,40%,IF(AD8&gt;=$F$244,30%,IF(AD8&gt;=$F$243,20%,10%)))),0))+$C$228*$E$236*(IF(LEFT(AD121,2)="입주",SUM('PF상환 민감도'!$D$6:$E$6)+'PF상환 민감도'!$F$6*30%,IF(LEFT(AC121,2)="입주",SUM('PF상환 민감도'!$D$6:$E$6)+'PF상환 민감도'!$F$6*80%,IF(LEFT(AB121,2)="입주",100%,IF(AD8&gt;손익!$P$9+90,1,0))))+IF(AD8&lt;손익!$P$9,IF($F$248&gt;0,IF(AD8&gt;=$F$248,20%),0),0)+IF(AD8&lt;손익!$P$9,IF($F$247&gt;0,IF(AD8&gt;=$F$247,10%),0),0)+IF(AD8&lt;손익!$P$9,IF(AD8&gt;=$F$246,50%,IF(AD8&gt;=$F$245,40%,IF(AD8&gt;=$F$244,30%,IF(AD8&gt;=$F$243,20%,10%)))),0)))-SUM($G$236:AC236),AD232)</f>
        <v>0</v>
      </c>
      <c r="AE236" s="643">
        <f ca="1">IF(SUM($G232:AE$232)&gt;($C$61*$E$236*(IF(LEFT(AE9,2)="입주",SUM('PF상환 민감도'!$D$3:$E$3)+'PF상환 민감도'!$F$3*30%,IF(LEFT(AD9,2)="입주",SUM('PF상환 민감도'!$D$3:$E$3)+'PF상환 민감도'!$F$3*80%,IF(LEFT(AC9,2)="입주",100%,IF(AE8&gt;손익!$P$9+90,1,0))))+IF(AE8&lt;손익!$P$9,IF($B$248&gt;0,IF(AE8&gt;=$B$248,20%),0),0)+IF(AE8&lt;손익!$P$9,IF($B$247&gt;0,IF(AE8&gt;=$B$247,10%),0),0)+IF(AE8&lt;손익!$P$9,IF(AE8&gt;=$B$246,50%,IF(AE8&gt;=$B$245,40%,IF(AE8&gt;=$B$244,30%,IF(AE8&gt;=$B$243,20%,10%)))),0))+$C$117*$E$236*(IF(LEFT(AE65,2)="입주",SUM('PF상환 민감도'!$D$4:$E$4)+'PF상환 민감도'!$F$4*30%,IF(LEFT(AD65,2)="입주",SUM('PF상환 민감도'!$D$4:$E$4)+'PF상환 민감도'!$F$4*80%,IF(LEFT(AC65,2)="입주",100%,IF(AE8&gt;손익!$P$9+90,1,0))))+IF(AE8&lt;손익!$P$9,IF($D$248&gt;0,IF(AE8&gt;=$D$248,20%),0),0)+IF(AE8&lt;손익!$P$9,IF($D$247&gt;0,IF(AE8&gt;=$D$247,10%),0),0)+IF(AE8&lt;손익!$P$9,IF(AE8&gt;=$D$246,50%,IF(AE8&gt;=$D$245,40%,IF(AE8&gt;=$D$244,30%,IF(AE8&gt;=$D$243,20%,10%)))),0))+$C$173*$E$236*(IF(LEFT(AE121,2)="입주",SUM('PF상환 민감도'!$D$5:$E$5)+'PF상환 민감도'!$F$5*30%,IF(LEFT(AD121,2)="입주",SUM('PF상환 민감도'!$D$5:$E$5)+'PF상환 민감도'!$F$5*80%,IF(LEFT(AC121,2)="입주",100%,IF(AE8&gt;손익!$P$9+90,1,0))))+IF(AE8&lt;손익!$P$9,IF($F$248&gt;0,IF(AE8&gt;=$F$248,20%),0),0)+IF(AE8&lt;손익!$P$9,IF($F$247&gt;0,IF(AE8&gt;=$F$247,10%),0),0)+IF(AE8&lt;손익!$P$9,IF(AE8&gt;=$F$246,50%,IF(AE8&gt;=$F$245,40%,IF(AE8&gt;=$F$244,30%,IF(AE8&gt;=$F$243,20%,10%)))),0))+$C$228*$E$236*(IF(LEFT(AE121,2)="입주",SUM('PF상환 민감도'!$D$6:$E$6)+'PF상환 민감도'!$F$6*30%,IF(LEFT(AD121,2)="입주",SUM('PF상환 민감도'!$D$6:$E$6)+'PF상환 민감도'!$F$6*80%,IF(LEFT(AC121,2)="입주",100%,IF(AE8&gt;손익!$P$9+90,1,0))))+IF(AE8&lt;손익!$P$9,IF($F$248&gt;0,IF(AE8&gt;=$F$248,20%),0),0)+IF(AE8&lt;손익!$P$9,IF($F$247&gt;0,IF(AE8&gt;=$F$247,10%),0),0)+IF(AE8&lt;손익!$P$9,IF(AE8&gt;=$F$246,50%,IF(AE8&gt;=$F$245,40%,IF(AE8&gt;=$F$244,30%,IF(AE8&gt;=$F$243,20%,10%)))),0))),($C$61*$E$236*(IF(LEFT(AE9,2)="입주",SUM('PF상환 민감도'!$D$3:$E$3)+'PF상환 민감도'!$F$3*30%,IF(LEFT(AD9,2)="입주",SUM('PF상환 민감도'!$D$3:$E$3)+'PF상환 민감도'!$F$3*80%,IF(LEFT(AC9,2)="입주",100%,IF(AE8&gt;손익!$P$9+90,1,0))))+IF(AE8&lt;손익!$P$9,IF($B$248&gt;0,IF(AE8&gt;=$B$248,20%),0),0)+IF(AE8&lt;손익!$P$9,IF($B$247&gt;0,IF(AE8&gt;=$B$247,10%),0),0)+IF(AE8&lt;손익!$P$9,IF(AE8&gt;=$B$246,50%,IF(AE8&gt;=$B$245,40%,IF(AE8&gt;=$B$244,30%,IF(AE8&gt;=$B$243,20%,10%)))),0))+$C$117*$E$236*(IF(LEFT(AE65,2)="입주",SUM('PF상환 민감도'!$D$4:$E$4)+'PF상환 민감도'!$F$4*30%,IF(LEFT(AD65,2)="입주",SUM('PF상환 민감도'!$D$4:$E$4)+'PF상환 민감도'!$F$4*80%,IF(LEFT(AC65,2)="입주",100%,IF(AE8&gt;손익!$P$9+90,1,0))))+IF(AE8&lt;손익!$P$9,IF($D$248&gt;0,IF(AE8&gt;=$D$248,20%),0),0)+IF(AE8&lt;손익!$P$9,IF($D$247&gt;0,IF(AE8&gt;=$D$247,10%),0),0)+IF(AE8&lt;손익!$P$9,IF(AE8&gt;=$D$246,50%,IF(AE8&gt;=$D$245,40%,IF(AE8&gt;=$D$244,30%,IF(AE8&gt;=$D$243,20%,10%)))),0))+$C$173*$E$236*(IF(LEFT(AE121,2)="입주",SUM('PF상환 민감도'!$D$5:$E$5)+'PF상환 민감도'!$F$5*30%,IF(LEFT(AD121,2)="입주",SUM('PF상환 민감도'!$D$5:$E$5)+'PF상환 민감도'!$F$5*80%,IF(LEFT(AC121,2)="입주",100%,IF(AE8&gt;손익!$P$9+90,1,0))))+IF(AE8&lt;손익!$P$9,IF($F$248&gt;0,IF(AE8&gt;=$F$248,20%),0),0)+IF(AE8&lt;손익!$P$9,IF($F$247&gt;0,IF(AE8&gt;=$F$247,10%),0),0)+IF(AE8&lt;손익!$P$9,IF(AE8&gt;=$F$246,50%,IF(AE8&gt;=$F$245,40%,IF(AE8&gt;=$F$244,30%,IF(AE8&gt;=$F$243,20%,10%)))),0))+$C$228*$E$236*(IF(LEFT(AE121,2)="입주",SUM('PF상환 민감도'!$D$6:$E$6)+'PF상환 민감도'!$F$6*30%,IF(LEFT(AD121,2)="입주",SUM('PF상환 민감도'!$D$6:$E$6)+'PF상환 민감도'!$F$6*80%,IF(LEFT(AC121,2)="입주",100%,IF(AE8&gt;손익!$P$9+90,1,0))))+IF(AE8&lt;손익!$P$9,IF($F$248&gt;0,IF(AE8&gt;=$F$248,20%),0),0)+IF(AE8&lt;손익!$P$9,IF($F$247&gt;0,IF(AE8&gt;=$F$247,10%),0),0)+IF(AE8&lt;손익!$P$9,IF(AE8&gt;=$F$246,50%,IF(AE8&gt;=$F$245,40%,IF(AE8&gt;=$F$244,30%,IF(AE8&gt;=$F$243,20%,10%)))),0)))-SUM($G$236:AD236),AE232)</f>
        <v>638549.06445719302</v>
      </c>
      <c r="AF236" s="643">
        <f ca="1">IF(SUM($G232:AF$232)&gt;($C$61*$E$236*(IF(LEFT(AF9,2)="입주",SUM('PF상환 민감도'!$D$3:$E$3)+'PF상환 민감도'!$F$3*30%,IF(LEFT(AE9,2)="입주",SUM('PF상환 민감도'!$D$3:$E$3)+'PF상환 민감도'!$F$3*80%,IF(LEFT(AD9,2)="입주",100%,IF(AF8&gt;손익!$P$9+90,1,0))))+IF(AF8&lt;손익!$P$9,IF($B$248&gt;0,IF(AF8&gt;=$B$248,20%),0),0)+IF(AF8&lt;손익!$P$9,IF($B$247&gt;0,IF(AF8&gt;=$B$247,10%),0),0)+IF(AF8&lt;손익!$P$9,IF(AF8&gt;=$B$246,50%,IF(AF8&gt;=$B$245,40%,IF(AF8&gt;=$B$244,30%,IF(AF8&gt;=$B$243,20%,10%)))),0))+$C$117*$E$236*(IF(LEFT(AF65,2)="입주",SUM('PF상환 민감도'!$D$4:$E$4)+'PF상환 민감도'!$F$4*30%,IF(LEFT(AE65,2)="입주",SUM('PF상환 민감도'!$D$4:$E$4)+'PF상환 민감도'!$F$4*80%,IF(LEFT(AD65,2)="입주",100%,IF(AF8&gt;손익!$P$9+90,1,0))))+IF(AF8&lt;손익!$P$9,IF($D$248&gt;0,IF(AF8&gt;=$D$248,20%),0),0)+IF(AF8&lt;손익!$P$9,IF($D$247&gt;0,IF(AF8&gt;=$D$247,10%),0),0)+IF(AF8&lt;손익!$P$9,IF(AF8&gt;=$D$246,50%,IF(AF8&gt;=$D$245,40%,IF(AF8&gt;=$D$244,30%,IF(AF8&gt;=$D$243,20%,10%)))),0))+$C$173*$E$236*(IF(LEFT(AF121,2)="입주",SUM('PF상환 민감도'!$D$5:$E$5)+'PF상환 민감도'!$F$5*30%,IF(LEFT(AE121,2)="입주",SUM('PF상환 민감도'!$D$5:$E$5)+'PF상환 민감도'!$F$5*80%,IF(LEFT(AD121,2)="입주",100%,IF(AF8&gt;손익!$P$9+90,1,0))))+IF(AF8&lt;손익!$P$9,IF($F$248&gt;0,IF(AF8&gt;=$F$248,20%),0),0)+IF(AF8&lt;손익!$P$9,IF($F$247&gt;0,IF(AF8&gt;=$F$247,10%),0),0)+IF(AF8&lt;손익!$P$9,IF(AF8&gt;=$F$246,50%,IF(AF8&gt;=$F$245,40%,IF(AF8&gt;=$F$244,30%,IF(AF8&gt;=$F$243,20%,10%)))),0))+$C$228*$E$236*(IF(LEFT(AF121,2)="입주",SUM('PF상환 민감도'!$D$6:$E$6)+'PF상환 민감도'!$F$6*30%,IF(LEFT(AE121,2)="입주",SUM('PF상환 민감도'!$D$6:$E$6)+'PF상환 민감도'!$F$6*80%,IF(LEFT(AD121,2)="입주",100%,IF(AF8&gt;손익!$P$9+90,1,0))))+IF(AF8&lt;손익!$P$9,IF($F$248&gt;0,IF(AF8&gt;=$F$248,20%),0),0)+IF(AF8&lt;손익!$P$9,IF($F$247&gt;0,IF(AF8&gt;=$F$247,10%),0),0)+IF(AF8&lt;손익!$P$9,IF(AF8&gt;=$F$246,50%,IF(AF8&gt;=$F$245,40%,IF(AF8&gt;=$F$244,30%,IF(AF8&gt;=$F$243,20%,10%)))),0))),($C$61*$E$236*(IF(LEFT(AF9,2)="입주",SUM('PF상환 민감도'!$D$3:$E$3)+'PF상환 민감도'!$F$3*30%,IF(LEFT(AE9,2)="입주",SUM('PF상환 민감도'!$D$3:$E$3)+'PF상환 민감도'!$F$3*80%,IF(LEFT(AD9,2)="입주",100%,IF(AF8&gt;손익!$P$9+90,1,0))))+IF(AF8&lt;손익!$P$9,IF($B$248&gt;0,IF(AF8&gt;=$B$248,20%),0),0)+IF(AF8&lt;손익!$P$9,IF($B$247&gt;0,IF(AF8&gt;=$B$247,10%),0),0)+IF(AF8&lt;손익!$P$9,IF(AF8&gt;=$B$246,50%,IF(AF8&gt;=$B$245,40%,IF(AF8&gt;=$B$244,30%,IF(AF8&gt;=$B$243,20%,10%)))),0))+$C$117*$E$236*(IF(LEFT(AF65,2)="입주",SUM('PF상환 민감도'!$D$4:$E$4)+'PF상환 민감도'!$F$4*30%,IF(LEFT(AE65,2)="입주",SUM('PF상환 민감도'!$D$4:$E$4)+'PF상환 민감도'!$F$4*80%,IF(LEFT(AD65,2)="입주",100%,IF(AF8&gt;손익!$P$9+90,1,0))))+IF(AF8&lt;손익!$P$9,IF($D$248&gt;0,IF(AF8&gt;=$D$248,20%),0),0)+IF(AF8&lt;손익!$P$9,IF($D$247&gt;0,IF(AF8&gt;=$D$247,10%),0),0)+IF(AF8&lt;손익!$P$9,IF(AF8&gt;=$D$246,50%,IF(AF8&gt;=$D$245,40%,IF(AF8&gt;=$D$244,30%,IF(AF8&gt;=$D$243,20%,10%)))),0))+$C$173*$E$236*(IF(LEFT(AF121,2)="입주",SUM('PF상환 민감도'!$D$5:$E$5)+'PF상환 민감도'!$F$5*30%,IF(LEFT(AE121,2)="입주",SUM('PF상환 민감도'!$D$5:$E$5)+'PF상환 민감도'!$F$5*80%,IF(LEFT(AD121,2)="입주",100%,IF(AF8&gt;손익!$P$9+90,1,0))))+IF(AF8&lt;손익!$P$9,IF($F$248&gt;0,IF(AF8&gt;=$F$248,20%),0),0)+IF(AF8&lt;손익!$P$9,IF($F$247&gt;0,IF(AF8&gt;=$F$247,10%),0),0)+IF(AF8&lt;손익!$P$9,IF(AF8&gt;=$F$246,50%,IF(AF8&gt;=$F$245,40%,IF(AF8&gt;=$F$244,30%,IF(AF8&gt;=$F$243,20%,10%)))),0))+$C$228*$E$236*(IF(LEFT(AF121,2)="입주",SUM('PF상환 민감도'!$D$6:$E$6)+'PF상환 민감도'!$F$6*30%,IF(LEFT(AE121,2)="입주",SUM('PF상환 민감도'!$D$6:$E$6)+'PF상환 민감도'!$F$6*80%,IF(LEFT(AD121,2)="입주",100%,IF(AF8&gt;손익!$P$9+90,1,0))))+IF(AF8&lt;손익!$P$9,IF($F$248&gt;0,IF(AF8&gt;=$F$248,20%),0),0)+IF(AF8&lt;손익!$P$9,IF($F$247&gt;0,IF(AF8&gt;=$F$247,10%),0),0)+IF(AF8&lt;손익!$P$9,IF(AF8&gt;=$F$246,50%,IF(AF8&gt;=$F$245,40%,IF(AF8&gt;=$F$244,30%,IF(AF8&gt;=$F$243,20%,10%)))),0)))-SUM($G$236:AE236),AF232)</f>
        <v>0</v>
      </c>
      <c r="AG236" s="643">
        <f ca="1">IF(SUM($G232:AG$232)&gt;($C$61*$E$236*(IF(LEFT(AG9,2)="입주",SUM('PF상환 민감도'!$D$3:$E$3)+'PF상환 민감도'!$F$3*30%,IF(LEFT(AF9,2)="입주",SUM('PF상환 민감도'!$D$3:$E$3)+'PF상환 민감도'!$F$3*80%,IF(LEFT(AE9,2)="입주",100%,IF(AG8&gt;손익!$P$9+90,1,0))))+IF(AG8&lt;손익!$P$9,IF($B$248&gt;0,IF(AG8&gt;=$B$248,20%),0),0)+IF(AG8&lt;손익!$P$9,IF($B$247&gt;0,IF(AG8&gt;=$B$247,10%),0),0)+IF(AG8&lt;손익!$P$9,IF(AG8&gt;=$B$246,50%,IF(AG8&gt;=$B$245,40%,IF(AG8&gt;=$B$244,30%,IF(AG8&gt;=$B$243,20%,10%)))),0))+$C$117*$E$236*(IF(LEFT(AG65,2)="입주",SUM('PF상환 민감도'!$D$4:$E$4)+'PF상환 민감도'!$F$4*30%,IF(LEFT(AF65,2)="입주",SUM('PF상환 민감도'!$D$4:$E$4)+'PF상환 민감도'!$F$4*80%,IF(LEFT(AE65,2)="입주",100%,IF(AG8&gt;손익!$P$9+90,1,0))))+IF(AG8&lt;손익!$P$9,IF($D$248&gt;0,IF(AG8&gt;=$D$248,20%),0),0)+IF(AG8&lt;손익!$P$9,IF($D$247&gt;0,IF(AG8&gt;=$D$247,10%),0),0)+IF(AG8&lt;손익!$P$9,IF(AG8&gt;=$D$246,50%,IF(AG8&gt;=$D$245,40%,IF(AG8&gt;=$D$244,30%,IF(AG8&gt;=$D$243,20%,10%)))),0))+$C$173*$E$236*(IF(LEFT(AG121,2)="입주",SUM('PF상환 민감도'!$D$5:$E$5)+'PF상환 민감도'!$F$5*30%,IF(LEFT(AF121,2)="입주",SUM('PF상환 민감도'!$D$5:$E$5)+'PF상환 민감도'!$F$5*80%,IF(LEFT(AE121,2)="입주",100%,IF(AG8&gt;손익!$P$9+90,1,0))))+IF(AG8&lt;손익!$P$9,IF($F$248&gt;0,IF(AG8&gt;=$F$248,20%),0),0)+IF(AG8&lt;손익!$P$9,IF($F$247&gt;0,IF(AG8&gt;=$F$247,10%),0),0)+IF(AG8&lt;손익!$P$9,IF(AG8&gt;=$F$246,50%,IF(AG8&gt;=$F$245,40%,IF(AG8&gt;=$F$244,30%,IF(AG8&gt;=$F$243,20%,10%)))),0))+$C$228*$E$236*(IF(LEFT(AG121,2)="입주",SUM('PF상환 민감도'!$D$6:$E$6)+'PF상환 민감도'!$F$6*30%,IF(LEFT(AF121,2)="입주",SUM('PF상환 민감도'!$D$6:$E$6)+'PF상환 민감도'!$F$6*80%,IF(LEFT(AE121,2)="입주",100%,IF(AG8&gt;손익!$P$9+90,1,0))))+IF(AG8&lt;손익!$P$9,IF($F$248&gt;0,IF(AG8&gt;=$F$248,20%),0),0)+IF(AG8&lt;손익!$P$9,IF($F$247&gt;0,IF(AG8&gt;=$F$247,10%),0),0)+IF(AG8&lt;손익!$P$9,IF(AG8&gt;=$F$246,50%,IF(AG8&gt;=$F$245,40%,IF(AG8&gt;=$F$244,30%,IF(AG8&gt;=$F$243,20%,10%)))),0))),($C$61*$E$236*(IF(LEFT(AG9,2)="입주",SUM('PF상환 민감도'!$D$3:$E$3)+'PF상환 민감도'!$F$3*30%,IF(LEFT(AF9,2)="입주",SUM('PF상환 민감도'!$D$3:$E$3)+'PF상환 민감도'!$F$3*80%,IF(LEFT(AE9,2)="입주",100%,IF(AG8&gt;손익!$P$9+90,1,0))))+IF(AG8&lt;손익!$P$9,IF($B$248&gt;0,IF(AG8&gt;=$B$248,20%),0),0)+IF(AG8&lt;손익!$P$9,IF($B$247&gt;0,IF(AG8&gt;=$B$247,10%),0),0)+IF(AG8&lt;손익!$P$9,IF(AG8&gt;=$B$246,50%,IF(AG8&gt;=$B$245,40%,IF(AG8&gt;=$B$244,30%,IF(AG8&gt;=$B$243,20%,10%)))),0))+$C$117*$E$236*(IF(LEFT(AG65,2)="입주",SUM('PF상환 민감도'!$D$4:$E$4)+'PF상환 민감도'!$F$4*30%,IF(LEFT(AF65,2)="입주",SUM('PF상환 민감도'!$D$4:$E$4)+'PF상환 민감도'!$F$4*80%,IF(LEFT(AE65,2)="입주",100%,IF(AG8&gt;손익!$P$9+90,1,0))))+IF(AG8&lt;손익!$P$9,IF($D$248&gt;0,IF(AG8&gt;=$D$248,20%),0),0)+IF(AG8&lt;손익!$P$9,IF($D$247&gt;0,IF(AG8&gt;=$D$247,10%),0),0)+IF(AG8&lt;손익!$P$9,IF(AG8&gt;=$D$246,50%,IF(AG8&gt;=$D$245,40%,IF(AG8&gt;=$D$244,30%,IF(AG8&gt;=$D$243,20%,10%)))),0))+$C$173*$E$236*(IF(LEFT(AG121,2)="입주",SUM('PF상환 민감도'!$D$5:$E$5)+'PF상환 민감도'!$F$5*30%,IF(LEFT(AF121,2)="입주",SUM('PF상환 민감도'!$D$5:$E$5)+'PF상환 민감도'!$F$5*80%,IF(LEFT(AE121,2)="입주",100%,IF(AG8&gt;손익!$P$9+90,1,0))))+IF(AG8&lt;손익!$P$9,IF($F$248&gt;0,IF(AG8&gt;=$F$248,20%),0),0)+IF(AG8&lt;손익!$P$9,IF($F$247&gt;0,IF(AG8&gt;=$F$247,10%),0),0)+IF(AG8&lt;손익!$P$9,IF(AG8&gt;=$F$246,50%,IF(AG8&gt;=$F$245,40%,IF(AG8&gt;=$F$244,30%,IF(AG8&gt;=$F$243,20%,10%)))),0))+$C$228*$E$236*(IF(LEFT(AG121,2)="입주",SUM('PF상환 민감도'!$D$6:$E$6)+'PF상환 민감도'!$F$6*30%,IF(LEFT(AF121,2)="입주",SUM('PF상환 민감도'!$D$6:$E$6)+'PF상환 민감도'!$F$6*80%,IF(LEFT(AE121,2)="입주",100%,IF(AG8&gt;손익!$P$9+90,1,0))))+IF(AG8&lt;손익!$P$9,IF($F$248&gt;0,IF(AG8&gt;=$F$248,20%),0),0)+IF(AG8&lt;손익!$P$9,IF($F$247&gt;0,IF(AG8&gt;=$F$247,10%),0),0)+IF(AG8&lt;손익!$P$9,IF(AG8&gt;=$F$246,50%,IF(AG8&gt;=$F$245,40%,IF(AG8&gt;=$F$244,30%,IF(AG8&gt;=$F$243,20%,10%)))),0)))-SUM($G$236:AF236),AG232)</f>
        <v>7586171.025146991</v>
      </c>
      <c r="AH236" s="643">
        <f ca="1">IF(SUM($G232:AH$232)&gt;($C$61*$E$236*(IF(LEFT(AH9,2)="입주",SUM('PF상환 민감도'!$D$3:$E$3)+'PF상환 민감도'!$F$3*30%,IF(LEFT(AG9,2)="입주",SUM('PF상환 민감도'!$D$3:$E$3)+'PF상환 민감도'!$F$3*80%,IF(LEFT(AF9,2)="입주",100%,IF(AH8&gt;손익!$P$9+90,1,0))))+IF(AH8&lt;손익!$P$9,IF($B$248&gt;0,IF(AH8&gt;=$B$248,20%),0),0)+IF(AH8&lt;손익!$P$9,IF($B$247&gt;0,IF(AH8&gt;=$B$247,10%),0),0)+IF(AH8&lt;손익!$P$9,IF(AH8&gt;=$B$246,50%,IF(AH8&gt;=$B$245,40%,IF(AH8&gt;=$B$244,30%,IF(AH8&gt;=$B$243,20%,10%)))),0))+$C$117*$E$236*(IF(LEFT(AH65,2)="입주",SUM('PF상환 민감도'!$D$4:$E$4)+'PF상환 민감도'!$F$4*30%,IF(LEFT(AG65,2)="입주",SUM('PF상환 민감도'!$D$4:$E$4)+'PF상환 민감도'!$F$4*80%,IF(LEFT(AF65,2)="입주",100%,IF(AH8&gt;손익!$P$9+90,1,0))))+IF(AH8&lt;손익!$P$9,IF($D$248&gt;0,IF(AH8&gt;=$D$248,20%),0),0)+IF(AH8&lt;손익!$P$9,IF($D$247&gt;0,IF(AH8&gt;=$D$247,10%),0),0)+IF(AH8&lt;손익!$P$9,IF(AH8&gt;=$D$246,50%,IF(AH8&gt;=$D$245,40%,IF(AH8&gt;=$D$244,30%,IF(AH8&gt;=$D$243,20%,10%)))),0))+$C$173*$E$236*(IF(LEFT(AH121,2)="입주",SUM('PF상환 민감도'!$D$5:$E$5)+'PF상환 민감도'!$F$5*30%,IF(LEFT(AG121,2)="입주",SUM('PF상환 민감도'!$D$5:$E$5)+'PF상환 민감도'!$F$5*80%,IF(LEFT(AF121,2)="입주",100%,IF(AH8&gt;손익!$P$9+90,1,0))))+IF(AH8&lt;손익!$P$9,IF($F$248&gt;0,IF(AH8&gt;=$F$248,20%),0),0)+IF(AH8&lt;손익!$P$9,IF($F$247&gt;0,IF(AH8&gt;=$F$247,10%),0),0)+IF(AH8&lt;손익!$P$9,IF(AH8&gt;=$F$246,50%,IF(AH8&gt;=$F$245,40%,IF(AH8&gt;=$F$244,30%,IF(AH8&gt;=$F$243,20%,10%)))),0))+$C$228*$E$236*(IF(LEFT(AH121,2)="입주",SUM('PF상환 민감도'!$D$6:$E$6)+'PF상환 민감도'!$F$6*30%,IF(LEFT(AG121,2)="입주",SUM('PF상환 민감도'!$D$6:$E$6)+'PF상환 민감도'!$F$6*80%,IF(LEFT(AF121,2)="입주",100%,IF(AH8&gt;손익!$P$9+90,1,0))))+IF(AH8&lt;손익!$P$9,IF($F$248&gt;0,IF(AH8&gt;=$F$248,20%),0),0)+IF(AH8&lt;손익!$P$9,IF($F$247&gt;0,IF(AH8&gt;=$F$247,10%),0),0)+IF(AH8&lt;손익!$P$9,IF(AH8&gt;=$F$246,50%,IF(AH8&gt;=$F$245,40%,IF(AH8&gt;=$F$244,30%,IF(AH8&gt;=$F$243,20%,10%)))),0))),($C$61*$E$236*(IF(LEFT(AH9,2)="입주",SUM('PF상환 민감도'!$D$3:$E$3)+'PF상환 민감도'!$F$3*30%,IF(LEFT(AG9,2)="입주",SUM('PF상환 민감도'!$D$3:$E$3)+'PF상환 민감도'!$F$3*80%,IF(LEFT(AF9,2)="입주",100%,IF(AH8&gt;손익!$P$9+90,1,0))))+IF(AH8&lt;손익!$P$9,IF($B$248&gt;0,IF(AH8&gt;=$B$248,20%),0),0)+IF(AH8&lt;손익!$P$9,IF($B$247&gt;0,IF(AH8&gt;=$B$247,10%),0),0)+IF(AH8&lt;손익!$P$9,IF(AH8&gt;=$B$246,50%,IF(AH8&gt;=$B$245,40%,IF(AH8&gt;=$B$244,30%,IF(AH8&gt;=$B$243,20%,10%)))),0))+$C$117*$E$236*(IF(LEFT(AH65,2)="입주",SUM('PF상환 민감도'!$D$4:$E$4)+'PF상환 민감도'!$F$4*30%,IF(LEFT(AG65,2)="입주",SUM('PF상환 민감도'!$D$4:$E$4)+'PF상환 민감도'!$F$4*80%,IF(LEFT(AF65,2)="입주",100%,IF(AH8&gt;손익!$P$9+90,1,0))))+IF(AH8&lt;손익!$P$9,IF($D$248&gt;0,IF(AH8&gt;=$D$248,20%),0),0)+IF(AH8&lt;손익!$P$9,IF($D$247&gt;0,IF(AH8&gt;=$D$247,10%),0),0)+IF(AH8&lt;손익!$P$9,IF(AH8&gt;=$D$246,50%,IF(AH8&gt;=$D$245,40%,IF(AH8&gt;=$D$244,30%,IF(AH8&gt;=$D$243,20%,10%)))),0))+$C$173*$E$236*(IF(LEFT(AH121,2)="입주",SUM('PF상환 민감도'!$D$5:$E$5)+'PF상환 민감도'!$F$5*30%,IF(LEFT(AG121,2)="입주",SUM('PF상환 민감도'!$D$5:$E$5)+'PF상환 민감도'!$F$5*80%,IF(LEFT(AF121,2)="입주",100%,IF(AH8&gt;손익!$P$9+90,1,0))))+IF(AH8&lt;손익!$P$9,IF($F$248&gt;0,IF(AH8&gt;=$F$248,20%),0),0)+IF(AH8&lt;손익!$P$9,IF($F$247&gt;0,IF(AH8&gt;=$F$247,10%),0),0)+IF(AH8&lt;손익!$P$9,IF(AH8&gt;=$F$246,50%,IF(AH8&gt;=$F$245,40%,IF(AH8&gt;=$F$244,30%,IF(AH8&gt;=$F$243,20%,10%)))),0))+$C$228*$E$236*(IF(LEFT(AH121,2)="입주",SUM('PF상환 민감도'!$D$6:$E$6)+'PF상환 민감도'!$F$6*30%,IF(LEFT(AG121,2)="입주",SUM('PF상환 민감도'!$D$6:$E$6)+'PF상환 민감도'!$F$6*80%,IF(LEFT(AF121,2)="입주",100%,IF(AH8&gt;손익!$P$9+90,1,0))))+IF(AH8&lt;손익!$P$9,IF($F$248&gt;0,IF(AH8&gt;=$F$248,20%),0),0)+IF(AH8&lt;손익!$P$9,IF($F$247&gt;0,IF(AH8&gt;=$F$247,10%),0),0)+IF(AH8&lt;손익!$P$9,IF(AH8&gt;=$F$246,50%,IF(AH8&gt;=$F$245,40%,IF(AH8&gt;=$F$244,30%,IF(AH8&gt;=$F$243,20%,10%)))),0)))-SUM($G$236:AG236),AH232)</f>
        <v>4739770.9492979944</v>
      </c>
      <c r="AI236" s="643">
        <f ca="1">IF(SUM($G232:AI$232)&gt;($C$61*$E$236*(IF(LEFT(AI9,2)="입주",SUM('PF상환 민감도'!$D$3:$E$3)+'PF상환 민감도'!$F$3*30%,IF(LEFT(AH9,2)="입주",SUM('PF상환 민감도'!$D$3:$E$3)+'PF상환 민감도'!$F$3*80%,IF(LEFT(AG9,2)="입주",100%,IF(AI8&gt;손익!$P$9+90,1,0))))+IF(AI8&lt;손익!$P$9,IF($B$248&gt;0,IF(AI8&gt;=$B$248,20%),0),0)+IF(AI8&lt;손익!$P$9,IF($B$247&gt;0,IF(AI8&gt;=$B$247,10%),0),0)+IF(AI8&lt;손익!$P$9,IF(AI8&gt;=$B$246,50%,IF(AI8&gt;=$B$245,40%,IF(AI8&gt;=$B$244,30%,IF(AI8&gt;=$B$243,20%,10%)))),0))+$C$117*$E$236*(IF(LEFT(AI65,2)="입주",SUM('PF상환 민감도'!$D$4:$E$4)+'PF상환 민감도'!$F$4*30%,IF(LEFT(AH65,2)="입주",SUM('PF상환 민감도'!$D$4:$E$4)+'PF상환 민감도'!$F$4*80%,IF(LEFT(AG65,2)="입주",100%,IF(AI8&gt;손익!$P$9+90,1,0))))+IF(AI8&lt;손익!$P$9,IF($D$248&gt;0,IF(AI8&gt;=$D$248,20%),0),0)+IF(AI8&lt;손익!$P$9,IF($D$247&gt;0,IF(AI8&gt;=$D$247,10%),0),0)+IF(AI8&lt;손익!$P$9,IF(AI8&gt;=$D$246,50%,IF(AI8&gt;=$D$245,40%,IF(AI8&gt;=$D$244,30%,IF(AI8&gt;=$D$243,20%,10%)))),0))+$C$173*$E$236*(IF(LEFT(AI121,2)="입주",SUM('PF상환 민감도'!$D$5:$E$5)+'PF상환 민감도'!$F$5*30%,IF(LEFT(AH121,2)="입주",SUM('PF상환 민감도'!$D$5:$E$5)+'PF상환 민감도'!$F$5*80%,IF(LEFT(AG121,2)="입주",100%,IF(AI8&gt;손익!$P$9+90,1,0))))+IF(AI8&lt;손익!$P$9,IF($F$248&gt;0,IF(AI8&gt;=$F$248,20%),0),0)+IF(AI8&lt;손익!$P$9,IF($F$247&gt;0,IF(AI8&gt;=$F$247,10%),0),0)+IF(AI8&lt;손익!$P$9,IF(AI8&gt;=$F$246,50%,IF(AI8&gt;=$F$245,40%,IF(AI8&gt;=$F$244,30%,IF(AI8&gt;=$F$243,20%,10%)))),0))+$C$228*$E$236*(IF(LEFT(AI121,2)="입주",SUM('PF상환 민감도'!$D$6:$E$6)+'PF상환 민감도'!$F$6*30%,IF(LEFT(AH121,2)="입주",SUM('PF상환 민감도'!$D$6:$E$6)+'PF상환 민감도'!$F$6*80%,IF(LEFT(AG121,2)="입주",100%,IF(AI8&gt;손익!$P$9+90,1,0))))+IF(AI8&lt;손익!$P$9,IF($F$248&gt;0,IF(AI8&gt;=$F$248,20%),0),0)+IF(AI8&lt;손익!$P$9,IF($F$247&gt;0,IF(AI8&gt;=$F$247,10%),0),0)+IF(AI8&lt;손익!$P$9,IF(AI8&gt;=$F$246,50%,IF(AI8&gt;=$F$245,40%,IF(AI8&gt;=$F$244,30%,IF(AI8&gt;=$F$243,20%,10%)))),0))),($C$61*$E$236*(IF(LEFT(AI9,2)="입주",SUM('PF상환 민감도'!$D$3:$E$3)+'PF상환 민감도'!$F$3*30%,IF(LEFT(AH9,2)="입주",SUM('PF상환 민감도'!$D$3:$E$3)+'PF상환 민감도'!$F$3*80%,IF(LEFT(AG9,2)="입주",100%,IF(AI8&gt;손익!$P$9+90,1,0))))+IF(AI8&lt;손익!$P$9,IF($B$248&gt;0,IF(AI8&gt;=$B$248,20%),0),0)+IF(AI8&lt;손익!$P$9,IF($B$247&gt;0,IF(AI8&gt;=$B$247,10%),0),0)+IF(AI8&lt;손익!$P$9,IF(AI8&gt;=$B$246,50%,IF(AI8&gt;=$B$245,40%,IF(AI8&gt;=$B$244,30%,IF(AI8&gt;=$B$243,20%,10%)))),0))+$C$117*$E$236*(IF(LEFT(AI65,2)="입주",SUM('PF상환 민감도'!$D$4:$E$4)+'PF상환 민감도'!$F$4*30%,IF(LEFT(AH65,2)="입주",SUM('PF상환 민감도'!$D$4:$E$4)+'PF상환 민감도'!$F$4*80%,IF(LEFT(AG65,2)="입주",100%,IF(AI8&gt;손익!$P$9+90,1,0))))+IF(AI8&lt;손익!$P$9,IF($D$248&gt;0,IF(AI8&gt;=$D$248,20%),0),0)+IF(AI8&lt;손익!$P$9,IF($D$247&gt;0,IF(AI8&gt;=$D$247,10%),0),0)+IF(AI8&lt;손익!$P$9,IF(AI8&gt;=$D$246,50%,IF(AI8&gt;=$D$245,40%,IF(AI8&gt;=$D$244,30%,IF(AI8&gt;=$D$243,20%,10%)))),0))+$C$173*$E$236*(IF(LEFT(AI121,2)="입주",SUM('PF상환 민감도'!$D$5:$E$5)+'PF상환 민감도'!$F$5*30%,IF(LEFT(AH121,2)="입주",SUM('PF상환 민감도'!$D$5:$E$5)+'PF상환 민감도'!$F$5*80%,IF(LEFT(AG121,2)="입주",100%,IF(AI8&gt;손익!$P$9+90,1,0))))+IF(AI8&lt;손익!$P$9,IF($F$248&gt;0,IF(AI8&gt;=$F$248,20%),0),0)+IF(AI8&lt;손익!$P$9,IF($F$247&gt;0,IF(AI8&gt;=$F$247,10%),0),0)+IF(AI8&lt;손익!$P$9,IF(AI8&gt;=$F$246,50%,IF(AI8&gt;=$F$245,40%,IF(AI8&gt;=$F$244,30%,IF(AI8&gt;=$F$243,20%,10%)))),0))+$C$228*$E$236*(IF(LEFT(AI121,2)="입주",SUM('PF상환 민감도'!$D$6:$E$6)+'PF상환 민감도'!$F$6*30%,IF(LEFT(AH121,2)="입주",SUM('PF상환 민감도'!$D$6:$E$6)+'PF상환 민감도'!$F$6*80%,IF(LEFT(AG121,2)="입주",100%,IF(AI8&gt;손익!$P$9+90,1,0))))+IF(AI8&lt;손익!$P$9,IF($F$248&gt;0,IF(AI8&gt;=$F$248,20%),0),0)+IF(AI8&lt;손익!$P$9,IF($F$247&gt;0,IF(AI8&gt;=$F$247,10%),0),0)+IF(AI8&lt;손익!$P$9,IF(AI8&gt;=$F$246,50%,IF(AI8&gt;=$F$245,40%,IF(AI8&gt;=$F$244,30%,IF(AI8&gt;=$F$243,20%,10%)))),0)))-SUM($G$236:AH236),AI232)</f>
        <v>0</v>
      </c>
      <c r="AJ236" s="643">
        <f ca="1">IF(SUM($G232:AJ$232)&gt;($C$61*$E$236*(IF(LEFT(AJ9,2)="입주",SUM('PF상환 민감도'!$D$3:$E$3)+'PF상환 민감도'!$F$3*30%,IF(LEFT(AI9,2)="입주",SUM('PF상환 민감도'!$D$3:$E$3)+'PF상환 민감도'!$F$3*80%,IF(LEFT(AH9,2)="입주",100%,IF(AJ8&gt;손익!$P$9+90,1,0))))+IF(AJ8&lt;손익!$P$9,IF($B$248&gt;0,IF(AJ8&gt;=$B$248,20%),0),0)+IF(AJ8&lt;손익!$P$9,IF($B$247&gt;0,IF(AJ8&gt;=$B$247,10%),0),0)+IF(AJ8&lt;손익!$P$9,IF(AJ8&gt;=$B$246,50%,IF(AJ8&gt;=$B$245,40%,IF(AJ8&gt;=$B$244,30%,IF(AJ8&gt;=$B$243,20%,10%)))),0))+$C$117*$E$236*(IF(LEFT(AJ65,2)="입주",SUM('PF상환 민감도'!$D$4:$E$4)+'PF상환 민감도'!$F$4*30%,IF(LEFT(AI65,2)="입주",SUM('PF상환 민감도'!$D$4:$E$4)+'PF상환 민감도'!$F$4*80%,IF(LEFT(AH65,2)="입주",100%,IF(AJ8&gt;손익!$P$9+90,1,0))))+IF(AJ8&lt;손익!$P$9,IF($D$248&gt;0,IF(AJ8&gt;=$D$248,20%),0),0)+IF(AJ8&lt;손익!$P$9,IF($D$247&gt;0,IF(AJ8&gt;=$D$247,10%),0),0)+IF(AJ8&lt;손익!$P$9,IF(AJ8&gt;=$D$246,50%,IF(AJ8&gt;=$D$245,40%,IF(AJ8&gt;=$D$244,30%,IF(AJ8&gt;=$D$243,20%,10%)))),0))+$C$173*$E$236*(IF(LEFT(AJ121,2)="입주",SUM('PF상환 민감도'!$D$5:$E$5)+'PF상환 민감도'!$F$5*30%,IF(LEFT(AI121,2)="입주",SUM('PF상환 민감도'!$D$5:$E$5)+'PF상환 민감도'!$F$5*80%,IF(LEFT(AH121,2)="입주",100%,IF(AJ8&gt;손익!$P$9+90,1,0))))+IF(AJ8&lt;손익!$P$9,IF($F$248&gt;0,IF(AJ8&gt;=$F$248,20%),0),0)+IF(AJ8&lt;손익!$P$9,IF($F$247&gt;0,IF(AJ8&gt;=$F$247,10%),0),0)+IF(AJ8&lt;손익!$P$9,IF(AJ8&gt;=$F$246,50%,IF(AJ8&gt;=$F$245,40%,IF(AJ8&gt;=$F$244,30%,IF(AJ8&gt;=$F$243,20%,10%)))),0))+$C$228*$E$236*(IF(LEFT(AJ121,2)="입주",SUM('PF상환 민감도'!$D$6:$E$6)+'PF상환 민감도'!$F$6*30%,IF(LEFT(AI121,2)="입주",SUM('PF상환 민감도'!$D$6:$E$6)+'PF상환 민감도'!$F$6*80%,IF(LEFT(AH121,2)="입주",100%,IF(AJ8&gt;손익!$P$9+90,1,0))))+IF(AJ8&lt;손익!$P$9,IF($F$248&gt;0,IF(AJ8&gt;=$F$248,20%),0),0)+IF(AJ8&lt;손익!$P$9,IF($F$247&gt;0,IF(AJ8&gt;=$F$247,10%),0),0)+IF(AJ8&lt;손익!$P$9,IF(AJ8&gt;=$F$246,50%,IF(AJ8&gt;=$F$245,40%,IF(AJ8&gt;=$F$244,30%,IF(AJ8&gt;=$F$243,20%,10%)))),0))),($C$61*$E$236*(IF(LEFT(AJ9,2)="입주",SUM('PF상환 민감도'!$D$3:$E$3)+'PF상환 민감도'!$F$3*30%,IF(LEFT(AI9,2)="입주",SUM('PF상환 민감도'!$D$3:$E$3)+'PF상환 민감도'!$F$3*80%,IF(LEFT(AH9,2)="입주",100%,IF(AJ8&gt;손익!$P$9+90,1,0))))+IF(AJ8&lt;손익!$P$9,IF($B$248&gt;0,IF(AJ8&gt;=$B$248,20%),0),0)+IF(AJ8&lt;손익!$P$9,IF($B$247&gt;0,IF(AJ8&gt;=$B$247,10%),0),0)+IF(AJ8&lt;손익!$P$9,IF(AJ8&gt;=$B$246,50%,IF(AJ8&gt;=$B$245,40%,IF(AJ8&gt;=$B$244,30%,IF(AJ8&gt;=$B$243,20%,10%)))),0))+$C$117*$E$236*(IF(LEFT(AJ65,2)="입주",SUM('PF상환 민감도'!$D$4:$E$4)+'PF상환 민감도'!$F$4*30%,IF(LEFT(AI65,2)="입주",SUM('PF상환 민감도'!$D$4:$E$4)+'PF상환 민감도'!$F$4*80%,IF(LEFT(AH65,2)="입주",100%,IF(AJ8&gt;손익!$P$9+90,1,0))))+IF(AJ8&lt;손익!$P$9,IF($D$248&gt;0,IF(AJ8&gt;=$D$248,20%),0),0)+IF(AJ8&lt;손익!$P$9,IF($D$247&gt;0,IF(AJ8&gt;=$D$247,10%),0),0)+IF(AJ8&lt;손익!$P$9,IF(AJ8&gt;=$D$246,50%,IF(AJ8&gt;=$D$245,40%,IF(AJ8&gt;=$D$244,30%,IF(AJ8&gt;=$D$243,20%,10%)))),0))+$C$173*$E$236*(IF(LEFT(AJ121,2)="입주",SUM('PF상환 민감도'!$D$5:$E$5)+'PF상환 민감도'!$F$5*30%,IF(LEFT(AI121,2)="입주",SUM('PF상환 민감도'!$D$5:$E$5)+'PF상환 민감도'!$F$5*80%,IF(LEFT(AH121,2)="입주",100%,IF(AJ8&gt;손익!$P$9+90,1,0))))+IF(AJ8&lt;손익!$P$9,IF($F$248&gt;0,IF(AJ8&gt;=$F$248,20%),0),0)+IF(AJ8&lt;손익!$P$9,IF($F$247&gt;0,IF(AJ8&gt;=$F$247,10%),0),0)+IF(AJ8&lt;손익!$P$9,IF(AJ8&gt;=$F$246,50%,IF(AJ8&gt;=$F$245,40%,IF(AJ8&gt;=$F$244,30%,IF(AJ8&gt;=$F$243,20%,10%)))),0))+$C$228*$E$236*(IF(LEFT(AJ121,2)="입주",SUM('PF상환 민감도'!$D$6:$E$6)+'PF상환 민감도'!$F$6*30%,IF(LEFT(AI121,2)="입주",SUM('PF상환 민감도'!$D$6:$E$6)+'PF상환 민감도'!$F$6*80%,IF(LEFT(AH121,2)="입주",100%,IF(AJ8&gt;손익!$P$9+90,1,0))))+IF(AJ8&lt;손익!$P$9,IF($F$248&gt;0,IF(AJ8&gt;=$F$248,20%),0),0)+IF(AJ8&lt;손익!$P$9,IF($F$247&gt;0,IF(AJ8&gt;=$F$247,10%),0),0)+IF(AJ8&lt;손익!$P$9,IF(AJ8&gt;=$F$246,50%,IF(AJ8&gt;=$F$245,40%,IF(AJ8&gt;=$F$244,30%,IF(AJ8&gt;=$F$243,20%,10%)))),0)))-SUM($G$236:AI236),AJ232)</f>
        <v>0</v>
      </c>
      <c r="AK236" s="643">
        <f ca="1">IF(SUM($G232:AK$232)&gt;($C$61*$E$236*(IF(LEFT(AK9,2)="입주",SUM('PF상환 민감도'!$D$3:$E$3)+'PF상환 민감도'!$F$3*30%,IF(LEFT(AJ9,2)="입주",SUM('PF상환 민감도'!$D$3:$E$3)+'PF상환 민감도'!$F$3*80%,IF(LEFT(AI9,2)="입주",100%,IF(AK8&gt;손익!$P$9+90,1,0))))+IF(AK8&lt;손익!$P$9,IF($B$248&gt;0,IF(AK8&gt;=$B$248,20%),0),0)+IF(AK8&lt;손익!$P$9,IF($B$247&gt;0,IF(AK8&gt;=$B$247,10%),0),0)+IF(AK8&lt;손익!$P$9,IF(AK8&gt;=$B$246,50%,IF(AK8&gt;=$B$245,40%,IF(AK8&gt;=$B$244,30%,IF(AK8&gt;=$B$243,20%,10%)))),0))+$C$117*$E$236*(IF(LEFT(AK65,2)="입주",SUM('PF상환 민감도'!$D$4:$E$4)+'PF상환 민감도'!$F$4*30%,IF(LEFT(AJ65,2)="입주",SUM('PF상환 민감도'!$D$4:$E$4)+'PF상환 민감도'!$F$4*80%,IF(LEFT(AI65,2)="입주",100%,IF(AK8&gt;손익!$P$9+90,1,0))))+IF(AK8&lt;손익!$P$9,IF($D$248&gt;0,IF(AK8&gt;=$D$248,20%),0),0)+IF(AK8&lt;손익!$P$9,IF($D$247&gt;0,IF(AK8&gt;=$D$247,10%),0),0)+IF(AK8&lt;손익!$P$9,IF(AK8&gt;=$D$246,50%,IF(AK8&gt;=$D$245,40%,IF(AK8&gt;=$D$244,30%,IF(AK8&gt;=$D$243,20%,10%)))),0))+$C$173*$E$236*(IF(LEFT(AK121,2)="입주",SUM('PF상환 민감도'!$D$5:$E$5)+'PF상환 민감도'!$F$5*30%,IF(LEFT(AJ121,2)="입주",SUM('PF상환 민감도'!$D$5:$E$5)+'PF상환 민감도'!$F$5*80%,IF(LEFT(AI121,2)="입주",100%,IF(AK8&gt;손익!$P$9+90,1,0))))+IF(AK8&lt;손익!$P$9,IF($F$248&gt;0,IF(AK8&gt;=$F$248,20%),0),0)+IF(AK8&lt;손익!$P$9,IF($F$247&gt;0,IF(AK8&gt;=$F$247,10%),0),0)+IF(AK8&lt;손익!$P$9,IF(AK8&gt;=$F$246,50%,IF(AK8&gt;=$F$245,40%,IF(AK8&gt;=$F$244,30%,IF(AK8&gt;=$F$243,20%,10%)))),0))+$C$228*$E$236*(IF(LEFT(AK121,2)="입주",SUM('PF상환 민감도'!$D$6:$E$6)+'PF상환 민감도'!$F$6*30%,IF(LEFT(AJ121,2)="입주",SUM('PF상환 민감도'!$D$6:$E$6)+'PF상환 민감도'!$F$6*80%,IF(LEFT(AI121,2)="입주",100%,IF(AK8&gt;손익!$P$9+90,1,0))))+IF(AK8&lt;손익!$P$9,IF($F$248&gt;0,IF(AK8&gt;=$F$248,20%),0),0)+IF(AK8&lt;손익!$P$9,IF($F$247&gt;0,IF(AK8&gt;=$F$247,10%),0),0)+IF(AK8&lt;손익!$P$9,IF(AK8&gt;=$F$246,50%,IF(AK8&gt;=$F$245,40%,IF(AK8&gt;=$F$244,30%,IF(AK8&gt;=$F$243,20%,10%)))),0))),($C$61*$E$236*(IF(LEFT(AK9,2)="입주",SUM('PF상환 민감도'!$D$3:$E$3)+'PF상환 민감도'!$F$3*30%,IF(LEFT(AJ9,2)="입주",SUM('PF상환 민감도'!$D$3:$E$3)+'PF상환 민감도'!$F$3*80%,IF(LEFT(AI9,2)="입주",100%,IF(AK8&gt;손익!$P$9+90,1,0))))+IF(AK8&lt;손익!$P$9,IF($B$248&gt;0,IF(AK8&gt;=$B$248,20%),0),0)+IF(AK8&lt;손익!$P$9,IF($B$247&gt;0,IF(AK8&gt;=$B$247,10%),0),0)+IF(AK8&lt;손익!$P$9,IF(AK8&gt;=$B$246,50%,IF(AK8&gt;=$B$245,40%,IF(AK8&gt;=$B$244,30%,IF(AK8&gt;=$B$243,20%,10%)))),0))+$C$117*$E$236*(IF(LEFT(AK65,2)="입주",SUM('PF상환 민감도'!$D$4:$E$4)+'PF상환 민감도'!$F$4*30%,IF(LEFT(AJ65,2)="입주",SUM('PF상환 민감도'!$D$4:$E$4)+'PF상환 민감도'!$F$4*80%,IF(LEFT(AI65,2)="입주",100%,IF(AK8&gt;손익!$P$9+90,1,0))))+IF(AK8&lt;손익!$P$9,IF($D$248&gt;0,IF(AK8&gt;=$D$248,20%),0),0)+IF(AK8&lt;손익!$P$9,IF($D$247&gt;0,IF(AK8&gt;=$D$247,10%),0),0)+IF(AK8&lt;손익!$P$9,IF(AK8&gt;=$D$246,50%,IF(AK8&gt;=$D$245,40%,IF(AK8&gt;=$D$244,30%,IF(AK8&gt;=$D$243,20%,10%)))),0))+$C$173*$E$236*(IF(LEFT(AK121,2)="입주",SUM('PF상환 민감도'!$D$5:$E$5)+'PF상환 민감도'!$F$5*30%,IF(LEFT(AJ121,2)="입주",SUM('PF상환 민감도'!$D$5:$E$5)+'PF상환 민감도'!$F$5*80%,IF(LEFT(AI121,2)="입주",100%,IF(AK8&gt;손익!$P$9+90,1,0))))+IF(AK8&lt;손익!$P$9,IF($F$248&gt;0,IF(AK8&gt;=$F$248,20%),0),0)+IF(AK8&lt;손익!$P$9,IF($F$247&gt;0,IF(AK8&gt;=$F$247,10%),0),0)+IF(AK8&lt;손익!$P$9,IF(AK8&gt;=$F$246,50%,IF(AK8&gt;=$F$245,40%,IF(AK8&gt;=$F$244,30%,IF(AK8&gt;=$F$243,20%,10%)))),0))+$C$228*$E$236*(IF(LEFT(AK121,2)="입주",SUM('PF상환 민감도'!$D$6:$E$6)+'PF상환 민감도'!$F$6*30%,IF(LEFT(AJ121,2)="입주",SUM('PF상환 민감도'!$D$6:$E$6)+'PF상환 민감도'!$F$6*80%,IF(LEFT(AI121,2)="입주",100%,IF(AK8&gt;손익!$P$9+90,1,0))))+IF(AK8&lt;손익!$P$9,IF($F$248&gt;0,IF(AK8&gt;=$F$248,20%),0),0)+IF(AK8&lt;손익!$P$9,IF($F$247&gt;0,IF(AK8&gt;=$F$247,10%),0),0)+IF(AK8&lt;손익!$P$9,IF(AK8&gt;=$F$246,50%,IF(AK8&gt;=$F$245,40%,IF(AK8&gt;=$F$244,30%,IF(AK8&gt;=$F$243,20%,10%)))),0)))-SUM($G$236:AJ236),AK232)</f>
        <v>638549.06445719302</v>
      </c>
      <c r="AL236" s="643">
        <f ca="1">IF(SUM($G232:AL$232)&gt;($C$61*$E$236*(IF(LEFT(AL9,2)="입주",SUM('PF상환 민감도'!$D$3:$E$3)+'PF상환 민감도'!$F$3*30%,IF(LEFT(AK9,2)="입주",SUM('PF상환 민감도'!$D$3:$E$3)+'PF상환 민감도'!$F$3*80%,IF(LEFT(AJ9,2)="입주",100%,IF(AL8&gt;손익!$P$9+90,1,0))))+IF(AL8&lt;손익!$P$9,IF($B$248&gt;0,IF(AL8&gt;=$B$248,20%),0),0)+IF(AL8&lt;손익!$P$9,IF($B$247&gt;0,IF(AL8&gt;=$B$247,10%),0),0)+IF(AL8&lt;손익!$P$9,IF(AL8&gt;=$B$246,50%,IF(AL8&gt;=$B$245,40%,IF(AL8&gt;=$B$244,30%,IF(AL8&gt;=$B$243,20%,10%)))),0))+$C$117*$E$236*(IF(LEFT(AL65,2)="입주",SUM('PF상환 민감도'!$D$4:$E$4)+'PF상환 민감도'!$F$4*30%,IF(LEFT(AK65,2)="입주",SUM('PF상환 민감도'!$D$4:$E$4)+'PF상환 민감도'!$F$4*80%,IF(LEFT(AJ65,2)="입주",100%,IF(AL8&gt;손익!$P$9+90,1,0))))+IF(AL8&lt;손익!$P$9,IF($D$248&gt;0,IF(AL8&gt;=$D$248,20%),0),0)+IF(AL8&lt;손익!$P$9,IF($D$247&gt;0,IF(AL8&gt;=$D$247,10%),0),0)+IF(AL8&lt;손익!$P$9,IF(AL8&gt;=$D$246,50%,IF(AL8&gt;=$D$245,40%,IF(AL8&gt;=$D$244,30%,IF(AL8&gt;=$D$243,20%,10%)))),0))+$C$173*$E$236*(IF(LEFT(AL121,2)="입주",SUM('PF상환 민감도'!$D$5:$E$5)+'PF상환 민감도'!$F$5*30%,IF(LEFT(AK121,2)="입주",SUM('PF상환 민감도'!$D$5:$E$5)+'PF상환 민감도'!$F$5*80%,IF(LEFT(AJ121,2)="입주",100%,IF(AL8&gt;손익!$P$9+90,1,0))))+IF(AL8&lt;손익!$P$9,IF($F$248&gt;0,IF(AL8&gt;=$F$248,20%),0),0)+IF(AL8&lt;손익!$P$9,IF($F$247&gt;0,IF(AL8&gt;=$F$247,10%),0),0)+IF(AL8&lt;손익!$P$9,IF(AL8&gt;=$F$246,50%,IF(AL8&gt;=$F$245,40%,IF(AL8&gt;=$F$244,30%,IF(AL8&gt;=$F$243,20%,10%)))),0))+$C$228*$E$236*(IF(LEFT(AL121,2)="입주",SUM('PF상환 민감도'!$D$6:$E$6)+'PF상환 민감도'!$F$6*30%,IF(LEFT(AK121,2)="입주",SUM('PF상환 민감도'!$D$6:$E$6)+'PF상환 민감도'!$F$6*80%,IF(LEFT(AJ121,2)="입주",100%,IF(AL8&gt;손익!$P$9+90,1,0))))+IF(AL8&lt;손익!$P$9,IF($F$248&gt;0,IF(AL8&gt;=$F$248,20%),0),0)+IF(AL8&lt;손익!$P$9,IF($F$247&gt;0,IF(AL8&gt;=$F$247,10%),0),0)+IF(AL8&lt;손익!$P$9,IF(AL8&gt;=$F$246,50%,IF(AL8&gt;=$F$245,40%,IF(AL8&gt;=$F$244,30%,IF(AL8&gt;=$F$243,20%,10%)))),0))),($C$61*$E$236*(IF(LEFT(AL9,2)="입주",SUM('PF상환 민감도'!$D$3:$E$3)+'PF상환 민감도'!$F$3*30%,IF(LEFT(AK9,2)="입주",SUM('PF상환 민감도'!$D$3:$E$3)+'PF상환 민감도'!$F$3*80%,IF(LEFT(AJ9,2)="입주",100%,IF(AL8&gt;손익!$P$9+90,1,0))))+IF(AL8&lt;손익!$P$9,IF($B$248&gt;0,IF(AL8&gt;=$B$248,20%),0),0)+IF(AL8&lt;손익!$P$9,IF($B$247&gt;0,IF(AL8&gt;=$B$247,10%),0),0)+IF(AL8&lt;손익!$P$9,IF(AL8&gt;=$B$246,50%,IF(AL8&gt;=$B$245,40%,IF(AL8&gt;=$B$244,30%,IF(AL8&gt;=$B$243,20%,10%)))),0))+$C$117*$E$236*(IF(LEFT(AL65,2)="입주",SUM('PF상환 민감도'!$D$4:$E$4)+'PF상환 민감도'!$F$4*30%,IF(LEFT(AK65,2)="입주",SUM('PF상환 민감도'!$D$4:$E$4)+'PF상환 민감도'!$F$4*80%,IF(LEFT(AJ65,2)="입주",100%,IF(AL8&gt;손익!$P$9+90,1,0))))+IF(AL8&lt;손익!$P$9,IF($D$248&gt;0,IF(AL8&gt;=$D$248,20%),0),0)+IF(AL8&lt;손익!$P$9,IF($D$247&gt;0,IF(AL8&gt;=$D$247,10%),0),0)+IF(AL8&lt;손익!$P$9,IF(AL8&gt;=$D$246,50%,IF(AL8&gt;=$D$245,40%,IF(AL8&gt;=$D$244,30%,IF(AL8&gt;=$D$243,20%,10%)))),0))+$C$173*$E$236*(IF(LEFT(AL121,2)="입주",SUM('PF상환 민감도'!$D$5:$E$5)+'PF상환 민감도'!$F$5*30%,IF(LEFT(AK121,2)="입주",SUM('PF상환 민감도'!$D$5:$E$5)+'PF상환 민감도'!$F$5*80%,IF(LEFT(AJ121,2)="입주",100%,IF(AL8&gt;손익!$P$9+90,1,0))))+IF(AL8&lt;손익!$P$9,IF($F$248&gt;0,IF(AL8&gt;=$F$248,20%),0),0)+IF(AL8&lt;손익!$P$9,IF($F$247&gt;0,IF(AL8&gt;=$F$247,10%),0),0)+IF(AL8&lt;손익!$P$9,IF(AL8&gt;=$F$246,50%,IF(AL8&gt;=$F$245,40%,IF(AL8&gt;=$F$244,30%,IF(AL8&gt;=$F$243,20%,10%)))),0))+$C$228*$E$236*(IF(LEFT(AL121,2)="입주",SUM('PF상환 민감도'!$D$6:$E$6)+'PF상환 민감도'!$F$6*30%,IF(LEFT(AK121,2)="입주",SUM('PF상환 민감도'!$D$6:$E$6)+'PF상환 민감도'!$F$6*80%,IF(LEFT(AJ121,2)="입주",100%,IF(AL8&gt;손익!$P$9+90,1,0))))+IF(AL8&lt;손익!$P$9,IF($F$248&gt;0,IF(AL8&gt;=$F$248,20%),0),0)+IF(AL8&lt;손익!$P$9,IF($F$247&gt;0,IF(AL8&gt;=$F$247,10%),0),0)+IF(AL8&lt;손익!$P$9,IF(AL8&gt;=$F$246,50%,IF(AL8&gt;=$F$245,40%,IF(AL8&gt;=$F$244,30%,IF(AL8&gt;=$F$243,20%,10%)))),0)))-SUM($G$236:AK236),AL232)</f>
        <v>15172342.050294012</v>
      </c>
      <c r="AM236" s="643">
        <f ca="1">IF(SUM($G232:AM$232)&gt;($C$61*$E$236*(IF(LEFT(AM9,2)="입주",SUM('PF상환 민감도'!$D$3:$E$3)+'PF상환 민감도'!$F$3*30%,IF(LEFT(AL9,2)="입주",SUM('PF상환 민감도'!$D$3:$E$3)+'PF상환 민감도'!$F$3*80%,IF(LEFT(AK9,2)="입주",100%,IF(AM8&gt;손익!$P$9+90,1,0))))+IF(AM8&lt;손익!$P$9,IF($B$248&gt;0,IF(AM8&gt;=$B$248,20%),0),0)+IF(AM8&lt;손익!$P$9,IF($B$247&gt;0,IF(AM8&gt;=$B$247,10%),0),0)+IF(AM8&lt;손익!$P$9,IF(AM8&gt;=$B$246,50%,IF(AM8&gt;=$B$245,40%,IF(AM8&gt;=$B$244,30%,IF(AM8&gt;=$B$243,20%,10%)))),0))+$C$117*$E$236*(IF(LEFT(AM65,2)="입주",SUM('PF상환 민감도'!$D$4:$E$4)+'PF상환 민감도'!$F$4*30%,IF(LEFT(AL65,2)="입주",SUM('PF상환 민감도'!$D$4:$E$4)+'PF상환 민감도'!$F$4*80%,IF(LEFT(AK65,2)="입주",100%,IF(AM8&gt;손익!$P$9+90,1,0))))+IF(AM8&lt;손익!$P$9,IF($D$248&gt;0,IF(AM8&gt;=$D$248,20%),0),0)+IF(AM8&lt;손익!$P$9,IF($D$247&gt;0,IF(AM8&gt;=$D$247,10%),0),0)+IF(AM8&lt;손익!$P$9,IF(AM8&gt;=$D$246,50%,IF(AM8&gt;=$D$245,40%,IF(AM8&gt;=$D$244,30%,IF(AM8&gt;=$D$243,20%,10%)))),0))+$C$173*$E$236*(IF(LEFT(AM121,2)="입주",SUM('PF상환 민감도'!$D$5:$E$5)+'PF상환 민감도'!$F$5*30%,IF(LEFT(AL121,2)="입주",SUM('PF상환 민감도'!$D$5:$E$5)+'PF상환 민감도'!$F$5*80%,IF(LEFT(AK121,2)="입주",100%,IF(AM8&gt;손익!$P$9+90,1,0))))+IF(AM8&lt;손익!$P$9,IF($F$248&gt;0,IF(AM8&gt;=$F$248,20%),0),0)+IF(AM8&lt;손익!$P$9,IF($F$247&gt;0,IF(AM8&gt;=$F$247,10%),0),0)+IF(AM8&lt;손익!$P$9,IF(AM8&gt;=$F$246,50%,IF(AM8&gt;=$F$245,40%,IF(AM8&gt;=$F$244,30%,IF(AM8&gt;=$F$243,20%,10%)))),0))+$C$228*$E$236*(IF(LEFT(AM121,2)="입주",SUM('PF상환 민감도'!$D$6:$E$6)+'PF상환 민감도'!$F$6*30%,IF(LEFT(AL121,2)="입주",SUM('PF상환 민감도'!$D$6:$E$6)+'PF상환 민감도'!$F$6*80%,IF(LEFT(AK121,2)="입주",100%,IF(AM8&gt;손익!$P$9+90,1,0))))+IF(AM8&lt;손익!$P$9,IF($F$248&gt;0,IF(AM8&gt;=$F$248,20%),0),0)+IF(AM8&lt;손익!$P$9,IF($F$247&gt;0,IF(AM8&gt;=$F$247,10%),0),0)+IF(AM8&lt;손익!$P$9,IF(AM8&gt;=$F$246,50%,IF(AM8&gt;=$F$245,40%,IF(AM8&gt;=$F$244,30%,IF(AM8&gt;=$F$243,20%,10%)))),0))),($C$61*$E$236*(IF(LEFT(AM9,2)="입주",SUM('PF상환 민감도'!$D$3:$E$3)+'PF상환 민감도'!$F$3*30%,IF(LEFT(AL9,2)="입주",SUM('PF상환 민감도'!$D$3:$E$3)+'PF상환 민감도'!$F$3*80%,IF(LEFT(AK9,2)="입주",100%,IF(AM8&gt;손익!$P$9+90,1,0))))+IF(AM8&lt;손익!$P$9,IF($B$248&gt;0,IF(AM8&gt;=$B$248,20%),0),0)+IF(AM8&lt;손익!$P$9,IF($B$247&gt;0,IF(AM8&gt;=$B$247,10%),0),0)+IF(AM8&lt;손익!$P$9,IF(AM8&gt;=$B$246,50%,IF(AM8&gt;=$B$245,40%,IF(AM8&gt;=$B$244,30%,IF(AM8&gt;=$B$243,20%,10%)))),0))+$C$117*$E$236*(IF(LEFT(AM65,2)="입주",SUM('PF상환 민감도'!$D$4:$E$4)+'PF상환 민감도'!$F$4*30%,IF(LEFT(AL65,2)="입주",SUM('PF상환 민감도'!$D$4:$E$4)+'PF상환 민감도'!$F$4*80%,IF(LEFT(AK65,2)="입주",100%,IF(AM8&gt;손익!$P$9+90,1,0))))+IF(AM8&lt;손익!$P$9,IF($D$248&gt;0,IF(AM8&gt;=$D$248,20%),0),0)+IF(AM8&lt;손익!$P$9,IF($D$247&gt;0,IF(AM8&gt;=$D$247,10%),0),0)+IF(AM8&lt;손익!$P$9,IF(AM8&gt;=$D$246,50%,IF(AM8&gt;=$D$245,40%,IF(AM8&gt;=$D$244,30%,IF(AM8&gt;=$D$243,20%,10%)))),0))+$C$173*$E$236*(IF(LEFT(AM121,2)="입주",SUM('PF상환 민감도'!$D$5:$E$5)+'PF상환 민감도'!$F$5*30%,IF(LEFT(AL121,2)="입주",SUM('PF상환 민감도'!$D$5:$E$5)+'PF상환 민감도'!$F$5*80%,IF(LEFT(AK121,2)="입주",100%,IF(AM8&gt;손익!$P$9+90,1,0))))+IF(AM8&lt;손익!$P$9,IF($F$248&gt;0,IF(AM8&gt;=$F$248,20%),0),0)+IF(AM8&lt;손익!$P$9,IF($F$247&gt;0,IF(AM8&gt;=$F$247,10%),0),0)+IF(AM8&lt;손익!$P$9,IF(AM8&gt;=$F$246,50%,IF(AM8&gt;=$F$245,40%,IF(AM8&gt;=$F$244,30%,IF(AM8&gt;=$F$243,20%,10%)))),0))+$C$228*$E$236*(IF(LEFT(AM121,2)="입주",SUM('PF상환 민감도'!$D$6:$E$6)+'PF상환 민감도'!$F$6*30%,IF(LEFT(AL121,2)="입주",SUM('PF상환 민감도'!$D$6:$E$6)+'PF상환 민감도'!$F$6*80%,IF(LEFT(AK121,2)="입주",100%,IF(AM8&gt;손익!$P$9+90,1,0))))+IF(AM8&lt;손익!$P$9,IF($F$248&gt;0,IF(AM8&gt;=$F$248,20%),0),0)+IF(AM8&lt;손익!$P$9,IF($F$247&gt;0,IF(AM8&gt;=$F$247,10%),0),0)+IF(AM8&lt;손익!$P$9,IF(AM8&gt;=$F$246,50%,IF(AM8&gt;=$F$245,40%,IF(AM8&gt;=$F$244,30%,IF(AM8&gt;=$F$243,20%,10%)))),0)))-SUM($G$236:AL236),AM232)</f>
        <v>9479541.8985960037</v>
      </c>
      <c r="AN236" s="643">
        <f ca="1">IF(SUM($G232:AN$232)&gt;($C$61*$E$236*(IF(LEFT(AN9,2)="입주",SUM('PF상환 민감도'!$D$3:$E$3)+'PF상환 민감도'!$F$3*30%,IF(LEFT(AM9,2)="입주",SUM('PF상환 민감도'!$D$3:$E$3)+'PF상환 민감도'!$F$3*80%,IF(LEFT(AL9,2)="입주",100%,IF(AN8&gt;손익!$P$9+90,1,0))))+IF(AN8&lt;손익!$P$9,IF($B$248&gt;0,IF(AN8&gt;=$B$248,20%),0),0)+IF(AN8&lt;손익!$P$9,IF($B$247&gt;0,IF(AN8&gt;=$B$247,10%),0),0)+IF(AN8&lt;손익!$P$9,IF(AN8&gt;=$B$246,50%,IF(AN8&gt;=$B$245,40%,IF(AN8&gt;=$B$244,30%,IF(AN8&gt;=$B$243,20%,10%)))),0))+$C$117*$E$236*(IF(LEFT(AN65,2)="입주",SUM('PF상환 민감도'!$D$4:$E$4)+'PF상환 민감도'!$F$4*30%,IF(LEFT(AM65,2)="입주",SUM('PF상환 민감도'!$D$4:$E$4)+'PF상환 민감도'!$F$4*80%,IF(LEFT(AL65,2)="입주",100%,IF(AN8&gt;손익!$P$9+90,1,0))))+IF(AN8&lt;손익!$P$9,IF($D$248&gt;0,IF(AN8&gt;=$D$248,20%),0),0)+IF(AN8&lt;손익!$P$9,IF($D$247&gt;0,IF(AN8&gt;=$D$247,10%),0),0)+IF(AN8&lt;손익!$P$9,IF(AN8&gt;=$D$246,50%,IF(AN8&gt;=$D$245,40%,IF(AN8&gt;=$D$244,30%,IF(AN8&gt;=$D$243,20%,10%)))),0))+$C$173*$E$236*(IF(LEFT(AN121,2)="입주",SUM('PF상환 민감도'!$D$5:$E$5)+'PF상환 민감도'!$F$5*30%,IF(LEFT(AM121,2)="입주",SUM('PF상환 민감도'!$D$5:$E$5)+'PF상환 민감도'!$F$5*80%,IF(LEFT(AL121,2)="입주",100%,IF(AN8&gt;손익!$P$9+90,1,0))))+IF(AN8&lt;손익!$P$9,IF($F$248&gt;0,IF(AN8&gt;=$F$248,20%),0),0)+IF(AN8&lt;손익!$P$9,IF($F$247&gt;0,IF(AN8&gt;=$F$247,10%),0),0)+IF(AN8&lt;손익!$P$9,IF(AN8&gt;=$F$246,50%,IF(AN8&gt;=$F$245,40%,IF(AN8&gt;=$F$244,30%,IF(AN8&gt;=$F$243,20%,10%)))),0))+$C$228*$E$236*(IF(LEFT(AN121,2)="입주",SUM('PF상환 민감도'!$D$6:$E$6)+'PF상환 민감도'!$F$6*30%,IF(LEFT(AM121,2)="입주",SUM('PF상환 민감도'!$D$6:$E$6)+'PF상환 민감도'!$F$6*80%,IF(LEFT(AL121,2)="입주",100%,IF(AN8&gt;손익!$P$9+90,1,0))))+IF(AN8&lt;손익!$P$9,IF($F$248&gt;0,IF(AN8&gt;=$F$248,20%),0),0)+IF(AN8&lt;손익!$P$9,IF($F$247&gt;0,IF(AN8&gt;=$F$247,10%),0),0)+IF(AN8&lt;손익!$P$9,IF(AN8&gt;=$F$246,50%,IF(AN8&gt;=$F$245,40%,IF(AN8&gt;=$F$244,30%,IF(AN8&gt;=$F$243,20%,10%)))),0))),($C$61*$E$236*(IF(LEFT(AN9,2)="입주",SUM('PF상환 민감도'!$D$3:$E$3)+'PF상환 민감도'!$F$3*30%,IF(LEFT(AM9,2)="입주",SUM('PF상환 민감도'!$D$3:$E$3)+'PF상환 민감도'!$F$3*80%,IF(LEFT(AL9,2)="입주",100%,IF(AN8&gt;손익!$P$9+90,1,0))))+IF(AN8&lt;손익!$P$9,IF($B$248&gt;0,IF(AN8&gt;=$B$248,20%),0),0)+IF(AN8&lt;손익!$P$9,IF($B$247&gt;0,IF(AN8&gt;=$B$247,10%),0),0)+IF(AN8&lt;손익!$P$9,IF(AN8&gt;=$B$246,50%,IF(AN8&gt;=$B$245,40%,IF(AN8&gt;=$B$244,30%,IF(AN8&gt;=$B$243,20%,10%)))),0))+$C$117*$E$236*(IF(LEFT(AN65,2)="입주",SUM('PF상환 민감도'!$D$4:$E$4)+'PF상환 민감도'!$F$4*30%,IF(LEFT(AM65,2)="입주",SUM('PF상환 민감도'!$D$4:$E$4)+'PF상환 민감도'!$F$4*80%,IF(LEFT(AL65,2)="입주",100%,IF(AN8&gt;손익!$P$9+90,1,0))))+IF(AN8&lt;손익!$P$9,IF($D$248&gt;0,IF(AN8&gt;=$D$248,20%),0),0)+IF(AN8&lt;손익!$P$9,IF($D$247&gt;0,IF(AN8&gt;=$D$247,10%),0),0)+IF(AN8&lt;손익!$P$9,IF(AN8&gt;=$D$246,50%,IF(AN8&gt;=$D$245,40%,IF(AN8&gt;=$D$244,30%,IF(AN8&gt;=$D$243,20%,10%)))),0))+$C$173*$E$236*(IF(LEFT(AN121,2)="입주",SUM('PF상환 민감도'!$D$5:$E$5)+'PF상환 민감도'!$F$5*30%,IF(LEFT(AM121,2)="입주",SUM('PF상환 민감도'!$D$5:$E$5)+'PF상환 민감도'!$F$5*80%,IF(LEFT(AL121,2)="입주",100%,IF(AN8&gt;손익!$P$9+90,1,0))))+IF(AN8&lt;손익!$P$9,IF($F$248&gt;0,IF(AN8&gt;=$F$248,20%),0),0)+IF(AN8&lt;손익!$P$9,IF($F$247&gt;0,IF(AN8&gt;=$F$247,10%),0),0)+IF(AN8&lt;손익!$P$9,IF(AN8&gt;=$F$246,50%,IF(AN8&gt;=$F$245,40%,IF(AN8&gt;=$F$244,30%,IF(AN8&gt;=$F$243,20%,10%)))),0))+$C$228*$E$236*(IF(LEFT(AN121,2)="입주",SUM('PF상환 민감도'!$D$6:$E$6)+'PF상환 민감도'!$F$6*30%,IF(LEFT(AM121,2)="입주",SUM('PF상환 민감도'!$D$6:$E$6)+'PF상환 민감도'!$F$6*80%,IF(LEFT(AL121,2)="입주",100%,IF(AN8&gt;손익!$P$9+90,1,0))))+IF(AN8&lt;손익!$P$9,IF($F$248&gt;0,IF(AN8&gt;=$F$248,20%),0),0)+IF(AN8&lt;손익!$P$9,IF($F$247&gt;0,IF(AN8&gt;=$F$247,10%),0),0)+IF(AN8&lt;손익!$P$9,IF(AN8&gt;=$F$246,50%,IF(AN8&gt;=$F$245,40%,IF(AN8&gt;=$F$244,30%,IF(AN8&gt;=$F$243,20%,10%)))),0)))-SUM($G$236:AM236),AN232)</f>
        <v>0</v>
      </c>
      <c r="AO236" s="643">
        <f ca="1">IF(SUM($G232:AO$232)&gt;($C$61*$E$236*(IF(LEFT(AO9,2)="입주",SUM('PF상환 민감도'!$D$3:$E$3)+'PF상환 민감도'!$F$3*30%,IF(LEFT(AN9,2)="입주",SUM('PF상환 민감도'!$D$3:$E$3)+'PF상환 민감도'!$F$3*80%,IF(LEFT(AM9,2)="입주",100%,IF(AO8&gt;손익!$P$9+90,1,0))))+IF(AO8&lt;손익!$P$9,IF($B$248&gt;0,IF(AO8&gt;=$B$248,20%),0),0)+IF(AO8&lt;손익!$P$9,IF($B$247&gt;0,IF(AO8&gt;=$B$247,10%),0),0)+IF(AO8&lt;손익!$P$9,IF(AO8&gt;=$B$246,50%,IF(AO8&gt;=$B$245,40%,IF(AO8&gt;=$B$244,30%,IF(AO8&gt;=$B$243,20%,10%)))),0))+$C$117*$E$236*(IF(LEFT(AO65,2)="입주",SUM('PF상환 민감도'!$D$4:$E$4)+'PF상환 민감도'!$F$4*30%,IF(LEFT(AN65,2)="입주",SUM('PF상환 민감도'!$D$4:$E$4)+'PF상환 민감도'!$F$4*80%,IF(LEFT(AM65,2)="입주",100%,IF(AO8&gt;손익!$P$9+90,1,0))))+IF(AO8&lt;손익!$P$9,IF($D$248&gt;0,IF(AO8&gt;=$D$248,20%),0),0)+IF(AO8&lt;손익!$P$9,IF($D$247&gt;0,IF(AO8&gt;=$D$247,10%),0),0)+IF(AO8&lt;손익!$P$9,IF(AO8&gt;=$D$246,50%,IF(AO8&gt;=$D$245,40%,IF(AO8&gt;=$D$244,30%,IF(AO8&gt;=$D$243,20%,10%)))),0))+$C$173*$E$236*(IF(LEFT(AO121,2)="입주",SUM('PF상환 민감도'!$D$5:$E$5)+'PF상환 민감도'!$F$5*30%,IF(LEFT(AN121,2)="입주",SUM('PF상환 민감도'!$D$5:$E$5)+'PF상환 민감도'!$F$5*80%,IF(LEFT(AM121,2)="입주",100%,IF(AO8&gt;손익!$P$9+90,1,0))))+IF(AO8&lt;손익!$P$9,IF($F$248&gt;0,IF(AO8&gt;=$F$248,20%),0),0)+IF(AO8&lt;손익!$P$9,IF($F$247&gt;0,IF(AO8&gt;=$F$247,10%),0),0)+IF(AO8&lt;손익!$P$9,IF(AO8&gt;=$F$246,50%,IF(AO8&gt;=$F$245,40%,IF(AO8&gt;=$F$244,30%,IF(AO8&gt;=$F$243,20%,10%)))),0))+$C$228*$E$236*(IF(LEFT(AO121,2)="입주",SUM('PF상환 민감도'!$D$6:$E$6)+'PF상환 민감도'!$F$6*30%,IF(LEFT(AN121,2)="입주",SUM('PF상환 민감도'!$D$6:$E$6)+'PF상환 민감도'!$F$6*80%,IF(LEFT(AM121,2)="입주",100%,IF(AO8&gt;손익!$P$9+90,1,0))))+IF(AO8&lt;손익!$P$9,IF($F$248&gt;0,IF(AO8&gt;=$F$248,20%),0),0)+IF(AO8&lt;손익!$P$9,IF($F$247&gt;0,IF(AO8&gt;=$F$247,10%),0),0)+IF(AO8&lt;손익!$P$9,IF(AO8&gt;=$F$246,50%,IF(AO8&gt;=$F$245,40%,IF(AO8&gt;=$F$244,30%,IF(AO8&gt;=$F$243,20%,10%)))),0))),($C$61*$E$236*(IF(LEFT(AO9,2)="입주",SUM('PF상환 민감도'!$D$3:$E$3)+'PF상환 민감도'!$F$3*30%,IF(LEFT(AN9,2)="입주",SUM('PF상환 민감도'!$D$3:$E$3)+'PF상환 민감도'!$F$3*80%,IF(LEFT(AM9,2)="입주",100%,IF(AO8&gt;손익!$P$9+90,1,0))))+IF(AO8&lt;손익!$P$9,IF($B$248&gt;0,IF(AO8&gt;=$B$248,20%),0),0)+IF(AO8&lt;손익!$P$9,IF($B$247&gt;0,IF(AO8&gt;=$B$247,10%),0),0)+IF(AO8&lt;손익!$P$9,IF(AO8&gt;=$B$246,50%,IF(AO8&gt;=$B$245,40%,IF(AO8&gt;=$B$244,30%,IF(AO8&gt;=$B$243,20%,10%)))),0))+$C$117*$E$236*(IF(LEFT(AO65,2)="입주",SUM('PF상환 민감도'!$D$4:$E$4)+'PF상환 민감도'!$F$4*30%,IF(LEFT(AN65,2)="입주",SUM('PF상환 민감도'!$D$4:$E$4)+'PF상환 민감도'!$F$4*80%,IF(LEFT(AM65,2)="입주",100%,IF(AO8&gt;손익!$P$9+90,1,0))))+IF(AO8&lt;손익!$P$9,IF($D$248&gt;0,IF(AO8&gt;=$D$248,20%),0),0)+IF(AO8&lt;손익!$P$9,IF($D$247&gt;0,IF(AO8&gt;=$D$247,10%),0),0)+IF(AO8&lt;손익!$P$9,IF(AO8&gt;=$D$246,50%,IF(AO8&gt;=$D$245,40%,IF(AO8&gt;=$D$244,30%,IF(AO8&gt;=$D$243,20%,10%)))),0))+$C$173*$E$236*(IF(LEFT(AO121,2)="입주",SUM('PF상환 민감도'!$D$5:$E$5)+'PF상환 민감도'!$F$5*30%,IF(LEFT(AN121,2)="입주",SUM('PF상환 민감도'!$D$5:$E$5)+'PF상환 민감도'!$F$5*80%,IF(LEFT(AM121,2)="입주",100%,IF(AO8&gt;손익!$P$9+90,1,0))))+IF(AO8&lt;손익!$P$9,IF($F$248&gt;0,IF(AO8&gt;=$F$248,20%),0),0)+IF(AO8&lt;손익!$P$9,IF($F$247&gt;0,IF(AO8&gt;=$F$247,10%),0),0)+IF(AO8&lt;손익!$P$9,IF(AO8&gt;=$F$246,50%,IF(AO8&gt;=$F$245,40%,IF(AO8&gt;=$F$244,30%,IF(AO8&gt;=$F$243,20%,10%)))),0))+$C$228*$E$236*(IF(LEFT(AO121,2)="입주",SUM('PF상환 민감도'!$D$6:$E$6)+'PF상환 민감도'!$F$6*30%,IF(LEFT(AN121,2)="입주",SUM('PF상환 민감도'!$D$6:$E$6)+'PF상환 민감도'!$F$6*80%,IF(LEFT(AM121,2)="입주",100%,IF(AO8&gt;손익!$P$9+90,1,0))))+IF(AO8&lt;손익!$P$9,IF($F$248&gt;0,IF(AO8&gt;=$F$248,20%),0),0)+IF(AO8&lt;손익!$P$9,IF($F$247&gt;0,IF(AO8&gt;=$F$247,10%),0),0)+IF(AO8&lt;손익!$P$9,IF(AO8&gt;=$F$246,50%,IF(AO8&gt;=$F$245,40%,IF(AO8&gt;=$F$244,30%,IF(AO8&gt;=$F$243,20%,10%)))),0)))-SUM($G$236:AN236),AO232)</f>
        <v>0</v>
      </c>
      <c r="AP236" s="643">
        <f ca="1">IF(SUM($G232:AP$232)&gt;($C$61*$E$236*(IF(LEFT(AP9,2)="입주",SUM('PF상환 민감도'!$D$3:$E$3)+'PF상환 민감도'!$F$3*30%,IF(LEFT(AO9,2)="입주",SUM('PF상환 민감도'!$D$3:$E$3)+'PF상환 민감도'!$F$3*80%,IF(LEFT(AN9,2)="입주",100%,IF(AP8&gt;손익!$P$9+90,1,0))))+IF(AP8&lt;손익!$P$9,IF($B$248&gt;0,IF(AP8&gt;=$B$248,20%),0),0)+IF(AP8&lt;손익!$P$9,IF($B$247&gt;0,IF(AP8&gt;=$B$247,10%),0),0)+IF(AP8&lt;손익!$P$9,IF(AP8&gt;=$B$246,50%,IF(AP8&gt;=$B$245,40%,IF(AP8&gt;=$B$244,30%,IF(AP8&gt;=$B$243,20%,10%)))),0))+$C$117*$E$236*(IF(LEFT(AP65,2)="입주",SUM('PF상환 민감도'!$D$4:$E$4)+'PF상환 민감도'!$F$4*30%,IF(LEFT(AO65,2)="입주",SUM('PF상환 민감도'!$D$4:$E$4)+'PF상환 민감도'!$F$4*80%,IF(LEFT(AN65,2)="입주",100%,IF(AP8&gt;손익!$P$9+90,1,0))))+IF(AP8&lt;손익!$P$9,IF($D$248&gt;0,IF(AP8&gt;=$D$248,20%),0),0)+IF(AP8&lt;손익!$P$9,IF($D$247&gt;0,IF(AP8&gt;=$D$247,10%),0),0)+IF(AP8&lt;손익!$P$9,IF(AP8&gt;=$D$246,50%,IF(AP8&gt;=$D$245,40%,IF(AP8&gt;=$D$244,30%,IF(AP8&gt;=$D$243,20%,10%)))),0))+$C$173*$E$236*(IF(LEFT(AP121,2)="입주",SUM('PF상환 민감도'!$D$5:$E$5)+'PF상환 민감도'!$F$5*30%,IF(LEFT(AO121,2)="입주",SUM('PF상환 민감도'!$D$5:$E$5)+'PF상환 민감도'!$F$5*80%,IF(LEFT(AN121,2)="입주",100%,IF(AP8&gt;손익!$P$9+90,1,0))))+IF(AP8&lt;손익!$P$9,IF($F$248&gt;0,IF(AP8&gt;=$F$248,20%),0),0)+IF(AP8&lt;손익!$P$9,IF($F$247&gt;0,IF(AP8&gt;=$F$247,10%),0),0)+IF(AP8&lt;손익!$P$9,IF(AP8&gt;=$F$246,50%,IF(AP8&gt;=$F$245,40%,IF(AP8&gt;=$F$244,30%,IF(AP8&gt;=$F$243,20%,10%)))),0))+$C$228*$E$236*(IF(LEFT(AP121,2)="입주",SUM('PF상환 민감도'!$D$6:$E$6)+'PF상환 민감도'!$F$6*30%,IF(LEFT(AO121,2)="입주",SUM('PF상환 민감도'!$D$6:$E$6)+'PF상환 민감도'!$F$6*80%,IF(LEFT(AN121,2)="입주",100%,IF(AP8&gt;손익!$P$9+90,1,0))))+IF(AP8&lt;손익!$P$9,IF($F$248&gt;0,IF(AP8&gt;=$F$248,20%),0),0)+IF(AP8&lt;손익!$P$9,IF($F$247&gt;0,IF(AP8&gt;=$F$247,10%),0),0)+IF(AP8&lt;손익!$P$9,IF(AP8&gt;=$F$246,50%,IF(AP8&gt;=$F$245,40%,IF(AP8&gt;=$F$244,30%,IF(AP8&gt;=$F$243,20%,10%)))),0))),($C$61*$E$236*(IF(LEFT(AP9,2)="입주",SUM('PF상환 민감도'!$D$3:$E$3)+'PF상환 민감도'!$F$3*30%,IF(LEFT(AO9,2)="입주",SUM('PF상환 민감도'!$D$3:$E$3)+'PF상환 민감도'!$F$3*80%,IF(LEFT(AN9,2)="입주",100%,IF(AP8&gt;손익!$P$9+90,1,0))))+IF(AP8&lt;손익!$P$9,IF($B$248&gt;0,IF(AP8&gt;=$B$248,20%),0),0)+IF(AP8&lt;손익!$P$9,IF($B$247&gt;0,IF(AP8&gt;=$B$247,10%),0),0)+IF(AP8&lt;손익!$P$9,IF(AP8&gt;=$B$246,50%,IF(AP8&gt;=$B$245,40%,IF(AP8&gt;=$B$244,30%,IF(AP8&gt;=$B$243,20%,10%)))),0))+$C$117*$E$236*(IF(LEFT(AP65,2)="입주",SUM('PF상환 민감도'!$D$4:$E$4)+'PF상환 민감도'!$F$4*30%,IF(LEFT(AO65,2)="입주",SUM('PF상환 민감도'!$D$4:$E$4)+'PF상환 민감도'!$F$4*80%,IF(LEFT(AN65,2)="입주",100%,IF(AP8&gt;손익!$P$9+90,1,0))))+IF(AP8&lt;손익!$P$9,IF($D$248&gt;0,IF(AP8&gt;=$D$248,20%),0),0)+IF(AP8&lt;손익!$P$9,IF($D$247&gt;0,IF(AP8&gt;=$D$247,10%),0),0)+IF(AP8&lt;손익!$P$9,IF(AP8&gt;=$D$246,50%,IF(AP8&gt;=$D$245,40%,IF(AP8&gt;=$D$244,30%,IF(AP8&gt;=$D$243,20%,10%)))),0))+$C$173*$E$236*(IF(LEFT(AP121,2)="입주",SUM('PF상환 민감도'!$D$5:$E$5)+'PF상환 민감도'!$F$5*30%,IF(LEFT(AO121,2)="입주",SUM('PF상환 민감도'!$D$5:$E$5)+'PF상환 민감도'!$F$5*80%,IF(LEFT(AN121,2)="입주",100%,IF(AP8&gt;손익!$P$9+90,1,0))))+IF(AP8&lt;손익!$P$9,IF($F$248&gt;0,IF(AP8&gt;=$F$248,20%),0),0)+IF(AP8&lt;손익!$P$9,IF($F$247&gt;0,IF(AP8&gt;=$F$247,10%),0),0)+IF(AP8&lt;손익!$P$9,IF(AP8&gt;=$F$246,50%,IF(AP8&gt;=$F$245,40%,IF(AP8&gt;=$F$244,30%,IF(AP8&gt;=$F$243,20%,10%)))),0))+$C$228*$E$236*(IF(LEFT(AP121,2)="입주",SUM('PF상환 민감도'!$D$6:$E$6)+'PF상환 민감도'!$F$6*30%,IF(LEFT(AO121,2)="입주",SUM('PF상환 민감도'!$D$6:$E$6)+'PF상환 민감도'!$F$6*80%,IF(LEFT(AN121,2)="입주",100%,IF(AP8&gt;손익!$P$9+90,1,0))))+IF(AP8&lt;손익!$P$9,IF($F$248&gt;0,IF(AP8&gt;=$F$248,20%),0),0)+IF(AP8&lt;손익!$P$9,IF($F$247&gt;0,IF(AP8&gt;=$F$247,10%),0),0)+IF(AP8&lt;손익!$P$9,IF(AP8&gt;=$F$246,50%,IF(AP8&gt;=$F$245,40%,IF(AP8&gt;=$F$244,30%,IF(AP8&gt;=$F$243,20%,10%)))),0)))-SUM($G$236:AO236),AP232)</f>
        <v>0</v>
      </c>
      <c r="AQ236" s="643">
        <f ca="1">IF(SUM($G232:AQ$232)&gt;($C$61*$E$236*(IF(LEFT(AQ9,2)="입주",SUM('PF상환 민감도'!$D$3:$E$3)+'PF상환 민감도'!$F$3*30%,IF(LEFT(AP9,2)="입주",SUM('PF상환 민감도'!$D$3:$E$3)+'PF상환 민감도'!$F$3*80%,IF(LEFT(AO9,2)="입주",100%,IF(AQ8&gt;손익!$P$9+90,1,0))))+IF(AQ8&lt;손익!$P$9,IF($B$248&gt;0,IF(AQ8&gt;=$B$248,20%),0),0)+IF(AQ8&lt;손익!$P$9,IF($B$247&gt;0,IF(AQ8&gt;=$B$247,10%),0),0)+IF(AQ8&lt;손익!$P$9,IF(AQ8&gt;=$B$246,50%,IF(AQ8&gt;=$B$245,40%,IF(AQ8&gt;=$B$244,30%,IF(AQ8&gt;=$B$243,20%,10%)))),0))+$C$117*$E$236*(IF(LEFT(AQ65,2)="입주",SUM('PF상환 민감도'!$D$4:$E$4)+'PF상환 민감도'!$F$4*30%,IF(LEFT(AP65,2)="입주",SUM('PF상환 민감도'!$D$4:$E$4)+'PF상환 민감도'!$F$4*80%,IF(LEFT(AO65,2)="입주",100%,IF(AQ8&gt;손익!$P$9+90,1,0))))+IF(AQ8&lt;손익!$P$9,IF($D$248&gt;0,IF(AQ8&gt;=$D$248,20%),0),0)+IF(AQ8&lt;손익!$P$9,IF($D$247&gt;0,IF(AQ8&gt;=$D$247,10%),0),0)+IF(AQ8&lt;손익!$P$9,IF(AQ8&gt;=$D$246,50%,IF(AQ8&gt;=$D$245,40%,IF(AQ8&gt;=$D$244,30%,IF(AQ8&gt;=$D$243,20%,10%)))),0))+$C$173*$E$236*(IF(LEFT(AQ121,2)="입주",SUM('PF상환 민감도'!$D$5:$E$5)+'PF상환 민감도'!$F$5*30%,IF(LEFT(AP121,2)="입주",SUM('PF상환 민감도'!$D$5:$E$5)+'PF상환 민감도'!$F$5*80%,IF(LEFT(AO121,2)="입주",100%,IF(AQ8&gt;손익!$P$9+90,1,0))))+IF(AQ8&lt;손익!$P$9,IF($F$248&gt;0,IF(AQ8&gt;=$F$248,20%),0),0)+IF(AQ8&lt;손익!$P$9,IF($F$247&gt;0,IF(AQ8&gt;=$F$247,10%),0),0)+IF(AQ8&lt;손익!$P$9,IF(AQ8&gt;=$F$246,50%,IF(AQ8&gt;=$F$245,40%,IF(AQ8&gt;=$F$244,30%,IF(AQ8&gt;=$F$243,20%,10%)))),0))+$C$228*$E$236*(IF(LEFT(AQ121,2)="입주",SUM('PF상환 민감도'!$D$6:$E$6)+'PF상환 민감도'!$F$6*30%,IF(LEFT(AP121,2)="입주",SUM('PF상환 민감도'!$D$6:$E$6)+'PF상환 민감도'!$F$6*80%,IF(LEFT(AO121,2)="입주",100%,IF(AQ8&gt;손익!$P$9+90,1,0))))+IF(AQ8&lt;손익!$P$9,IF($F$248&gt;0,IF(AQ8&gt;=$F$248,20%),0),0)+IF(AQ8&lt;손익!$P$9,IF($F$247&gt;0,IF(AQ8&gt;=$F$247,10%),0),0)+IF(AQ8&lt;손익!$P$9,IF(AQ8&gt;=$F$246,50%,IF(AQ8&gt;=$F$245,40%,IF(AQ8&gt;=$F$244,30%,IF(AQ8&gt;=$F$243,20%,10%)))),0))),($C$61*$E$236*(IF(LEFT(AQ9,2)="입주",SUM('PF상환 민감도'!$D$3:$E$3)+'PF상환 민감도'!$F$3*30%,IF(LEFT(AP9,2)="입주",SUM('PF상환 민감도'!$D$3:$E$3)+'PF상환 민감도'!$F$3*80%,IF(LEFT(AO9,2)="입주",100%,IF(AQ8&gt;손익!$P$9+90,1,0))))+IF(AQ8&lt;손익!$P$9,IF($B$248&gt;0,IF(AQ8&gt;=$B$248,20%),0),0)+IF(AQ8&lt;손익!$P$9,IF($B$247&gt;0,IF(AQ8&gt;=$B$247,10%),0),0)+IF(AQ8&lt;손익!$P$9,IF(AQ8&gt;=$B$246,50%,IF(AQ8&gt;=$B$245,40%,IF(AQ8&gt;=$B$244,30%,IF(AQ8&gt;=$B$243,20%,10%)))),0))+$C$117*$E$236*(IF(LEFT(AQ65,2)="입주",SUM('PF상환 민감도'!$D$4:$E$4)+'PF상환 민감도'!$F$4*30%,IF(LEFT(AP65,2)="입주",SUM('PF상환 민감도'!$D$4:$E$4)+'PF상환 민감도'!$F$4*80%,IF(LEFT(AO65,2)="입주",100%,IF(AQ8&gt;손익!$P$9+90,1,0))))+IF(AQ8&lt;손익!$P$9,IF($D$248&gt;0,IF(AQ8&gt;=$D$248,20%),0),0)+IF(AQ8&lt;손익!$P$9,IF($D$247&gt;0,IF(AQ8&gt;=$D$247,10%),0),0)+IF(AQ8&lt;손익!$P$9,IF(AQ8&gt;=$D$246,50%,IF(AQ8&gt;=$D$245,40%,IF(AQ8&gt;=$D$244,30%,IF(AQ8&gt;=$D$243,20%,10%)))),0))+$C$173*$E$236*(IF(LEFT(AQ121,2)="입주",SUM('PF상환 민감도'!$D$5:$E$5)+'PF상환 민감도'!$F$5*30%,IF(LEFT(AP121,2)="입주",SUM('PF상환 민감도'!$D$5:$E$5)+'PF상환 민감도'!$F$5*80%,IF(LEFT(AO121,2)="입주",100%,IF(AQ8&gt;손익!$P$9+90,1,0))))+IF(AQ8&lt;손익!$P$9,IF($F$248&gt;0,IF(AQ8&gt;=$F$248,20%),0),0)+IF(AQ8&lt;손익!$P$9,IF($F$247&gt;0,IF(AQ8&gt;=$F$247,10%),0),0)+IF(AQ8&lt;손익!$P$9,IF(AQ8&gt;=$F$246,50%,IF(AQ8&gt;=$F$245,40%,IF(AQ8&gt;=$F$244,30%,IF(AQ8&gt;=$F$243,20%,10%)))),0))+$C$228*$E$236*(IF(LEFT(AQ121,2)="입주",SUM('PF상환 민감도'!$D$6:$E$6)+'PF상환 민감도'!$F$6*30%,IF(LEFT(AP121,2)="입주",SUM('PF상환 민감도'!$D$6:$E$6)+'PF상환 민감도'!$F$6*80%,IF(LEFT(AO121,2)="입주",100%,IF(AQ8&gt;손익!$P$9+90,1,0))))+IF(AQ8&lt;손익!$P$9,IF($F$248&gt;0,IF(AQ8&gt;=$F$248,20%),0),0)+IF(AQ8&lt;손익!$P$9,IF($F$247&gt;0,IF(AQ8&gt;=$F$247,10%),0),0)+IF(AQ8&lt;손익!$P$9,IF(AQ8&gt;=$F$246,50%,IF(AQ8&gt;=$F$245,40%,IF(AQ8&gt;=$F$244,30%,IF(AQ8&gt;=$F$243,20%,10%)))),0)))-SUM($G$236:AP236),AQ232)</f>
        <v>0</v>
      </c>
      <c r="AR236" s="643">
        <f ca="1">IF(SUM($G232:AR$232)&gt;($C$61*$E$236*(IF(LEFT(AR9,2)="입주",SUM('PF상환 민감도'!$D$3:$E$3)+'PF상환 민감도'!$F$3*30%,IF(LEFT(AQ9,2)="입주",SUM('PF상환 민감도'!$D$3:$E$3)+'PF상환 민감도'!$F$3*80%,IF(LEFT(AP9,2)="입주",100%,IF(AR8&gt;손익!$P$9+90,1,0))))+IF(AR8&lt;손익!$P$9,IF($B$248&gt;0,IF(AR8&gt;=$B$248,20%),0),0)+IF(AR8&lt;손익!$P$9,IF($B$247&gt;0,IF(AR8&gt;=$B$247,10%),0),0)+IF(AR8&lt;손익!$P$9,IF(AR8&gt;=$B$246,50%,IF(AR8&gt;=$B$245,40%,IF(AR8&gt;=$B$244,30%,IF(AR8&gt;=$B$243,20%,10%)))),0))+$C$117*$E$236*(IF(LEFT(AR65,2)="입주",SUM('PF상환 민감도'!$D$4:$E$4)+'PF상환 민감도'!$F$4*30%,IF(LEFT(AQ65,2)="입주",SUM('PF상환 민감도'!$D$4:$E$4)+'PF상환 민감도'!$F$4*80%,IF(LEFT(AP65,2)="입주",100%,IF(AR8&gt;손익!$P$9+90,1,0))))+IF(AR8&lt;손익!$P$9,IF($D$248&gt;0,IF(AR8&gt;=$D$248,20%),0),0)+IF(AR8&lt;손익!$P$9,IF($D$247&gt;0,IF(AR8&gt;=$D$247,10%),0),0)+IF(AR8&lt;손익!$P$9,IF(AR8&gt;=$D$246,50%,IF(AR8&gt;=$D$245,40%,IF(AR8&gt;=$D$244,30%,IF(AR8&gt;=$D$243,20%,10%)))),0))+$C$173*$E$236*(IF(LEFT(AR121,2)="입주",SUM('PF상환 민감도'!$D$5:$E$5)+'PF상환 민감도'!$F$5*30%,IF(LEFT(AQ121,2)="입주",SUM('PF상환 민감도'!$D$5:$E$5)+'PF상환 민감도'!$F$5*80%,IF(LEFT(AP121,2)="입주",100%,IF(AR8&gt;손익!$P$9+90,1,0))))+IF(AR8&lt;손익!$P$9,IF($F$248&gt;0,IF(AR8&gt;=$F$248,20%),0),0)+IF(AR8&lt;손익!$P$9,IF($F$247&gt;0,IF(AR8&gt;=$F$247,10%),0),0)+IF(AR8&lt;손익!$P$9,IF(AR8&gt;=$F$246,50%,IF(AR8&gt;=$F$245,40%,IF(AR8&gt;=$F$244,30%,IF(AR8&gt;=$F$243,20%,10%)))),0))+$C$228*$E$236*(IF(LEFT(AR121,2)="입주",SUM('PF상환 민감도'!$D$6:$E$6)+'PF상환 민감도'!$F$6*30%,IF(LEFT(AQ121,2)="입주",SUM('PF상환 민감도'!$D$6:$E$6)+'PF상환 민감도'!$F$6*80%,IF(LEFT(AP121,2)="입주",100%,IF(AR8&gt;손익!$P$9+90,1,0))))+IF(AR8&lt;손익!$P$9,IF($F$248&gt;0,IF(AR8&gt;=$F$248,20%),0),0)+IF(AR8&lt;손익!$P$9,IF($F$247&gt;0,IF(AR8&gt;=$F$247,10%),0),0)+IF(AR8&lt;손익!$P$9,IF(AR8&gt;=$F$246,50%,IF(AR8&gt;=$F$245,40%,IF(AR8&gt;=$F$244,30%,IF(AR8&gt;=$F$243,20%,10%)))),0))),($C$61*$E$236*(IF(LEFT(AR9,2)="입주",SUM('PF상환 민감도'!$D$3:$E$3)+'PF상환 민감도'!$F$3*30%,IF(LEFT(AQ9,2)="입주",SUM('PF상환 민감도'!$D$3:$E$3)+'PF상환 민감도'!$F$3*80%,IF(LEFT(AP9,2)="입주",100%,IF(AR8&gt;손익!$P$9+90,1,0))))+IF(AR8&lt;손익!$P$9,IF($B$248&gt;0,IF(AR8&gt;=$B$248,20%),0),0)+IF(AR8&lt;손익!$P$9,IF($B$247&gt;0,IF(AR8&gt;=$B$247,10%),0),0)+IF(AR8&lt;손익!$P$9,IF(AR8&gt;=$B$246,50%,IF(AR8&gt;=$B$245,40%,IF(AR8&gt;=$B$244,30%,IF(AR8&gt;=$B$243,20%,10%)))),0))+$C$117*$E$236*(IF(LEFT(AR65,2)="입주",SUM('PF상환 민감도'!$D$4:$E$4)+'PF상환 민감도'!$F$4*30%,IF(LEFT(AQ65,2)="입주",SUM('PF상환 민감도'!$D$4:$E$4)+'PF상환 민감도'!$F$4*80%,IF(LEFT(AP65,2)="입주",100%,IF(AR8&gt;손익!$P$9+90,1,0))))+IF(AR8&lt;손익!$P$9,IF($D$248&gt;0,IF(AR8&gt;=$D$248,20%),0),0)+IF(AR8&lt;손익!$P$9,IF($D$247&gt;0,IF(AR8&gt;=$D$247,10%),0),0)+IF(AR8&lt;손익!$P$9,IF(AR8&gt;=$D$246,50%,IF(AR8&gt;=$D$245,40%,IF(AR8&gt;=$D$244,30%,IF(AR8&gt;=$D$243,20%,10%)))),0))+$C$173*$E$236*(IF(LEFT(AR121,2)="입주",SUM('PF상환 민감도'!$D$5:$E$5)+'PF상환 민감도'!$F$5*30%,IF(LEFT(AQ121,2)="입주",SUM('PF상환 민감도'!$D$5:$E$5)+'PF상환 민감도'!$F$5*80%,IF(LEFT(AP121,2)="입주",100%,IF(AR8&gt;손익!$P$9+90,1,0))))+IF(AR8&lt;손익!$P$9,IF($F$248&gt;0,IF(AR8&gt;=$F$248,20%),0),0)+IF(AR8&lt;손익!$P$9,IF($F$247&gt;0,IF(AR8&gt;=$F$247,10%),0),0)+IF(AR8&lt;손익!$P$9,IF(AR8&gt;=$F$246,50%,IF(AR8&gt;=$F$245,40%,IF(AR8&gt;=$F$244,30%,IF(AR8&gt;=$F$243,20%,10%)))),0))+$C$228*$E$236*(IF(LEFT(AR121,2)="입주",SUM('PF상환 민감도'!$D$6:$E$6)+'PF상환 민감도'!$F$6*30%,IF(LEFT(AQ121,2)="입주",SUM('PF상환 민감도'!$D$6:$E$6)+'PF상환 민감도'!$F$6*80%,IF(LEFT(AP121,2)="입주",100%,IF(AR8&gt;손익!$P$9+90,1,0))))+IF(AR8&lt;손익!$P$9,IF($F$248&gt;0,IF(AR8&gt;=$F$248,20%),0),0)+IF(AR8&lt;손익!$P$9,IF($F$247&gt;0,IF(AR8&gt;=$F$247,10%),0),0)+IF(AR8&lt;손익!$P$9,IF(AR8&gt;=$F$246,50%,IF(AR8&gt;=$F$245,40%,IF(AR8&gt;=$F$244,30%,IF(AR8&gt;=$F$243,20%,10%)))),0)))-SUM($G$236:AQ236),AR232)</f>
        <v>-153627719.8103016</v>
      </c>
      <c r="AS236" s="643">
        <f ca="1">IF(SUM($G232:AS$232)&gt;($C$61*$E$236*(IF(LEFT(AS9,2)="입주",SUM('PF상환 민감도'!$D$3:$E$3)+'PF상환 민감도'!$F$3*30%,IF(LEFT(AR9,2)="입주",SUM('PF상환 민감도'!$D$3:$E$3)+'PF상환 민감도'!$F$3*80%,IF(LEFT(AQ9,2)="입주",100%,IF(AS8&gt;손익!$P$9+90,1,0))))+IF(AS8&lt;손익!$P$9,IF($B$248&gt;0,IF(AS8&gt;=$B$248,20%),0),0)+IF(AS8&lt;손익!$P$9,IF($B$247&gt;0,IF(AS8&gt;=$B$247,10%),0),0)+IF(AS8&lt;손익!$P$9,IF(AS8&gt;=$B$246,50%,IF(AS8&gt;=$B$245,40%,IF(AS8&gt;=$B$244,30%,IF(AS8&gt;=$B$243,20%,10%)))),0))+$C$117*$E$236*(IF(LEFT(AS65,2)="입주",SUM('PF상환 민감도'!$D$4:$E$4)+'PF상환 민감도'!$F$4*30%,IF(LEFT(AR65,2)="입주",SUM('PF상환 민감도'!$D$4:$E$4)+'PF상환 민감도'!$F$4*80%,IF(LEFT(AQ65,2)="입주",100%,IF(AS8&gt;손익!$P$9+90,1,0))))+IF(AS8&lt;손익!$P$9,IF($D$248&gt;0,IF(AS8&gt;=$D$248,20%),0),0)+IF(AS8&lt;손익!$P$9,IF($D$247&gt;0,IF(AS8&gt;=$D$247,10%),0),0)+IF(AS8&lt;손익!$P$9,IF(AS8&gt;=$D$246,50%,IF(AS8&gt;=$D$245,40%,IF(AS8&gt;=$D$244,30%,IF(AS8&gt;=$D$243,20%,10%)))),0))+$C$173*$E$236*(IF(LEFT(AS121,2)="입주",SUM('PF상환 민감도'!$D$5:$E$5)+'PF상환 민감도'!$F$5*30%,IF(LEFT(AR121,2)="입주",SUM('PF상환 민감도'!$D$5:$E$5)+'PF상환 민감도'!$F$5*80%,IF(LEFT(AQ121,2)="입주",100%,IF(AS8&gt;손익!$P$9+90,1,0))))+IF(AS8&lt;손익!$P$9,IF($F$248&gt;0,IF(AS8&gt;=$F$248,20%),0),0)+IF(AS8&lt;손익!$P$9,IF($F$247&gt;0,IF(AS8&gt;=$F$247,10%),0),0)+IF(AS8&lt;손익!$P$9,IF(AS8&gt;=$F$246,50%,IF(AS8&gt;=$F$245,40%,IF(AS8&gt;=$F$244,30%,IF(AS8&gt;=$F$243,20%,10%)))),0))+$C$228*$E$236*(IF(LEFT(AS121,2)="입주",SUM('PF상환 민감도'!$D$6:$E$6)+'PF상환 민감도'!$F$6*30%,IF(LEFT(AR121,2)="입주",SUM('PF상환 민감도'!$D$6:$E$6)+'PF상환 민감도'!$F$6*80%,IF(LEFT(AQ121,2)="입주",100%,IF(AS8&gt;손익!$P$9+90,1,0))))+IF(AS8&lt;손익!$P$9,IF($F$248&gt;0,IF(AS8&gt;=$F$248,20%),0),0)+IF(AS8&lt;손익!$P$9,IF($F$247&gt;0,IF(AS8&gt;=$F$247,10%),0),0)+IF(AS8&lt;손익!$P$9,IF(AS8&gt;=$F$246,50%,IF(AS8&gt;=$F$245,40%,IF(AS8&gt;=$F$244,30%,IF(AS8&gt;=$F$243,20%,10%)))),0))),($C$61*$E$236*(IF(LEFT(AS9,2)="입주",SUM('PF상환 민감도'!$D$3:$E$3)+'PF상환 민감도'!$F$3*30%,IF(LEFT(AR9,2)="입주",SUM('PF상환 민감도'!$D$3:$E$3)+'PF상환 민감도'!$F$3*80%,IF(LEFT(AQ9,2)="입주",100%,IF(AS8&gt;손익!$P$9+90,1,0))))+IF(AS8&lt;손익!$P$9,IF($B$248&gt;0,IF(AS8&gt;=$B$248,20%),0),0)+IF(AS8&lt;손익!$P$9,IF($B$247&gt;0,IF(AS8&gt;=$B$247,10%),0),0)+IF(AS8&lt;손익!$P$9,IF(AS8&gt;=$B$246,50%,IF(AS8&gt;=$B$245,40%,IF(AS8&gt;=$B$244,30%,IF(AS8&gt;=$B$243,20%,10%)))),0))+$C$117*$E$236*(IF(LEFT(AS65,2)="입주",SUM('PF상환 민감도'!$D$4:$E$4)+'PF상환 민감도'!$F$4*30%,IF(LEFT(AR65,2)="입주",SUM('PF상환 민감도'!$D$4:$E$4)+'PF상환 민감도'!$F$4*80%,IF(LEFT(AQ65,2)="입주",100%,IF(AS8&gt;손익!$P$9+90,1,0))))+IF(AS8&lt;손익!$P$9,IF($D$248&gt;0,IF(AS8&gt;=$D$248,20%),0),0)+IF(AS8&lt;손익!$P$9,IF($D$247&gt;0,IF(AS8&gt;=$D$247,10%),0),0)+IF(AS8&lt;손익!$P$9,IF(AS8&gt;=$D$246,50%,IF(AS8&gt;=$D$245,40%,IF(AS8&gt;=$D$244,30%,IF(AS8&gt;=$D$243,20%,10%)))),0))+$C$173*$E$236*(IF(LEFT(AS121,2)="입주",SUM('PF상환 민감도'!$D$5:$E$5)+'PF상환 민감도'!$F$5*30%,IF(LEFT(AR121,2)="입주",SUM('PF상환 민감도'!$D$5:$E$5)+'PF상환 민감도'!$F$5*80%,IF(LEFT(AQ121,2)="입주",100%,IF(AS8&gt;손익!$P$9+90,1,0))))+IF(AS8&lt;손익!$P$9,IF($F$248&gt;0,IF(AS8&gt;=$F$248,20%),0),0)+IF(AS8&lt;손익!$P$9,IF($F$247&gt;0,IF(AS8&gt;=$F$247,10%),0),0)+IF(AS8&lt;손익!$P$9,IF(AS8&gt;=$F$246,50%,IF(AS8&gt;=$F$245,40%,IF(AS8&gt;=$F$244,30%,IF(AS8&gt;=$F$243,20%,10%)))),0))+$C$228*$E$236*(IF(LEFT(AS121,2)="입주",SUM('PF상환 민감도'!$D$6:$E$6)+'PF상환 민감도'!$F$6*30%,IF(LEFT(AR121,2)="입주",SUM('PF상환 민감도'!$D$6:$E$6)+'PF상환 민감도'!$F$6*80%,IF(LEFT(AQ121,2)="입주",100%,IF(AS8&gt;손익!$P$9+90,1,0))))+IF(AS8&lt;손익!$P$9,IF($F$248&gt;0,IF(AS8&gt;=$F$248,20%),0),0)+IF(AS8&lt;손익!$P$9,IF($F$247&gt;0,IF(AS8&gt;=$F$247,10%),0),0)+IF(AS8&lt;손익!$P$9,IF(AS8&gt;=$F$246,50%,IF(AS8&gt;=$F$245,40%,IF(AS8&gt;=$F$244,30%,IF(AS8&gt;=$F$243,20%,10%)))),0)))-SUM($G$236:AR236),AS232)</f>
        <v>162058978.29463285</v>
      </c>
      <c r="AT236" s="643">
        <f ca="1">IF(SUM($G232:AT$232)&gt;($C$61*$E$236*(IF(LEFT(AT9,2)="입주",SUM('PF상환 민감도'!$D$3:$E$3)+'PF상환 민감도'!$F$3*30%,IF(LEFT(AS9,2)="입주",SUM('PF상환 민감도'!$D$3:$E$3)+'PF상환 민감도'!$F$3*80%,IF(LEFT(AR9,2)="입주",100%,IF(AT8&gt;손익!$P$9+90,1,0))))+IF(AT8&lt;손익!$P$9,IF($B$248&gt;0,IF(AT8&gt;=$B$248,20%),0),0)+IF(AT8&lt;손익!$P$9,IF($B$247&gt;0,IF(AT8&gt;=$B$247,10%),0),0)+IF(AT8&lt;손익!$P$9,IF(AT8&gt;=$B$246,50%,IF(AT8&gt;=$B$245,40%,IF(AT8&gt;=$B$244,30%,IF(AT8&gt;=$B$243,20%,10%)))),0))+$C$117*$E$236*(IF(LEFT(AT65,2)="입주",SUM('PF상환 민감도'!$D$4:$E$4)+'PF상환 민감도'!$F$4*30%,IF(LEFT(AS65,2)="입주",SUM('PF상환 민감도'!$D$4:$E$4)+'PF상환 민감도'!$F$4*80%,IF(LEFT(AR65,2)="입주",100%,IF(AT8&gt;손익!$P$9+90,1,0))))+IF(AT8&lt;손익!$P$9,IF($D$248&gt;0,IF(AT8&gt;=$D$248,20%),0),0)+IF(AT8&lt;손익!$P$9,IF($D$247&gt;0,IF(AT8&gt;=$D$247,10%),0),0)+IF(AT8&lt;손익!$P$9,IF(AT8&gt;=$D$246,50%,IF(AT8&gt;=$D$245,40%,IF(AT8&gt;=$D$244,30%,IF(AT8&gt;=$D$243,20%,10%)))),0))+$C$173*$E$236*(IF(LEFT(AT121,2)="입주",SUM('PF상환 민감도'!$D$5:$E$5)+'PF상환 민감도'!$F$5*30%,IF(LEFT(AS121,2)="입주",SUM('PF상환 민감도'!$D$5:$E$5)+'PF상환 민감도'!$F$5*80%,IF(LEFT(AR121,2)="입주",100%,IF(AT8&gt;손익!$P$9+90,1,0))))+IF(AT8&lt;손익!$P$9,IF($F$248&gt;0,IF(AT8&gt;=$F$248,20%),0),0)+IF(AT8&lt;손익!$P$9,IF($F$247&gt;0,IF(AT8&gt;=$F$247,10%),0),0)+IF(AT8&lt;손익!$P$9,IF(AT8&gt;=$F$246,50%,IF(AT8&gt;=$F$245,40%,IF(AT8&gt;=$F$244,30%,IF(AT8&gt;=$F$243,20%,10%)))),0))+$C$228*$E$236*(IF(LEFT(AT121,2)="입주",SUM('PF상환 민감도'!$D$6:$E$6)+'PF상환 민감도'!$F$6*30%,IF(LEFT(AS121,2)="입주",SUM('PF상환 민감도'!$D$6:$E$6)+'PF상환 민감도'!$F$6*80%,IF(LEFT(AR121,2)="입주",100%,IF(AT8&gt;손익!$P$9+90,1,0))))+IF(AT8&lt;손익!$P$9,IF($F$248&gt;0,IF(AT8&gt;=$F$248,20%),0),0)+IF(AT8&lt;손익!$P$9,IF($F$247&gt;0,IF(AT8&gt;=$F$247,10%),0),0)+IF(AT8&lt;손익!$P$9,IF(AT8&gt;=$F$246,50%,IF(AT8&gt;=$F$245,40%,IF(AT8&gt;=$F$244,30%,IF(AT8&gt;=$F$243,20%,10%)))),0))),($C$61*$E$236*(IF(LEFT(AT9,2)="입주",SUM('PF상환 민감도'!$D$3:$E$3)+'PF상환 민감도'!$F$3*30%,IF(LEFT(AS9,2)="입주",SUM('PF상환 민감도'!$D$3:$E$3)+'PF상환 민감도'!$F$3*80%,IF(LEFT(AR9,2)="입주",100%,IF(AT8&gt;손익!$P$9+90,1,0))))+IF(AT8&lt;손익!$P$9,IF($B$248&gt;0,IF(AT8&gt;=$B$248,20%),0),0)+IF(AT8&lt;손익!$P$9,IF($B$247&gt;0,IF(AT8&gt;=$B$247,10%),0),0)+IF(AT8&lt;손익!$P$9,IF(AT8&gt;=$B$246,50%,IF(AT8&gt;=$B$245,40%,IF(AT8&gt;=$B$244,30%,IF(AT8&gt;=$B$243,20%,10%)))),0))+$C$117*$E$236*(IF(LEFT(AT65,2)="입주",SUM('PF상환 민감도'!$D$4:$E$4)+'PF상환 민감도'!$F$4*30%,IF(LEFT(AS65,2)="입주",SUM('PF상환 민감도'!$D$4:$E$4)+'PF상환 민감도'!$F$4*80%,IF(LEFT(AR65,2)="입주",100%,IF(AT8&gt;손익!$P$9+90,1,0))))+IF(AT8&lt;손익!$P$9,IF($D$248&gt;0,IF(AT8&gt;=$D$248,20%),0),0)+IF(AT8&lt;손익!$P$9,IF($D$247&gt;0,IF(AT8&gt;=$D$247,10%),0),0)+IF(AT8&lt;손익!$P$9,IF(AT8&gt;=$D$246,50%,IF(AT8&gt;=$D$245,40%,IF(AT8&gt;=$D$244,30%,IF(AT8&gt;=$D$243,20%,10%)))),0))+$C$173*$E$236*(IF(LEFT(AT121,2)="입주",SUM('PF상환 민감도'!$D$5:$E$5)+'PF상환 민감도'!$F$5*30%,IF(LEFT(AS121,2)="입주",SUM('PF상환 민감도'!$D$5:$E$5)+'PF상환 민감도'!$F$5*80%,IF(LEFT(AR121,2)="입주",100%,IF(AT8&gt;손익!$P$9+90,1,0))))+IF(AT8&lt;손익!$P$9,IF($F$248&gt;0,IF(AT8&gt;=$F$248,20%),0),0)+IF(AT8&lt;손익!$P$9,IF($F$247&gt;0,IF(AT8&gt;=$F$247,10%),0),0)+IF(AT8&lt;손익!$P$9,IF(AT8&gt;=$F$246,50%,IF(AT8&gt;=$F$245,40%,IF(AT8&gt;=$F$244,30%,IF(AT8&gt;=$F$243,20%,10%)))),0))+$C$228*$E$236*(IF(LEFT(AT121,2)="입주",SUM('PF상환 민감도'!$D$6:$E$6)+'PF상환 민감도'!$F$6*30%,IF(LEFT(AS121,2)="입주",SUM('PF상환 민감도'!$D$6:$E$6)+'PF상환 민감도'!$F$6*80%,IF(LEFT(AR121,2)="입주",100%,IF(AT8&gt;손익!$P$9+90,1,0))))+IF(AT8&lt;손익!$P$9,IF($F$248&gt;0,IF(AT8&gt;=$F$248,20%),0),0)+IF(AT8&lt;손익!$P$9,IF($F$247&gt;0,IF(AT8&gt;=$F$247,10%),0),0)+IF(AT8&lt;손익!$P$9,IF(AT8&gt;=$F$246,50%,IF(AT8&gt;=$F$245,40%,IF(AT8&gt;=$F$244,30%,IF(AT8&gt;=$F$243,20%,10%)))),0)))-SUM($G$236:AS236),AT232)</f>
        <v>3482411.6340359747</v>
      </c>
      <c r="AU236" s="643">
        <f ca="1">IF(SUM($G232:AU$232)&gt;($C$61*$E$236*(IF(LEFT(AU9,2)="입주",SUM('PF상환 민감도'!$D$3:$E$3)+'PF상환 민감도'!$F$3*30%,IF(LEFT(AT9,2)="입주",SUM('PF상환 민감도'!$D$3:$E$3)+'PF상환 민감도'!$F$3*80%,IF(LEFT(AS9,2)="입주",100%,IF(AU8&gt;손익!$P$9+90,1,0))))+IF(AU8&lt;손익!$P$9,IF($B$248&gt;0,IF(AU8&gt;=$B$248,20%),0),0)+IF(AU8&lt;손익!$P$9,IF($B$247&gt;0,IF(AU8&gt;=$B$247,10%),0),0)+IF(AU8&lt;손익!$P$9,IF(AU8&gt;=$B$246,50%,IF(AU8&gt;=$B$245,40%,IF(AU8&gt;=$B$244,30%,IF(AU8&gt;=$B$243,20%,10%)))),0))+$C$117*$E$236*(IF(LEFT(AU65,2)="입주",SUM('PF상환 민감도'!$D$4:$E$4)+'PF상환 민감도'!$F$4*30%,IF(LEFT(AT65,2)="입주",SUM('PF상환 민감도'!$D$4:$E$4)+'PF상환 민감도'!$F$4*80%,IF(LEFT(AS65,2)="입주",100%,IF(AU8&gt;손익!$P$9+90,1,0))))+IF(AU8&lt;손익!$P$9,IF($D$248&gt;0,IF(AU8&gt;=$D$248,20%),0),0)+IF(AU8&lt;손익!$P$9,IF($D$247&gt;0,IF(AU8&gt;=$D$247,10%),0),0)+IF(AU8&lt;손익!$P$9,IF(AU8&gt;=$D$246,50%,IF(AU8&gt;=$D$245,40%,IF(AU8&gt;=$D$244,30%,IF(AU8&gt;=$D$243,20%,10%)))),0))+$C$173*$E$236*(IF(LEFT(AU121,2)="입주",SUM('PF상환 민감도'!$D$5:$E$5)+'PF상환 민감도'!$F$5*30%,IF(LEFT(AT121,2)="입주",SUM('PF상환 민감도'!$D$5:$E$5)+'PF상환 민감도'!$F$5*80%,IF(LEFT(AS121,2)="입주",100%,IF(AU8&gt;손익!$P$9+90,1,0))))+IF(AU8&lt;손익!$P$9,IF($F$248&gt;0,IF(AU8&gt;=$F$248,20%),0),0)+IF(AU8&lt;손익!$P$9,IF($F$247&gt;0,IF(AU8&gt;=$F$247,10%),0),0)+IF(AU8&lt;손익!$P$9,IF(AU8&gt;=$F$246,50%,IF(AU8&gt;=$F$245,40%,IF(AU8&gt;=$F$244,30%,IF(AU8&gt;=$F$243,20%,10%)))),0))+$C$228*$E$236*(IF(LEFT(AU121,2)="입주",SUM('PF상환 민감도'!$D$6:$E$6)+'PF상환 민감도'!$F$6*30%,IF(LEFT(AT121,2)="입주",SUM('PF상환 민감도'!$D$6:$E$6)+'PF상환 민감도'!$F$6*80%,IF(LEFT(AS121,2)="입주",100%,IF(AU8&gt;손익!$P$9+90,1,0))))+IF(AU8&lt;손익!$P$9,IF($F$248&gt;0,IF(AU8&gt;=$F$248,20%),0),0)+IF(AU8&lt;손익!$P$9,IF($F$247&gt;0,IF(AU8&gt;=$F$247,10%),0),0)+IF(AU8&lt;손익!$P$9,IF(AU8&gt;=$F$246,50%,IF(AU8&gt;=$F$245,40%,IF(AU8&gt;=$F$244,30%,IF(AU8&gt;=$F$243,20%,10%)))),0))),($C$61*$E$236*(IF(LEFT(AU9,2)="입주",SUM('PF상환 민감도'!$D$3:$E$3)+'PF상환 민감도'!$F$3*30%,IF(LEFT(AT9,2)="입주",SUM('PF상환 민감도'!$D$3:$E$3)+'PF상환 민감도'!$F$3*80%,IF(LEFT(AS9,2)="입주",100%,IF(AU8&gt;손익!$P$9+90,1,0))))+IF(AU8&lt;손익!$P$9,IF($B$248&gt;0,IF(AU8&gt;=$B$248,20%),0),0)+IF(AU8&lt;손익!$P$9,IF($B$247&gt;0,IF(AU8&gt;=$B$247,10%),0),0)+IF(AU8&lt;손익!$P$9,IF(AU8&gt;=$B$246,50%,IF(AU8&gt;=$B$245,40%,IF(AU8&gt;=$B$244,30%,IF(AU8&gt;=$B$243,20%,10%)))),0))+$C$117*$E$236*(IF(LEFT(AU65,2)="입주",SUM('PF상환 민감도'!$D$4:$E$4)+'PF상환 민감도'!$F$4*30%,IF(LEFT(AT65,2)="입주",SUM('PF상환 민감도'!$D$4:$E$4)+'PF상환 민감도'!$F$4*80%,IF(LEFT(AS65,2)="입주",100%,IF(AU8&gt;손익!$P$9+90,1,0))))+IF(AU8&lt;손익!$P$9,IF($D$248&gt;0,IF(AU8&gt;=$D$248,20%),0),0)+IF(AU8&lt;손익!$P$9,IF($D$247&gt;0,IF(AU8&gt;=$D$247,10%),0),0)+IF(AU8&lt;손익!$P$9,IF(AU8&gt;=$D$246,50%,IF(AU8&gt;=$D$245,40%,IF(AU8&gt;=$D$244,30%,IF(AU8&gt;=$D$243,20%,10%)))),0))+$C$173*$E$236*(IF(LEFT(AU121,2)="입주",SUM('PF상환 민감도'!$D$5:$E$5)+'PF상환 민감도'!$F$5*30%,IF(LEFT(AT121,2)="입주",SUM('PF상환 민감도'!$D$5:$E$5)+'PF상환 민감도'!$F$5*80%,IF(LEFT(AS121,2)="입주",100%,IF(AU8&gt;손익!$P$9+90,1,0))))+IF(AU8&lt;손익!$P$9,IF($F$248&gt;0,IF(AU8&gt;=$F$248,20%),0),0)+IF(AU8&lt;손익!$P$9,IF($F$247&gt;0,IF(AU8&gt;=$F$247,10%),0),0)+IF(AU8&lt;손익!$P$9,IF(AU8&gt;=$F$246,50%,IF(AU8&gt;=$F$245,40%,IF(AU8&gt;=$F$244,30%,IF(AU8&gt;=$F$243,20%,10%)))),0))+$C$228*$E$236*(IF(LEFT(AU121,2)="입주",SUM('PF상환 민감도'!$D$6:$E$6)+'PF상환 민감도'!$F$6*30%,IF(LEFT(AT121,2)="입주",SUM('PF상환 민감도'!$D$6:$E$6)+'PF상환 민감도'!$F$6*80%,IF(LEFT(AS121,2)="입주",100%,IF(AU8&gt;손익!$P$9+90,1,0))))+IF(AU8&lt;손익!$P$9,IF($F$248&gt;0,IF(AU8&gt;=$F$248,20%),0),0)+IF(AU8&lt;손익!$P$9,IF($F$247&gt;0,IF(AU8&gt;=$F$247,10%),0),0)+IF(AU8&lt;손익!$P$9,IF(AU8&gt;=$F$246,50%,IF(AU8&gt;=$F$245,40%,IF(AU8&gt;=$F$244,30%,IF(AU8&gt;=$F$243,20%,10%)))),0)))-SUM($G$236:AT236),AU232)</f>
        <v>0</v>
      </c>
      <c r="AV236" s="643">
        <f ca="1">IF(SUM($G232:AV$232)&gt;($C$61*$E$236*(IF(LEFT(AV9,2)="입주",SUM('PF상환 민감도'!$D$3:$E$3)+'PF상환 민감도'!$F$3*30%,IF(LEFT(AU9,2)="입주",SUM('PF상환 민감도'!$D$3:$E$3)+'PF상환 민감도'!$F$3*80%,IF(LEFT(AT9,2)="입주",100%,IF(AV8&gt;손익!$P$9+90,1,0))))+IF(AV8&lt;손익!$P$9,IF($B$248&gt;0,IF(AV8&gt;=$B$248,20%),0),0)+IF(AV8&lt;손익!$P$9,IF($B$247&gt;0,IF(AV8&gt;=$B$247,10%),0),0)+IF(AV8&lt;손익!$P$9,IF(AV8&gt;=$B$246,50%,IF(AV8&gt;=$B$245,40%,IF(AV8&gt;=$B$244,30%,IF(AV8&gt;=$B$243,20%,10%)))),0))+$C$117*$E$236*(IF(LEFT(AV65,2)="입주",SUM('PF상환 민감도'!$D$4:$E$4)+'PF상환 민감도'!$F$4*30%,IF(LEFT(AU65,2)="입주",SUM('PF상환 민감도'!$D$4:$E$4)+'PF상환 민감도'!$F$4*80%,IF(LEFT(AT65,2)="입주",100%,IF(AV8&gt;손익!$P$9+90,1,0))))+IF(AV8&lt;손익!$P$9,IF($D$248&gt;0,IF(AV8&gt;=$D$248,20%),0),0)+IF(AV8&lt;손익!$P$9,IF($D$247&gt;0,IF(AV8&gt;=$D$247,10%),0),0)+IF(AV8&lt;손익!$P$9,IF(AV8&gt;=$D$246,50%,IF(AV8&gt;=$D$245,40%,IF(AV8&gt;=$D$244,30%,IF(AV8&gt;=$D$243,20%,10%)))),0))+$C$173*$E$236*(IF(LEFT(AV121,2)="입주",SUM('PF상환 민감도'!$D$5:$E$5)+'PF상환 민감도'!$F$5*30%,IF(LEFT(AU121,2)="입주",SUM('PF상환 민감도'!$D$5:$E$5)+'PF상환 민감도'!$F$5*80%,IF(LEFT(AT121,2)="입주",100%,IF(AV8&gt;손익!$P$9+90,1,0))))+IF(AV8&lt;손익!$P$9,IF($F$248&gt;0,IF(AV8&gt;=$F$248,20%),0),0)+IF(AV8&lt;손익!$P$9,IF($F$247&gt;0,IF(AV8&gt;=$F$247,10%),0),0)+IF(AV8&lt;손익!$P$9,IF(AV8&gt;=$F$246,50%,IF(AV8&gt;=$F$245,40%,IF(AV8&gt;=$F$244,30%,IF(AV8&gt;=$F$243,20%,10%)))),0))+$C$228*$E$236*(IF(LEFT(AV121,2)="입주",SUM('PF상환 민감도'!$D$6:$E$6)+'PF상환 민감도'!$F$6*30%,IF(LEFT(AU121,2)="입주",SUM('PF상환 민감도'!$D$6:$E$6)+'PF상환 민감도'!$F$6*80%,IF(LEFT(AT121,2)="입주",100%,IF(AV8&gt;손익!$P$9+90,1,0))))+IF(AV8&lt;손익!$P$9,IF($F$248&gt;0,IF(AV8&gt;=$F$248,20%),0),0)+IF(AV8&lt;손익!$P$9,IF($F$247&gt;0,IF(AV8&gt;=$F$247,10%),0),0)+IF(AV8&lt;손익!$P$9,IF(AV8&gt;=$F$246,50%,IF(AV8&gt;=$F$245,40%,IF(AV8&gt;=$F$244,30%,IF(AV8&gt;=$F$243,20%,10%)))),0))),($C$61*$E$236*(IF(LEFT(AV9,2)="입주",SUM('PF상환 민감도'!$D$3:$E$3)+'PF상환 민감도'!$F$3*30%,IF(LEFT(AU9,2)="입주",SUM('PF상환 민감도'!$D$3:$E$3)+'PF상환 민감도'!$F$3*80%,IF(LEFT(AT9,2)="입주",100%,IF(AV8&gt;손익!$P$9+90,1,0))))+IF(AV8&lt;손익!$P$9,IF($B$248&gt;0,IF(AV8&gt;=$B$248,20%),0),0)+IF(AV8&lt;손익!$P$9,IF($B$247&gt;0,IF(AV8&gt;=$B$247,10%),0),0)+IF(AV8&lt;손익!$P$9,IF(AV8&gt;=$B$246,50%,IF(AV8&gt;=$B$245,40%,IF(AV8&gt;=$B$244,30%,IF(AV8&gt;=$B$243,20%,10%)))),0))+$C$117*$E$236*(IF(LEFT(AV65,2)="입주",SUM('PF상환 민감도'!$D$4:$E$4)+'PF상환 민감도'!$F$4*30%,IF(LEFT(AU65,2)="입주",SUM('PF상환 민감도'!$D$4:$E$4)+'PF상환 민감도'!$F$4*80%,IF(LEFT(AT65,2)="입주",100%,IF(AV8&gt;손익!$P$9+90,1,0))))+IF(AV8&lt;손익!$P$9,IF($D$248&gt;0,IF(AV8&gt;=$D$248,20%),0),0)+IF(AV8&lt;손익!$P$9,IF($D$247&gt;0,IF(AV8&gt;=$D$247,10%),0),0)+IF(AV8&lt;손익!$P$9,IF(AV8&gt;=$D$246,50%,IF(AV8&gt;=$D$245,40%,IF(AV8&gt;=$D$244,30%,IF(AV8&gt;=$D$243,20%,10%)))),0))+$C$173*$E$236*(IF(LEFT(AV121,2)="입주",SUM('PF상환 민감도'!$D$5:$E$5)+'PF상환 민감도'!$F$5*30%,IF(LEFT(AU121,2)="입주",SUM('PF상환 민감도'!$D$5:$E$5)+'PF상환 민감도'!$F$5*80%,IF(LEFT(AT121,2)="입주",100%,IF(AV8&gt;손익!$P$9+90,1,0))))+IF(AV8&lt;손익!$P$9,IF($F$248&gt;0,IF(AV8&gt;=$F$248,20%),0),0)+IF(AV8&lt;손익!$P$9,IF($F$247&gt;0,IF(AV8&gt;=$F$247,10%),0),0)+IF(AV8&lt;손익!$P$9,IF(AV8&gt;=$F$246,50%,IF(AV8&gt;=$F$245,40%,IF(AV8&gt;=$F$244,30%,IF(AV8&gt;=$F$243,20%,10%)))),0))+$C$228*$E$236*(IF(LEFT(AV121,2)="입주",SUM('PF상환 민감도'!$D$6:$E$6)+'PF상환 민감도'!$F$6*30%,IF(LEFT(AU121,2)="입주",SUM('PF상환 민감도'!$D$6:$E$6)+'PF상환 민감도'!$F$6*80%,IF(LEFT(AT121,2)="입주",100%,IF(AV8&gt;손익!$P$9+90,1,0))))+IF(AV8&lt;손익!$P$9,IF($F$248&gt;0,IF(AV8&gt;=$F$248,20%),0),0)+IF(AV8&lt;손익!$P$9,IF($F$247&gt;0,IF(AV8&gt;=$F$247,10%),0),0)+IF(AV8&lt;손익!$P$9,IF(AV8&gt;=$F$246,50%,IF(AV8&gt;=$F$245,40%,IF(AV8&gt;=$F$244,30%,IF(AV8&gt;=$F$243,20%,10%)))),0)))-SUM($G$236:AU236),AV232)</f>
        <v>0</v>
      </c>
      <c r="AW236" s="643">
        <f ca="1">IF(SUM($G232:AW$232)&gt;($C$61*$E$236*(IF(LEFT(AW9,2)="입주",SUM('PF상환 민감도'!$D$3:$E$3)+'PF상환 민감도'!$F$3*30%,IF(LEFT(AV9,2)="입주",SUM('PF상환 민감도'!$D$3:$E$3)+'PF상환 민감도'!$F$3*80%,IF(LEFT(AU9,2)="입주",100%,IF(AW8&gt;손익!$P$9+90,1,0))))+IF(AW8&lt;손익!$P$9,IF($B$248&gt;0,IF(AW8&gt;=$B$248,20%),0),0)+IF(AW8&lt;손익!$P$9,IF($B$247&gt;0,IF(AW8&gt;=$B$247,10%),0),0)+IF(AW8&lt;손익!$P$9,IF(AW8&gt;=$B$246,50%,IF(AW8&gt;=$B$245,40%,IF(AW8&gt;=$B$244,30%,IF(AW8&gt;=$B$243,20%,10%)))),0))+$C$117*$E$236*(IF(LEFT(AW65,2)="입주",SUM('PF상환 민감도'!$D$4:$E$4)+'PF상환 민감도'!$F$4*30%,IF(LEFT(AV65,2)="입주",SUM('PF상환 민감도'!$D$4:$E$4)+'PF상환 민감도'!$F$4*80%,IF(LEFT(AU65,2)="입주",100%,IF(AW8&gt;손익!$P$9+90,1,0))))+IF(AW8&lt;손익!$P$9,IF($D$248&gt;0,IF(AW8&gt;=$D$248,20%),0),0)+IF(AW8&lt;손익!$P$9,IF($D$247&gt;0,IF(AW8&gt;=$D$247,10%),0),0)+IF(AW8&lt;손익!$P$9,IF(AW8&gt;=$D$246,50%,IF(AW8&gt;=$D$245,40%,IF(AW8&gt;=$D$244,30%,IF(AW8&gt;=$D$243,20%,10%)))),0))+$C$173*$E$236*(IF(LEFT(AW121,2)="입주",SUM('PF상환 민감도'!$D$5:$E$5)+'PF상환 민감도'!$F$5*30%,IF(LEFT(AV121,2)="입주",SUM('PF상환 민감도'!$D$5:$E$5)+'PF상환 민감도'!$F$5*80%,IF(LEFT(AU121,2)="입주",100%,IF(AW8&gt;손익!$P$9+90,1,0))))+IF(AW8&lt;손익!$P$9,IF($F$248&gt;0,IF(AW8&gt;=$F$248,20%),0),0)+IF(AW8&lt;손익!$P$9,IF($F$247&gt;0,IF(AW8&gt;=$F$247,10%),0),0)+IF(AW8&lt;손익!$P$9,IF(AW8&gt;=$F$246,50%,IF(AW8&gt;=$F$245,40%,IF(AW8&gt;=$F$244,30%,IF(AW8&gt;=$F$243,20%,10%)))),0))+$C$228*$E$236*(IF(LEFT(AW121,2)="입주",SUM('PF상환 민감도'!$D$6:$E$6)+'PF상환 민감도'!$F$6*30%,IF(LEFT(AV121,2)="입주",SUM('PF상환 민감도'!$D$6:$E$6)+'PF상환 민감도'!$F$6*80%,IF(LEFT(AU121,2)="입주",100%,IF(AW8&gt;손익!$P$9+90,1,0))))+IF(AW8&lt;손익!$P$9,IF($F$248&gt;0,IF(AW8&gt;=$F$248,20%),0),0)+IF(AW8&lt;손익!$P$9,IF($F$247&gt;0,IF(AW8&gt;=$F$247,10%),0),0)+IF(AW8&lt;손익!$P$9,IF(AW8&gt;=$F$246,50%,IF(AW8&gt;=$F$245,40%,IF(AW8&gt;=$F$244,30%,IF(AW8&gt;=$F$243,20%,10%)))),0))),($C$61*$E$236*(IF(LEFT(AW9,2)="입주",SUM('PF상환 민감도'!$D$3:$E$3)+'PF상환 민감도'!$F$3*30%,IF(LEFT(AV9,2)="입주",SUM('PF상환 민감도'!$D$3:$E$3)+'PF상환 민감도'!$F$3*80%,IF(LEFT(AU9,2)="입주",100%,IF(AW8&gt;손익!$P$9+90,1,0))))+IF(AW8&lt;손익!$P$9,IF($B$248&gt;0,IF(AW8&gt;=$B$248,20%),0),0)+IF(AW8&lt;손익!$P$9,IF($B$247&gt;0,IF(AW8&gt;=$B$247,10%),0),0)+IF(AW8&lt;손익!$P$9,IF(AW8&gt;=$B$246,50%,IF(AW8&gt;=$B$245,40%,IF(AW8&gt;=$B$244,30%,IF(AW8&gt;=$B$243,20%,10%)))),0))+$C$117*$E$236*(IF(LEFT(AW65,2)="입주",SUM('PF상환 민감도'!$D$4:$E$4)+'PF상환 민감도'!$F$4*30%,IF(LEFT(AV65,2)="입주",SUM('PF상환 민감도'!$D$4:$E$4)+'PF상환 민감도'!$F$4*80%,IF(LEFT(AU65,2)="입주",100%,IF(AW8&gt;손익!$P$9+90,1,0))))+IF(AW8&lt;손익!$P$9,IF($D$248&gt;0,IF(AW8&gt;=$D$248,20%),0),0)+IF(AW8&lt;손익!$P$9,IF($D$247&gt;0,IF(AW8&gt;=$D$247,10%),0),0)+IF(AW8&lt;손익!$P$9,IF(AW8&gt;=$D$246,50%,IF(AW8&gt;=$D$245,40%,IF(AW8&gt;=$D$244,30%,IF(AW8&gt;=$D$243,20%,10%)))),0))+$C$173*$E$236*(IF(LEFT(AW121,2)="입주",SUM('PF상환 민감도'!$D$5:$E$5)+'PF상환 민감도'!$F$5*30%,IF(LEFT(AV121,2)="입주",SUM('PF상환 민감도'!$D$5:$E$5)+'PF상환 민감도'!$F$5*80%,IF(LEFT(AU121,2)="입주",100%,IF(AW8&gt;손익!$P$9+90,1,0))))+IF(AW8&lt;손익!$P$9,IF($F$248&gt;0,IF(AW8&gt;=$F$248,20%),0),0)+IF(AW8&lt;손익!$P$9,IF($F$247&gt;0,IF(AW8&gt;=$F$247,10%),0),0)+IF(AW8&lt;손익!$P$9,IF(AW8&gt;=$F$246,50%,IF(AW8&gt;=$F$245,40%,IF(AW8&gt;=$F$244,30%,IF(AW8&gt;=$F$243,20%,10%)))),0))+$C$228*$E$236*(IF(LEFT(AW121,2)="입주",SUM('PF상환 민감도'!$D$6:$E$6)+'PF상환 민감도'!$F$6*30%,IF(LEFT(AV121,2)="입주",SUM('PF상환 민감도'!$D$6:$E$6)+'PF상환 민감도'!$F$6*80%,IF(LEFT(AU121,2)="입주",100%,IF(AW8&gt;손익!$P$9+90,1,0))))+IF(AW8&lt;손익!$P$9,IF($F$248&gt;0,IF(AW8&gt;=$F$248,20%),0),0)+IF(AW8&lt;손익!$P$9,IF($F$247&gt;0,IF(AW8&gt;=$F$247,10%),0),0)+IF(AW8&lt;손익!$P$9,IF(AW8&gt;=$F$246,50%,IF(AW8&gt;=$F$245,40%,IF(AW8&gt;=$F$244,30%,IF(AW8&gt;=$F$243,20%,10%)))),0)))-SUM($G$236:AV236),AW232)</f>
        <v>11379256.537720501</v>
      </c>
      <c r="AX236" s="643">
        <f ca="1">IF(SUM($G232:AX$232)&gt;($C$61*$E$236*(IF(LEFT(AX9,2)="입주",SUM('PF상환 민감도'!$D$3:$E$3)+'PF상환 민감도'!$F$3*30%,IF(LEFT(AW9,2)="입주",SUM('PF상환 민감도'!$D$3:$E$3)+'PF상환 민감도'!$F$3*80%,IF(LEFT(AV9,2)="입주",100%,IF(AX8&gt;손익!$P$9+90,1,0))))+IF(AX8&lt;손익!$P$9,IF($B$248&gt;0,IF(AX8&gt;=$B$248,20%),0),0)+IF(AX8&lt;손익!$P$9,IF($B$247&gt;0,IF(AX8&gt;=$B$247,10%),0),0)+IF(AX8&lt;손익!$P$9,IF(AX8&gt;=$B$246,50%,IF(AX8&gt;=$B$245,40%,IF(AX8&gt;=$B$244,30%,IF(AX8&gt;=$B$243,20%,10%)))),0))+$C$117*$E$236*(IF(LEFT(AX65,2)="입주",SUM('PF상환 민감도'!$D$4:$E$4)+'PF상환 민감도'!$F$4*30%,IF(LEFT(AW65,2)="입주",SUM('PF상환 민감도'!$D$4:$E$4)+'PF상환 민감도'!$F$4*80%,IF(LEFT(AV65,2)="입주",100%,IF(AX8&gt;손익!$P$9+90,1,0))))+IF(AX8&lt;손익!$P$9,IF($D$248&gt;0,IF(AX8&gt;=$D$248,20%),0),0)+IF(AX8&lt;손익!$P$9,IF($D$247&gt;0,IF(AX8&gt;=$D$247,10%),0),0)+IF(AX8&lt;손익!$P$9,IF(AX8&gt;=$D$246,50%,IF(AX8&gt;=$D$245,40%,IF(AX8&gt;=$D$244,30%,IF(AX8&gt;=$D$243,20%,10%)))),0))+$C$173*$E$236*(IF(LEFT(AX121,2)="입주",SUM('PF상환 민감도'!$D$5:$E$5)+'PF상환 민감도'!$F$5*30%,IF(LEFT(AW121,2)="입주",SUM('PF상환 민감도'!$D$5:$E$5)+'PF상환 민감도'!$F$5*80%,IF(LEFT(AV121,2)="입주",100%,IF(AX8&gt;손익!$P$9+90,1,0))))+IF(AX8&lt;손익!$P$9,IF($F$248&gt;0,IF(AX8&gt;=$F$248,20%),0),0)+IF(AX8&lt;손익!$P$9,IF($F$247&gt;0,IF(AX8&gt;=$F$247,10%),0),0)+IF(AX8&lt;손익!$P$9,IF(AX8&gt;=$F$246,50%,IF(AX8&gt;=$F$245,40%,IF(AX8&gt;=$F$244,30%,IF(AX8&gt;=$F$243,20%,10%)))),0))+$C$228*$E$236*(IF(LEFT(AX121,2)="입주",SUM('PF상환 민감도'!$D$6:$E$6)+'PF상환 민감도'!$F$6*30%,IF(LEFT(AW121,2)="입주",SUM('PF상환 민감도'!$D$6:$E$6)+'PF상환 민감도'!$F$6*80%,IF(LEFT(AV121,2)="입주",100%,IF(AX8&gt;손익!$P$9+90,1,0))))+IF(AX8&lt;손익!$P$9,IF($F$248&gt;0,IF(AX8&gt;=$F$248,20%),0),0)+IF(AX8&lt;손익!$P$9,IF($F$247&gt;0,IF(AX8&gt;=$F$247,10%),0),0)+IF(AX8&lt;손익!$P$9,IF(AX8&gt;=$F$246,50%,IF(AX8&gt;=$F$245,40%,IF(AX8&gt;=$F$244,30%,IF(AX8&gt;=$F$243,20%,10%)))),0))),($C$61*$E$236*(IF(LEFT(AX9,2)="입주",SUM('PF상환 민감도'!$D$3:$E$3)+'PF상환 민감도'!$F$3*30%,IF(LEFT(AW9,2)="입주",SUM('PF상환 민감도'!$D$3:$E$3)+'PF상환 민감도'!$F$3*80%,IF(LEFT(AV9,2)="입주",100%,IF(AX8&gt;손익!$P$9+90,1,0))))+IF(AX8&lt;손익!$P$9,IF($B$248&gt;0,IF(AX8&gt;=$B$248,20%),0),0)+IF(AX8&lt;손익!$P$9,IF($B$247&gt;0,IF(AX8&gt;=$B$247,10%),0),0)+IF(AX8&lt;손익!$P$9,IF(AX8&gt;=$B$246,50%,IF(AX8&gt;=$B$245,40%,IF(AX8&gt;=$B$244,30%,IF(AX8&gt;=$B$243,20%,10%)))),0))+$C$117*$E$236*(IF(LEFT(AX65,2)="입주",SUM('PF상환 민감도'!$D$4:$E$4)+'PF상환 민감도'!$F$4*30%,IF(LEFT(AW65,2)="입주",SUM('PF상환 민감도'!$D$4:$E$4)+'PF상환 민감도'!$F$4*80%,IF(LEFT(AV65,2)="입주",100%,IF(AX8&gt;손익!$P$9+90,1,0))))+IF(AX8&lt;손익!$P$9,IF($D$248&gt;0,IF(AX8&gt;=$D$248,20%),0),0)+IF(AX8&lt;손익!$P$9,IF($D$247&gt;0,IF(AX8&gt;=$D$247,10%),0),0)+IF(AX8&lt;손익!$P$9,IF(AX8&gt;=$D$246,50%,IF(AX8&gt;=$D$245,40%,IF(AX8&gt;=$D$244,30%,IF(AX8&gt;=$D$243,20%,10%)))),0))+$C$173*$E$236*(IF(LEFT(AX121,2)="입주",SUM('PF상환 민감도'!$D$5:$E$5)+'PF상환 민감도'!$F$5*30%,IF(LEFT(AW121,2)="입주",SUM('PF상환 민감도'!$D$5:$E$5)+'PF상환 민감도'!$F$5*80%,IF(LEFT(AV121,2)="입주",100%,IF(AX8&gt;손익!$P$9+90,1,0))))+IF(AX8&lt;손익!$P$9,IF($F$248&gt;0,IF(AX8&gt;=$F$248,20%),0),0)+IF(AX8&lt;손익!$P$9,IF($F$247&gt;0,IF(AX8&gt;=$F$247,10%),0),0)+IF(AX8&lt;손익!$P$9,IF(AX8&gt;=$F$246,50%,IF(AX8&gt;=$F$245,40%,IF(AX8&gt;=$F$244,30%,IF(AX8&gt;=$F$243,20%,10%)))),0))+$C$228*$E$236*(IF(LEFT(AX121,2)="입주",SUM('PF상환 민감도'!$D$6:$E$6)+'PF상환 민감도'!$F$6*30%,IF(LEFT(AW121,2)="입주",SUM('PF상환 민감도'!$D$6:$E$6)+'PF상환 민감도'!$F$6*80%,IF(LEFT(AV121,2)="입주",100%,IF(AX8&gt;손익!$P$9+90,1,0))))+IF(AX8&lt;손익!$P$9,IF($F$248&gt;0,IF(AX8&gt;=$F$248,20%),0),0)+IF(AX8&lt;손익!$P$9,IF($F$247&gt;0,IF(AX8&gt;=$F$247,10%),0),0)+IF(AX8&lt;손익!$P$9,IF(AX8&gt;=$F$246,50%,IF(AX8&gt;=$F$245,40%,IF(AX8&gt;=$F$244,30%,IF(AX8&gt;=$F$243,20%,10%)))),0)))-SUM($G$236:AW236),AX232)</f>
        <v>4551702.6150882095</v>
      </c>
      <c r="AY236" s="643">
        <f ca="1">IF(SUM($G232:AY$232)&gt;($C$61*$E$236*(IF(LEFT(AY9,2)="입주",SUM('PF상환 민감도'!$D$3:$E$3)+'PF상환 민감도'!$F$3*30%,IF(LEFT(AX9,2)="입주",SUM('PF상환 민감도'!$D$3:$E$3)+'PF상환 민감도'!$F$3*80%,IF(LEFT(AW9,2)="입주",100%,IF(AY8&gt;손익!$P$9+90,1,0))))+IF(AY8&lt;손익!$P$9,IF($B$248&gt;0,IF(AY8&gt;=$B$248,20%),0),0)+IF(AY8&lt;손익!$P$9,IF($B$247&gt;0,IF(AY8&gt;=$B$247,10%),0),0)+IF(AY8&lt;손익!$P$9,IF(AY8&gt;=$B$246,50%,IF(AY8&gt;=$B$245,40%,IF(AY8&gt;=$B$244,30%,IF(AY8&gt;=$B$243,20%,10%)))),0))+$C$117*$E$236*(IF(LEFT(AY65,2)="입주",SUM('PF상환 민감도'!$D$4:$E$4)+'PF상환 민감도'!$F$4*30%,IF(LEFT(AX65,2)="입주",SUM('PF상환 민감도'!$D$4:$E$4)+'PF상환 민감도'!$F$4*80%,IF(LEFT(AW65,2)="입주",100%,IF(AY8&gt;손익!$P$9+90,1,0))))+IF(AY8&lt;손익!$P$9,IF($D$248&gt;0,IF(AY8&gt;=$D$248,20%),0),0)+IF(AY8&lt;손익!$P$9,IF($D$247&gt;0,IF(AY8&gt;=$D$247,10%),0),0)+IF(AY8&lt;손익!$P$9,IF(AY8&gt;=$D$246,50%,IF(AY8&gt;=$D$245,40%,IF(AY8&gt;=$D$244,30%,IF(AY8&gt;=$D$243,20%,10%)))),0))+$C$173*$E$236*(IF(LEFT(AY121,2)="입주",SUM('PF상환 민감도'!$D$5:$E$5)+'PF상환 민감도'!$F$5*30%,IF(LEFT(AX121,2)="입주",SUM('PF상환 민감도'!$D$5:$E$5)+'PF상환 민감도'!$F$5*80%,IF(LEFT(AW121,2)="입주",100%,IF(AY8&gt;손익!$P$9+90,1,0))))+IF(AY8&lt;손익!$P$9,IF($F$248&gt;0,IF(AY8&gt;=$F$248,20%),0),0)+IF(AY8&lt;손익!$P$9,IF($F$247&gt;0,IF(AY8&gt;=$F$247,10%),0),0)+IF(AY8&lt;손익!$P$9,IF(AY8&gt;=$F$246,50%,IF(AY8&gt;=$F$245,40%,IF(AY8&gt;=$F$244,30%,IF(AY8&gt;=$F$243,20%,10%)))),0))+$C$228*$E$236*(IF(LEFT(AY121,2)="입주",SUM('PF상환 민감도'!$D$6:$E$6)+'PF상환 민감도'!$F$6*30%,IF(LEFT(AX121,2)="입주",SUM('PF상환 민감도'!$D$6:$E$6)+'PF상환 민감도'!$F$6*80%,IF(LEFT(AW121,2)="입주",100%,IF(AY8&gt;손익!$P$9+90,1,0))))+IF(AY8&lt;손익!$P$9,IF($F$248&gt;0,IF(AY8&gt;=$F$248,20%),0),0)+IF(AY8&lt;손익!$P$9,IF($F$247&gt;0,IF(AY8&gt;=$F$247,10%),0),0)+IF(AY8&lt;손익!$P$9,IF(AY8&gt;=$F$246,50%,IF(AY8&gt;=$F$245,40%,IF(AY8&gt;=$F$244,30%,IF(AY8&gt;=$F$243,20%,10%)))),0))),($C$61*$E$236*(IF(LEFT(AY9,2)="입주",SUM('PF상환 민감도'!$D$3:$E$3)+'PF상환 민감도'!$F$3*30%,IF(LEFT(AX9,2)="입주",SUM('PF상환 민감도'!$D$3:$E$3)+'PF상환 민감도'!$F$3*80%,IF(LEFT(AW9,2)="입주",100%,IF(AY8&gt;손익!$P$9+90,1,0))))+IF(AY8&lt;손익!$P$9,IF($B$248&gt;0,IF(AY8&gt;=$B$248,20%),0),0)+IF(AY8&lt;손익!$P$9,IF($B$247&gt;0,IF(AY8&gt;=$B$247,10%),0),0)+IF(AY8&lt;손익!$P$9,IF(AY8&gt;=$B$246,50%,IF(AY8&gt;=$B$245,40%,IF(AY8&gt;=$B$244,30%,IF(AY8&gt;=$B$243,20%,10%)))),0))+$C$117*$E$236*(IF(LEFT(AY65,2)="입주",SUM('PF상환 민감도'!$D$4:$E$4)+'PF상환 민감도'!$F$4*30%,IF(LEFT(AX65,2)="입주",SUM('PF상환 민감도'!$D$4:$E$4)+'PF상환 민감도'!$F$4*80%,IF(LEFT(AW65,2)="입주",100%,IF(AY8&gt;손익!$P$9+90,1,0))))+IF(AY8&lt;손익!$P$9,IF($D$248&gt;0,IF(AY8&gt;=$D$248,20%),0),0)+IF(AY8&lt;손익!$P$9,IF($D$247&gt;0,IF(AY8&gt;=$D$247,10%),0),0)+IF(AY8&lt;손익!$P$9,IF(AY8&gt;=$D$246,50%,IF(AY8&gt;=$D$245,40%,IF(AY8&gt;=$D$244,30%,IF(AY8&gt;=$D$243,20%,10%)))),0))+$C$173*$E$236*(IF(LEFT(AY121,2)="입주",SUM('PF상환 민감도'!$D$5:$E$5)+'PF상환 민감도'!$F$5*30%,IF(LEFT(AX121,2)="입주",SUM('PF상환 민감도'!$D$5:$E$5)+'PF상환 민감도'!$F$5*80%,IF(LEFT(AW121,2)="입주",100%,IF(AY8&gt;손익!$P$9+90,1,0))))+IF(AY8&lt;손익!$P$9,IF($F$248&gt;0,IF(AY8&gt;=$F$248,20%),0),0)+IF(AY8&lt;손익!$P$9,IF($F$247&gt;0,IF(AY8&gt;=$F$247,10%),0),0)+IF(AY8&lt;손익!$P$9,IF(AY8&gt;=$F$246,50%,IF(AY8&gt;=$F$245,40%,IF(AY8&gt;=$F$244,30%,IF(AY8&gt;=$F$243,20%,10%)))),0))+$C$228*$E$236*(IF(LEFT(AY121,2)="입주",SUM('PF상환 민감도'!$D$6:$E$6)+'PF상환 민감도'!$F$6*30%,IF(LEFT(AX121,2)="입주",SUM('PF상환 민감도'!$D$6:$E$6)+'PF상환 민감도'!$F$6*80%,IF(LEFT(AW121,2)="입주",100%,IF(AY8&gt;손익!$P$9+90,1,0))))+IF(AY8&lt;손익!$P$9,IF($F$248&gt;0,IF(AY8&gt;=$F$248,20%),0),0)+IF(AY8&lt;손익!$P$9,IF($F$247&gt;0,IF(AY8&gt;=$F$247,10%),0),0)+IF(AY8&lt;손익!$P$9,IF(AY8&gt;=$F$246,50%,IF(AY8&gt;=$F$245,40%,IF(AY8&gt;=$F$244,30%,IF(AY8&gt;=$F$243,20%,10%)))),0)))-SUM($G$236:AX236),AY232)</f>
        <v>0</v>
      </c>
      <c r="AZ236" s="643">
        <f ca="1">IF(SUM($G232:AZ$232)&gt;($C$61*$E$236*(IF(LEFT(AZ9,2)="입주",SUM('PF상환 민감도'!$D$3:$E$3)+'PF상환 민감도'!$F$3*30%,IF(LEFT(AY9,2)="입주",SUM('PF상환 민감도'!$D$3:$E$3)+'PF상환 민감도'!$F$3*80%,IF(LEFT(AX9,2)="입주",100%,IF(AZ8&gt;손익!$P$9+90,1,0))))+IF(AZ8&lt;손익!$P$9,IF($B$248&gt;0,IF(AZ8&gt;=$B$248,20%),0),0)+IF(AZ8&lt;손익!$P$9,IF($B$247&gt;0,IF(AZ8&gt;=$B$247,10%),0),0)+IF(AZ8&lt;손익!$P$9,IF(AZ8&gt;=$B$246,50%,IF(AZ8&gt;=$B$245,40%,IF(AZ8&gt;=$B$244,30%,IF(AZ8&gt;=$B$243,20%,10%)))),0))+$C$117*$E$236*(IF(LEFT(AZ65,2)="입주",SUM('PF상환 민감도'!$D$4:$E$4)+'PF상환 민감도'!$F$4*30%,IF(LEFT(AY65,2)="입주",SUM('PF상환 민감도'!$D$4:$E$4)+'PF상환 민감도'!$F$4*80%,IF(LEFT(AX65,2)="입주",100%,IF(AZ8&gt;손익!$P$9+90,1,0))))+IF(AZ8&lt;손익!$P$9,IF($D$248&gt;0,IF(AZ8&gt;=$D$248,20%),0),0)+IF(AZ8&lt;손익!$P$9,IF($D$247&gt;0,IF(AZ8&gt;=$D$247,10%),0),0)+IF(AZ8&lt;손익!$P$9,IF(AZ8&gt;=$D$246,50%,IF(AZ8&gt;=$D$245,40%,IF(AZ8&gt;=$D$244,30%,IF(AZ8&gt;=$D$243,20%,10%)))),0))+$C$173*$E$236*(IF(LEFT(AZ121,2)="입주",SUM('PF상환 민감도'!$D$5:$E$5)+'PF상환 민감도'!$F$5*30%,IF(LEFT(AY121,2)="입주",SUM('PF상환 민감도'!$D$5:$E$5)+'PF상환 민감도'!$F$5*80%,IF(LEFT(AX121,2)="입주",100%,IF(AZ8&gt;손익!$P$9+90,1,0))))+IF(AZ8&lt;손익!$P$9,IF($F$248&gt;0,IF(AZ8&gt;=$F$248,20%),0),0)+IF(AZ8&lt;손익!$P$9,IF($F$247&gt;0,IF(AZ8&gt;=$F$247,10%),0),0)+IF(AZ8&lt;손익!$P$9,IF(AZ8&gt;=$F$246,50%,IF(AZ8&gt;=$F$245,40%,IF(AZ8&gt;=$F$244,30%,IF(AZ8&gt;=$F$243,20%,10%)))),0))+$C$228*$E$236*(IF(LEFT(AZ121,2)="입주",SUM('PF상환 민감도'!$D$6:$E$6)+'PF상환 민감도'!$F$6*30%,IF(LEFT(AY121,2)="입주",SUM('PF상환 민감도'!$D$6:$E$6)+'PF상환 민감도'!$F$6*80%,IF(LEFT(AX121,2)="입주",100%,IF(AZ8&gt;손익!$P$9+90,1,0))))+IF(AZ8&lt;손익!$P$9,IF($F$248&gt;0,IF(AZ8&gt;=$F$248,20%),0),0)+IF(AZ8&lt;손익!$P$9,IF($F$247&gt;0,IF(AZ8&gt;=$F$247,10%),0),0)+IF(AZ8&lt;손익!$P$9,IF(AZ8&gt;=$F$246,50%,IF(AZ8&gt;=$F$245,40%,IF(AZ8&gt;=$F$244,30%,IF(AZ8&gt;=$F$243,20%,10%)))),0))),($C$61*$E$236*(IF(LEFT(AZ9,2)="입주",SUM('PF상환 민감도'!$D$3:$E$3)+'PF상환 민감도'!$F$3*30%,IF(LEFT(AY9,2)="입주",SUM('PF상환 민감도'!$D$3:$E$3)+'PF상환 민감도'!$F$3*80%,IF(LEFT(AX9,2)="입주",100%,IF(AZ8&gt;손익!$P$9+90,1,0))))+IF(AZ8&lt;손익!$P$9,IF($B$248&gt;0,IF(AZ8&gt;=$B$248,20%),0),0)+IF(AZ8&lt;손익!$P$9,IF($B$247&gt;0,IF(AZ8&gt;=$B$247,10%),0),0)+IF(AZ8&lt;손익!$P$9,IF(AZ8&gt;=$B$246,50%,IF(AZ8&gt;=$B$245,40%,IF(AZ8&gt;=$B$244,30%,IF(AZ8&gt;=$B$243,20%,10%)))),0))+$C$117*$E$236*(IF(LEFT(AZ65,2)="입주",SUM('PF상환 민감도'!$D$4:$E$4)+'PF상환 민감도'!$F$4*30%,IF(LEFT(AY65,2)="입주",SUM('PF상환 민감도'!$D$4:$E$4)+'PF상환 민감도'!$F$4*80%,IF(LEFT(AX65,2)="입주",100%,IF(AZ8&gt;손익!$P$9+90,1,0))))+IF(AZ8&lt;손익!$P$9,IF($D$248&gt;0,IF(AZ8&gt;=$D$248,20%),0),0)+IF(AZ8&lt;손익!$P$9,IF($D$247&gt;0,IF(AZ8&gt;=$D$247,10%),0),0)+IF(AZ8&lt;손익!$P$9,IF(AZ8&gt;=$D$246,50%,IF(AZ8&gt;=$D$245,40%,IF(AZ8&gt;=$D$244,30%,IF(AZ8&gt;=$D$243,20%,10%)))),0))+$C$173*$E$236*(IF(LEFT(AZ121,2)="입주",SUM('PF상환 민감도'!$D$5:$E$5)+'PF상환 민감도'!$F$5*30%,IF(LEFT(AY121,2)="입주",SUM('PF상환 민감도'!$D$5:$E$5)+'PF상환 민감도'!$F$5*80%,IF(LEFT(AX121,2)="입주",100%,IF(AZ8&gt;손익!$P$9+90,1,0))))+IF(AZ8&lt;손익!$P$9,IF($F$248&gt;0,IF(AZ8&gt;=$F$248,20%),0),0)+IF(AZ8&lt;손익!$P$9,IF($F$247&gt;0,IF(AZ8&gt;=$F$247,10%),0),0)+IF(AZ8&lt;손익!$P$9,IF(AZ8&gt;=$F$246,50%,IF(AZ8&gt;=$F$245,40%,IF(AZ8&gt;=$F$244,30%,IF(AZ8&gt;=$F$243,20%,10%)))),0))+$C$228*$E$236*(IF(LEFT(AZ121,2)="입주",SUM('PF상환 민감도'!$D$6:$E$6)+'PF상환 민감도'!$F$6*30%,IF(LEFT(AY121,2)="입주",SUM('PF상환 민감도'!$D$6:$E$6)+'PF상환 민감도'!$F$6*80%,IF(LEFT(AX121,2)="입주",100%,IF(AZ8&gt;손익!$P$9+90,1,0))))+IF(AZ8&lt;손익!$P$9,IF($F$248&gt;0,IF(AZ8&gt;=$F$248,20%),0),0)+IF(AZ8&lt;손익!$P$9,IF($F$247&gt;0,IF(AZ8&gt;=$F$247,10%),0),0)+IF(AZ8&lt;손익!$P$9,IF(AZ8&gt;=$F$246,50%,IF(AZ8&gt;=$F$245,40%,IF(AZ8&gt;=$F$244,30%,IF(AZ8&gt;=$F$243,20%,10%)))),0)))-SUM($G$236:AY236),AZ232)</f>
        <v>0</v>
      </c>
      <c r="BA236" s="643">
        <f ca="1">IF(SUM($G232:BA$232)&gt;($C$61*$E$236*(IF(LEFT(BA9,2)="입주",SUM('PF상환 민감도'!$D$3:$E$3)+'PF상환 민감도'!$F$3*30%,IF(LEFT(AZ9,2)="입주",SUM('PF상환 민감도'!$D$3:$E$3)+'PF상환 민감도'!$F$3*80%,IF(LEFT(AY9,2)="입주",100%,IF(BA8&gt;손익!$P$9+90,1,0))))+IF(BA8&lt;손익!$P$9,IF($B$248&gt;0,IF(BA8&gt;=$B$248,20%),0),0)+IF(BA8&lt;손익!$P$9,IF($B$247&gt;0,IF(BA8&gt;=$B$247,10%),0),0)+IF(BA8&lt;손익!$P$9,IF(BA8&gt;=$B$246,50%,IF(BA8&gt;=$B$245,40%,IF(BA8&gt;=$B$244,30%,IF(BA8&gt;=$B$243,20%,10%)))),0))+$C$117*$E$236*(IF(LEFT(BA65,2)="입주",SUM('PF상환 민감도'!$D$4:$E$4)+'PF상환 민감도'!$F$4*30%,IF(LEFT(AZ65,2)="입주",SUM('PF상환 민감도'!$D$4:$E$4)+'PF상환 민감도'!$F$4*80%,IF(LEFT(AY65,2)="입주",100%,IF(BA8&gt;손익!$P$9+90,1,0))))+IF(BA8&lt;손익!$P$9,IF($D$248&gt;0,IF(BA8&gt;=$D$248,20%),0),0)+IF(BA8&lt;손익!$P$9,IF($D$247&gt;0,IF(BA8&gt;=$D$247,10%),0),0)+IF(BA8&lt;손익!$P$9,IF(BA8&gt;=$D$246,50%,IF(BA8&gt;=$D$245,40%,IF(BA8&gt;=$D$244,30%,IF(BA8&gt;=$D$243,20%,10%)))),0))+$C$173*$E$236*(IF(LEFT(BA121,2)="입주",SUM('PF상환 민감도'!$D$5:$E$5)+'PF상환 민감도'!$F$5*30%,IF(LEFT(AZ121,2)="입주",SUM('PF상환 민감도'!$D$5:$E$5)+'PF상환 민감도'!$F$5*80%,IF(LEFT(AY121,2)="입주",100%,IF(BA8&gt;손익!$P$9+90,1,0))))+IF(BA8&lt;손익!$P$9,IF($F$248&gt;0,IF(BA8&gt;=$F$248,20%),0),0)+IF(BA8&lt;손익!$P$9,IF($F$247&gt;0,IF(BA8&gt;=$F$247,10%),0),0)+IF(BA8&lt;손익!$P$9,IF(BA8&gt;=$F$246,50%,IF(BA8&gt;=$F$245,40%,IF(BA8&gt;=$F$244,30%,IF(BA8&gt;=$F$243,20%,10%)))),0))+$C$228*$E$236*(IF(LEFT(BA121,2)="입주",SUM('PF상환 민감도'!$D$6:$E$6)+'PF상환 민감도'!$F$6*30%,IF(LEFT(AZ121,2)="입주",SUM('PF상환 민감도'!$D$6:$E$6)+'PF상환 민감도'!$F$6*80%,IF(LEFT(AY121,2)="입주",100%,IF(BA8&gt;손익!$P$9+90,1,0))))+IF(BA8&lt;손익!$P$9,IF($F$248&gt;0,IF(BA8&gt;=$F$248,20%),0),0)+IF(BA8&lt;손익!$P$9,IF($F$247&gt;0,IF(BA8&gt;=$F$247,10%),0),0)+IF(BA8&lt;손익!$P$9,IF(BA8&gt;=$F$246,50%,IF(BA8&gt;=$F$245,40%,IF(BA8&gt;=$F$244,30%,IF(BA8&gt;=$F$243,20%,10%)))),0))),($C$61*$E$236*(IF(LEFT(BA9,2)="입주",SUM('PF상환 민감도'!$D$3:$E$3)+'PF상환 민감도'!$F$3*30%,IF(LEFT(AZ9,2)="입주",SUM('PF상환 민감도'!$D$3:$E$3)+'PF상환 민감도'!$F$3*80%,IF(LEFT(AY9,2)="입주",100%,IF(BA8&gt;손익!$P$9+90,1,0))))+IF(BA8&lt;손익!$P$9,IF($B$248&gt;0,IF(BA8&gt;=$B$248,20%),0),0)+IF(BA8&lt;손익!$P$9,IF($B$247&gt;0,IF(BA8&gt;=$B$247,10%),0),0)+IF(BA8&lt;손익!$P$9,IF(BA8&gt;=$B$246,50%,IF(BA8&gt;=$B$245,40%,IF(BA8&gt;=$B$244,30%,IF(BA8&gt;=$B$243,20%,10%)))),0))+$C$117*$E$236*(IF(LEFT(BA65,2)="입주",SUM('PF상환 민감도'!$D$4:$E$4)+'PF상환 민감도'!$F$4*30%,IF(LEFT(AZ65,2)="입주",SUM('PF상환 민감도'!$D$4:$E$4)+'PF상환 민감도'!$F$4*80%,IF(LEFT(AY65,2)="입주",100%,IF(BA8&gt;손익!$P$9+90,1,0))))+IF(BA8&lt;손익!$P$9,IF($D$248&gt;0,IF(BA8&gt;=$D$248,20%),0),0)+IF(BA8&lt;손익!$P$9,IF($D$247&gt;0,IF(BA8&gt;=$D$247,10%),0),0)+IF(BA8&lt;손익!$P$9,IF(BA8&gt;=$D$246,50%,IF(BA8&gt;=$D$245,40%,IF(BA8&gt;=$D$244,30%,IF(BA8&gt;=$D$243,20%,10%)))),0))+$C$173*$E$236*(IF(LEFT(BA121,2)="입주",SUM('PF상환 민감도'!$D$5:$E$5)+'PF상환 민감도'!$F$5*30%,IF(LEFT(AZ121,2)="입주",SUM('PF상환 민감도'!$D$5:$E$5)+'PF상환 민감도'!$F$5*80%,IF(LEFT(AY121,2)="입주",100%,IF(BA8&gt;손익!$P$9+90,1,0))))+IF(BA8&lt;손익!$P$9,IF($F$248&gt;0,IF(BA8&gt;=$F$248,20%),0),0)+IF(BA8&lt;손익!$P$9,IF($F$247&gt;0,IF(BA8&gt;=$F$247,10%),0),0)+IF(BA8&lt;손익!$P$9,IF(BA8&gt;=$F$246,50%,IF(BA8&gt;=$F$245,40%,IF(BA8&gt;=$F$244,30%,IF(BA8&gt;=$F$243,20%,10%)))),0))+$C$228*$E$236*(IF(LEFT(BA121,2)="입주",SUM('PF상환 민감도'!$D$6:$E$6)+'PF상환 민감도'!$F$6*30%,IF(LEFT(AZ121,2)="입주",SUM('PF상환 민감도'!$D$6:$E$6)+'PF상환 민감도'!$F$6*80%,IF(LEFT(AY121,2)="입주",100%,IF(BA8&gt;손익!$P$9+90,1,0))))+IF(BA8&lt;손익!$P$9,IF($F$248&gt;0,IF(BA8&gt;=$F$248,20%),0),0)+IF(BA8&lt;손익!$P$9,IF($F$247&gt;0,IF(BA8&gt;=$F$247,10%),0),0)+IF(BA8&lt;손익!$P$9,IF(BA8&gt;=$F$246,50%,IF(BA8&gt;=$F$245,40%,IF(BA8&gt;=$F$244,30%,IF(BA8&gt;=$F$243,20%,10%)))),0)))-SUM($G$236:AZ236),BA232)</f>
        <v>0</v>
      </c>
      <c r="BB236" s="643">
        <f ca="1">IF(SUM($G232:BB$232)&gt;($C$61*$E$236*(IF(LEFT(BB9,2)="입주",SUM('PF상환 민감도'!$D$3:$E$3)+'PF상환 민감도'!$F$3*30%,IF(LEFT(BA9,2)="입주",SUM('PF상환 민감도'!$D$3:$E$3)+'PF상환 민감도'!$F$3*80%,IF(LEFT(AZ9,2)="입주",100%,IF(BB8&gt;손익!$P$9+90,1,0))))+IF(BB8&lt;손익!$P$9,IF($B$248&gt;0,IF(BB8&gt;=$B$248,20%),0),0)+IF(BB8&lt;손익!$P$9,IF($B$247&gt;0,IF(BB8&gt;=$B$247,10%),0),0)+IF(BB8&lt;손익!$P$9,IF(BB8&gt;=$B$246,50%,IF(BB8&gt;=$B$245,40%,IF(BB8&gt;=$B$244,30%,IF(BB8&gt;=$B$243,20%,10%)))),0))+$C$117*$E$236*(IF(LEFT(BB65,2)="입주",SUM('PF상환 민감도'!$D$4:$E$4)+'PF상환 민감도'!$F$4*30%,IF(LEFT(BA65,2)="입주",SUM('PF상환 민감도'!$D$4:$E$4)+'PF상환 민감도'!$F$4*80%,IF(LEFT(AZ65,2)="입주",100%,IF(BB8&gt;손익!$P$9+90,1,0))))+IF(BB8&lt;손익!$P$9,IF($D$248&gt;0,IF(BB8&gt;=$D$248,20%),0),0)+IF(BB8&lt;손익!$P$9,IF($D$247&gt;0,IF(BB8&gt;=$D$247,10%),0),0)+IF(BB8&lt;손익!$P$9,IF(BB8&gt;=$D$246,50%,IF(BB8&gt;=$D$245,40%,IF(BB8&gt;=$D$244,30%,IF(BB8&gt;=$D$243,20%,10%)))),0))+$C$173*$E$236*(IF(LEFT(BB121,2)="입주",SUM('PF상환 민감도'!$D$5:$E$5)+'PF상환 민감도'!$F$5*30%,IF(LEFT(BA121,2)="입주",SUM('PF상환 민감도'!$D$5:$E$5)+'PF상환 민감도'!$F$5*80%,IF(LEFT(AZ121,2)="입주",100%,IF(BB8&gt;손익!$P$9+90,1,0))))+IF(BB8&lt;손익!$P$9,IF($F$248&gt;0,IF(BB8&gt;=$F$248,20%),0),0)+IF(BB8&lt;손익!$P$9,IF($F$247&gt;0,IF(BB8&gt;=$F$247,10%),0),0)+IF(BB8&lt;손익!$P$9,IF(BB8&gt;=$F$246,50%,IF(BB8&gt;=$F$245,40%,IF(BB8&gt;=$F$244,30%,IF(BB8&gt;=$F$243,20%,10%)))),0))+$C$228*$E$236*(IF(LEFT(BB121,2)="입주",SUM('PF상환 민감도'!$D$6:$E$6)+'PF상환 민감도'!$F$6*30%,IF(LEFT(BA121,2)="입주",SUM('PF상환 민감도'!$D$6:$E$6)+'PF상환 민감도'!$F$6*80%,IF(LEFT(AZ121,2)="입주",100%,IF(BB8&gt;손익!$P$9+90,1,0))))+IF(BB8&lt;손익!$P$9,IF($F$248&gt;0,IF(BB8&gt;=$F$248,20%),0),0)+IF(BB8&lt;손익!$P$9,IF($F$247&gt;0,IF(BB8&gt;=$F$247,10%),0),0)+IF(BB8&lt;손익!$P$9,IF(BB8&gt;=$F$246,50%,IF(BB8&gt;=$F$245,40%,IF(BB8&gt;=$F$244,30%,IF(BB8&gt;=$F$243,20%,10%)))),0))),($C$61*$E$236*(IF(LEFT(BB9,2)="입주",SUM('PF상환 민감도'!$D$3:$E$3)+'PF상환 민감도'!$F$3*30%,IF(LEFT(BA9,2)="입주",SUM('PF상환 민감도'!$D$3:$E$3)+'PF상환 민감도'!$F$3*80%,IF(LEFT(AZ9,2)="입주",100%,IF(BB8&gt;손익!$P$9+90,1,0))))+IF(BB8&lt;손익!$P$9,IF($B$248&gt;0,IF(BB8&gt;=$B$248,20%),0),0)+IF(BB8&lt;손익!$P$9,IF($B$247&gt;0,IF(BB8&gt;=$B$247,10%),0),0)+IF(BB8&lt;손익!$P$9,IF(BB8&gt;=$B$246,50%,IF(BB8&gt;=$B$245,40%,IF(BB8&gt;=$B$244,30%,IF(BB8&gt;=$B$243,20%,10%)))),0))+$C$117*$E$236*(IF(LEFT(BB65,2)="입주",SUM('PF상환 민감도'!$D$4:$E$4)+'PF상환 민감도'!$F$4*30%,IF(LEFT(BA65,2)="입주",SUM('PF상환 민감도'!$D$4:$E$4)+'PF상환 민감도'!$F$4*80%,IF(LEFT(AZ65,2)="입주",100%,IF(BB8&gt;손익!$P$9+90,1,0))))+IF(BB8&lt;손익!$P$9,IF($D$248&gt;0,IF(BB8&gt;=$D$248,20%),0),0)+IF(BB8&lt;손익!$P$9,IF($D$247&gt;0,IF(BB8&gt;=$D$247,10%),0),0)+IF(BB8&lt;손익!$P$9,IF(BB8&gt;=$D$246,50%,IF(BB8&gt;=$D$245,40%,IF(BB8&gt;=$D$244,30%,IF(BB8&gt;=$D$243,20%,10%)))),0))+$C$173*$E$236*(IF(LEFT(BB121,2)="입주",SUM('PF상환 민감도'!$D$5:$E$5)+'PF상환 민감도'!$F$5*30%,IF(LEFT(BA121,2)="입주",SUM('PF상환 민감도'!$D$5:$E$5)+'PF상환 민감도'!$F$5*80%,IF(LEFT(AZ121,2)="입주",100%,IF(BB8&gt;손익!$P$9+90,1,0))))+IF(BB8&lt;손익!$P$9,IF($F$248&gt;0,IF(BB8&gt;=$F$248,20%),0),0)+IF(BB8&lt;손익!$P$9,IF($F$247&gt;0,IF(BB8&gt;=$F$247,10%),0),0)+IF(BB8&lt;손익!$P$9,IF(BB8&gt;=$F$246,50%,IF(BB8&gt;=$F$245,40%,IF(BB8&gt;=$F$244,30%,IF(BB8&gt;=$F$243,20%,10%)))),0))+$C$228*$E$236*(IF(LEFT(BB121,2)="입주",SUM('PF상환 민감도'!$D$6:$E$6)+'PF상환 민감도'!$F$6*30%,IF(LEFT(BA121,2)="입주",SUM('PF상환 민감도'!$D$6:$E$6)+'PF상환 민감도'!$F$6*80%,IF(LEFT(AZ121,2)="입주",100%,IF(BB8&gt;손익!$P$9+90,1,0))))+IF(BB8&lt;손익!$P$9,IF($F$248&gt;0,IF(BB8&gt;=$F$248,20%),0),0)+IF(BB8&lt;손익!$P$9,IF($F$247&gt;0,IF(BB8&gt;=$F$247,10%),0),0)+IF(BB8&lt;손익!$P$9,IF(BB8&gt;=$F$246,50%,IF(BB8&gt;=$F$245,40%,IF(BB8&gt;=$F$244,30%,IF(BB8&gt;=$F$243,20%,10%)))),0)))-SUM($G$236:BA236),BB232)</f>
        <v>0</v>
      </c>
      <c r="BC236" s="643">
        <f ca="1">IF(SUM($G232:BC$232)&gt;($C$61*$E$236*(IF(LEFT(BC9,2)="입주",SUM('PF상환 민감도'!$D$3:$E$3)+'PF상환 민감도'!$F$3*30%,IF(LEFT(BB9,2)="입주",SUM('PF상환 민감도'!$D$3:$E$3)+'PF상환 민감도'!$F$3*80%,IF(LEFT(BA9,2)="입주",100%,IF(BC8&gt;손익!$P$9+90,1,0))))+IF(BC8&lt;손익!$P$9,IF($B$248&gt;0,IF(BC8&gt;=$B$248,20%),0),0)+IF(BC8&lt;손익!$P$9,IF($B$247&gt;0,IF(BC8&gt;=$B$247,10%),0),0)+IF(BC8&lt;손익!$P$9,IF(BC8&gt;=$B$246,50%,IF(BC8&gt;=$B$245,40%,IF(BC8&gt;=$B$244,30%,IF(BC8&gt;=$B$243,20%,10%)))),0))+$C$117*$E$236*(IF(LEFT(BC65,2)="입주",SUM('PF상환 민감도'!$D$4:$E$4)+'PF상환 민감도'!$F$4*30%,IF(LEFT(BB65,2)="입주",SUM('PF상환 민감도'!$D$4:$E$4)+'PF상환 민감도'!$F$4*80%,IF(LEFT(BA65,2)="입주",100%,IF(BC8&gt;손익!$P$9+90,1,0))))+IF(BC8&lt;손익!$P$9,IF($D$248&gt;0,IF(BC8&gt;=$D$248,20%),0),0)+IF(BC8&lt;손익!$P$9,IF($D$247&gt;0,IF(BC8&gt;=$D$247,10%),0),0)+IF(BC8&lt;손익!$P$9,IF(BC8&gt;=$D$246,50%,IF(BC8&gt;=$D$245,40%,IF(BC8&gt;=$D$244,30%,IF(BC8&gt;=$D$243,20%,10%)))),0))+$C$173*$E$236*(IF(LEFT(BC121,2)="입주",SUM('PF상환 민감도'!$D$5:$E$5)+'PF상환 민감도'!$F$5*30%,IF(LEFT(BB121,2)="입주",SUM('PF상환 민감도'!$D$5:$E$5)+'PF상환 민감도'!$F$5*80%,IF(LEFT(BA121,2)="입주",100%,IF(BC8&gt;손익!$P$9+90,1,0))))+IF(BC8&lt;손익!$P$9,IF($F$248&gt;0,IF(BC8&gt;=$F$248,20%),0),0)+IF(BC8&lt;손익!$P$9,IF($F$247&gt;0,IF(BC8&gt;=$F$247,10%),0),0)+IF(BC8&lt;손익!$P$9,IF(BC8&gt;=$F$246,50%,IF(BC8&gt;=$F$245,40%,IF(BC8&gt;=$F$244,30%,IF(BC8&gt;=$F$243,20%,10%)))),0))+$C$228*$E$236*(IF(LEFT(BC121,2)="입주",SUM('PF상환 민감도'!$D$6:$E$6)+'PF상환 민감도'!$F$6*30%,IF(LEFT(BB121,2)="입주",SUM('PF상환 민감도'!$D$6:$E$6)+'PF상환 민감도'!$F$6*80%,IF(LEFT(BA121,2)="입주",100%,IF(BC8&gt;손익!$P$9+90,1,0))))+IF(BC8&lt;손익!$P$9,IF($F$248&gt;0,IF(BC8&gt;=$F$248,20%),0),0)+IF(BC8&lt;손익!$P$9,IF($F$247&gt;0,IF(BC8&gt;=$F$247,10%),0),0)+IF(BC8&lt;손익!$P$9,IF(BC8&gt;=$F$246,50%,IF(BC8&gt;=$F$245,40%,IF(BC8&gt;=$F$244,30%,IF(BC8&gt;=$F$243,20%,10%)))),0))),($C$61*$E$236*(IF(LEFT(BC9,2)="입주",SUM('PF상환 민감도'!$D$3:$E$3)+'PF상환 민감도'!$F$3*30%,IF(LEFT(BB9,2)="입주",SUM('PF상환 민감도'!$D$3:$E$3)+'PF상환 민감도'!$F$3*80%,IF(LEFT(BA9,2)="입주",100%,IF(BC8&gt;손익!$P$9+90,1,0))))+IF(BC8&lt;손익!$P$9,IF($B$248&gt;0,IF(BC8&gt;=$B$248,20%),0),0)+IF(BC8&lt;손익!$P$9,IF($B$247&gt;0,IF(BC8&gt;=$B$247,10%),0),0)+IF(BC8&lt;손익!$P$9,IF(BC8&gt;=$B$246,50%,IF(BC8&gt;=$B$245,40%,IF(BC8&gt;=$B$244,30%,IF(BC8&gt;=$B$243,20%,10%)))),0))+$C$117*$E$236*(IF(LEFT(BC65,2)="입주",SUM('PF상환 민감도'!$D$4:$E$4)+'PF상환 민감도'!$F$4*30%,IF(LEFT(BB65,2)="입주",SUM('PF상환 민감도'!$D$4:$E$4)+'PF상환 민감도'!$F$4*80%,IF(LEFT(BA65,2)="입주",100%,IF(BC8&gt;손익!$P$9+90,1,0))))+IF(BC8&lt;손익!$P$9,IF($D$248&gt;0,IF(BC8&gt;=$D$248,20%),0),0)+IF(BC8&lt;손익!$P$9,IF($D$247&gt;0,IF(BC8&gt;=$D$247,10%),0),0)+IF(BC8&lt;손익!$P$9,IF(BC8&gt;=$D$246,50%,IF(BC8&gt;=$D$245,40%,IF(BC8&gt;=$D$244,30%,IF(BC8&gt;=$D$243,20%,10%)))),0))+$C$173*$E$236*(IF(LEFT(BC121,2)="입주",SUM('PF상환 민감도'!$D$5:$E$5)+'PF상환 민감도'!$F$5*30%,IF(LEFT(BB121,2)="입주",SUM('PF상환 민감도'!$D$5:$E$5)+'PF상환 민감도'!$F$5*80%,IF(LEFT(BA121,2)="입주",100%,IF(BC8&gt;손익!$P$9+90,1,0))))+IF(BC8&lt;손익!$P$9,IF($F$248&gt;0,IF(BC8&gt;=$F$248,20%),0),0)+IF(BC8&lt;손익!$P$9,IF($F$247&gt;0,IF(BC8&gt;=$F$247,10%),0),0)+IF(BC8&lt;손익!$P$9,IF(BC8&gt;=$F$246,50%,IF(BC8&gt;=$F$245,40%,IF(BC8&gt;=$F$244,30%,IF(BC8&gt;=$F$243,20%,10%)))),0))+$C$228*$E$236*(IF(LEFT(BC121,2)="입주",SUM('PF상환 민감도'!$D$6:$E$6)+'PF상환 민감도'!$F$6*30%,IF(LEFT(BB121,2)="입주",SUM('PF상환 민감도'!$D$6:$E$6)+'PF상환 민감도'!$F$6*80%,IF(LEFT(BA121,2)="입주",100%,IF(BC8&gt;손익!$P$9+90,1,0))))+IF(BC8&lt;손익!$P$9,IF($F$248&gt;0,IF(BC8&gt;=$F$248,20%),0),0)+IF(BC8&lt;손익!$P$9,IF($F$247&gt;0,IF(BC8&gt;=$F$247,10%),0),0)+IF(BC8&lt;손익!$P$9,IF(BC8&gt;=$F$246,50%,IF(BC8&gt;=$F$245,40%,IF(BC8&gt;=$F$244,30%,IF(BC8&gt;=$F$243,20%,10%)))),0)))-SUM($G$236:BB236),BC232)</f>
        <v>0</v>
      </c>
      <c r="BD236" s="643">
        <f ca="1">IF(SUM($G232:BD$232)&gt;($C$61*$E$236*(IF(LEFT(BD9,2)="입주",SUM('PF상환 민감도'!$D$3:$E$3)+'PF상환 민감도'!$F$3*30%,IF(LEFT(BC9,2)="입주",SUM('PF상환 민감도'!$D$3:$E$3)+'PF상환 민감도'!$F$3*80%,IF(LEFT(BB9,2)="입주",100%,IF(BD8&gt;손익!$P$9+90,1,0))))+IF(BD8&lt;손익!$P$9,IF($B$248&gt;0,IF(BD8&gt;=$B$248,20%),0),0)+IF(BD8&lt;손익!$P$9,IF($B$247&gt;0,IF(BD8&gt;=$B$247,10%),0),0)+IF(BD8&lt;손익!$P$9,IF(BD8&gt;=$B$246,50%,IF(BD8&gt;=$B$245,40%,IF(BD8&gt;=$B$244,30%,IF(BD8&gt;=$B$243,20%,10%)))),0))+$C$117*$E$236*(IF(LEFT(BD65,2)="입주",SUM('PF상환 민감도'!$D$4:$E$4)+'PF상환 민감도'!$F$4*30%,IF(LEFT(BC65,2)="입주",SUM('PF상환 민감도'!$D$4:$E$4)+'PF상환 민감도'!$F$4*80%,IF(LEFT(BB65,2)="입주",100%,IF(BD8&gt;손익!$P$9+90,1,0))))+IF(BD8&lt;손익!$P$9,IF($D$248&gt;0,IF(BD8&gt;=$D$248,20%),0),0)+IF(BD8&lt;손익!$P$9,IF($D$247&gt;0,IF(BD8&gt;=$D$247,10%),0),0)+IF(BD8&lt;손익!$P$9,IF(BD8&gt;=$D$246,50%,IF(BD8&gt;=$D$245,40%,IF(BD8&gt;=$D$244,30%,IF(BD8&gt;=$D$243,20%,10%)))),0))+$C$173*$E$236*(IF(LEFT(BD121,2)="입주",SUM('PF상환 민감도'!$D$5:$E$5)+'PF상환 민감도'!$F$5*30%,IF(LEFT(BC121,2)="입주",SUM('PF상환 민감도'!$D$5:$E$5)+'PF상환 민감도'!$F$5*80%,IF(LEFT(BB121,2)="입주",100%,IF(BD8&gt;손익!$P$9+90,1,0))))+IF(BD8&lt;손익!$P$9,IF($F$248&gt;0,IF(BD8&gt;=$F$248,20%),0),0)+IF(BD8&lt;손익!$P$9,IF($F$247&gt;0,IF(BD8&gt;=$F$247,10%),0),0)+IF(BD8&lt;손익!$P$9,IF(BD8&gt;=$F$246,50%,IF(BD8&gt;=$F$245,40%,IF(BD8&gt;=$F$244,30%,IF(BD8&gt;=$F$243,20%,10%)))),0))+$C$228*$E$236*(IF(LEFT(BD121,2)="입주",SUM('PF상환 민감도'!$D$6:$E$6)+'PF상환 민감도'!$F$6*30%,IF(LEFT(BC121,2)="입주",SUM('PF상환 민감도'!$D$6:$E$6)+'PF상환 민감도'!$F$6*80%,IF(LEFT(BB121,2)="입주",100%,IF(BD8&gt;손익!$P$9+90,1,0))))+IF(BD8&lt;손익!$P$9,IF($F$248&gt;0,IF(BD8&gt;=$F$248,20%),0),0)+IF(BD8&lt;손익!$P$9,IF($F$247&gt;0,IF(BD8&gt;=$F$247,10%),0),0)+IF(BD8&lt;손익!$P$9,IF(BD8&gt;=$F$246,50%,IF(BD8&gt;=$F$245,40%,IF(BD8&gt;=$F$244,30%,IF(BD8&gt;=$F$243,20%,10%)))),0))),($C$61*$E$236*(IF(LEFT(BD9,2)="입주",SUM('PF상환 민감도'!$D$3:$E$3)+'PF상환 민감도'!$F$3*30%,IF(LEFT(BC9,2)="입주",SUM('PF상환 민감도'!$D$3:$E$3)+'PF상환 민감도'!$F$3*80%,IF(LEFT(BB9,2)="입주",100%,IF(BD8&gt;손익!$P$9+90,1,0))))+IF(BD8&lt;손익!$P$9,IF($B$248&gt;0,IF(BD8&gt;=$B$248,20%),0),0)+IF(BD8&lt;손익!$P$9,IF($B$247&gt;0,IF(BD8&gt;=$B$247,10%),0),0)+IF(BD8&lt;손익!$P$9,IF(BD8&gt;=$B$246,50%,IF(BD8&gt;=$B$245,40%,IF(BD8&gt;=$B$244,30%,IF(BD8&gt;=$B$243,20%,10%)))),0))+$C$117*$E$236*(IF(LEFT(BD65,2)="입주",SUM('PF상환 민감도'!$D$4:$E$4)+'PF상환 민감도'!$F$4*30%,IF(LEFT(BC65,2)="입주",SUM('PF상환 민감도'!$D$4:$E$4)+'PF상환 민감도'!$F$4*80%,IF(LEFT(BB65,2)="입주",100%,IF(BD8&gt;손익!$P$9+90,1,0))))+IF(BD8&lt;손익!$P$9,IF($D$248&gt;0,IF(BD8&gt;=$D$248,20%),0),0)+IF(BD8&lt;손익!$P$9,IF($D$247&gt;0,IF(BD8&gt;=$D$247,10%),0),0)+IF(BD8&lt;손익!$P$9,IF(BD8&gt;=$D$246,50%,IF(BD8&gt;=$D$245,40%,IF(BD8&gt;=$D$244,30%,IF(BD8&gt;=$D$243,20%,10%)))),0))+$C$173*$E$236*(IF(LEFT(BD121,2)="입주",SUM('PF상환 민감도'!$D$5:$E$5)+'PF상환 민감도'!$F$5*30%,IF(LEFT(BC121,2)="입주",SUM('PF상환 민감도'!$D$5:$E$5)+'PF상환 민감도'!$F$5*80%,IF(LEFT(BB121,2)="입주",100%,IF(BD8&gt;손익!$P$9+90,1,0))))+IF(BD8&lt;손익!$P$9,IF($F$248&gt;0,IF(BD8&gt;=$F$248,20%),0),0)+IF(BD8&lt;손익!$P$9,IF($F$247&gt;0,IF(BD8&gt;=$F$247,10%),0),0)+IF(BD8&lt;손익!$P$9,IF(BD8&gt;=$F$246,50%,IF(BD8&gt;=$F$245,40%,IF(BD8&gt;=$F$244,30%,IF(BD8&gt;=$F$243,20%,10%)))),0))+$C$228*$E$236*(IF(LEFT(BD121,2)="입주",SUM('PF상환 민감도'!$D$6:$E$6)+'PF상환 민감도'!$F$6*30%,IF(LEFT(BC121,2)="입주",SUM('PF상환 민감도'!$D$6:$E$6)+'PF상환 민감도'!$F$6*80%,IF(LEFT(BB121,2)="입주",100%,IF(BD8&gt;손익!$P$9+90,1,0))))+IF(BD8&lt;손익!$P$9,IF($F$248&gt;0,IF(BD8&gt;=$F$248,20%),0),0)+IF(BD8&lt;손익!$P$9,IF($F$247&gt;0,IF(BD8&gt;=$F$247,10%),0),0)+IF(BD8&lt;손익!$P$9,IF(BD8&gt;=$F$246,50%,IF(BD8&gt;=$F$245,40%,IF(BD8&gt;=$F$244,30%,IF(BD8&gt;=$F$243,20%,10%)))),0)))-SUM($G$236:BC236),BD232)</f>
        <v>0</v>
      </c>
      <c r="BE236" s="643">
        <f ca="1">IF(SUM($G232:BE$232)&gt;($C$61*$E$236*(IF(LEFT(BE9,2)="입주",SUM('PF상환 민감도'!$D$3:$E$3)+'PF상환 민감도'!$F$3*30%,IF(LEFT(BD9,2)="입주",SUM('PF상환 민감도'!$D$3:$E$3)+'PF상환 민감도'!$F$3*80%,IF(LEFT(BC9,2)="입주",100%,IF(BE8&gt;손익!$P$9+90,1,0))))+IF(BE8&lt;손익!$P$9,IF($B$248&gt;0,IF(BE8&gt;=$B$248,20%),0),0)+IF(BE8&lt;손익!$P$9,IF($B$247&gt;0,IF(BE8&gt;=$B$247,10%),0),0)+IF(BE8&lt;손익!$P$9,IF(BE8&gt;=$B$246,50%,IF(BE8&gt;=$B$245,40%,IF(BE8&gt;=$B$244,30%,IF(BE8&gt;=$B$243,20%,10%)))),0))+$C$117*$E$236*(IF(LEFT(BE65,2)="입주",SUM('PF상환 민감도'!$D$4:$E$4)+'PF상환 민감도'!$F$4*30%,IF(LEFT(BD65,2)="입주",SUM('PF상환 민감도'!$D$4:$E$4)+'PF상환 민감도'!$F$4*80%,IF(LEFT(BC65,2)="입주",100%,IF(BE8&gt;손익!$P$9+90,1,0))))+IF(BE8&lt;손익!$P$9,IF($D$248&gt;0,IF(BE8&gt;=$D$248,20%),0),0)+IF(BE8&lt;손익!$P$9,IF($D$247&gt;0,IF(BE8&gt;=$D$247,10%),0),0)+IF(BE8&lt;손익!$P$9,IF(BE8&gt;=$D$246,50%,IF(BE8&gt;=$D$245,40%,IF(BE8&gt;=$D$244,30%,IF(BE8&gt;=$D$243,20%,10%)))),0))+$C$173*$E$236*(IF(LEFT(BE121,2)="입주",SUM('PF상환 민감도'!$D$5:$E$5)+'PF상환 민감도'!$F$5*30%,IF(LEFT(BD121,2)="입주",SUM('PF상환 민감도'!$D$5:$E$5)+'PF상환 민감도'!$F$5*80%,IF(LEFT(BC121,2)="입주",100%,IF(BE8&gt;손익!$P$9+90,1,0))))+IF(BE8&lt;손익!$P$9,IF($F$248&gt;0,IF(BE8&gt;=$F$248,20%),0),0)+IF(BE8&lt;손익!$P$9,IF($F$247&gt;0,IF(BE8&gt;=$F$247,10%),0),0)+IF(BE8&lt;손익!$P$9,IF(BE8&gt;=$F$246,50%,IF(BE8&gt;=$F$245,40%,IF(BE8&gt;=$F$244,30%,IF(BE8&gt;=$F$243,20%,10%)))),0))+$C$228*$E$236*(IF(LEFT(BE121,2)="입주",SUM('PF상환 민감도'!$D$6:$E$6)+'PF상환 민감도'!$F$6*30%,IF(LEFT(BD121,2)="입주",SUM('PF상환 민감도'!$D$6:$E$6)+'PF상환 민감도'!$F$6*80%,IF(LEFT(BC121,2)="입주",100%,IF(BE8&gt;손익!$P$9+90,1,0))))+IF(BE8&lt;손익!$P$9,IF($F$248&gt;0,IF(BE8&gt;=$F$248,20%),0),0)+IF(BE8&lt;손익!$P$9,IF($F$247&gt;0,IF(BE8&gt;=$F$247,10%),0),0)+IF(BE8&lt;손익!$P$9,IF(BE8&gt;=$F$246,50%,IF(BE8&gt;=$F$245,40%,IF(BE8&gt;=$F$244,30%,IF(BE8&gt;=$F$243,20%,10%)))),0))),($C$61*$E$236*(IF(LEFT(BE9,2)="입주",SUM('PF상환 민감도'!$D$3:$E$3)+'PF상환 민감도'!$F$3*30%,IF(LEFT(BD9,2)="입주",SUM('PF상환 민감도'!$D$3:$E$3)+'PF상환 민감도'!$F$3*80%,IF(LEFT(BC9,2)="입주",100%,IF(BE8&gt;손익!$P$9+90,1,0))))+IF(BE8&lt;손익!$P$9,IF($B$248&gt;0,IF(BE8&gt;=$B$248,20%),0),0)+IF(BE8&lt;손익!$P$9,IF($B$247&gt;0,IF(BE8&gt;=$B$247,10%),0),0)+IF(BE8&lt;손익!$P$9,IF(BE8&gt;=$B$246,50%,IF(BE8&gt;=$B$245,40%,IF(BE8&gt;=$B$244,30%,IF(BE8&gt;=$B$243,20%,10%)))),0))+$C$117*$E$236*(IF(LEFT(BE65,2)="입주",SUM('PF상환 민감도'!$D$4:$E$4)+'PF상환 민감도'!$F$4*30%,IF(LEFT(BD65,2)="입주",SUM('PF상환 민감도'!$D$4:$E$4)+'PF상환 민감도'!$F$4*80%,IF(LEFT(BC65,2)="입주",100%,IF(BE8&gt;손익!$P$9+90,1,0))))+IF(BE8&lt;손익!$P$9,IF($D$248&gt;0,IF(BE8&gt;=$D$248,20%),0),0)+IF(BE8&lt;손익!$P$9,IF($D$247&gt;0,IF(BE8&gt;=$D$247,10%),0),0)+IF(BE8&lt;손익!$P$9,IF(BE8&gt;=$D$246,50%,IF(BE8&gt;=$D$245,40%,IF(BE8&gt;=$D$244,30%,IF(BE8&gt;=$D$243,20%,10%)))),0))+$C$173*$E$236*(IF(LEFT(BE121,2)="입주",SUM('PF상환 민감도'!$D$5:$E$5)+'PF상환 민감도'!$F$5*30%,IF(LEFT(BD121,2)="입주",SUM('PF상환 민감도'!$D$5:$E$5)+'PF상환 민감도'!$F$5*80%,IF(LEFT(BC121,2)="입주",100%,IF(BE8&gt;손익!$P$9+90,1,0))))+IF(BE8&lt;손익!$P$9,IF($F$248&gt;0,IF(BE8&gt;=$F$248,20%),0),0)+IF(BE8&lt;손익!$P$9,IF($F$247&gt;0,IF(BE8&gt;=$F$247,10%),0),0)+IF(BE8&lt;손익!$P$9,IF(BE8&gt;=$F$246,50%,IF(BE8&gt;=$F$245,40%,IF(BE8&gt;=$F$244,30%,IF(BE8&gt;=$F$243,20%,10%)))),0))+$C$228*$E$236*(IF(LEFT(BE121,2)="입주",SUM('PF상환 민감도'!$D$6:$E$6)+'PF상환 민감도'!$F$6*30%,IF(LEFT(BD121,2)="입주",SUM('PF상환 민감도'!$D$6:$E$6)+'PF상환 민감도'!$F$6*80%,IF(LEFT(BC121,2)="입주",100%,IF(BE8&gt;손익!$P$9+90,1,0))))+IF(BE8&lt;손익!$P$9,IF($F$248&gt;0,IF(BE8&gt;=$F$248,20%),0),0)+IF(BE8&lt;손익!$P$9,IF($F$247&gt;0,IF(BE8&gt;=$F$247,10%),0),0)+IF(BE8&lt;손익!$P$9,IF(BE8&gt;=$F$246,50%,IF(BE8&gt;=$F$245,40%,IF(BE8&gt;=$F$244,30%,IF(BE8&gt;=$F$243,20%,10%)))),0)))-SUM($G$236:BD236),BE232)</f>
        <v>0</v>
      </c>
      <c r="BF236" s="556">
        <f t="shared" ref="BF236:BF241" ca="1" si="69">SUM(G236:BE236)</f>
        <v>129644910.38902189</v>
      </c>
      <c r="BG236" s="644">
        <f ca="1">BF236/$C$232</f>
        <v>0.3</v>
      </c>
    </row>
    <row r="237" spans="1:60">
      <c r="A237" s="610"/>
      <c r="B237" s="588"/>
      <c r="C237" s="588"/>
      <c r="D237" s="589"/>
      <c r="E237" s="589"/>
      <c r="F237" s="588" t="s">
        <v>377</v>
      </c>
      <c r="G237" s="645">
        <f ca="1">G236*IF(G8&gt;=SUMIF($G$9:$BE$9,"입주/잔금",$G$8:$BE$8),'PF상환 민감도'!$O$11,'PF상환 민감도'!$N$11)</f>
        <v>0</v>
      </c>
      <c r="H237" s="556">
        <f ca="1">H236*IF(H8&gt;=SUMIF($G$9:$BE$9,"입주/잔금",$G$8:$BE$8),'PF상환 민감도'!$O$11,'PF상환 민감도'!$N$11)</f>
        <v>0</v>
      </c>
      <c r="I237" s="556">
        <f ca="1">I236*IF(I8&gt;=SUMIF($G$9:$BE$9,"입주/잔금",$G$8:$BE$8),'PF상환 민감도'!$O$11,'PF상환 민감도'!$N$11)</f>
        <v>0</v>
      </c>
      <c r="J237" s="556">
        <f ca="1">J236*IF(J8&gt;=SUMIF($G$9:$BE$9,"입주/잔금",$G$8:$BE$8),'PF상환 민감도'!$O$11,'PF상환 민감도'!$N$11)</f>
        <v>0</v>
      </c>
      <c r="K237" s="556">
        <f ca="1">K236*IF(K8&gt;=SUMIF($G$9:$BE$9,"입주/잔금",$G$8:$BE$8),'PF상환 민감도'!$O$11,'PF상환 민감도'!$N$11)</f>
        <v>0</v>
      </c>
      <c r="L237" s="556">
        <f ca="1">L236*IF(L8&gt;=SUMIF($G$9:$BE$9,"입주/잔금",$G$8:$BE$8),'PF상환 민감도'!$O$11,'PF상환 민감도'!$N$11)</f>
        <v>0</v>
      </c>
      <c r="M237" s="556">
        <f ca="1">M236*IF(M8&gt;=SUMIF($G$9:$BE$9,"입주/잔금",$G$8:$BE$8),'PF상환 민감도'!$O$11,'PF상환 민감도'!$N$11)</f>
        <v>0</v>
      </c>
      <c r="N237" s="556">
        <f ca="1">N236*IF(N8&gt;=SUMIF($G$9:$BE$9,"입주/잔금",$G$8:$BE$8),'PF상환 민감도'!$O$11,'PF상환 민감도'!$N$11)</f>
        <v>0</v>
      </c>
      <c r="O237" s="556">
        <f ca="1">O236*IF(O8&gt;=SUMIF($G$9:$BE$9,"입주/잔금",$G$8:$BE$8),'PF상환 민감도'!$O$11,'PF상환 민감도'!$N$11)</f>
        <v>0</v>
      </c>
      <c r="P237" s="556">
        <f ca="1">P236*IF(P8&gt;=SUMIF($G$9:$BE$9,"입주/잔금",$G$8:$BE$8),'PF상환 민감도'!$O$11,'PF상환 민감도'!$N$11)</f>
        <v>0</v>
      </c>
      <c r="Q237" s="556">
        <f ca="1">Q236*IF(Q8&gt;=SUMIF($G$9:$BE$9,"입주/잔금",$G$8:$BE$8),'PF상환 민감도'!$O$11,'PF상환 민감도'!$N$11)</f>
        <v>0</v>
      </c>
      <c r="R237" s="556">
        <f ca="1">R236*IF(R8&gt;=SUMIF($G$9:$BE$9,"입주/잔금",$G$8:$BE$8),'PF상환 민감도'!$O$11,'PF상환 민감도'!$N$11)</f>
        <v>0</v>
      </c>
      <c r="S237" s="556">
        <f ca="1">S236*IF(S8&gt;=SUMIF($G$9:$BE$9,"입주/잔금",$G$8:$BE$8),'PF상환 민감도'!$O$11,'PF상환 민감도'!$N$11)</f>
        <v>0</v>
      </c>
      <c r="T237" s="556">
        <f ca="1">T236*IF(T8&gt;=SUMIF($G$9:$BE$9,"입주/잔금",$G$8:$BE$8),'PF상환 민감도'!$O$11,'PF상환 민감도'!$N$11)</f>
        <v>0</v>
      </c>
      <c r="U237" s="556">
        <f ca="1">U236*IF(U8&gt;=SUMIF($G$9:$BE$9,"입주/잔금",$G$8:$BE$8),'PF상환 민감도'!$O$11,'PF상환 민감도'!$N$11)</f>
        <v>0</v>
      </c>
      <c r="V237" s="556">
        <f ca="1">V236*IF(V8&gt;=SUMIF($G$9:$BE$9,"입주/잔금",$G$8:$BE$8),'PF상환 민감도'!$O$11,'PF상환 민감도'!$N$11)</f>
        <v>0</v>
      </c>
      <c r="W237" s="556">
        <f ca="1">W236*IF(W8&gt;=SUMIF($G$9:$BE$9,"입주/잔금",$G$8:$BE$8),'PF상환 민감도'!$O$11,'PF상환 민감도'!$N$11)</f>
        <v>0</v>
      </c>
      <c r="X237" s="556">
        <f ca="1">X236*IF(X8&gt;=SUMIF($G$9:$BE$9,"입주/잔금",$G$8:$BE$8),'PF상환 민감도'!$O$11,'PF상환 민감도'!$N$11)</f>
        <v>0</v>
      </c>
      <c r="Y237" s="556">
        <f ca="1">Y236*IF(Y8&gt;=SUMIF($G$9:$BE$9,"입주/잔금",$G$8:$BE$8),'PF상환 민감도'!$O$11,'PF상환 민감도'!$N$11)</f>
        <v>0</v>
      </c>
      <c r="Z237" s="556">
        <f ca="1">Z236*IF(Z8&gt;=SUMIF($G$9:$BE$9,"입주/잔금",$G$8:$BE$8),'PF상환 민감도'!$O$11,'PF상환 민감도'!$N$11)</f>
        <v>0</v>
      </c>
      <c r="AA237" s="556">
        <f ca="1">AA236*IF(AA8&gt;=SUMIF($G$9:$BE$9,"입주/잔금",$G$8:$BE$8),'PF상환 민감도'!$O$11,'PF상환 민감도'!$N$11)</f>
        <v>0</v>
      </c>
      <c r="AB237" s="556">
        <f ca="1">AB236*IF(AB8&gt;=SUMIF($G$9:$BE$9,"입주/잔금",$G$8:$BE$8),'PF상환 민감도'!$O$11,'PF상환 민감도'!$N$11)</f>
        <v>0</v>
      </c>
      <c r="AC237" s="556">
        <f ca="1">AC236*IF(AC8&gt;=SUMIF($G$9:$BE$9,"입주/잔금",$G$8:$BE$8),'PF상환 민감도'!$O$11,'PF상환 민감도'!$N$11)</f>
        <v>0</v>
      </c>
      <c r="AD237" s="556">
        <f ca="1">AD236*IF(AD8&gt;=SUMIF($G$9:$BE$9,"입주/잔금",$G$8:$BE$8),'PF상환 민감도'!$O$11,'PF상환 민감도'!$N$11)</f>
        <v>0</v>
      </c>
      <c r="AE237" s="556">
        <f ca="1">AE236*IF(AE8&gt;=SUMIF($G$9:$BE$9,"입주/잔금",$G$8:$BE$8),'PF상환 민감도'!$O$11,'PF상환 민감도'!$N$11)</f>
        <v>0</v>
      </c>
      <c r="AF237" s="556">
        <f ca="1">AF236*IF(AF8&gt;=SUMIF($G$9:$BE$9,"입주/잔금",$G$8:$BE$8),'PF상환 민감도'!$O$11,'PF상환 민감도'!$N$11)</f>
        <v>0</v>
      </c>
      <c r="AG237" s="556">
        <f ca="1">AG236*IF(AG8&gt;=SUMIF($G$9:$BE$9,"입주/잔금",$G$8:$BE$8),'PF상환 민감도'!$O$11,'PF상환 민감도'!$N$11)</f>
        <v>0</v>
      </c>
      <c r="AH237" s="556">
        <f ca="1">AH236*IF(AH8&gt;=SUMIF($G$9:$BE$9,"입주/잔금",$G$8:$BE$8),'PF상환 민감도'!$O$11,'PF상환 민감도'!$N$11)</f>
        <v>0</v>
      </c>
      <c r="AI237" s="556">
        <f ca="1">AI236*IF(AI8&gt;=SUMIF($G$9:$BE$9,"입주/잔금",$G$8:$BE$8),'PF상환 민감도'!$O$11,'PF상환 민감도'!$N$11)</f>
        <v>0</v>
      </c>
      <c r="AJ237" s="556">
        <f ca="1">AJ236*IF(AJ8&gt;=SUMIF($G$9:$BE$9,"입주/잔금",$G$8:$BE$8),'PF상환 민감도'!$O$11,'PF상환 민감도'!$N$11)</f>
        <v>0</v>
      </c>
      <c r="AK237" s="556">
        <f ca="1">AK236*IF(AK8&gt;=SUMIF($G$9:$BE$9,"입주/잔금",$G$8:$BE$8),'PF상환 민감도'!$O$11,'PF상환 민감도'!$N$11)</f>
        <v>0</v>
      </c>
      <c r="AL237" s="556">
        <f ca="1">AL236*IF(AL8&gt;=SUMIF($G$9:$BE$9,"입주/잔금",$G$8:$BE$8),'PF상환 민감도'!$O$11,'PF상환 민감도'!$N$11)</f>
        <v>0</v>
      </c>
      <c r="AM237" s="556">
        <f ca="1">AM236*IF(AM8&gt;=SUMIF($G$9:$BE$9,"입주/잔금",$G$8:$BE$8),'PF상환 민감도'!$O$11,'PF상환 민감도'!$N$11)</f>
        <v>0</v>
      </c>
      <c r="AN237" s="556">
        <f ca="1">AN236*IF(AN8&gt;=SUMIF($G$9:$BE$9,"입주/잔금",$G$8:$BE$8),'PF상환 민감도'!$O$11,'PF상환 민감도'!$N$11)</f>
        <v>0</v>
      </c>
      <c r="AO237" s="556">
        <f ca="1">AO236*IF(AO8&gt;=SUMIF($G$9:$BE$9,"입주/잔금",$G$8:$BE$8),'PF상환 민감도'!$O$11,'PF상환 민감도'!$N$11)</f>
        <v>0</v>
      </c>
      <c r="AP237" s="556">
        <f ca="1">AP236*IF(AP8&gt;=SUMIF($G$9:$BE$9,"입주/잔금",$G$8:$BE$8),'PF상환 민감도'!$O$11,'PF상환 민감도'!$N$11)</f>
        <v>0</v>
      </c>
      <c r="AQ237" s="556">
        <f ca="1">AQ236*IF(AQ8&gt;=SUMIF($G$9:$BE$9,"입주/잔금",$G$8:$BE$8),'PF상환 민감도'!$O$11,'PF상환 민감도'!$N$11)</f>
        <v>0</v>
      </c>
      <c r="AR237" s="556">
        <f ca="1">AR236*IF(AR8&gt;=SUMIF($G$9:$BE$9,"입주/잔금",$G$8:$BE$8),'PF상환 민감도'!$O$11,'PF상환 민감도'!$N$11)</f>
        <v>0</v>
      </c>
      <c r="AS237" s="556">
        <f ca="1">AS236*IF(AS8&gt;=SUMIF($G$9:$BE$9,"입주/잔금",$G$8:$BE$8),'PF상환 민감도'!$O$11,'PF상환 민감도'!$N$11)</f>
        <v>0</v>
      </c>
      <c r="AT237" s="556">
        <f ca="1">AT236*IF(AT8&gt;=SUMIF($G$9:$BE$9,"입주/잔금",$G$8:$BE$8),'PF상환 민감도'!$O$11,'PF상환 민감도'!$N$11)</f>
        <v>0</v>
      </c>
      <c r="AU237" s="556">
        <f ca="1">AU236*IF(AU8&gt;=SUMIF($G$9:$BE$9,"입주/잔금",$G$8:$BE$8),'PF상환 민감도'!$O$11,'PF상환 민감도'!$N$11)</f>
        <v>0</v>
      </c>
      <c r="AV237" s="556">
        <f ca="1">AV236*IF(AV8&gt;=SUMIF($G$9:$BE$9,"입주/잔금",$G$8:$BE$8),'PF상환 민감도'!$O$11,'PF상환 민감도'!$N$11)</f>
        <v>0</v>
      </c>
      <c r="AW237" s="556">
        <f ca="1">AW236*IF(AW8&gt;=SUMIF($G$9:$BE$9,"입주/잔금",$G$8:$BE$8),'PF상환 민감도'!$O$11,'PF상환 민감도'!$N$11)</f>
        <v>0</v>
      </c>
      <c r="AX237" s="556">
        <f ca="1">AX236*IF(AX8&gt;=SUMIF($G$9:$BE$9,"입주/잔금",$G$8:$BE$8),'PF상환 민감도'!$O$11,'PF상환 민감도'!$N$11)</f>
        <v>0</v>
      </c>
      <c r="AY237" s="556">
        <f ca="1">AY236*IF(AY8&gt;=SUMIF($G$9:$BE$9,"입주/잔금",$G$8:$BE$8),'PF상환 민감도'!$O$11,'PF상환 민감도'!$N$11)</f>
        <v>0</v>
      </c>
      <c r="AZ237" s="556">
        <f ca="1">AZ236*IF(AZ8&gt;=SUMIF($G$9:$BE$9,"입주/잔금",$G$8:$BE$8),'PF상환 민감도'!$O$11,'PF상환 민감도'!$N$11)</f>
        <v>0</v>
      </c>
      <c r="BA237" s="556">
        <f ca="1">BA236*IF(BA8&gt;=SUMIF($G$9:$BE$9,"입주/잔금",$G$8:$BE$8),'PF상환 민감도'!$O$11,'PF상환 민감도'!$N$11)</f>
        <v>0</v>
      </c>
      <c r="BB237" s="556">
        <f ca="1">BB236*IF(BB8&gt;=SUMIF($G$9:$BE$9,"입주/잔금",$G$8:$BE$8),'PF상환 민감도'!$O$11,'PF상환 민감도'!$N$11)</f>
        <v>0</v>
      </c>
      <c r="BC237" s="556">
        <f ca="1">BC236*IF(BC8&gt;=SUMIF($G$9:$BE$9,"입주/잔금",$G$8:$BE$8),'PF상환 민감도'!$O$11,'PF상환 민감도'!$N$11)</f>
        <v>0</v>
      </c>
      <c r="BD237" s="556">
        <f ca="1">BD236*IF(BD8&gt;=SUMIF($G$9:$BE$9,"입주/잔금",$G$8:$BE$8),'PF상환 민감도'!$O$11,'PF상환 민감도'!$N$11)</f>
        <v>0</v>
      </c>
      <c r="BE237" s="556">
        <f ca="1">BE236*IF(BE8&gt;=SUMIF($G$9:$BE$9,"입주/잔금",$G$8:$BE$8),'PF상환 민감도'!$O$11,'PF상환 민감도'!$N$11)</f>
        <v>0</v>
      </c>
      <c r="BF237" s="556">
        <f t="shared" ca="1" si="69"/>
        <v>0</v>
      </c>
      <c r="BG237" s="610"/>
    </row>
    <row r="238" spans="1:60">
      <c r="A238" s="610"/>
      <c r="B238" s="588"/>
      <c r="C238" s="588"/>
      <c r="D238" s="589"/>
      <c r="E238" s="589"/>
      <c r="F238" s="588" t="s">
        <v>378</v>
      </c>
      <c r="G238" s="645">
        <f ca="1">G236*IF(G8&gt;=SUMIF($G$9:$BE$9,"입주/잔금",$G$8:$BE$8),'PF상환 민감도'!$O$12,'PF상환 민감도'!$N$12)</f>
        <v>7586171.0251470003</v>
      </c>
      <c r="H238" s="556">
        <f ca="1">H236*IF(H8&gt;=SUMIF($G$9:$BE$9,"입주/잔금",$G$8:$BE$8),'PF상환 민감도'!$O$12,'PF상환 민감도'!$N$12)</f>
        <v>3793085.5125735002</v>
      </c>
      <c r="I238" s="556">
        <f ca="1">I236*IF(I8&gt;=SUMIF($G$9:$BE$9,"입주/잔금",$G$8:$BE$8),'PF상환 민감도'!$O$12,'PF상환 민감도'!$N$12)</f>
        <v>1264361.8375245002</v>
      </c>
      <c r="J238" s="556">
        <f ca="1">J236*IF(J8&gt;=SUMIF($G$9:$BE$9,"입주/잔금",$G$8:$BE$8),'PF상환 민감도'!$O$12,'PF상환 민감도'!$N$12)</f>
        <v>320872.66365719028</v>
      </c>
      <c r="K238" s="556">
        <f ca="1">K236*IF(K8&gt;=SUMIF($G$9:$BE$9,"입주/잔금",$G$8:$BE$8),'PF상환 민감도'!$O$12,'PF상환 민감도'!$N$12)</f>
        <v>0</v>
      </c>
      <c r="L238" s="556">
        <f ca="1">L236*IF(L8&gt;=SUMIF($G$9:$BE$9,"입주/잔금",$G$8:$BE$8),'PF상환 민감도'!$O$12,'PF상환 민감도'!$N$12)</f>
        <v>7586171.0251469966</v>
      </c>
      <c r="M238" s="556">
        <f ca="1">M236*IF(M8&gt;=SUMIF($G$9:$BE$9,"입주/잔금",$G$8:$BE$8),'PF상환 민감도'!$O$12,'PF상환 민감도'!$N$12)</f>
        <v>0</v>
      </c>
      <c r="N238" s="556">
        <f ca="1">N236*IF(N8&gt;=SUMIF($G$9:$BE$9,"입주/잔금",$G$8:$BE$8),'PF상환 민감도'!$O$12,'PF상환 민감도'!$N$12)</f>
        <v>0</v>
      </c>
      <c r="O238" s="556">
        <f ca="1">O236*IF(O8&gt;=SUMIF($G$9:$BE$9,"입주/잔금",$G$8:$BE$8),'PF상환 민감도'!$O$12,'PF상환 민감도'!$N$12)</f>
        <v>0</v>
      </c>
      <c r="P238" s="556">
        <f ca="1">P236*IF(P8&gt;=SUMIF($G$9:$BE$9,"입주/잔금",$G$8:$BE$8),'PF상환 민감도'!$O$12,'PF상환 민감도'!$N$12)</f>
        <v>0</v>
      </c>
      <c r="Q238" s="556">
        <f ca="1">Q236*IF(Q8&gt;=SUMIF($G$9:$BE$9,"입주/잔금",$G$8:$BE$8),'PF상환 민감도'!$O$12,'PF상환 민감도'!$N$12)</f>
        <v>12325941.974445</v>
      </c>
      <c r="R238" s="556">
        <f ca="1">R236*IF(R8&gt;=SUMIF($G$9:$BE$9,"입주/잔금",$G$8:$BE$8),'PF상환 민감도'!$O$12,'PF상환 민감도'!$N$12)</f>
        <v>0</v>
      </c>
      <c r="S238" s="556">
        <f ca="1">S236*IF(S8&gt;=SUMIF($G$9:$BE$9,"입주/잔금",$G$8:$BE$8),'PF상환 민감도'!$O$12,'PF상환 민감도'!$N$12)</f>
        <v>638549.06445719302</v>
      </c>
      <c r="T238" s="556">
        <f ca="1">T236*IF(T8&gt;=SUMIF($G$9:$BE$9,"입주/잔금",$G$8:$BE$8),'PF상환 민감도'!$O$12,'PF상환 민감도'!$N$12)</f>
        <v>0</v>
      </c>
      <c r="U238" s="556">
        <f ca="1">U236*IF(U8&gt;=SUMIF($G$9:$BE$9,"입주/잔금",$G$8:$BE$8),'PF상환 민감도'!$O$12,'PF상환 민감도'!$N$12)</f>
        <v>4739770.9492979906</v>
      </c>
      <c r="V238" s="556">
        <f ca="1">V236*IF(V8&gt;=SUMIF($G$9:$BE$9,"입주/잔금",$G$8:$BE$8),'PF상환 민감도'!$O$12,'PF상환 민감도'!$N$12)</f>
        <v>7586171.0251470059</v>
      </c>
      <c r="W238" s="556">
        <f ca="1">W236*IF(W8&gt;=SUMIF($G$9:$BE$9,"입주/잔금",$G$8:$BE$8),'PF상환 민감도'!$O$12,'PF상환 민감도'!$N$12)</f>
        <v>0</v>
      </c>
      <c r="X238" s="556">
        <f ca="1">X236*IF(X8&gt;=SUMIF($G$9:$BE$9,"입주/잔금",$G$8:$BE$8),'PF상환 민감도'!$O$12,'PF상환 민감도'!$N$12)</f>
        <v>0</v>
      </c>
      <c r="Y238" s="556">
        <f ca="1">Y236*IF(Y8&gt;=SUMIF($G$9:$BE$9,"입주/잔금",$G$8:$BE$8),'PF상환 민감도'!$O$12,'PF상환 민감도'!$N$12)</f>
        <v>5378320.0137551948</v>
      </c>
      <c r="Z238" s="556">
        <f ca="1">Z236*IF(Z8&gt;=SUMIF($G$9:$BE$9,"입주/잔금",$G$8:$BE$8),'PF상환 민감도'!$O$12,'PF상환 민감도'!$N$12)</f>
        <v>0</v>
      </c>
      <c r="AA238" s="556">
        <f ca="1">AA236*IF(AA8&gt;=SUMIF($G$9:$BE$9,"입주/잔금",$G$8:$BE$8),'PF상환 민감도'!$O$12,'PF상환 민감도'!$N$12)</f>
        <v>0</v>
      </c>
      <c r="AB238" s="556">
        <f ca="1">AB236*IF(AB8&gt;=SUMIF($G$9:$BE$9,"입주/잔금",$G$8:$BE$8),'PF상환 민감도'!$O$12,'PF상환 민감도'!$N$12)</f>
        <v>7586171.025146991</v>
      </c>
      <c r="AC238" s="556">
        <f ca="1">AC236*IF(AC8&gt;=SUMIF($G$9:$BE$9,"입주/잔금",$G$8:$BE$8),'PF상환 민감도'!$O$12,'PF상환 민감도'!$N$12)</f>
        <v>4739770.9492980018</v>
      </c>
      <c r="AD238" s="556">
        <f ca="1">AD236*IF(AD8&gt;=SUMIF($G$9:$BE$9,"입주/잔금",$G$8:$BE$8),'PF상환 민감도'!$O$12,'PF상환 민감도'!$N$12)</f>
        <v>0</v>
      </c>
      <c r="AE238" s="556">
        <f ca="1">AE236*IF(AE8&gt;=SUMIF($G$9:$BE$9,"입주/잔금",$G$8:$BE$8),'PF상환 민감도'!$O$12,'PF상환 민감도'!$N$12)</f>
        <v>638549.06445719302</v>
      </c>
      <c r="AF238" s="556">
        <f ca="1">AF236*IF(AF8&gt;=SUMIF($G$9:$BE$9,"입주/잔금",$G$8:$BE$8),'PF상환 민감도'!$O$12,'PF상환 민감도'!$N$12)</f>
        <v>0</v>
      </c>
      <c r="AG238" s="556">
        <f ca="1">AG236*IF(AG8&gt;=SUMIF($G$9:$BE$9,"입주/잔금",$G$8:$BE$8),'PF상환 민감도'!$O$12,'PF상환 민감도'!$N$12)</f>
        <v>7586171.025146991</v>
      </c>
      <c r="AH238" s="556">
        <f ca="1">AH236*IF(AH8&gt;=SUMIF($G$9:$BE$9,"입주/잔금",$G$8:$BE$8),'PF상환 민감도'!$O$12,'PF상환 민감도'!$N$12)</f>
        <v>4739770.9492979944</v>
      </c>
      <c r="AI238" s="556">
        <f ca="1">AI236*IF(AI8&gt;=SUMIF($G$9:$BE$9,"입주/잔금",$G$8:$BE$8),'PF상환 민감도'!$O$12,'PF상환 민감도'!$N$12)</f>
        <v>0</v>
      </c>
      <c r="AJ238" s="556">
        <f ca="1">AJ236*IF(AJ8&gt;=SUMIF($G$9:$BE$9,"입주/잔금",$G$8:$BE$8),'PF상환 민감도'!$O$12,'PF상환 민감도'!$N$12)</f>
        <v>0</v>
      </c>
      <c r="AK238" s="556">
        <f ca="1">AK236*IF(AK8&gt;=SUMIF($G$9:$BE$9,"입주/잔금",$G$8:$BE$8),'PF상환 민감도'!$O$12,'PF상환 민감도'!$N$12)</f>
        <v>638549.06445719302</v>
      </c>
      <c r="AL238" s="556">
        <f ca="1">AL236*IF(AL8&gt;=SUMIF($G$9:$BE$9,"입주/잔금",$G$8:$BE$8),'PF상환 민감도'!$O$12,'PF상환 민감도'!$N$12)</f>
        <v>15172342.050294012</v>
      </c>
      <c r="AM238" s="556">
        <f ca="1">AM236*IF(AM8&gt;=SUMIF($G$9:$BE$9,"입주/잔금",$G$8:$BE$8),'PF상환 민감도'!$O$12,'PF상환 민감도'!$N$12)</f>
        <v>9479541.8985960037</v>
      </c>
      <c r="AN238" s="556">
        <f ca="1">AN236*IF(AN8&gt;=SUMIF($G$9:$BE$9,"입주/잔금",$G$8:$BE$8),'PF상환 민감도'!$O$12,'PF상환 민감도'!$N$12)</f>
        <v>0</v>
      </c>
      <c r="AO238" s="556">
        <f ca="1">AO236*IF(AO8&gt;=SUMIF($G$9:$BE$9,"입주/잔금",$G$8:$BE$8),'PF상환 민감도'!$O$12,'PF상환 민감도'!$N$12)</f>
        <v>0</v>
      </c>
      <c r="AP238" s="556">
        <f ca="1">AP236*IF(AP8&gt;=SUMIF($G$9:$BE$9,"입주/잔금",$G$8:$BE$8),'PF상환 민감도'!$O$12,'PF상환 민감도'!$N$12)</f>
        <v>0</v>
      </c>
      <c r="AQ238" s="556">
        <f ca="1">AQ236*IF(AQ8&gt;=SUMIF($G$9:$BE$9,"입주/잔금",$G$8:$BE$8),'PF상환 민감도'!$O$12,'PF상환 민감도'!$N$12)</f>
        <v>0</v>
      </c>
      <c r="AR238" s="556">
        <f ca="1">AR236*IF(AR8&gt;=SUMIF($G$9:$BE$9,"입주/잔금",$G$8:$BE$8),'PF상환 민감도'!$O$12,'PF상환 민감도'!$N$12)</f>
        <v>-153627719.8103016</v>
      </c>
      <c r="AS238" s="556">
        <f ca="1">AS236*IF(AS8&gt;=SUMIF($G$9:$BE$9,"입주/잔금",$G$8:$BE$8),'PF상환 민감도'!$O$12,'PF상환 민감도'!$N$12)</f>
        <v>162058978.29463285</v>
      </c>
      <c r="AT238" s="556">
        <f ca="1">AT236*IF(AT8&gt;=SUMIF($G$9:$BE$9,"입주/잔금",$G$8:$BE$8),'PF상환 민감도'!$O$12,'PF상환 민감도'!$N$12)</f>
        <v>3482411.6340359747</v>
      </c>
      <c r="AU238" s="556">
        <f ca="1">AU236*IF(AU8&gt;=SUMIF($G$9:$BE$9,"입주/잔금",$G$8:$BE$8),'PF상환 민감도'!$O$12,'PF상환 민감도'!$N$12)</f>
        <v>0</v>
      </c>
      <c r="AV238" s="556">
        <f ca="1">AV236*IF(AV8&gt;=SUMIF($G$9:$BE$9,"입주/잔금",$G$8:$BE$8),'PF상환 민감도'!$O$12,'PF상환 민감도'!$N$12)</f>
        <v>0</v>
      </c>
      <c r="AW238" s="556">
        <f ca="1">AW236*IF(AW8&gt;=SUMIF($G$9:$BE$9,"입주/잔금",$G$8:$BE$8),'PF상환 민감도'!$O$12,'PF상환 민감도'!$N$12)</f>
        <v>11379256.537720501</v>
      </c>
      <c r="AX238" s="556">
        <f ca="1">AX236*IF(AX8&gt;=SUMIF($G$9:$BE$9,"입주/잔금",$G$8:$BE$8),'PF상환 민감도'!$O$12,'PF상환 민감도'!$N$12)</f>
        <v>4551702.6150882095</v>
      </c>
      <c r="AY238" s="556">
        <f ca="1">AY236*IF(AY8&gt;=SUMIF($G$9:$BE$9,"입주/잔금",$G$8:$BE$8),'PF상환 민감도'!$O$12,'PF상환 민감도'!$N$12)</f>
        <v>0</v>
      </c>
      <c r="AZ238" s="556">
        <f ca="1">AZ236*IF(AZ8&gt;=SUMIF($G$9:$BE$9,"입주/잔금",$G$8:$BE$8),'PF상환 민감도'!$O$12,'PF상환 민감도'!$N$12)</f>
        <v>0</v>
      </c>
      <c r="BA238" s="556">
        <f ca="1">BA236*IF(BA8&gt;=SUMIF($G$9:$BE$9,"입주/잔금",$G$8:$BE$8),'PF상환 민감도'!$O$12,'PF상환 민감도'!$N$12)</f>
        <v>0</v>
      </c>
      <c r="BB238" s="556">
        <f ca="1">BB236*IF(BB8&gt;=SUMIF($G$9:$BE$9,"입주/잔금",$G$8:$BE$8),'PF상환 민감도'!$O$12,'PF상환 민감도'!$N$12)</f>
        <v>0</v>
      </c>
      <c r="BC238" s="556">
        <f ca="1">BC236*IF(BC8&gt;=SUMIF($G$9:$BE$9,"입주/잔금",$G$8:$BE$8),'PF상환 민감도'!$O$12,'PF상환 민감도'!$N$12)</f>
        <v>0</v>
      </c>
      <c r="BD238" s="556">
        <f ca="1">BD236*IF(BD8&gt;=SUMIF($G$9:$BE$9,"입주/잔금",$G$8:$BE$8),'PF상환 민감도'!$O$12,'PF상환 민감도'!$N$12)</f>
        <v>0</v>
      </c>
      <c r="BE238" s="556">
        <f ca="1">BE236*IF(BE8&gt;=SUMIF($G$9:$BE$9,"입주/잔금",$G$8:$BE$8),'PF상환 민감도'!$O$12,'PF상환 민감도'!$N$12)</f>
        <v>0</v>
      </c>
      <c r="BF238" s="556">
        <f t="shared" ca="1" si="69"/>
        <v>129644910.38902189</v>
      </c>
      <c r="BG238" s="610"/>
    </row>
    <row r="239" spans="1:60">
      <c r="A239" s="610"/>
      <c r="B239" s="588"/>
      <c r="C239" s="588"/>
      <c r="D239" s="589"/>
      <c r="E239" s="1876">
        <f>'PF상환 민감도'!I13</f>
        <v>0.3</v>
      </c>
      <c r="F239" s="1876"/>
      <c r="G239" s="646">
        <f ca="1">G232-G236</f>
        <v>0</v>
      </c>
      <c r="H239" s="646">
        <f t="shared" ref="H239:BE239" ca="1" si="70">H232-H236</f>
        <v>0</v>
      </c>
      <c r="I239" s="646">
        <f t="shared" ca="1" si="70"/>
        <v>0</v>
      </c>
      <c r="J239" s="646">
        <f t="shared" ca="1" si="70"/>
        <v>943489.17386730993</v>
      </c>
      <c r="K239" s="646">
        <f t="shared" ca="1" si="70"/>
        <v>1264361.8375245002</v>
      </c>
      <c r="L239" s="646">
        <f t="shared" ca="1" si="70"/>
        <v>8850532.8626715019</v>
      </c>
      <c r="M239" s="646">
        <f t="shared" ca="1" si="70"/>
        <v>9083934.7276494913</v>
      </c>
      <c r="N239" s="646">
        <f t="shared" ca="1" si="70"/>
        <v>3234927.4212398981</v>
      </c>
      <c r="O239" s="646">
        <f t="shared" ca="1" si="70"/>
        <v>1655003.7714738986</v>
      </c>
      <c r="P239" s="646">
        <f t="shared" ca="1" si="70"/>
        <v>1655003.7714738986</v>
      </c>
      <c r="Q239" s="646">
        <f t="shared" ca="1" si="70"/>
        <v>7247425.9903914891</v>
      </c>
      <c r="R239" s="646">
        <f t="shared" ca="1" si="70"/>
        <v>1655003.7714738986</v>
      </c>
      <c r="S239" s="646">
        <f t="shared" ca="1" si="70"/>
        <v>1658293.5737492908</v>
      </c>
      <c r="T239" s="646">
        <f t="shared" ca="1" si="70"/>
        <v>1339019.0415206985</v>
      </c>
      <c r="U239" s="646">
        <f t="shared" ca="1" si="70"/>
        <v>13504431.1447189</v>
      </c>
      <c r="V239" s="646">
        <f t="shared" ca="1" si="70"/>
        <v>-1853441.7335147057</v>
      </c>
      <c r="W239" s="646">
        <f t="shared" ca="1" si="70"/>
        <v>1138456.7389136192</v>
      </c>
      <c r="X239" s="646">
        <f t="shared" ca="1" si="70"/>
        <v>864299.40259347938</v>
      </c>
      <c r="Y239" s="646">
        <f t="shared" ca="1" si="70"/>
        <v>15286851.090931367</v>
      </c>
      <c r="Z239" s="646">
        <f t="shared" ca="1" si="70"/>
        <v>0</v>
      </c>
      <c r="AA239" s="646">
        <f t="shared" ca="1" si="70"/>
        <v>0</v>
      </c>
      <c r="AB239" s="646">
        <f t="shared" ca="1" si="70"/>
        <v>-3034468.4100587927</v>
      </c>
      <c r="AC239" s="646">
        <f t="shared" ca="1" si="70"/>
        <v>11059465.548361989</v>
      </c>
      <c r="AD239" s="646">
        <f t="shared" ca="1" si="70"/>
        <v>0</v>
      </c>
      <c r="AE239" s="646">
        <f t="shared" ca="1" si="70"/>
        <v>851398.75260958495</v>
      </c>
      <c r="AF239" s="646">
        <f t="shared" ca="1" si="70"/>
        <v>0</v>
      </c>
      <c r="AG239" s="646">
        <f t="shared" ca="1" si="70"/>
        <v>-3034468.4100587927</v>
      </c>
      <c r="AH239" s="646">
        <f t="shared" ca="1" si="70"/>
        <v>11059465.548361998</v>
      </c>
      <c r="AI239" s="646">
        <f t="shared" ca="1" si="70"/>
        <v>0</v>
      </c>
      <c r="AJ239" s="646">
        <f t="shared" ca="1" si="70"/>
        <v>0</v>
      </c>
      <c r="AK239" s="646">
        <f t="shared" ca="1" si="70"/>
        <v>851398.75260958495</v>
      </c>
      <c r="AL239" s="646">
        <f t="shared" ca="1" si="70"/>
        <v>-10620639.435205813</v>
      </c>
      <c r="AM239" s="646">
        <f t="shared" ca="1" si="70"/>
        <v>6319694.5990639869</v>
      </c>
      <c r="AN239" s="646">
        <f t="shared" ca="1" si="70"/>
        <v>0</v>
      </c>
      <c r="AO239" s="646">
        <f t="shared" ca="1" si="70"/>
        <v>0</v>
      </c>
      <c r="AP239" s="646">
        <f t="shared" ca="1" si="70"/>
        <v>0</v>
      </c>
      <c r="AQ239" s="646">
        <f t="shared" ca="1" si="70"/>
        <v>0</v>
      </c>
      <c r="AR239" s="646">
        <f t="shared" ca="1" si="70"/>
        <v>0</v>
      </c>
      <c r="AS239" s="646">
        <f t="shared" ca="1" si="70"/>
        <v>-1411975.90919438</v>
      </c>
      <c r="AT239" s="646">
        <f t="shared" ca="1" si="70"/>
        <v>52292015.645614989</v>
      </c>
      <c r="AU239" s="646">
        <f t="shared" ca="1" si="70"/>
        <v>-8510107.8867247105</v>
      </c>
      <c r="AV239" s="646">
        <f t="shared" ca="1" si="70"/>
        <v>-16953089.49205292</v>
      </c>
      <c r="AW239" s="646">
        <f t="shared" ca="1" si="70"/>
        <v>-11379256.537720501</v>
      </c>
      <c r="AX239" s="646">
        <f t="shared" ca="1" si="70"/>
        <v>-4551702.6150882095</v>
      </c>
      <c r="AY239" s="646">
        <f t="shared" ca="1" si="70"/>
        <v>0</v>
      </c>
      <c r="AZ239" s="646">
        <f t="shared" ca="1" si="70"/>
        <v>0</v>
      </c>
      <c r="BA239" s="646">
        <f t="shared" ca="1" si="70"/>
        <v>0</v>
      </c>
      <c r="BB239" s="646">
        <f t="shared" ca="1" si="70"/>
        <v>0</v>
      </c>
      <c r="BC239" s="646">
        <f t="shared" ca="1" si="70"/>
        <v>0</v>
      </c>
      <c r="BD239" s="646">
        <f t="shared" ca="1" si="70"/>
        <v>0</v>
      </c>
      <c r="BE239" s="646">
        <f t="shared" ca="1" si="70"/>
        <v>0</v>
      </c>
      <c r="BF239" s="556">
        <f t="shared" ca="1" si="69"/>
        <v>90465322.73719655</v>
      </c>
      <c r="BG239" s="644">
        <f ca="1">BF239/$C$232</f>
        <v>0.2093379272639545</v>
      </c>
    </row>
    <row r="240" spans="1:60">
      <c r="A240" s="610"/>
      <c r="B240" s="588"/>
      <c r="C240" s="588"/>
      <c r="D240" s="589"/>
      <c r="E240" s="589"/>
      <c r="F240" s="588" t="s">
        <v>377</v>
      </c>
      <c r="G240" s="645">
        <f ca="1">G239*IF(G8&gt;=SUMIF($G$9:$BE$9,"입주/잔금",$G$8:$BE$8),'PF상환 민감도'!$O$13,'PF상환 민감도'!$N$13)</f>
        <v>0</v>
      </c>
      <c r="H240" s="556">
        <f ca="1">H239*IF(H8&gt;=SUMIF($G$9:$BE$9,"입주/잔금",$G$8:$BE$8),'PF상환 민감도'!$O$13,'PF상환 민감도'!$N$13)</f>
        <v>0</v>
      </c>
      <c r="I240" s="556">
        <f ca="1">I239*IF(I8&gt;=SUMIF($G$9:$BE$9,"입주/잔금",$G$8:$BE$8),'PF상환 민감도'!$O$13,'PF상환 민감도'!$N$13)</f>
        <v>0</v>
      </c>
      <c r="J240" s="556">
        <f ca="1">J239*IF(J8&gt;=SUMIF($G$9:$BE$9,"입주/잔금",$G$8:$BE$8),'PF상환 민감도'!$O$13,'PF상환 민감도'!$N$13)</f>
        <v>0</v>
      </c>
      <c r="K240" s="556">
        <f ca="1">K239*IF(K8&gt;=SUMIF($G$9:$BE$9,"입주/잔금",$G$8:$BE$8),'PF상환 민감도'!$O$13,'PF상환 민감도'!$N$13)</f>
        <v>0</v>
      </c>
      <c r="L240" s="556">
        <f ca="1">L239*IF(L8&gt;=SUMIF($G$9:$BE$9,"입주/잔금",$G$8:$BE$8),'PF상환 민감도'!$O$13,'PF상환 민감도'!$N$13)</f>
        <v>0</v>
      </c>
      <c r="M240" s="556">
        <f ca="1">M239*IF(M8&gt;=SUMIF($G$9:$BE$9,"입주/잔금",$G$8:$BE$8),'PF상환 민감도'!$O$13,'PF상환 민감도'!$N$13)</f>
        <v>0</v>
      </c>
      <c r="N240" s="556">
        <f ca="1">N239*IF(N8&gt;=SUMIF($G$9:$BE$9,"입주/잔금",$G$8:$BE$8),'PF상환 민감도'!$O$13,'PF상환 민감도'!$N$13)</f>
        <v>0</v>
      </c>
      <c r="O240" s="556">
        <f ca="1">O239*IF(O8&gt;=SUMIF($G$9:$BE$9,"입주/잔금",$G$8:$BE$8),'PF상환 민감도'!$O$13,'PF상환 민감도'!$N$13)</f>
        <v>0</v>
      </c>
      <c r="P240" s="556">
        <f ca="1">P239*IF(P8&gt;=SUMIF($G$9:$BE$9,"입주/잔금",$G$8:$BE$8),'PF상환 민감도'!$O$13,'PF상환 민감도'!$N$13)</f>
        <v>0</v>
      </c>
      <c r="Q240" s="556">
        <f ca="1">Q239*IF(Q8&gt;=SUMIF($G$9:$BE$9,"입주/잔금",$G$8:$BE$8),'PF상환 민감도'!$O$13,'PF상환 민감도'!$N$13)</f>
        <v>0</v>
      </c>
      <c r="R240" s="556">
        <f ca="1">R239*IF(R8&gt;=SUMIF($G$9:$BE$9,"입주/잔금",$G$8:$BE$8),'PF상환 민감도'!$O$13,'PF상환 민감도'!$N$13)</f>
        <v>0</v>
      </c>
      <c r="S240" s="556">
        <f ca="1">S239*IF(S8&gt;=SUMIF($G$9:$BE$9,"입주/잔금",$G$8:$BE$8),'PF상환 민감도'!$O$13,'PF상환 민감도'!$N$13)</f>
        <v>0</v>
      </c>
      <c r="T240" s="556">
        <f ca="1">T239*IF(T8&gt;=SUMIF($G$9:$BE$9,"입주/잔금",$G$8:$BE$8),'PF상환 민감도'!$O$13,'PF상환 민감도'!$N$13)</f>
        <v>0</v>
      </c>
      <c r="U240" s="556">
        <f ca="1">U239*IF(U8&gt;=SUMIF($G$9:$BE$9,"입주/잔금",$G$8:$BE$8),'PF상환 민감도'!$O$13,'PF상환 민감도'!$N$13)</f>
        <v>0</v>
      </c>
      <c r="V240" s="556">
        <f ca="1">V239*IF(V8&gt;=SUMIF($G$9:$BE$9,"입주/잔금",$G$8:$BE$8),'PF상환 민감도'!$O$13,'PF상환 민감도'!$N$13)</f>
        <v>0</v>
      </c>
      <c r="W240" s="556">
        <f ca="1">W239*IF(W8&gt;=SUMIF($G$9:$BE$9,"입주/잔금",$G$8:$BE$8),'PF상환 민감도'!$O$13,'PF상환 민감도'!$N$13)</f>
        <v>0</v>
      </c>
      <c r="X240" s="556">
        <f ca="1">X239*IF(X8&gt;=SUMIF($G$9:$BE$9,"입주/잔금",$G$8:$BE$8),'PF상환 민감도'!$O$13,'PF상환 민감도'!$N$13)</f>
        <v>0</v>
      </c>
      <c r="Y240" s="556">
        <f ca="1">Y239*IF(Y8&gt;=SUMIF($G$9:$BE$9,"입주/잔금",$G$8:$BE$8),'PF상환 민감도'!$O$13,'PF상환 민감도'!$N$13)</f>
        <v>0</v>
      </c>
      <c r="Z240" s="556">
        <f ca="1">Z239*IF(Z8&gt;=SUMIF($G$9:$BE$9,"입주/잔금",$G$8:$BE$8),'PF상환 민감도'!$O$13,'PF상환 민감도'!$N$13)</f>
        <v>0</v>
      </c>
      <c r="AA240" s="556">
        <f ca="1">AA239*IF(AA8&gt;=SUMIF($G$9:$BE$9,"입주/잔금",$G$8:$BE$8),'PF상환 민감도'!$O$13,'PF상환 민감도'!$N$13)</f>
        <v>0</v>
      </c>
      <c r="AB240" s="556">
        <f ca="1">AB239*IF(AB8&gt;=SUMIF($G$9:$BE$9,"입주/잔금",$G$8:$BE$8),'PF상환 민감도'!$O$13,'PF상환 민감도'!$N$13)</f>
        <v>0</v>
      </c>
      <c r="AC240" s="556">
        <f ca="1">AC239*IF(AC8&gt;=SUMIF($G$9:$BE$9,"입주/잔금",$G$8:$BE$8),'PF상환 민감도'!$O$13,'PF상환 민감도'!$N$13)</f>
        <v>0</v>
      </c>
      <c r="AD240" s="556">
        <f ca="1">AD239*IF(AD8&gt;=SUMIF($G$9:$BE$9,"입주/잔금",$G$8:$BE$8),'PF상환 민감도'!$O$13,'PF상환 민감도'!$N$13)</f>
        <v>0</v>
      </c>
      <c r="AE240" s="556">
        <f ca="1">AE239*IF(AE8&gt;=SUMIF($G$9:$BE$9,"입주/잔금",$G$8:$BE$8),'PF상환 민감도'!$O$13,'PF상환 민감도'!$N$13)</f>
        <v>0</v>
      </c>
      <c r="AF240" s="556">
        <f ca="1">AF239*IF(AF8&gt;=SUMIF($G$9:$BE$9,"입주/잔금",$G$8:$BE$8),'PF상환 민감도'!$O$13,'PF상환 민감도'!$N$13)</f>
        <v>0</v>
      </c>
      <c r="AG240" s="556">
        <f ca="1">AG239*IF(AG8&gt;=SUMIF($G$9:$BE$9,"입주/잔금",$G$8:$BE$8),'PF상환 민감도'!$O$13,'PF상환 민감도'!$N$13)</f>
        <v>0</v>
      </c>
      <c r="AH240" s="556">
        <f ca="1">AH239*IF(AH8&gt;=SUMIF($G$9:$BE$9,"입주/잔금",$G$8:$BE$8),'PF상환 민감도'!$O$13,'PF상환 민감도'!$N$13)</f>
        <v>0</v>
      </c>
      <c r="AI240" s="556">
        <f ca="1">AI239*IF(AI8&gt;=SUMIF($G$9:$BE$9,"입주/잔금",$G$8:$BE$8),'PF상환 민감도'!$O$13,'PF상환 민감도'!$N$13)</f>
        <v>0</v>
      </c>
      <c r="AJ240" s="556">
        <f ca="1">AJ239*IF(AJ8&gt;=SUMIF($G$9:$BE$9,"입주/잔금",$G$8:$BE$8),'PF상환 민감도'!$O$13,'PF상환 민감도'!$N$13)</f>
        <v>0</v>
      </c>
      <c r="AK240" s="556">
        <f ca="1">AK239*IF(AK8&gt;=SUMIF($G$9:$BE$9,"입주/잔금",$G$8:$BE$8),'PF상환 민감도'!$O$13,'PF상환 민감도'!$N$13)</f>
        <v>0</v>
      </c>
      <c r="AL240" s="556">
        <f ca="1">AL239*IF(AL8&gt;=SUMIF($G$9:$BE$9,"입주/잔금",$G$8:$BE$8),'PF상환 민감도'!$O$13,'PF상환 민감도'!$N$13)</f>
        <v>0</v>
      </c>
      <c r="AM240" s="556">
        <f ca="1">AM239*IF(AM8&gt;=SUMIF($G$9:$BE$9,"입주/잔금",$G$8:$BE$8),'PF상환 민감도'!$O$13,'PF상환 민감도'!$N$13)</f>
        <v>0</v>
      </c>
      <c r="AN240" s="556">
        <f ca="1">AN239*IF(AN8&gt;=SUMIF($G$9:$BE$9,"입주/잔금",$G$8:$BE$8),'PF상환 민감도'!$O$13,'PF상환 민감도'!$N$13)</f>
        <v>0</v>
      </c>
      <c r="AO240" s="556">
        <f ca="1">AO239*IF(AO8&gt;=SUMIF($G$9:$BE$9,"입주/잔금",$G$8:$BE$8),'PF상환 민감도'!$O$13,'PF상환 민감도'!$N$13)</f>
        <v>0</v>
      </c>
      <c r="AP240" s="556">
        <f ca="1">AP239*IF(AP8&gt;=SUMIF($G$9:$BE$9,"입주/잔금",$G$8:$BE$8),'PF상환 민감도'!$O$13,'PF상환 민감도'!$N$13)</f>
        <v>0</v>
      </c>
      <c r="AQ240" s="556">
        <f ca="1">AQ239*IF(AQ8&gt;=SUMIF($G$9:$BE$9,"입주/잔금",$G$8:$BE$8),'PF상환 민감도'!$O$13,'PF상환 민감도'!$N$13)</f>
        <v>0</v>
      </c>
      <c r="AR240" s="556">
        <f ca="1">AR239*IF(AR8&gt;=SUMIF($G$9:$BE$9,"입주/잔금",$G$8:$BE$8),'PF상환 민감도'!$O$13,'PF상환 민감도'!$N$13)</f>
        <v>0</v>
      </c>
      <c r="AS240" s="556">
        <f ca="1">AS239*IF(AS8&gt;=SUMIF($G$9:$BE$9,"입주/잔금",$G$8:$BE$8),'PF상환 민감도'!$O$13,'PF상환 민감도'!$N$13)</f>
        <v>0</v>
      </c>
      <c r="AT240" s="556">
        <f ca="1">AT239*IF(AT8&gt;=SUMIF($G$9:$BE$9,"입주/잔금",$G$8:$BE$8),'PF상환 민감도'!$O$13,'PF상환 민감도'!$N$13)</f>
        <v>0</v>
      </c>
      <c r="AU240" s="556">
        <f ca="1">AU239*IF(AU8&gt;=SUMIF($G$9:$BE$9,"입주/잔금",$G$8:$BE$8),'PF상환 민감도'!$O$13,'PF상환 민감도'!$N$13)</f>
        <v>0</v>
      </c>
      <c r="AV240" s="556">
        <f ca="1">AV239*IF(AV8&gt;=SUMIF($G$9:$BE$9,"입주/잔금",$G$8:$BE$8),'PF상환 민감도'!$O$13,'PF상환 민감도'!$N$13)</f>
        <v>0</v>
      </c>
      <c r="AW240" s="556">
        <f ca="1">AW239*IF(AW8&gt;=SUMIF($G$9:$BE$9,"입주/잔금",$G$8:$BE$8),'PF상환 민감도'!$O$13,'PF상환 민감도'!$N$13)</f>
        <v>0</v>
      </c>
      <c r="AX240" s="556">
        <f ca="1">AX239*IF(AX8&gt;=SUMIF($G$9:$BE$9,"입주/잔금",$G$8:$BE$8),'PF상환 민감도'!$O$13,'PF상환 민감도'!$N$13)</f>
        <v>0</v>
      </c>
      <c r="AY240" s="556">
        <f ca="1">AY239*IF(AY8&gt;=SUMIF($G$9:$BE$9,"입주/잔금",$G$8:$BE$8),'PF상환 민감도'!$O$13,'PF상환 민감도'!$N$13)</f>
        <v>0</v>
      </c>
      <c r="AZ240" s="556">
        <f ca="1">AZ239*IF(AZ8&gt;=SUMIF($G$9:$BE$9,"입주/잔금",$G$8:$BE$8),'PF상환 민감도'!$O$13,'PF상환 민감도'!$N$13)</f>
        <v>0</v>
      </c>
      <c r="BA240" s="556">
        <f ca="1">BA239*IF(BA8&gt;=SUMIF($G$9:$BE$9,"입주/잔금",$G$8:$BE$8),'PF상환 민감도'!$O$13,'PF상환 민감도'!$N$13)</f>
        <v>0</v>
      </c>
      <c r="BB240" s="556">
        <f ca="1">BB239*IF(BB8&gt;=SUMIF($G$9:$BE$9,"입주/잔금",$G$8:$BE$8),'PF상환 민감도'!$O$13,'PF상환 민감도'!$N$13)</f>
        <v>0</v>
      </c>
      <c r="BC240" s="556">
        <f ca="1">BC239*IF(BC8&gt;=SUMIF($G$9:$BE$9,"입주/잔금",$G$8:$BE$8),'PF상환 민감도'!$O$13,'PF상환 민감도'!$N$13)</f>
        <v>0</v>
      </c>
      <c r="BD240" s="556">
        <f ca="1">BD239*IF(BD8&gt;=SUMIF($G$9:$BE$9,"입주/잔금",$G$8:$BE$8),'PF상환 민감도'!$O$13,'PF상환 민감도'!$N$13)</f>
        <v>0</v>
      </c>
      <c r="BE240" s="556">
        <f ca="1">BE239*IF(BE8&gt;=SUMIF($G$9:$BE$9,"입주/잔금",$G$8:$BE$8),'PF상환 민감도'!$O$13,'PF상환 민감도'!$N$13)</f>
        <v>0</v>
      </c>
      <c r="BF240" s="556">
        <f t="shared" ca="1" si="69"/>
        <v>0</v>
      </c>
      <c r="BG240" s="610"/>
    </row>
    <row r="241" spans="1:59">
      <c r="A241" s="610"/>
      <c r="B241" s="588"/>
      <c r="C241" s="588"/>
      <c r="D241" s="589"/>
      <c r="E241" s="589"/>
      <c r="F241" s="588" t="s">
        <v>378</v>
      </c>
      <c r="G241" s="645">
        <f ca="1">G239*IF(G8&gt;=SUMIF($G$9:$BE$9,"입주/잔금",$G$8:$BE$8),'PF상환 민감도'!$O$14,'PF상환 민감도'!$N$14)</f>
        <v>0</v>
      </c>
      <c r="H241" s="556">
        <f ca="1">H239*IF(H8&gt;=SUMIF($G$9:$BE$9,"입주/잔금",$G$8:$BE$8),'PF상환 민감도'!$O$14,'PF상환 민감도'!$N$14)</f>
        <v>0</v>
      </c>
      <c r="I241" s="556">
        <f ca="1">I239*IF(I8&gt;=SUMIF($G$9:$BE$9,"입주/잔금",$G$8:$BE$8),'PF상환 민감도'!$O$14,'PF상환 민감도'!$N$14)</f>
        <v>0</v>
      </c>
      <c r="J241" s="556">
        <f ca="1">J239*IF(J8&gt;=SUMIF($G$9:$BE$9,"입주/잔금",$G$8:$BE$8),'PF상환 민감도'!$O$14,'PF상환 민감도'!$N$14)</f>
        <v>943489.17386730993</v>
      </c>
      <c r="K241" s="556">
        <f ca="1">K239*IF(K8&gt;=SUMIF($G$9:$BE$9,"입주/잔금",$G$8:$BE$8),'PF상환 민감도'!$O$14,'PF상환 민감도'!$N$14)</f>
        <v>1264361.8375245002</v>
      </c>
      <c r="L241" s="556">
        <f ca="1">L239*IF(L8&gt;=SUMIF($G$9:$BE$9,"입주/잔금",$G$8:$BE$8),'PF상환 민감도'!$O$14,'PF상환 민감도'!$N$14)</f>
        <v>8850532.8626715019</v>
      </c>
      <c r="M241" s="556">
        <f ca="1">M239*IF(M8&gt;=SUMIF($G$9:$BE$9,"입주/잔금",$G$8:$BE$8),'PF상환 민감도'!$O$14,'PF상환 민감도'!$N$14)</f>
        <v>9083934.7276494913</v>
      </c>
      <c r="N241" s="556">
        <f ca="1">N239*IF(N8&gt;=SUMIF($G$9:$BE$9,"입주/잔금",$G$8:$BE$8),'PF상환 민감도'!$O$14,'PF상환 민감도'!$N$14)</f>
        <v>3234927.4212398981</v>
      </c>
      <c r="O241" s="556">
        <f ca="1">O239*IF(O8&gt;=SUMIF($G$9:$BE$9,"입주/잔금",$G$8:$BE$8),'PF상환 민감도'!$O$14,'PF상환 민감도'!$N$14)</f>
        <v>1655003.7714738986</v>
      </c>
      <c r="P241" s="556">
        <f ca="1">P239*IF(P8&gt;=SUMIF($G$9:$BE$9,"입주/잔금",$G$8:$BE$8),'PF상환 민감도'!$O$14,'PF상환 민감도'!$N$14)</f>
        <v>1655003.7714738986</v>
      </c>
      <c r="Q241" s="556">
        <f ca="1">Q239*IF(Q8&gt;=SUMIF($G$9:$BE$9,"입주/잔금",$G$8:$BE$8),'PF상환 민감도'!$O$14,'PF상환 민감도'!$N$14)</f>
        <v>7247425.9903914891</v>
      </c>
      <c r="R241" s="556">
        <f ca="1">R239*IF(R8&gt;=SUMIF($G$9:$BE$9,"입주/잔금",$G$8:$BE$8),'PF상환 민감도'!$O$14,'PF상환 민감도'!$N$14)</f>
        <v>1655003.7714738986</v>
      </c>
      <c r="S241" s="556">
        <f ca="1">S239*IF(S8&gt;=SUMIF($G$9:$BE$9,"입주/잔금",$G$8:$BE$8),'PF상환 민감도'!$O$14,'PF상환 민감도'!$N$14)</f>
        <v>1658293.5737492908</v>
      </c>
      <c r="T241" s="556">
        <f ca="1">T239*IF(T8&gt;=SUMIF($G$9:$BE$9,"입주/잔금",$G$8:$BE$8),'PF상환 민감도'!$O$14,'PF상환 민감도'!$N$14)</f>
        <v>1339019.0415206985</v>
      </c>
      <c r="U241" s="556">
        <f ca="1">U239*IF(U8&gt;=SUMIF($G$9:$BE$9,"입주/잔금",$G$8:$BE$8),'PF상환 민감도'!$O$14,'PF상환 민감도'!$N$14)</f>
        <v>13504431.1447189</v>
      </c>
      <c r="V241" s="556">
        <f ca="1">V239*IF(V8&gt;=SUMIF($G$9:$BE$9,"입주/잔금",$G$8:$BE$8),'PF상환 민감도'!$O$14,'PF상환 민감도'!$N$14)</f>
        <v>-1853441.7335147057</v>
      </c>
      <c r="W241" s="556">
        <f ca="1">W239*IF(W8&gt;=SUMIF($G$9:$BE$9,"입주/잔금",$G$8:$BE$8),'PF상환 민감도'!$O$14,'PF상환 민감도'!$N$14)</f>
        <v>1138456.7389136192</v>
      </c>
      <c r="X241" s="556">
        <f ca="1">X239*IF(X8&gt;=SUMIF($G$9:$BE$9,"입주/잔금",$G$8:$BE$8),'PF상환 민감도'!$O$14,'PF상환 민감도'!$N$14)</f>
        <v>864299.40259347938</v>
      </c>
      <c r="Y241" s="556">
        <f ca="1">Y239*IF(Y8&gt;=SUMIF($G$9:$BE$9,"입주/잔금",$G$8:$BE$8),'PF상환 민감도'!$O$14,'PF상환 민감도'!$N$14)</f>
        <v>15286851.090931367</v>
      </c>
      <c r="Z241" s="556">
        <f ca="1">Z239*IF(Z8&gt;=SUMIF($G$9:$BE$9,"입주/잔금",$G$8:$BE$8),'PF상환 민감도'!$O$14,'PF상환 민감도'!$N$14)</f>
        <v>0</v>
      </c>
      <c r="AA241" s="556">
        <f ca="1">AA239*IF(AA8&gt;=SUMIF($G$9:$BE$9,"입주/잔금",$G$8:$BE$8),'PF상환 민감도'!$O$14,'PF상환 민감도'!$N$14)</f>
        <v>0</v>
      </c>
      <c r="AB241" s="556">
        <f ca="1">AB239*IF(AB8&gt;=SUMIF($G$9:$BE$9,"입주/잔금",$G$8:$BE$8),'PF상환 민감도'!$O$14,'PF상환 민감도'!$N$14)</f>
        <v>-3034468.4100587927</v>
      </c>
      <c r="AC241" s="556">
        <f ca="1">AC239*IF(AC8&gt;=SUMIF($G$9:$BE$9,"입주/잔금",$G$8:$BE$8),'PF상환 민감도'!$O$14,'PF상환 민감도'!$N$14)</f>
        <v>11059465.548361989</v>
      </c>
      <c r="AD241" s="556">
        <f ca="1">AD239*IF(AD8&gt;=SUMIF($G$9:$BE$9,"입주/잔금",$G$8:$BE$8),'PF상환 민감도'!$O$14,'PF상환 민감도'!$N$14)</f>
        <v>0</v>
      </c>
      <c r="AE241" s="556">
        <f ca="1">AE239*IF(AE8&gt;=SUMIF($G$9:$BE$9,"입주/잔금",$G$8:$BE$8),'PF상환 민감도'!$O$14,'PF상환 민감도'!$N$14)</f>
        <v>851398.75260958495</v>
      </c>
      <c r="AF241" s="556">
        <f ca="1">AF239*IF(AF8&gt;=SUMIF($G$9:$BE$9,"입주/잔금",$G$8:$BE$8),'PF상환 민감도'!$O$14,'PF상환 민감도'!$N$14)</f>
        <v>0</v>
      </c>
      <c r="AG241" s="556">
        <f ca="1">AG239*IF(AG8&gt;=SUMIF($G$9:$BE$9,"입주/잔금",$G$8:$BE$8),'PF상환 민감도'!$O$14,'PF상환 민감도'!$N$14)</f>
        <v>-3034468.4100587927</v>
      </c>
      <c r="AH241" s="556">
        <f ca="1">AH239*IF(AH8&gt;=SUMIF($G$9:$BE$9,"입주/잔금",$G$8:$BE$8),'PF상환 민감도'!$O$14,'PF상환 민감도'!$N$14)</f>
        <v>11059465.548361998</v>
      </c>
      <c r="AI241" s="556">
        <f ca="1">AI239*IF(AI8&gt;=SUMIF($G$9:$BE$9,"입주/잔금",$G$8:$BE$8),'PF상환 민감도'!$O$14,'PF상환 민감도'!$N$14)</f>
        <v>0</v>
      </c>
      <c r="AJ241" s="556">
        <f ca="1">AJ239*IF(AJ8&gt;=SUMIF($G$9:$BE$9,"입주/잔금",$G$8:$BE$8),'PF상환 민감도'!$O$14,'PF상환 민감도'!$N$14)</f>
        <v>0</v>
      </c>
      <c r="AK241" s="556">
        <f ca="1">AK239*IF(AK8&gt;=SUMIF($G$9:$BE$9,"입주/잔금",$G$8:$BE$8),'PF상환 민감도'!$O$14,'PF상환 민감도'!$N$14)</f>
        <v>851398.75260958495</v>
      </c>
      <c r="AL241" s="556">
        <f ca="1">AL239*IF(AL8&gt;=SUMIF($G$9:$BE$9,"입주/잔금",$G$8:$BE$8),'PF상환 민감도'!$O$14,'PF상환 민감도'!$N$14)</f>
        <v>-10620639.435205813</v>
      </c>
      <c r="AM241" s="556">
        <f ca="1">AM239*IF(AM8&gt;=SUMIF($G$9:$BE$9,"입주/잔금",$G$8:$BE$8),'PF상환 민감도'!$O$14,'PF상환 민감도'!$N$14)</f>
        <v>6319694.5990639869</v>
      </c>
      <c r="AN241" s="556">
        <f ca="1">AN239*IF(AN8&gt;=SUMIF($G$9:$BE$9,"입주/잔금",$G$8:$BE$8),'PF상환 민감도'!$O$14,'PF상환 민감도'!$N$14)</f>
        <v>0</v>
      </c>
      <c r="AO241" s="556">
        <f ca="1">AO239*IF(AO8&gt;=SUMIF($G$9:$BE$9,"입주/잔금",$G$8:$BE$8),'PF상환 민감도'!$O$14,'PF상환 민감도'!$N$14)</f>
        <v>0</v>
      </c>
      <c r="AP241" s="556">
        <f ca="1">AP239*IF(AP8&gt;=SUMIF($G$9:$BE$9,"입주/잔금",$G$8:$BE$8),'PF상환 민감도'!$O$14,'PF상환 민감도'!$N$14)</f>
        <v>0</v>
      </c>
      <c r="AQ241" s="556">
        <f ca="1">AQ239*IF(AQ8&gt;=SUMIF($G$9:$BE$9,"입주/잔금",$G$8:$BE$8),'PF상환 민감도'!$O$14,'PF상환 민감도'!$N$14)</f>
        <v>0</v>
      </c>
      <c r="AR241" s="556">
        <f ca="1">AR239*IF(AR8&gt;=SUMIF($G$9:$BE$9,"입주/잔금",$G$8:$BE$8),'PF상환 민감도'!$O$14,'PF상환 민감도'!$N$14)</f>
        <v>0</v>
      </c>
      <c r="AS241" s="556">
        <f ca="1">AS239*IF(AS8&gt;=SUMIF($G$9:$BE$9,"입주/잔금",$G$8:$BE$8),'PF상환 민감도'!$O$14,'PF상환 민감도'!$N$14)</f>
        <v>-1411975.90919438</v>
      </c>
      <c r="AT241" s="556">
        <f ca="1">AT239*IF(AT8&gt;=SUMIF($G$9:$BE$9,"입주/잔금",$G$8:$BE$8),'PF상환 민감도'!$O$14,'PF상환 민감도'!$N$14)</f>
        <v>52292015.645614989</v>
      </c>
      <c r="AU241" s="556">
        <f ca="1">AU239*IF(AU8&gt;=SUMIF($G$9:$BE$9,"입주/잔금",$G$8:$BE$8),'PF상환 민감도'!$O$14,'PF상환 민감도'!$N$14)</f>
        <v>-8510107.8867247105</v>
      </c>
      <c r="AV241" s="556">
        <f ca="1">AV239*IF(AV8&gt;=SUMIF($G$9:$BE$9,"입주/잔금",$G$8:$BE$8),'PF상환 민감도'!$O$14,'PF상환 민감도'!$N$14)</f>
        <v>-16953089.49205292</v>
      </c>
      <c r="AW241" s="556">
        <f ca="1">AW239*IF(AW8&gt;=SUMIF($G$9:$BE$9,"입주/잔금",$G$8:$BE$8),'PF상환 민감도'!$O$14,'PF상환 민감도'!$N$14)</f>
        <v>-11379256.537720501</v>
      </c>
      <c r="AX241" s="556">
        <f ca="1">AX239*IF(AX8&gt;=SUMIF($G$9:$BE$9,"입주/잔금",$G$8:$BE$8),'PF상환 민감도'!$O$14,'PF상환 민감도'!$N$14)</f>
        <v>-4551702.6150882095</v>
      </c>
      <c r="AY241" s="556">
        <f ca="1">AY239*IF(AY8&gt;=SUMIF($G$9:$BE$9,"입주/잔금",$G$8:$BE$8),'PF상환 민감도'!$O$14,'PF상환 민감도'!$N$14)</f>
        <v>0</v>
      </c>
      <c r="AZ241" s="556">
        <f ca="1">AZ239*IF(AZ8&gt;=SUMIF($G$9:$BE$9,"입주/잔금",$G$8:$BE$8),'PF상환 민감도'!$O$14,'PF상환 민감도'!$N$14)</f>
        <v>0</v>
      </c>
      <c r="BA241" s="556">
        <f ca="1">BA239*IF(BA8&gt;=SUMIF($G$9:$BE$9,"입주/잔금",$G$8:$BE$8),'PF상환 민감도'!$O$14,'PF상환 민감도'!$N$14)</f>
        <v>0</v>
      </c>
      <c r="BB241" s="556">
        <f ca="1">BB239*IF(BB8&gt;=SUMIF($G$9:$BE$9,"입주/잔금",$G$8:$BE$8),'PF상환 민감도'!$O$14,'PF상환 민감도'!$N$14)</f>
        <v>0</v>
      </c>
      <c r="BC241" s="556">
        <f ca="1">BC239*IF(BC8&gt;=SUMIF($G$9:$BE$9,"입주/잔금",$G$8:$BE$8),'PF상환 민감도'!$O$14,'PF상환 민감도'!$N$14)</f>
        <v>0</v>
      </c>
      <c r="BD241" s="556">
        <f ca="1">BD239*IF(BD8&gt;=SUMIF($G$9:$BE$9,"입주/잔금",$G$8:$BE$8),'PF상환 민감도'!$O$14,'PF상환 민감도'!$N$14)</f>
        <v>0</v>
      </c>
      <c r="BE241" s="556">
        <f ca="1">BE239*IF(BE8&gt;=SUMIF($G$9:$BE$9,"입주/잔금",$G$8:$BE$8),'PF상환 민감도'!$O$14,'PF상환 민감도'!$N$14)</f>
        <v>0</v>
      </c>
      <c r="BF241" s="556">
        <f t="shared" ca="1" si="69"/>
        <v>90465322.73719655</v>
      </c>
      <c r="BG241" s="610"/>
    </row>
    <row r="242" spans="1:59">
      <c r="A242" s="1869" t="s">
        <v>379</v>
      </c>
      <c r="B242" s="1870"/>
      <c r="C242" s="1871" t="s">
        <v>380</v>
      </c>
      <c r="D242" s="1869"/>
      <c r="E242" s="1871" t="s">
        <v>381</v>
      </c>
      <c r="F242" s="1869"/>
      <c r="G242" s="641"/>
      <c r="H242" s="641"/>
      <c r="I242" s="641"/>
      <c r="J242" s="641"/>
      <c r="K242" s="641"/>
      <c r="L242" s="641"/>
      <c r="M242" s="641"/>
      <c r="N242" s="641"/>
      <c r="O242" s="641"/>
      <c r="P242" s="641"/>
      <c r="Q242" s="641"/>
      <c r="R242" s="641"/>
      <c r="S242" s="641"/>
      <c r="T242" s="641"/>
      <c r="U242" s="641"/>
      <c r="V242" s="641"/>
      <c r="W242" s="641"/>
      <c r="X242" s="641"/>
      <c r="Y242" s="641"/>
      <c r="Z242" s="641"/>
      <c r="AA242" s="641"/>
      <c r="AB242" s="641"/>
      <c r="AC242" s="641"/>
      <c r="AD242" s="641"/>
      <c r="AE242" s="641"/>
      <c r="AF242" s="641"/>
      <c r="AG242" s="641"/>
      <c r="AH242" s="641"/>
      <c r="AI242" s="641"/>
      <c r="AJ242" s="641"/>
      <c r="AK242" s="641"/>
      <c r="AL242" s="641"/>
      <c r="AM242" s="641"/>
      <c r="AN242" s="641"/>
      <c r="AO242" s="641"/>
      <c r="AP242" s="641"/>
      <c r="AQ242" s="641"/>
      <c r="AR242" s="641"/>
      <c r="AS242" s="641"/>
      <c r="AT242" s="641"/>
      <c r="AU242" s="641"/>
      <c r="AV242" s="641"/>
      <c r="AW242" s="641"/>
      <c r="AX242" s="641"/>
      <c r="AY242" s="641"/>
      <c r="AZ242" s="641"/>
      <c r="BA242" s="641"/>
      <c r="BB242" s="641"/>
      <c r="BC242" s="641"/>
      <c r="BD242" s="641"/>
      <c r="BE242" s="641"/>
      <c r="BF242" s="641"/>
      <c r="BG242" s="641"/>
    </row>
    <row r="243" spans="1:59">
      <c r="A243" s="647" t="s">
        <v>359</v>
      </c>
      <c r="B243" s="648">
        <f t="shared" ref="B243:B249" si="71">SUMIF($G$9:$BE$9,A243,$G$8:$BE$8)</f>
        <v>44986</v>
      </c>
      <c r="C243" s="647" t="s">
        <v>359</v>
      </c>
      <c r="D243" s="648">
        <f t="shared" ref="D243:D249" si="72">SUMIF($G$65:$BE$65,C243,$G$8:$BE$8)</f>
        <v>45139</v>
      </c>
      <c r="E243" s="647" t="s">
        <v>359</v>
      </c>
      <c r="F243" s="648">
        <f t="shared" ref="F243:F249" si="73">SUMIF($G$121:$BE$121,E243,$G$8:$BE$8)</f>
        <v>45200</v>
      </c>
      <c r="G243" s="641"/>
      <c r="H243" s="641"/>
      <c r="I243" s="641"/>
      <c r="J243" s="641"/>
      <c r="K243" s="641"/>
      <c r="L243" s="641"/>
      <c r="M243" s="641"/>
      <c r="N243" s="641"/>
      <c r="O243" s="641"/>
      <c r="P243" s="641"/>
      <c r="Q243" s="641"/>
      <c r="R243" s="641"/>
      <c r="S243" s="641"/>
      <c r="T243" s="641"/>
      <c r="U243" s="641"/>
      <c r="V243" s="641"/>
      <c r="W243" s="641"/>
      <c r="X243" s="641"/>
      <c r="Y243" s="641"/>
      <c r="Z243" s="641"/>
      <c r="AA243" s="641"/>
      <c r="AB243" s="641"/>
      <c r="AC243" s="641"/>
      <c r="AD243" s="641"/>
      <c r="AE243" s="641"/>
      <c r="AF243" s="641"/>
      <c r="AG243" s="641"/>
      <c r="AH243" s="641"/>
      <c r="AI243" s="641"/>
      <c r="AJ243" s="641"/>
      <c r="AK243" s="641"/>
      <c r="AL243" s="641"/>
      <c r="AM243" s="641"/>
      <c r="AN243" s="641"/>
      <c r="AO243" s="641"/>
      <c r="AP243" s="641"/>
      <c r="AQ243" s="641"/>
      <c r="AR243" s="641"/>
      <c r="AS243" s="641"/>
      <c r="AT243" s="641"/>
      <c r="AU243" s="641"/>
      <c r="AV243" s="641"/>
      <c r="AW243" s="641"/>
      <c r="AX243" s="641"/>
      <c r="AY243" s="641"/>
      <c r="AZ243" s="641"/>
      <c r="BA243" s="641"/>
      <c r="BB243" s="641"/>
      <c r="BC243" s="641"/>
      <c r="BD243" s="641"/>
      <c r="BE243" s="641"/>
      <c r="BF243" s="641"/>
      <c r="BG243" s="641"/>
    </row>
    <row r="244" spans="1:59">
      <c r="A244" s="647" t="s">
        <v>360</v>
      </c>
      <c r="B244" s="648">
        <f t="shared" si="71"/>
        <v>45139</v>
      </c>
      <c r="C244" s="647" t="s">
        <v>360</v>
      </c>
      <c r="D244" s="648">
        <f t="shared" si="72"/>
        <v>45261</v>
      </c>
      <c r="E244" s="647" t="s">
        <v>360</v>
      </c>
      <c r="F244" s="648">
        <f t="shared" si="73"/>
        <v>45383</v>
      </c>
      <c r="G244" s="641"/>
      <c r="H244" s="641"/>
      <c r="I244" s="641"/>
      <c r="J244" s="641"/>
      <c r="K244" s="641"/>
      <c r="L244" s="641"/>
      <c r="M244" s="641"/>
      <c r="N244" s="641"/>
      <c r="O244" s="641"/>
      <c r="P244" s="641"/>
      <c r="Q244" s="641"/>
      <c r="R244" s="641"/>
      <c r="S244" s="641"/>
      <c r="T244" s="641"/>
      <c r="U244" s="641"/>
      <c r="V244" s="641"/>
      <c r="W244" s="641"/>
      <c r="X244" s="641"/>
      <c r="Y244" s="641"/>
      <c r="Z244" s="641"/>
      <c r="AA244" s="641"/>
      <c r="AB244" s="641"/>
      <c r="AC244" s="641"/>
      <c r="AD244" s="641"/>
      <c r="AE244" s="641"/>
      <c r="AF244" s="641"/>
      <c r="AG244" s="641"/>
      <c r="AH244" s="641"/>
      <c r="AI244" s="641"/>
      <c r="AJ244" s="641"/>
      <c r="AK244" s="641"/>
      <c r="AL244" s="641"/>
      <c r="AM244" s="641"/>
      <c r="AN244" s="641"/>
      <c r="AO244" s="641"/>
      <c r="AP244" s="641"/>
      <c r="AQ244" s="641"/>
      <c r="AR244" s="641"/>
      <c r="AS244" s="641"/>
      <c r="AT244" s="641"/>
      <c r="AU244" s="641"/>
      <c r="AV244" s="641"/>
      <c r="AW244" s="641"/>
      <c r="AX244" s="641"/>
      <c r="AY244" s="641"/>
      <c r="AZ244" s="641"/>
      <c r="BA244" s="641"/>
      <c r="BB244" s="641"/>
      <c r="BC244" s="641"/>
      <c r="BD244" s="641"/>
      <c r="BE244" s="641"/>
      <c r="BF244" s="641"/>
      <c r="BG244" s="641"/>
    </row>
    <row r="245" spans="1:59">
      <c r="A245" s="647" t="s">
        <v>382</v>
      </c>
      <c r="B245" s="648">
        <f t="shared" si="71"/>
        <v>45292</v>
      </c>
      <c r="C245" s="647" t="s">
        <v>382</v>
      </c>
      <c r="D245" s="648">
        <f t="shared" si="72"/>
        <v>45383</v>
      </c>
      <c r="E245" s="647" t="s">
        <v>382</v>
      </c>
      <c r="F245" s="648">
        <f t="shared" si="73"/>
        <v>45566</v>
      </c>
      <c r="G245" s="641"/>
      <c r="H245" s="641"/>
      <c r="I245" s="641"/>
      <c r="J245" s="641"/>
      <c r="K245" s="641"/>
      <c r="L245" s="641"/>
      <c r="M245" s="641"/>
      <c r="N245" s="641"/>
      <c r="O245" s="641"/>
      <c r="P245" s="641"/>
      <c r="Q245" s="641"/>
      <c r="R245" s="641"/>
      <c r="S245" s="641"/>
      <c r="T245" s="641"/>
      <c r="U245" s="641"/>
      <c r="V245" s="641"/>
      <c r="W245" s="641"/>
      <c r="X245" s="641"/>
      <c r="Y245" s="641"/>
      <c r="Z245" s="641"/>
      <c r="AA245" s="641"/>
      <c r="AB245" s="641"/>
      <c r="AC245" s="641"/>
      <c r="AD245" s="641"/>
      <c r="AE245" s="641"/>
      <c r="AF245" s="641"/>
      <c r="AG245" s="641"/>
      <c r="AH245" s="641"/>
      <c r="AI245" s="641"/>
      <c r="AJ245" s="641"/>
      <c r="AK245" s="641"/>
      <c r="AL245" s="641"/>
      <c r="AM245" s="641"/>
      <c r="AN245" s="641"/>
      <c r="AO245" s="641"/>
      <c r="AP245" s="641"/>
      <c r="AQ245" s="641"/>
      <c r="AR245" s="641"/>
      <c r="AS245" s="641"/>
      <c r="AT245" s="641"/>
      <c r="AU245" s="641"/>
      <c r="AV245" s="641"/>
      <c r="AW245" s="641"/>
      <c r="AX245" s="641"/>
      <c r="AY245" s="641"/>
      <c r="AZ245" s="641"/>
      <c r="BA245" s="641"/>
      <c r="BB245" s="641"/>
      <c r="BC245" s="641"/>
      <c r="BD245" s="641"/>
      <c r="BE245" s="641"/>
      <c r="BF245" s="641"/>
      <c r="BG245" s="641"/>
    </row>
    <row r="246" spans="1:59">
      <c r="A246" s="647" t="s">
        <v>383</v>
      </c>
      <c r="B246" s="648">
        <f t="shared" si="71"/>
        <v>45474</v>
      </c>
      <c r="C246" s="647" t="s">
        <v>383</v>
      </c>
      <c r="D246" s="648">
        <f t="shared" si="72"/>
        <v>45505</v>
      </c>
      <c r="E246" s="647" t="s">
        <v>383</v>
      </c>
      <c r="F246" s="648">
        <f t="shared" si="73"/>
        <v>45748</v>
      </c>
      <c r="G246" s="641"/>
      <c r="H246" s="641"/>
      <c r="I246" s="641"/>
      <c r="J246" s="641"/>
      <c r="K246" s="641"/>
      <c r="L246" s="641"/>
      <c r="M246" s="641"/>
      <c r="N246" s="641"/>
      <c r="O246" s="641"/>
      <c r="P246" s="641"/>
      <c r="Q246" s="641"/>
      <c r="R246" s="641"/>
      <c r="S246" s="641"/>
      <c r="T246" s="641"/>
      <c r="U246" s="641"/>
      <c r="V246" s="641"/>
      <c r="W246" s="641"/>
      <c r="X246" s="641"/>
      <c r="Y246" s="641"/>
      <c r="Z246" s="641"/>
      <c r="AA246" s="641"/>
      <c r="AB246" s="641"/>
      <c r="AC246" s="641"/>
      <c r="AD246" s="641"/>
      <c r="AE246" s="641"/>
      <c r="AF246" s="641"/>
      <c r="AG246" s="641"/>
      <c r="AH246" s="641"/>
      <c r="AI246" s="641"/>
      <c r="AJ246" s="641"/>
      <c r="AK246" s="641"/>
      <c r="AL246" s="641"/>
      <c r="AM246" s="641"/>
      <c r="AN246" s="641"/>
      <c r="AO246" s="641"/>
      <c r="AP246" s="641"/>
      <c r="AQ246" s="641"/>
      <c r="AR246" s="641"/>
      <c r="AS246" s="641"/>
      <c r="AT246" s="641"/>
      <c r="AU246" s="641"/>
      <c r="AV246" s="641"/>
      <c r="AW246" s="641"/>
      <c r="AX246" s="641"/>
      <c r="AY246" s="641"/>
      <c r="AZ246" s="641"/>
      <c r="BA246" s="641"/>
      <c r="BB246" s="641"/>
      <c r="BC246" s="641"/>
      <c r="BD246" s="641"/>
      <c r="BE246" s="641"/>
      <c r="BF246" s="641"/>
      <c r="BG246" s="641"/>
    </row>
    <row r="247" spans="1:59">
      <c r="A247" s="647" t="s">
        <v>384</v>
      </c>
      <c r="B247" s="648">
        <f t="shared" si="71"/>
        <v>45627</v>
      </c>
      <c r="C247" s="647" t="s">
        <v>384</v>
      </c>
      <c r="D247" s="648">
        <f t="shared" si="72"/>
        <v>45658</v>
      </c>
      <c r="E247" s="647" t="s">
        <v>384</v>
      </c>
      <c r="F247" s="649">
        <f t="shared" si="73"/>
        <v>0</v>
      </c>
      <c r="G247" s="641"/>
      <c r="H247" s="641"/>
      <c r="I247" s="641"/>
      <c r="J247" s="641"/>
      <c r="K247" s="641"/>
      <c r="L247" s="641"/>
      <c r="M247" s="641"/>
      <c r="N247" s="641"/>
      <c r="O247" s="641"/>
      <c r="P247" s="641"/>
      <c r="Q247" s="641"/>
      <c r="R247" s="641"/>
      <c r="S247" s="641"/>
      <c r="T247" s="641"/>
      <c r="U247" s="641"/>
      <c r="V247" s="641"/>
      <c r="W247" s="641"/>
      <c r="X247" s="641"/>
      <c r="Y247" s="641"/>
      <c r="Z247" s="641"/>
      <c r="AA247" s="641"/>
      <c r="AB247" s="641"/>
      <c r="AC247" s="641"/>
      <c r="AD247" s="641"/>
      <c r="AE247" s="641"/>
      <c r="AF247" s="641"/>
      <c r="AG247" s="641"/>
      <c r="AH247" s="641"/>
      <c r="AI247" s="641"/>
      <c r="AJ247" s="641"/>
      <c r="AK247" s="641"/>
      <c r="AL247" s="641"/>
      <c r="AM247" s="641"/>
      <c r="AN247" s="641"/>
      <c r="AO247" s="641"/>
      <c r="AP247" s="641"/>
      <c r="AQ247" s="641"/>
      <c r="AR247" s="641"/>
      <c r="AS247" s="641"/>
      <c r="AT247" s="641"/>
      <c r="AU247" s="641"/>
      <c r="AV247" s="641"/>
      <c r="AW247" s="641"/>
      <c r="AX247" s="641"/>
      <c r="AY247" s="641"/>
      <c r="AZ247" s="641"/>
      <c r="BA247" s="641"/>
      <c r="BB247" s="641"/>
      <c r="BC247" s="641"/>
      <c r="BD247" s="641"/>
      <c r="BE247" s="641"/>
      <c r="BF247" s="641"/>
      <c r="BG247" s="641"/>
    </row>
    <row r="248" spans="1:59">
      <c r="A248" s="647" t="s">
        <v>385</v>
      </c>
      <c r="B248" s="648">
        <f t="shared" si="71"/>
        <v>45778</v>
      </c>
      <c r="C248" s="647" t="s">
        <v>385</v>
      </c>
      <c r="D248" s="648">
        <f t="shared" si="72"/>
        <v>45809</v>
      </c>
      <c r="E248" s="647" t="s">
        <v>385</v>
      </c>
      <c r="F248" s="649">
        <f t="shared" si="73"/>
        <v>0</v>
      </c>
      <c r="G248" s="641"/>
      <c r="H248" s="641"/>
      <c r="I248" s="641"/>
      <c r="J248" s="641"/>
      <c r="K248" s="641"/>
      <c r="L248" s="641"/>
      <c r="M248" s="641"/>
      <c r="N248" s="641"/>
      <c r="O248" s="641"/>
      <c r="P248" s="641"/>
      <c r="Q248" s="641"/>
      <c r="R248" s="641"/>
      <c r="S248" s="641"/>
      <c r="T248" s="641"/>
      <c r="U248" s="641"/>
      <c r="V248" s="641"/>
      <c r="W248" s="641"/>
      <c r="X248" s="641"/>
      <c r="Y248" s="641"/>
      <c r="Z248" s="641"/>
      <c r="AA248" s="641"/>
      <c r="AB248" s="641"/>
      <c r="AC248" s="641"/>
      <c r="AD248" s="641"/>
      <c r="AE248" s="641"/>
      <c r="AF248" s="641"/>
      <c r="AG248" s="641"/>
      <c r="AH248" s="641"/>
      <c r="AI248" s="641"/>
      <c r="AJ248" s="641"/>
      <c r="AK248" s="641"/>
      <c r="AL248" s="641"/>
      <c r="AM248" s="641"/>
      <c r="AN248" s="641"/>
      <c r="AO248" s="641"/>
      <c r="AP248" s="641"/>
      <c r="AQ248" s="641"/>
      <c r="AR248" s="641"/>
      <c r="AS248" s="641"/>
      <c r="AT248" s="641"/>
      <c r="AU248" s="641"/>
      <c r="AV248" s="641"/>
      <c r="AW248" s="641"/>
      <c r="AX248" s="641"/>
      <c r="AY248" s="641"/>
      <c r="AZ248" s="641"/>
      <c r="BA248" s="641"/>
      <c r="BB248" s="641"/>
      <c r="BC248" s="641"/>
      <c r="BD248" s="641"/>
      <c r="BE248" s="641"/>
      <c r="BF248" s="641"/>
      <c r="BG248" s="641"/>
    </row>
    <row r="249" spans="1:59">
      <c r="A249" s="650" t="s">
        <v>365</v>
      </c>
      <c r="B249" s="651">
        <f t="shared" si="71"/>
        <v>0</v>
      </c>
      <c r="C249" s="650" t="s">
        <v>365</v>
      </c>
      <c r="D249" s="651">
        <f t="shared" si="72"/>
        <v>45962</v>
      </c>
      <c r="E249" s="650" t="s">
        <v>365</v>
      </c>
      <c r="F249" s="651">
        <f t="shared" si="73"/>
        <v>45962</v>
      </c>
      <c r="G249" s="641"/>
      <c r="H249" s="641"/>
      <c r="I249" s="641"/>
      <c r="J249" s="641"/>
      <c r="K249" s="641"/>
      <c r="L249" s="641"/>
      <c r="M249" s="641"/>
      <c r="N249" s="641"/>
      <c r="O249" s="641"/>
      <c r="P249" s="641"/>
      <c r="Q249" s="641"/>
      <c r="R249" s="641"/>
      <c r="S249" s="641"/>
      <c r="T249" s="641"/>
      <c r="U249" s="641"/>
      <c r="V249" s="641"/>
      <c r="W249" s="641"/>
      <c r="X249" s="641"/>
      <c r="Y249" s="641"/>
      <c r="Z249" s="641"/>
      <c r="AA249" s="641"/>
      <c r="AB249" s="641"/>
      <c r="AC249" s="641"/>
      <c r="AD249" s="641"/>
      <c r="AE249" s="641"/>
      <c r="AF249" s="641"/>
      <c r="AG249" s="641"/>
      <c r="AH249" s="641"/>
      <c r="AI249" s="641"/>
      <c r="AJ249" s="641"/>
      <c r="AK249" s="641"/>
      <c r="AL249" s="641"/>
      <c r="AM249" s="641"/>
      <c r="AN249" s="641"/>
      <c r="AO249" s="641"/>
      <c r="AP249" s="641"/>
      <c r="AQ249" s="641"/>
      <c r="AR249" s="641"/>
      <c r="AS249" s="641"/>
      <c r="AT249" s="641"/>
      <c r="AU249" s="641"/>
      <c r="AV249" s="641"/>
      <c r="AW249" s="641"/>
      <c r="AX249" s="641"/>
      <c r="AY249" s="641"/>
      <c r="AZ249" s="641"/>
      <c r="BA249" s="641"/>
      <c r="BB249" s="641"/>
      <c r="BC249" s="641"/>
      <c r="BD249" s="641"/>
      <c r="BE249" s="641"/>
      <c r="BF249" s="641"/>
      <c r="BG249" s="641"/>
    </row>
  </sheetData>
  <mergeCells count="36">
    <mergeCell ref="A5:A6"/>
    <mergeCell ref="B5:B6"/>
    <mergeCell ref="C5:C6"/>
    <mergeCell ref="D5:D6"/>
    <mergeCell ref="E4:I4"/>
    <mergeCell ref="A242:B242"/>
    <mergeCell ref="C242:D242"/>
    <mergeCell ref="E242:F242"/>
    <mergeCell ref="A177:A227"/>
    <mergeCell ref="A232:B232"/>
    <mergeCell ref="A234:C234"/>
    <mergeCell ref="E236:F236"/>
    <mergeCell ref="E239:F239"/>
    <mergeCell ref="BF8:BF9"/>
    <mergeCell ref="A10:A60"/>
    <mergeCell ref="A228:A231"/>
    <mergeCell ref="B230:C231"/>
    <mergeCell ref="D230:D231"/>
    <mergeCell ref="E230:E231"/>
    <mergeCell ref="A65:A116"/>
    <mergeCell ref="A117:A120"/>
    <mergeCell ref="B119:C120"/>
    <mergeCell ref="D119:D120"/>
    <mergeCell ref="E119:E120"/>
    <mergeCell ref="A121:A172"/>
    <mergeCell ref="A173:A176"/>
    <mergeCell ref="B175:C176"/>
    <mergeCell ref="D175:D176"/>
    <mergeCell ref="E175:E176"/>
    <mergeCell ref="A61:A64"/>
    <mergeCell ref="B63:C64"/>
    <mergeCell ref="D63:D64"/>
    <mergeCell ref="E63:E64"/>
    <mergeCell ref="A8:A9"/>
    <mergeCell ref="B8:B9"/>
    <mergeCell ref="D8:F8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791-527D-44D4-8AC0-24A8EDAB6756}">
  <sheetPr>
    <tabColor rgb="FF00B050"/>
  </sheetPr>
  <dimension ref="A1:Y32"/>
  <sheetViews>
    <sheetView workbookViewId="0">
      <selection activeCell="E23" sqref="E23"/>
    </sheetView>
  </sheetViews>
  <sheetFormatPr defaultColWidth="9" defaultRowHeight="17" outlineLevelCol="1"/>
  <cols>
    <col min="1" max="1" width="10.58203125" style="2" customWidth="1"/>
    <col min="2" max="2" width="13.58203125" style="2" customWidth="1"/>
    <col min="3" max="10" width="12.08203125" style="2" customWidth="1"/>
    <col min="11" max="11" width="9" style="2" customWidth="1" outlineLevel="1"/>
    <col min="12" max="13" width="9" style="2" hidden="1" customWidth="1" outlineLevel="1"/>
    <col min="14" max="21" width="12.08203125" style="2" customWidth="1"/>
    <col min="22" max="22" width="18" style="2" bestFit="1" customWidth="1"/>
    <col min="23" max="23" width="0" style="2" hidden="1" customWidth="1"/>
    <col min="24" max="24" width="6.6640625" style="2" bestFit="1" customWidth="1"/>
    <col min="25" max="25" width="11.5" style="2" bestFit="1" customWidth="1"/>
    <col min="26" max="16384" width="9" style="2"/>
  </cols>
  <sheetData>
    <row r="1" spans="1:25">
      <c r="A1" s="652"/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  <c r="X1" s="652"/>
      <c r="Y1" s="652"/>
    </row>
    <row r="2" spans="1:25">
      <c r="A2" s="652"/>
      <c r="B2" s="653" t="s">
        <v>386</v>
      </c>
      <c r="C2" s="654" t="s">
        <v>387</v>
      </c>
      <c r="D2" s="653" t="s">
        <v>388</v>
      </c>
      <c r="E2" s="653" t="s">
        <v>389</v>
      </c>
      <c r="F2" s="653" t="s">
        <v>390</v>
      </c>
      <c r="G2" s="653" t="s">
        <v>391</v>
      </c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</row>
    <row r="3" spans="1:25">
      <c r="A3" s="652"/>
      <c r="B3" s="655" t="str">
        <f>'CASH FLOW'!B8</f>
        <v>공동주택</v>
      </c>
      <c r="C3" s="634">
        <f>'CASH FLOW'!E8*1000</f>
        <v>252872367.50490001</v>
      </c>
      <c r="D3" s="656">
        <v>0.1</v>
      </c>
      <c r="E3" s="656">
        <v>0.6</v>
      </c>
      <c r="F3" s="656">
        <f>1-SUM(D3:E3)</f>
        <v>0.30000000000000004</v>
      </c>
      <c r="G3" s="656">
        <f>SUM(D3:F3)</f>
        <v>1</v>
      </c>
      <c r="H3" s="657"/>
      <c r="I3" s="556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  <c r="X3" s="652"/>
      <c r="Y3" s="652"/>
    </row>
    <row r="4" spans="1:25">
      <c r="A4" s="652"/>
      <c r="B4" s="658" t="str">
        <f>'CASH FLOW'!B12</f>
        <v xml:space="preserve"> 오피스텔</v>
      </c>
      <c r="C4" s="659">
        <f>'CASH FLOW'!E12*1000</f>
        <v>157992364.97659996</v>
      </c>
      <c r="D4" s="656">
        <f>D3</f>
        <v>0.1</v>
      </c>
      <c r="E4" s="660">
        <f>E3</f>
        <v>0.6</v>
      </c>
      <c r="F4" s="660">
        <f>F3</f>
        <v>0.30000000000000004</v>
      </c>
      <c r="G4" s="656">
        <f>SUM(D4:F4)</f>
        <v>1</v>
      </c>
      <c r="H4" s="657"/>
      <c r="I4" s="556"/>
      <c r="J4" s="652"/>
      <c r="K4" s="652"/>
      <c r="L4" s="652"/>
      <c r="M4" s="652"/>
      <c r="N4" s="652"/>
      <c r="O4" s="652"/>
      <c r="P4" s="652"/>
      <c r="Q4" s="652"/>
      <c r="R4" s="652"/>
      <c r="S4" s="652"/>
      <c r="T4" s="652"/>
      <c r="U4" s="652"/>
      <c r="V4" s="652"/>
      <c r="W4" s="652"/>
      <c r="X4" s="652"/>
      <c r="Y4" s="652"/>
    </row>
    <row r="5" spans="1:25">
      <c r="A5" s="652"/>
      <c r="B5" s="658" t="str">
        <f>'CASH FLOW'!B16</f>
        <v xml:space="preserve"> 근린생활시설</v>
      </c>
      <c r="C5" s="661">
        <f>'CASH FLOW'!E16*1000</f>
        <v>21284968.815239683</v>
      </c>
      <c r="D5" s="660">
        <f>D3</f>
        <v>0.1</v>
      </c>
      <c r="E5" s="660">
        <v>0.4</v>
      </c>
      <c r="F5" s="660">
        <f>1-SUM(D5:E5)</f>
        <v>0.5</v>
      </c>
      <c r="G5" s="660">
        <f>SUM(D5:F5)</f>
        <v>1</v>
      </c>
      <c r="H5" s="657"/>
      <c r="I5" s="556"/>
      <c r="J5" s="652"/>
      <c r="K5" s="652"/>
      <c r="L5" s="652"/>
      <c r="M5" s="652"/>
      <c r="N5" s="652"/>
      <c r="O5" s="652"/>
      <c r="P5" s="652"/>
      <c r="Q5" s="652"/>
      <c r="R5" s="652"/>
      <c r="S5" s="652"/>
      <c r="T5" s="652"/>
      <c r="U5" s="652"/>
      <c r="V5" s="652"/>
      <c r="W5" s="652"/>
      <c r="X5" s="652"/>
      <c r="Y5" s="652"/>
    </row>
    <row r="6" spans="1:25">
      <c r="A6" s="652"/>
      <c r="B6" s="658" t="str">
        <f>'CASH FLOW'!B24</f>
        <v xml:space="preserve"> 발코니확장</v>
      </c>
      <c r="C6" s="661">
        <f>'CASH FLOW'!E24*1000</f>
        <v>6714400</v>
      </c>
      <c r="D6" s="662">
        <f>D5</f>
        <v>0.1</v>
      </c>
      <c r="E6" s="662">
        <v>0.1</v>
      </c>
      <c r="F6" s="660">
        <f>1-SUM(D6:E6)</f>
        <v>0.8</v>
      </c>
      <c r="G6" s="662">
        <f>SUM(D6:F6)</f>
        <v>1</v>
      </c>
      <c r="H6" s="657"/>
      <c r="I6" s="556"/>
      <c r="J6" s="652"/>
      <c r="K6" s="652"/>
      <c r="L6" s="652"/>
      <c r="M6" s="652"/>
      <c r="N6" s="652"/>
      <c r="O6" s="652"/>
      <c r="P6" s="652"/>
      <c r="Q6" s="652"/>
      <c r="R6" s="652"/>
      <c r="S6" s="652"/>
      <c r="T6" s="652"/>
      <c r="U6" s="652"/>
      <c r="V6" s="652"/>
      <c r="W6" s="652"/>
      <c r="X6" s="652"/>
      <c r="Y6" s="652"/>
    </row>
    <row r="7" spans="1:25">
      <c r="A7" s="652"/>
      <c r="B7" s="658" t="s">
        <v>8</v>
      </c>
      <c r="C7" s="661">
        <f ca="1">'CASH FLOW'!E32*1000</f>
        <v>9156989.0000000019</v>
      </c>
      <c r="D7" s="662"/>
      <c r="E7" s="662"/>
      <c r="F7" s="662">
        <f>1-SUM(D7:E7)</f>
        <v>1</v>
      </c>
      <c r="G7" s="662">
        <f>SUM(D7:F7)</f>
        <v>1</v>
      </c>
      <c r="H7" s="657"/>
      <c r="I7" s="556"/>
      <c r="J7" s="652"/>
      <c r="K7" s="652"/>
      <c r="L7" s="652"/>
      <c r="M7" s="652"/>
      <c r="N7" s="652"/>
      <c r="O7" s="652"/>
      <c r="P7" s="652"/>
      <c r="Q7" s="652"/>
      <c r="R7" s="652"/>
      <c r="S7" s="652"/>
      <c r="T7" s="652"/>
      <c r="U7" s="652"/>
      <c r="V7" s="652"/>
      <c r="W7" s="652"/>
      <c r="X7" s="652"/>
      <c r="Y7" s="652"/>
    </row>
    <row r="8" spans="1:25">
      <c r="A8" s="652"/>
      <c r="B8" s="663" t="s">
        <v>391</v>
      </c>
      <c r="C8" s="664">
        <f ca="1">SUM(C3:C7)</f>
        <v>448021090.29673964</v>
      </c>
      <c r="D8" s="665"/>
      <c r="E8" s="665"/>
      <c r="F8" s="665"/>
      <c r="G8" s="666" t="s">
        <v>392</v>
      </c>
      <c r="H8" s="652"/>
      <c r="I8" s="667"/>
      <c r="J8" s="667"/>
      <c r="K8" s="667"/>
      <c r="L8" s="667"/>
      <c r="M8" s="667"/>
      <c r="N8" s="668"/>
      <c r="O8" s="668"/>
      <c r="P8" s="652"/>
      <c r="Q8" s="652"/>
      <c r="R8" s="652"/>
      <c r="S8" s="652"/>
      <c r="T8" s="652"/>
      <c r="U8" s="652"/>
      <c r="V8" s="652"/>
      <c r="W8" s="652"/>
      <c r="X8" s="652"/>
      <c r="Y8" s="652"/>
    </row>
    <row r="9" spans="1:25">
      <c r="A9" s="652"/>
      <c r="B9" s="595"/>
      <c r="C9" s="556"/>
      <c r="D9" s="669"/>
      <c r="E9" s="669"/>
      <c r="F9" s="669"/>
      <c r="G9" s="597"/>
      <c r="H9" s="657"/>
      <c r="I9" s="556"/>
      <c r="J9" s="652"/>
      <c r="K9" s="652"/>
      <c r="L9" s="652"/>
      <c r="M9" s="652"/>
      <c r="N9" s="652"/>
      <c r="O9" s="652"/>
      <c r="P9" s="652"/>
      <c r="Q9" s="652"/>
      <c r="R9" s="652"/>
      <c r="S9" s="652"/>
      <c r="T9" s="652"/>
      <c r="U9" s="652"/>
      <c r="V9" s="652"/>
      <c r="W9" s="652"/>
      <c r="X9" s="652"/>
      <c r="Y9" s="652"/>
    </row>
    <row r="10" spans="1:25">
      <c r="A10" s="652"/>
      <c r="B10" s="1881" t="s">
        <v>386</v>
      </c>
      <c r="C10" s="1881"/>
      <c r="D10" s="670" t="s">
        <v>393</v>
      </c>
      <c r="E10" s="670" t="s">
        <v>394</v>
      </c>
      <c r="F10" s="671" t="s">
        <v>395</v>
      </c>
      <c r="G10" s="671" t="s">
        <v>396</v>
      </c>
      <c r="H10" s="657"/>
      <c r="I10" s="1882" t="s">
        <v>397</v>
      </c>
      <c r="J10" s="1882"/>
      <c r="K10" s="1882"/>
      <c r="L10" s="1882"/>
      <c r="M10" s="1882"/>
      <c r="N10" s="672" t="s">
        <v>398</v>
      </c>
      <c r="O10" s="672" t="s">
        <v>399</v>
      </c>
      <c r="P10" s="652"/>
      <c r="Q10" s="652"/>
      <c r="R10" s="652"/>
      <c r="S10" s="652"/>
      <c r="T10" s="652"/>
      <c r="U10" s="652"/>
      <c r="V10" s="652"/>
      <c r="W10" s="652"/>
      <c r="X10" s="652"/>
      <c r="Y10" s="652"/>
    </row>
    <row r="11" spans="1:25">
      <c r="A11" s="652"/>
      <c r="B11" s="1883" t="s">
        <v>400</v>
      </c>
      <c r="C11" s="1883"/>
      <c r="D11" s="673">
        <f>'CASH FLOW'!E28*1000</f>
        <v>120000000</v>
      </c>
      <c r="E11" s="674">
        <v>0.02</v>
      </c>
      <c r="F11" s="674">
        <v>4.8000000000000001E-2</v>
      </c>
      <c r="G11" s="674">
        <f>F11+E11/(손익!$AO$68/12)</f>
        <v>5.2999999999999999E-2</v>
      </c>
      <c r="H11" s="652"/>
      <c r="I11" s="1884">
        <v>0.3</v>
      </c>
      <c r="J11" s="1883" t="s">
        <v>401</v>
      </c>
      <c r="K11" s="1883"/>
      <c r="L11" s="1883"/>
      <c r="M11" s="1883"/>
      <c r="N11" s="675">
        <v>0.8</v>
      </c>
      <c r="O11" s="675">
        <v>0</v>
      </c>
      <c r="P11" s="652"/>
      <c r="Q11" s="652"/>
      <c r="R11" s="652"/>
      <c r="S11" s="652"/>
      <c r="T11" s="652"/>
      <c r="U11" s="652"/>
      <c r="V11" s="652"/>
      <c r="W11" s="652"/>
      <c r="X11" s="652"/>
      <c r="Y11" s="652"/>
    </row>
    <row r="12" spans="1:25">
      <c r="A12" s="652"/>
      <c r="B12" s="1886" t="s">
        <v>402</v>
      </c>
      <c r="C12" s="1886"/>
      <c r="D12" s="676">
        <f>'CASH FLOW'!E29*1000</f>
        <v>0</v>
      </c>
      <c r="E12" s="607"/>
      <c r="F12" s="607"/>
      <c r="G12" s="607">
        <f>F12+E12/(손익!$AO$68/12)</f>
        <v>0</v>
      </c>
      <c r="H12" s="652"/>
      <c r="I12" s="1885"/>
      <c r="J12" s="1887" t="s">
        <v>403</v>
      </c>
      <c r="K12" s="1887"/>
      <c r="L12" s="1887"/>
      <c r="M12" s="1887"/>
      <c r="N12" s="677">
        <f>1-N11</f>
        <v>0.19999999999999996</v>
      </c>
      <c r="O12" s="677">
        <f>1-O11</f>
        <v>1</v>
      </c>
      <c r="P12" s="652"/>
      <c r="Q12" s="652"/>
      <c r="R12" s="652"/>
      <c r="S12" s="652"/>
      <c r="T12" s="652"/>
      <c r="U12" s="652"/>
      <c r="V12" s="652"/>
      <c r="W12" s="652"/>
      <c r="X12" s="652"/>
      <c r="Y12" s="652"/>
    </row>
    <row r="13" spans="1:25">
      <c r="A13" s="652"/>
      <c r="B13" s="1887" t="s">
        <v>404</v>
      </c>
      <c r="C13" s="1887"/>
      <c r="D13" s="678">
        <f>'CASH FLOW'!E30*1000</f>
        <v>0</v>
      </c>
      <c r="E13" s="679"/>
      <c r="F13" s="679"/>
      <c r="G13" s="679">
        <f>F13+E13/(손익!$AO$68/12)</f>
        <v>0</v>
      </c>
      <c r="H13" s="652"/>
      <c r="I13" s="1895">
        <f>I11</f>
        <v>0.3</v>
      </c>
      <c r="J13" s="1883" t="s">
        <v>401</v>
      </c>
      <c r="K13" s="1883"/>
      <c r="L13" s="1883"/>
      <c r="M13" s="1883"/>
      <c r="N13" s="675">
        <f>N11</f>
        <v>0.8</v>
      </c>
      <c r="O13" s="675">
        <v>0</v>
      </c>
      <c r="P13" s="680"/>
      <c r="Q13" s="652"/>
      <c r="R13" s="652"/>
      <c r="S13" s="652"/>
      <c r="T13" s="652"/>
      <c r="U13" s="652"/>
      <c r="V13" s="652"/>
      <c r="W13" s="652"/>
      <c r="X13" s="652"/>
      <c r="Y13" s="652"/>
    </row>
    <row r="14" spans="1:25">
      <c r="A14" s="652"/>
      <c r="B14" s="1897" t="s">
        <v>405</v>
      </c>
      <c r="C14" s="1897"/>
      <c r="D14" s="681">
        <f>SUM(D11:D13)</f>
        <v>120000000</v>
      </c>
      <c r="E14" s="682">
        <f>SUMPRODUCT($D$11:$D$13,E11:E13)/$D$14</f>
        <v>0.02</v>
      </c>
      <c r="F14" s="682">
        <f>SUMPRODUCT($D$11:$D$13,F11:F13)/$D$14</f>
        <v>4.8000000000000001E-2</v>
      </c>
      <c r="G14" s="683">
        <f>F14+E14/(손익!$AO$68/12)</f>
        <v>5.2999999999999999E-2</v>
      </c>
      <c r="H14" s="652"/>
      <c r="I14" s="1896"/>
      <c r="J14" s="1887" t="s">
        <v>403</v>
      </c>
      <c r="K14" s="1887"/>
      <c r="L14" s="1887"/>
      <c r="M14" s="1887"/>
      <c r="N14" s="677">
        <f>1-N13</f>
        <v>0.19999999999999996</v>
      </c>
      <c r="O14" s="677">
        <f>1-O13</f>
        <v>1</v>
      </c>
      <c r="P14" s="680"/>
      <c r="Q14" s="652"/>
      <c r="R14" s="652"/>
      <c r="S14" s="652"/>
      <c r="T14" s="652"/>
      <c r="U14" s="652"/>
      <c r="V14" s="652"/>
      <c r="W14" s="652"/>
      <c r="X14" s="652"/>
      <c r="Y14" s="652"/>
    </row>
    <row r="15" spans="1:25">
      <c r="A15" s="652"/>
      <c r="B15" s="652"/>
      <c r="C15" s="684"/>
      <c r="D15" s="684"/>
      <c r="E15" s="556"/>
      <c r="F15" s="652"/>
      <c r="G15" s="685"/>
      <c r="H15" s="652"/>
      <c r="I15" s="556"/>
      <c r="J15" s="652"/>
      <c r="K15" s="589"/>
      <c r="L15" s="589"/>
      <c r="M15" s="589"/>
      <c r="N15" s="595"/>
      <c r="O15" s="680"/>
      <c r="P15" s="680"/>
      <c r="Q15" s="652"/>
      <c r="R15" s="652"/>
      <c r="S15" s="652"/>
      <c r="T15" s="652"/>
      <c r="U15" s="652"/>
      <c r="V15" s="652"/>
      <c r="W15" s="652"/>
      <c r="X15" s="652"/>
      <c r="Y15" s="652"/>
    </row>
    <row r="16" spans="1:25" ht="21">
      <c r="A16" s="652"/>
      <c r="B16" s="686" t="s">
        <v>406</v>
      </c>
      <c r="C16" s="652"/>
      <c r="D16" s="652"/>
      <c r="E16" s="652"/>
      <c r="F16" s="652"/>
      <c r="G16" s="652"/>
      <c r="H16" s="652"/>
      <c r="I16" s="556"/>
      <c r="J16" s="652"/>
      <c r="K16" s="589"/>
      <c r="L16" s="589"/>
      <c r="M16" s="652"/>
      <c r="N16" s="652"/>
      <c r="O16" s="556"/>
      <c r="P16" s="652"/>
      <c r="Q16" s="652"/>
      <c r="R16" s="652"/>
      <c r="S16" s="652"/>
      <c r="T16" s="652"/>
      <c r="U16" s="687" t="s">
        <v>407</v>
      </c>
      <c r="V16" s="652"/>
      <c r="W16" s="652"/>
      <c r="X16" s="652"/>
      <c r="Y16" s="652"/>
    </row>
    <row r="17" spans="1:25" ht="3" customHeight="1">
      <c r="A17" s="652"/>
      <c r="B17" s="688"/>
      <c r="C17" s="652"/>
      <c r="D17" s="652"/>
      <c r="E17" s="652"/>
      <c r="F17" s="652"/>
      <c r="G17" s="652"/>
      <c r="H17" s="652"/>
      <c r="I17" s="556"/>
      <c r="J17" s="652"/>
      <c r="K17" s="589"/>
      <c r="L17" s="589"/>
      <c r="M17" s="689"/>
      <c r="N17" s="652"/>
      <c r="O17" s="556"/>
      <c r="P17" s="652"/>
      <c r="Q17" s="652"/>
      <c r="R17" s="652"/>
      <c r="S17" s="652"/>
      <c r="T17" s="652"/>
      <c r="U17" s="652"/>
      <c r="V17" s="652"/>
      <c r="W17" s="652"/>
      <c r="X17" s="652"/>
      <c r="Y17" s="652"/>
    </row>
    <row r="18" spans="1:25">
      <c r="A18" s="652"/>
      <c r="B18" s="1888" t="s">
        <v>408</v>
      </c>
      <c r="C18" s="1890" t="s">
        <v>409</v>
      </c>
      <c r="D18" s="1890"/>
      <c r="E18" s="690"/>
      <c r="F18" s="1891" t="s">
        <v>410</v>
      </c>
      <c r="G18" s="1892"/>
      <c r="H18" s="690"/>
      <c r="I18" s="1893" t="s">
        <v>411</v>
      </c>
      <c r="J18" s="1888" t="s">
        <v>412</v>
      </c>
      <c r="K18" s="1881" t="s">
        <v>413</v>
      </c>
      <c r="L18" s="1881"/>
      <c r="M18" s="1881"/>
      <c r="N18" s="1891" t="s">
        <v>414</v>
      </c>
      <c r="O18" s="1892"/>
      <c r="P18" s="691"/>
      <c r="Q18" s="1898" t="s">
        <v>415</v>
      </c>
      <c r="R18" s="1898" t="s">
        <v>416</v>
      </c>
      <c r="S18" s="1898" t="s">
        <v>417</v>
      </c>
      <c r="T18" s="1898" t="s">
        <v>418</v>
      </c>
      <c r="U18" s="1898" t="s">
        <v>419</v>
      </c>
      <c r="V18" s="652"/>
      <c r="W18" s="652"/>
      <c r="X18" s="1900" t="s">
        <v>420</v>
      </c>
      <c r="Y18" s="652"/>
    </row>
    <row r="19" spans="1:25">
      <c r="A19" s="652"/>
      <c r="B19" s="1889"/>
      <c r="C19" s="692" t="s">
        <v>421</v>
      </c>
      <c r="D19" s="693" t="s">
        <v>422</v>
      </c>
      <c r="E19" s="694" t="s">
        <v>0</v>
      </c>
      <c r="F19" s="695" t="s">
        <v>398</v>
      </c>
      <c r="G19" s="693" t="s">
        <v>399</v>
      </c>
      <c r="H19" s="694" t="s">
        <v>0</v>
      </c>
      <c r="I19" s="1894"/>
      <c r="J19" s="1889"/>
      <c r="K19" s="653" t="str">
        <f>B11</f>
        <v>Tr. A</v>
      </c>
      <c r="L19" s="653" t="str">
        <f>B12</f>
        <v>Tr. B</v>
      </c>
      <c r="M19" s="653" t="str">
        <f>B13</f>
        <v>Tr. C</v>
      </c>
      <c r="N19" s="696" t="s">
        <v>398</v>
      </c>
      <c r="O19" s="697" t="s">
        <v>399</v>
      </c>
      <c r="P19" s="694" t="s">
        <v>0</v>
      </c>
      <c r="Q19" s="1899"/>
      <c r="R19" s="1899"/>
      <c r="S19" s="1899"/>
      <c r="T19" s="1899"/>
      <c r="U19" s="1899"/>
      <c r="V19" s="652"/>
      <c r="W19" s="652"/>
      <c r="X19" s="1900"/>
      <c r="Y19" s="652"/>
    </row>
    <row r="20" spans="1:25">
      <c r="A20" s="652"/>
      <c r="B20" s="698">
        <v>0</v>
      </c>
      <c r="C20" s="699">
        <f t="shared" ref="C20:C31" ca="1" si="0">(SUMPRODUCT($C$3:$C$7,$D$3:$D$7)+SUMPRODUCT($C$3:$C$7,$E$3:$E$7))*B20</f>
        <v>0</v>
      </c>
      <c r="D20" s="700">
        <f t="shared" ref="D20:D31" ca="1" si="1">(SUMPRODUCT($C$3:$C$7,$F$3:$F$7))*B20</f>
        <v>0</v>
      </c>
      <c r="E20" s="701">
        <f ca="1">C20+D20</f>
        <v>0</v>
      </c>
      <c r="F20" s="702">
        <f ca="1">C20*$N$12</f>
        <v>0</v>
      </c>
      <c r="G20" s="700">
        <f ca="1">MAX(D20*$O$12,)</f>
        <v>0</v>
      </c>
      <c r="H20" s="703">
        <f ca="1">F20+G20</f>
        <v>0</v>
      </c>
      <c r="I20" s="605">
        <f t="shared" ref="I20:I31" ca="1" si="2">MAX($D$14-H20,)</f>
        <v>120000000</v>
      </c>
      <c r="J20" s="605">
        <f t="shared" ref="J20:J31" ca="1" si="3">$C$8-E20</f>
        <v>448021090.29673964</v>
      </c>
      <c r="K20" s="704">
        <f ca="1">MAX(($D$11-$H20)/$J20,)</f>
        <v>0.26784453365916305</v>
      </c>
      <c r="L20" s="704">
        <f ca="1">MAX(($D$11+$D$12-$H20)/$J20,)</f>
        <v>0.26784453365916305</v>
      </c>
      <c r="M20" s="704">
        <f ca="1">MAX(($D$14-$H20)/$J20,)</f>
        <v>0.26784453365916305</v>
      </c>
      <c r="N20" s="702"/>
      <c r="O20" s="700"/>
      <c r="P20" s="703"/>
      <c r="Q20" s="703">
        <f>'CASH FLOW'!BO69*1000</f>
        <v>1000000</v>
      </c>
      <c r="R20" s="703">
        <f>D14</f>
        <v>120000000</v>
      </c>
      <c r="S20" s="703">
        <f>SUM(P20:R20)</f>
        <v>121000000</v>
      </c>
      <c r="T20" s="705">
        <f ca="1">((손익!$AT$15-손익!$AT$63-손익!$AT$35-손익!$AT$36-손익!$AT$37-손익!$AT$38-손익!$AT$51+손익!$AT$65+손익!$AT$67+손익!$AT$68)+(손익!$AT$35*B20+손익!$AT$36*B20+손익!$AT$37*B20+손익!$AT$38*50%*(1+B20)+(손익!$X$51+$C$7)*B20))+손익!$AT$70</f>
        <v>370175119.19408071</v>
      </c>
      <c r="U20" s="703">
        <f t="shared" ref="U20:U31" ca="1" si="4">S20-T20</f>
        <v>-249175119.19408071</v>
      </c>
      <c r="V20" s="652" t="str">
        <f ca="1">IF(U20&lt;0," 사업비 부족, 다시해!"," Good!")</f>
        <v xml:space="preserve"> 사업비 부족, 다시해!</v>
      </c>
      <c r="W20" s="706" t="b">
        <f t="shared" ref="W20:W31" ca="1" si="5">ROUND(E20,3)=ROUND(H20+P20,3)</f>
        <v>1</v>
      </c>
      <c r="X20" s="644">
        <f ca="1">(손익!$AT$23+'PF상환 민감도'!$U20)/손익!$AT$23</f>
        <v>-0.20951772302464994</v>
      </c>
      <c r="Y20" s="652" t="str">
        <f ca="1">IF(U20&gt;=0," 공사비 EXIT!"," 공사비 부족!")</f>
        <v xml:space="preserve"> 공사비 부족!</v>
      </c>
    </row>
    <row r="21" spans="1:25">
      <c r="A21" s="652"/>
      <c r="B21" s="707">
        <v>0.1</v>
      </c>
      <c r="C21" s="708">
        <f t="shared" ca="1" si="0"/>
        <v>29959067.714466985</v>
      </c>
      <c r="D21" s="709">
        <f t="shared" ca="1" si="1"/>
        <v>14843041.315206984</v>
      </c>
      <c r="E21" s="710">
        <f ca="1">C21+D21</f>
        <v>44802109.029673971</v>
      </c>
      <c r="F21" s="711">
        <f ca="1">C21*$N$12</f>
        <v>5991813.5428933958</v>
      </c>
      <c r="G21" s="709">
        <f ca="1">MAX(D21*$O$12,)</f>
        <v>14843041.315206984</v>
      </c>
      <c r="H21" s="712">
        <f ca="1">F21+G21</f>
        <v>20834854.858100381</v>
      </c>
      <c r="I21" s="634">
        <f t="shared" ca="1" si="2"/>
        <v>99165145.141899616</v>
      </c>
      <c r="J21" s="634">
        <f t="shared" ca="1" si="3"/>
        <v>403218981.26706564</v>
      </c>
      <c r="K21" s="713">
        <f t="shared" ref="K21:K30" ca="1" si="6">MAX(($D$11-$H21)/$J21,)</f>
        <v>0.24593372273866038</v>
      </c>
      <c r="L21" s="713">
        <f t="shared" ref="L21:L30" ca="1" si="7">MAX(($D$11+$D$12-$H21)/$J21,)</f>
        <v>0.24593372273866038</v>
      </c>
      <c r="M21" s="713">
        <f t="shared" ref="M21:M30" ca="1" si="8">MAX(($D$14-$H21)/$J21,)</f>
        <v>0.24593372273866038</v>
      </c>
      <c r="N21" s="711">
        <f ca="1">C21*$N$11</f>
        <v>23967254.17157359</v>
      </c>
      <c r="O21" s="709">
        <f ca="1">(D21-$N$8)*$O$11</f>
        <v>0</v>
      </c>
      <c r="P21" s="712">
        <f ca="1">N21+O21</f>
        <v>23967254.17157359</v>
      </c>
      <c r="Q21" s="712">
        <f t="shared" ref="Q21:R24" si="9">Q20</f>
        <v>1000000</v>
      </c>
      <c r="R21" s="712">
        <f t="shared" si="9"/>
        <v>120000000</v>
      </c>
      <c r="S21" s="712">
        <f t="shared" ref="S21:S31" ca="1" si="10">SUM(P21:R21)</f>
        <v>144967254.17157358</v>
      </c>
      <c r="T21" s="712">
        <f ca="1">((손익!$AT$15-손익!$AT$63-손익!$AT$35-손익!$AT$36-손익!$AT$37-손익!$AT$38-손익!$AT$51+손익!$AT$65+손익!$AT$67+손익!$AT$68)+(손익!$AT$35*B21+손익!$AT$36*B21+손익!$AT$37*B21+손익!$AT$38*50%*(1+B21)+(손익!$X$51+$C$7)*B21))+손익!$AT$70</f>
        <v>372527293.49408072</v>
      </c>
      <c r="U21" s="712">
        <f t="shared" ca="1" si="4"/>
        <v>-227560039.32250714</v>
      </c>
      <c r="V21" s="652" t="str">
        <f t="shared" ref="V21:V31" ca="1" si="11">IF(U21&lt;0," 사업비 부족, 다시해!"," Good!")</f>
        <v xml:space="preserve"> 사업비 부족, 다시해!</v>
      </c>
      <c r="W21" s="706" t="b">
        <f t="shared" ca="1" si="5"/>
        <v>1</v>
      </c>
      <c r="X21" s="644">
        <f ca="1">(손익!$AT$23+'PF상환 민감도'!$U21)/손익!$AT$23</f>
        <v>-0.10459624340894896</v>
      </c>
      <c r="Y21" s="652" t="str">
        <f t="shared" ref="Y21:Y31" ca="1" si="12">IF(U21&gt;=0," 공사비 EXIT!"," 공사비 부족!")</f>
        <v xml:space="preserve"> 공사비 부족!</v>
      </c>
    </row>
    <row r="22" spans="1:25">
      <c r="A22" s="652"/>
      <c r="B22" s="698">
        <v>0.2</v>
      </c>
      <c r="C22" s="699">
        <f t="shared" ca="1" si="0"/>
        <v>59918135.428933971</v>
      </c>
      <c r="D22" s="700">
        <f t="shared" ca="1" si="1"/>
        <v>29686082.630413968</v>
      </c>
      <c r="E22" s="701">
        <f t="shared" ref="E22:E31" ca="1" si="13">C22+D22</f>
        <v>89604218.059347942</v>
      </c>
      <c r="F22" s="711">
        <f ca="1">C22*$N$12</f>
        <v>11983627.085786792</v>
      </c>
      <c r="G22" s="700">
        <f ca="1">MAX(D22*$O$12,)</f>
        <v>29686082.630413968</v>
      </c>
      <c r="H22" s="703">
        <f t="shared" ref="H22:H31" ca="1" si="14">F22+G22</f>
        <v>41669709.716200761</v>
      </c>
      <c r="I22" s="605">
        <f t="shared" ca="1" si="2"/>
        <v>78330290.283799231</v>
      </c>
      <c r="J22" s="605">
        <f t="shared" ca="1" si="3"/>
        <v>358416872.23739171</v>
      </c>
      <c r="K22" s="713">
        <f t="shared" ca="1" si="6"/>
        <v>0.21854520908803202</v>
      </c>
      <c r="L22" s="713">
        <f t="shared" ca="1" si="7"/>
        <v>0.21854520908803202</v>
      </c>
      <c r="M22" s="713">
        <f t="shared" ca="1" si="8"/>
        <v>0.21854520908803202</v>
      </c>
      <c r="N22" s="702">
        <f ca="1">C22*$N$11</f>
        <v>47934508.343147181</v>
      </c>
      <c r="O22" s="700">
        <f ca="1">(D22-$N$8)*$O$11</f>
        <v>0</v>
      </c>
      <c r="P22" s="703">
        <f t="shared" ref="P22:P31" ca="1" si="15">N22+O22</f>
        <v>47934508.343147181</v>
      </c>
      <c r="Q22" s="703">
        <f t="shared" si="9"/>
        <v>1000000</v>
      </c>
      <c r="R22" s="703">
        <f t="shared" si="9"/>
        <v>120000000</v>
      </c>
      <c r="S22" s="703">
        <f t="shared" ca="1" si="10"/>
        <v>168934508.34314719</v>
      </c>
      <c r="T22" s="703">
        <f ca="1">((손익!$AT$15-손익!$AT$63-손익!$AT$35-손익!$AT$36-손익!$AT$37-손익!$AT$38-손익!$AT$51+손익!$AT$65+손익!$AT$67+손익!$AT$68)+(손익!$AT$35*B22+손익!$AT$36*B22+손익!$AT$37*B22+손익!$AT$38*50%*(1+B22)+(손익!$X$51+$C$7)*B22))+손익!$AT$70</f>
        <v>374879467.79408073</v>
      </c>
      <c r="U22" s="703">
        <f t="shared" ca="1" si="4"/>
        <v>-205944959.45093355</v>
      </c>
      <c r="V22" s="652" t="str">
        <f t="shared" ca="1" si="11"/>
        <v xml:space="preserve"> 사업비 부족, 다시해!</v>
      </c>
      <c r="W22" s="706" t="b">
        <f t="shared" ca="1" si="5"/>
        <v>1</v>
      </c>
      <c r="X22" s="644">
        <f ca="1">(손익!$AT$23+'PF상환 민감도'!$U22)/손익!$AT$23</f>
        <v>3.2523620675217963E-4</v>
      </c>
      <c r="Y22" s="652" t="str">
        <f t="shared" ca="1" si="12"/>
        <v xml:space="preserve"> 공사비 부족!</v>
      </c>
    </row>
    <row r="23" spans="1:25">
      <c r="A23" s="652"/>
      <c r="B23" s="714">
        <f>I11</f>
        <v>0.3</v>
      </c>
      <c r="C23" s="715">
        <f t="shared" ca="1" si="0"/>
        <v>89877203.143400952</v>
      </c>
      <c r="D23" s="716">
        <f t="shared" ca="1" si="1"/>
        <v>44529123.945620947</v>
      </c>
      <c r="E23" s="717">
        <f t="shared" ca="1" si="13"/>
        <v>134406327.08902189</v>
      </c>
      <c r="F23" s="718">
        <f ca="1">C23*$N$12</f>
        <v>17975440.628680188</v>
      </c>
      <c r="G23" s="716">
        <f ca="1">MAX(D23*$O$12,)</f>
        <v>44529123.945620947</v>
      </c>
      <c r="H23" s="719">
        <f t="shared" ca="1" si="14"/>
        <v>62504564.574301139</v>
      </c>
      <c r="I23" s="720">
        <f t="shared" ca="1" si="2"/>
        <v>57495435.425698861</v>
      </c>
      <c r="J23" s="720">
        <f t="shared" ca="1" si="3"/>
        <v>313614763.20771778</v>
      </c>
      <c r="K23" s="721">
        <f t="shared" ca="1" si="6"/>
        <v>0.18333140582293847</v>
      </c>
      <c r="L23" s="721">
        <f t="shared" ca="1" si="7"/>
        <v>0.18333140582293847</v>
      </c>
      <c r="M23" s="721">
        <f t="shared" ca="1" si="8"/>
        <v>0.18333140582293847</v>
      </c>
      <c r="N23" s="722">
        <f ca="1">C23*$N$11</f>
        <v>71901762.514720768</v>
      </c>
      <c r="O23" s="716">
        <f ca="1">(D23-$N$8)*$O$11</f>
        <v>0</v>
      </c>
      <c r="P23" s="719">
        <f t="shared" ca="1" si="15"/>
        <v>71901762.514720768</v>
      </c>
      <c r="Q23" s="719">
        <f t="shared" si="9"/>
        <v>1000000</v>
      </c>
      <c r="R23" s="719">
        <f t="shared" si="9"/>
        <v>120000000</v>
      </c>
      <c r="S23" s="719">
        <f t="shared" ca="1" si="10"/>
        <v>192901762.51472077</v>
      </c>
      <c r="T23" s="719">
        <f ca="1">((손익!$AT$15-손익!$AT$63-손익!$AT$35-손익!$AT$36-손익!$AT$37-손익!$AT$38-손익!$AT$51+손익!$AT$65+손익!$AT$67+손익!$AT$68)+(손익!$AT$35*B23+손익!$AT$36*B23+손익!$AT$37*B23+손익!$AT$38*50%*(1+B23)+(손익!$X$51+$C$7)*B23))+손익!$AT$70</f>
        <v>377231642.09408069</v>
      </c>
      <c r="U23" s="719">
        <f t="shared" ca="1" si="4"/>
        <v>-184329879.57935992</v>
      </c>
      <c r="V23" s="652" t="str">
        <f t="shared" ca="1" si="11"/>
        <v xml:space="preserve"> 사업비 부족, 다시해!</v>
      </c>
      <c r="W23" s="706" t="b">
        <f t="shared" ca="1" si="5"/>
        <v>1</v>
      </c>
      <c r="X23" s="644">
        <f ca="1">(손익!$AT$23+'PF상환 민감도'!$U23)/손익!$AT$23</f>
        <v>0.10524671582245346</v>
      </c>
      <c r="Y23" s="652" t="str">
        <f t="shared" ca="1" si="12"/>
        <v xml:space="preserve"> 공사비 부족!</v>
      </c>
    </row>
    <row r="24" spans="1:25">
      <c r="A24" s="652"/>
      <c r="B24" s="698">
        <v>0.4</v>
      </c>
      <c r="C24" s="699">
        <f t="shared" ca="1" si="0"/>
        <v>119836270.85786794</v>
      </c>
      <c r="D24" s="700">
        <f t="shared" ca="1" si="1"/>
        <v>59372165.260827936</v>
      </c>
      <c r="E24" s="701">
        <f t="shared" ca="1" si="13"/>
        <v>179208436.11869588</v>
      </c>
      <c r="F24" s="702">
        <f t="shared" ref="F24:F31" ca="1" si="16">$F$23+(C24-$C$23)*$N$14</f>
        <v>23967254.171573587</v>
      </c>
      <c r="G24" s="700">
        <f t="shared" ref="G24:G31" ca="1" si="17">IF($G$23+(D24-$D$23)*$O$14+F24&gt;$D$14,$D$14-F24,$G$23+(D24-$D$23)*$O$14)</f>
        <v>59372165.260827936</v>
      </c>
      <c r="H24" s="703">
        <f t="shared" ca="1" si="14"/>
        <v>83339419.432401523</v>
      </c>
      <c r="I24" s="605">
        <f t="shared" ca="1" si="2"/>
        <v>36660580.567598477</v>
      </c>
      <c r="J24" s="605">
        <f t="shared" ca="1" si="3"/>
        <v>268812654.17804372</v>
      </c>
      <c r="K24" s="713">
        <f t="shared" ca="1" si="6"/>
        <v>0.1363796681361471</v>
      </c>
      <c r="L24" s="713">
        <f t="shared" ca="1" si="7"/>
        <v>0.1363796681361471</v>
      </c>
      <c r="M24" s="713">
        <f t="shared" ca="1" si="8"/>
        <v>0.1363796681361471</v>
      </c>
      <c r="N24" s="702">
        <f ca="1">$N$23+(C24-$C$23)*$N$13</f>
        <v>95869016.686294362</v>
      </c>
      <c r="O24" s="700">
        <f ca="1">$O$23+(D24-$D$23)*$O$13</f>
        <v>0</v>
      </c>
      <c r="P24" s="703">
        <f t="shared" ca="1" si="15"/>
        <v>95869016.686294362</v>
      </c>
      <c r="Q24" s="703">
        <f t="shared" si="9"/>
        <v>1000000</v>
      </c>
      <c r="R24" s="703">
        <f t="shared" si="9"/>
        <v>120000000</v>
      </c>
      <c r="S24" s="703">
        <f t="shared" ca="1" si="10"/>
        <v>216869016.68629438</v>
      </c>
      <c r="T24" s="703">
        <f ca="1">((손익!$AT$15-손익!$AT$63-손익!$AT$35-손익!$AT$36-손익!$AT$37-손익!$AT$38-손익!$AT$51+손익!$AT$65+손익!$AT$67+손익!$AT$68)+(손익!$AT$35*B24+손익!$AT$36*B24+손익!$AT$37*B24+손익!$AT$38*50%*(1+B24)+(손익!$X$51+$C$7)*B24))+손익!$AT$70</f>
        <v>379583816.3940807</v>
      </c>
      <c r="U24" s="703">
        <f t="shared" ca="1" si="4"/>
        <v>-162714799.70778632</v>
      </c>
      <c r="V24" s="652" t="str">
        <f t="shared" ca="1" si="11"/>
        <v xml:space="preserve"> 사업비 부족, 다시해!</v>
      </c>
      <c r="W24" s="706" t="b">
        <f t="shared" ca="1" si="5"/>
        <v>1</v>
      </c>
      <c r="X24" s="644">
        <f ca="1">(손익!$AT$23+'PF상환 민감도'!$U24)/손익!$AT$23</f>
        <v>0.2101681954381546</v>
      </c>
      <c r="Y24" s="652" t="str">
        <f t="shared" ca="1" si="12"/>
        <v xml:space="preserve"> 공사비 부족!</v>
      </c>
    </row>
    <row r="25" spans="1:25">
      <c r="A25" s="723"/>
      <c r="B25" s="698">
        <v>0.5</v>
      </c>
      <c r="C25" s="699">
        <f t="shared" ca="1" si="0"/>
        <v>149795338.57233492</v>
      </c>
      <c r="D25" s="700">
        <f t="shared" ca="1" si="1"/>
        <v>74215206.576034918</v>
      </c>
      <c r="E25" s="701">
        <f t="shared" ca="1" si="13"/>
        <v>224010545.14836985</v>
      </c>
      <c r="F25" s="702">
        <f t="shared" ca="1" si="16"/>
        <v>29959067.714466978</v>
      </c>
      <c r="G25" s="700">
        <f t="shared" ca="1" si="17"/>
        <v>74215206.576034918</v>
      </c>
      <c r="H25" s="703">
        <f t="shared" ca="1" si="14"/>
        <v>104174274.29050189</v>
      </c>
      <c r="I25" s="605">
        <f t="shared" ca="1" si="2"/>
        <v>15825725.709498107</v>
      </c>
      <c r="J25" s="605">
        <f t="shared" ca="1" si="3"/>
        <v>224010545.14836979</v>
      </c>
      <c r="K25" s="713">
        <f t="shared" ca="1" si="6"/>
        <v>7.0647235374639142E-2</v>
      </c>
      <c r="L25" s="713">
        <f t="shared" ca="1" si="7"/>
        <v>7.0647235374639142E-2</v>
      </c>
      <c r="M25" s="713">
        <f t="shared" ca="1" si="8"/>
        <v>7.0647235374639142E-2</v>
      </c>
      <c r="N25" s="702">
        <f t="shared" ref="N25:N31" ca="1" si="18">$N$23+(C25-$C$23)*$N$13</f>
        <v>119836270.85786794</v>
      </c>
      <c r="O25" s="700">
        <f t="shared" ref="O25:O31" ca="1" si="19">IF(H25&lt;$D$14,$O$23+(D25-$D$23)*$O$13,D25-G25)</f>
        <v>0</v>
      </c>
      <c r="P25" s="703">
        <f t="shared" ca="1" si="15"/>
        <v>119836270.85786794</v>
      </c>
      <c r="Q25" s="703">
        <f>Q24</f>
        <v>1000000</v>
      </c>
      <c r="R25" s="703">
        <f>R24</f>
        <v>120000000</v>
      </c>
      <c r="S25" s="703">
        <f t="shared" ca="1" si="10"/>
        <v>240836270.85786796</v>
      </c>
      <c r="T25" s="703">
        <f ca="1">((손익!$AT$15-손익!$AT$63-손익!$AT$35-손익!$AT$36-손익!$AT$37-손익!$AT$38-손익!$AT$51+손익!$AT$65+손익!$AT$67+손익!$AT$68)+(손익!$AT$35*B25+손익!$AT$36*B25+손익!$AT$37*B25+손익!$AT$38*50%*(1+B25)+(손익!$X$51+$C$7)*B25))+손익!$AT$70</f>
        <v>381935990.69408071</v>
      </c>
      <c r="U25" s="703">
        <f t="shared" ca="1" si="4"/>
        <v>-141099719.83621275</v>
      </c>
      <c r="V25" s="652" t="str">
        <f t="shared" ca="1" si="11"/>
        <v xml:space="preserve"> 사업비 부족, 다시해!</v>
      </c>
      <c r="W25" s="706" t="b">
        <f t="shared" ca="1" si="5"/>
        <v>1</v>
      </c>
      <c r="X25" s="644">
        <f ca="1">(손익!$AT$23+'PF상환 민감도'!$U25)/손익!$AT$23</f>
        <v>0.3150896750538556</v>
      </c>
      <c r="Y25" s="652" t="str">
        <f t="shared" ca="1" si="12"/>
        <v xml:space="preserve"> 공사비 부족!</v>
      </c>
    </row>
    <row r="26" spans="1:25">
      <c r="A26" s="724" t="s">
        <v>423</v>
      </c>
      <c r="B26" s="725">
        <v>0.55640756602419184</v>
      </c>
      <c r="C26" s="726">
        <f ca="1">(SUMPRODUCT($C$3:$C$7,$D$3:$D$7)+SUMPRODUCT($C$3:$C$7,$E$3:$E$7))*B26</f>
        <v>166694519.47360522</v>
      </c>
      <c r="D26" s="727">
        <f ca="1">(SUMPRODUCT($C$3:$C$7,$F$3:$F$7))*B26</f>
        <v>82587804.905908376</v>
      </c>
      <c r="E26" s="728">
        <f ca="1">C26+D26</f>
        <v>249282324.37951359</v>
      </c>
      <c r="F26" s="729">
        <f ca="1">$F$23+(C26-$C$23)*$N$14</f>
        <v>33338903.894721039</v>
      </c>
      <c r="G26" s="727">
        <f ca="1">IF($G$23+(D26-$D$23)*$O$14+F26&gt;$D$14,$D$14-F26,$G$23+(D26-$D$23)*$O$14)</f>
        <v>82587804.905908376</v>
      </c>
      <c r="H26" s="730">
        <f ca="1">F26+G26</f>
        <v>115926708.80062941</v>
      </c>
      <c r="I26" s="608">
        <f ca="1">MAX($D$14-H26,)</f>
        <v>4073291.1993705928</v>
      </c>
      <c r="J26" s="608">
        <f ca="1">$C$8-E26</f>
        <v>198738765.91722605</v>
      </c>
      <c r="K26" s="731">
        <f ca="1">MAX(($D$11-$H26)/$J26,)</f>
        <v>2.0495705407907704E-2</v>
      </c>
      <c r="L26" s="731">
        <f ca="1">MAX(($D$11+$D$12-$H26)/$J26,)</f>
        <v>2.0495705407907704E-2</v>
      </c>
      <c r="M26" s="731">
        <f ca="1">MAX(($D$14-$H26)/$J26,)</f>
        <v>2.0495705407907704E-2</v>
      </c>
      <c r="N26" s="729">
        <f ca="1">$N$23+(C26-$C$23)*$N$13</f>
        <v>133355615.57888418</v>
      </c>
      <c r="O26" s="727">
        <f ca="1">$O$23+(D26-$D$23)*$O$13</f>
        <v>0</v>
      </c>
      <c r="P26" s="732">
        <f ca="1">N26+O26</f>
        <v>133355615.57888418</v>
      </c>
      <c r="Q26" s="732">
        <f t="shared" ref="Q26:R31" si="20">Q25</f>
        <v>1000000</v>
      </c>
      <c r="R26" s="732">
        <f t="shared" si="20"/>
        <v>120000000</v>
      </c>
      <c r="S26" s="732">
        <f ca="1">SUM(P26:R26)</f>
        <v>254355615.57888418</v>
      </c>
      <c r="T26" s="732">
        <f ca="1">((손익!$AT$15-손익!$AT$63-손익!$AT$35-손익!$AT$36-손익!$AT$37-손익!$AT$38-손익!$AT$51+손익!$AT$65+손익!$AT$67+손익!$AT$68)+(손익!$AT$35*B26+손익!$AT$36*B26+손익!$AT$37*B26+손익!$AT$38*50%*(1+B26)+(손익!$X$51+$C$7)*B26))+손익!$AT$70</f>
        <v>383262794.9653573</v>
      </c>
      <c r="U26" s="732">
        <f ca="1">S26-T26</f>
        <v>-128907179.38647312</v>
      </c>
      <c r="V26" s="652" t="str">
        <f ca="1">IF(U26&lt;0," 사업비 부족, 다시해!"," Good!")</f>
        <v xml:space="preserve"> 사업비 부족, 다시해!</v>
      </c>
      <c r="W26" s="706" t="b">
        <f ca="1">ROUND(E26,3)=ROUND(H26+P26,3)</f>
        <v>1</v>
      </c>
      <c r="X26" s="644">
        <f ca="1">(손익!$AT$23+'PF상환 민감도'!$U26)/손익!$AT$23</f>
        <v>0.37427332794164098</v>
      </c>
      <c r="Y26" s="652" t="str">
        <f ca="1">IF(U26&gt;=0," 공사비 EXIT!"," 공사비 부족!")</f>
        <v xml:space="preserve"> 공사비 부족!</v>
      </c>
    </row>
    <row r="27" spans="1:25">
      <c r="A27" s="723"/>
      <c r="B27" s="698">
        <v>0.6</v>
      </c>
      <c r="C27" s="699">
        <f t="shared" ca="1" si="0"/>
        <v>179754406.2868019</v>
      </c>
      <c r="D27" s="700">
        <f t="shared" ca="1" si="1"/>
        <v>89058247.891241893</v>
      </c>
      <c r="E27" s="701">
        <f t="shared" ca="1" si="13"/>
        <v>268812654.17804378</v>
      </c>
      <c r="F27" s="702">
        <f t="shared" ca="1" si="16"/>
        <v>35950881.257360376</v>
      </c>
      <c r="G27" s="700">
        <f t="shared" ca="1" si="17"/>
        <v>84049118.742639631</v>
      </c>
      <c r="H27" s="703">
        <f t="shared" ca="1" si="14"/>
        <v>120000000</v>
      </c>
      <c r="I27" s="605">
        <f t="shared" ca="1" si="2"/>
        <v>0</v>
      </c>
      <c r="J27" s="605">
        <f t="shared" ca="1" si="3"/>
        <v>179208436.11869586</v>
      </c>
      <c r="K27" s="713">
        <f t="shared" ca="1" si="6"/>
        <v>0</v>
      </c>
      <c r="L27" s="713">
        <f t="shared" ca="1" si="7"/>
        <v>0</v>
      </c>
      <c r="M27" s="713">
        <f t="shared" ca="1" si="8"/>
        <v>0</v>
      </c>
      <c r="N27" s="702">
        <f t="shared" ca="1" si="18"/>
        <v>143803525.02944154</v>
      </c>
      <c r="O27" s="700">
        <f t="shared" ca="1" si="19"/>
        <v>5009129.1486022621</v>
      </c>
      <c r="P27" s="703">
        <f t="shared" ca="1" si="15"/>
        <v>148812654.17804378</v>
      </c>
      <c r="Q27" s="703">
        <f t="shared" si="20"/>
        <v>1000000</v>
      </c>
      <c r="R27" s="703">
        <f t="shared" si="20"/>
        <v>120000000</v>
      </c>
      <c r="S27" s="703">
        <f t="shared" ca="1" si="10"/>
        <v>269812654.17804378</v>
      </c>
      <c r="T27" s="703">
        <f ca="1">((손익!$AT$15-손익!$AT$63-손익!$AT$35-손익!$AT$36-손익!$AT$37-손익!$AT$38-손익!$AT$51+손익!$AT$65+손익!$AT$67+손익!$AT$68)+(손익!$AT$35*B27+손익!$AT$36*B27+손익!$AT$37*B27+손익!$AT$38*50%*(1+B27)+(손익!$X$51+$C$7)*B27))+손익!$AT$70</f>
        <v>384288164.99408072</v>
      </c>
      <c r="U27" s="703">
        <f t="shared" ca="1" si="4"/>
        <v>-114475510.81603694</v>
      </c>
      <c r="V27" s="652" t="str">
        <f t="shared" ca="1" si="11"/>
        <v xml:space="preserve"> 사업비 부족, 다시해!</v>
      </c>
      <c r="W27" s="706" t="b">
        <f t="shared" ca="1" si="5"/>
        <v>1</v>
      </c>
      <c r="X27" s="644">
        <f ca="1">(손익!$AT$23+'PF상환 민감도'!$U27)/손익!$AT$23</f>
        <v>0.44432590367720037</v>
      </c>
      <c r="Y27" s="652" t="str">
        <f t="shared" ca="1" si="12"/>
        <v xml:space="preserve"> 공사비 부족!</v>
      </c>
    </row>
    <row r="28" spans="1:25">
      <c r="A28" s="723"/>
      <c r="B28" s="698">
        <v>0.7</v>
      </c>
      <c r="C28" s="699">
        <f ca="1">(SUMPRODUCT($C$3:$C$7,$D$3:$D$7)+SUMPRODUCT($C$3:$C$7,$E$3:$E$7))*B28</f>
        <v>209713474.00126886</v>
      </c>
      <c r="D28" s="700">
        <f ca="1">(SUMPRODUCT($C$3:$C$7,$F$3:$F$7))*B28</f>
        <v>103901289.20644888</v>
      </c>
      <c r="E28" s="701">
        <f ca="1">C28+D28</f>
        <v>313614763.20771778</v>
      </c>
      <c r="F28" s="702">
        <f ca="1">$F$23+(C28-$C$23)*$N$14</f>
        <v>41942694.800253764</v>
      </c>
      <c r="G28" s="700">
        <f ca="1">IF($G$23+(D28-$D$23)*$O$14+F28&gt;$D$14,$D$14-F28,$G$23+(D28-$D$23)*$O$14)</f>
        <v>78057305.199746236</v>
      </c>
      <c r="H28" s="703">
        <f ca="1">F28+G28</f>
        <v>120000000</v>
      </c>
      <c r="I28" s="605">
        <f ca="1">MAX($D$14-H28,)</f>
        <v>0</v>
      </c>
      <c r="J28" s="605">
        <f ca="1">$C$8-E28</f>
        <v>134406327.08902186</v>
      </c>
      <c r="K28" s="713">
        <f ca="1">MAX(($D$11-$H28)/$J28,)</f>
        <v>0</v>
      </c>
      <c r="L28" s="713">
        <f ca="1">MAX(($D$11+$D$12-$H28)/$J28,)</f>
        <v>0</v>
      </c>
      <c r="M28" s="713">
        <f ca="1">MAX(($D$14-$H28)/$J28,)</f>
        <v>0</v>
      </c>
      <c r="N28" s="702">
        <f t="shared" ca="1" si="18"/>
        <v>167770779.20101511</v>
      </c>
      <c r="O28" s="700">
        <f t="shared" ca="1" si="19"/>
        <v>25843984.006702647</v>
      </c>
      <c r="P28" s="703">
        <f ca="1">N28+O28</f>
        <v>193614763.20771778</v>
      </c>
      <c r="Q28" s="703">
        <f t="shared" si="20"/>
        <v>1000000</v>
      </c>
      <c r="R28" s="703">
        <f t="shared" si="20"/>
        <v>120000000</v>
      </c>
      <c r="S28" s="703">
        <f ca="1">SUM(P28:R28)</f>
        <v>314614763.20771778</v>
      </c>
      <c r="T28" s="703">
        <f ca="1">((손익!$AT$15-손익!$AT$63-손익!$AT$35-손익!$AT$36-손익!$AT$37-손익!$AT$38-손익!$AT$51+손익!$AT$65+손익!$AT$67+손익!$AT$68)+(손익!$AT$35*B28+손익!$AT$36*B28+손익!$AT$37*B28+손익!$AT$38*50%*(1+B28)+(손익!$X$51+$C$7)*B28))+손익!$AT$70</f>
        <v>386640339.29408073</v>
      </c>
      <c r="U28" s="703">
        <f ca="1">S28-T28</f>
        <v>-72025576.086362958</v>
      </c>
      <c r="V28" s="652" t="str">
        <f ca="1">IF(U28&lt;0," 사업비 부족, 다시해!"," Good!")</f>
        <v xml:space="preserve"> 사업비 부족, 다시해!</v>
      </c>
      <c r="W28" s="706" t="b">
        <f ca="1">ROUND(E28,3)=ROUND(H28+P28,3)</f>
        <v>1</v>
      </c>
      <c r="X28" s="644">
        <f ca="1">(손익!$AT$23+'PF상환 민감도'!$U28)/손익!$AT$23</f>
        <v>0.65038158276283509</v>
      </c>
      <c r="Y28" s="652" t="str">
        <f ca="1">IF(U28&gt;=0," 공사비 EXIT!"," 공사비 부족!")</f>
        <v xml:space="preserve"> 공사비 부족!</v>
      </c>
    </row>
    <row r="29" spans="1:25">
      <c r="A29" s="652"/>
      <c r="B29" s="698">
        <v>0.8</v>
      </c>
      <c r="C29" s="699">
        <f ca="1">(SUMPRODUCT($C$3:$C$7,$D$3:$D$7)+SUMPRODUCT($C$3:$C$7,$E$3:$E$7))*B29</f>
        <v>239672541.71573588</v>
      </c>
      <c r="D29" s="700">
        <f ca="1">(SUMPRODUCT($C$3:$C$7,$F$3:$F$7))*B29</f>
        <v>118744330.52165587</v>
      </c>
      <c r="E29" s="701">
        <f ca="1">C29+D29</f>
        <v>358416872.23739177</v>
      </c>
      <c r="F29" s="702">
        <f ca="1">$F$23+(C29-$C$23)*$N$14</f>
        <v>47934508.343147174</v>
      </c>
      <c r="G29" s="700">
        <f ca="1">IF($G$23+(D29-$D$23)*$O$14+F29&gt;$D$14,$D$14-F29,$G$23+(D29-$D$23)*$O$14)</f>
        <v>72065491.656852826</v>
      </c>
      <c r="H29" s="703">
        <f ca="1">F29+G29</f>
        <v>120000000</v>
      </c>
      <c r="I29" s="605">
        <f ca="1">MAX($D$14-H29,)</f>
        <v>0</v>
      </c>
      <c r="J29" s="605">
        <f ca="1">$C$8-E29</f>
        <v>89604218.059347868</v>
      </c>
      <c r="K29" s="713">
        <f ca="1">MAX(($D$11-$H29)/$J29,)</f>
        <v>0</v>
      </c>
      <c r="L29" s="713">
        <f ca="1">MAX(($D$11+$D$12-$H29)/$J29,)</f>
        <v>0</v>
      </c>
      <c r="M29" s="713">
        <f ca="1">MAX(($D$14-$H29)/$J29,)</f>
        <v>0</v>
      </c>
      <c r="N29" s="702">
        <f t="shared" ca="1" si="18"/>
        <v>191738033.37258872</v>
      </c>
      <c r="O29" s="700">
        <f t="shared" ca="1" si="19"/>
        <v>46678838.864803046</v>
      </c>
      <c r="P29" s="703">
        <f ca="1">N29+O29</f>
        <v>238416872.23739177</v>
      </c>
      <c r="Q29" s="703">
        <f t="shared" si="20"/>
        <v>1000000</v>
      </c>
      <c r="R29" s="703">
        <f t="shared" si="20"/>
        <v>120000000</v>
      </c>
      <c r="S29" s="703">
        <f ca="1">SUM(P29:R29)</f>
        <v>359416872.23739177</v>
      </c>
      <c r="T29" s="703">
        <f ca="1">((손익!$AT$15-손익!$AT$63-손익!$AT$35-손익!$AT$36-손익!$AT$37-손익!$AT$38-손익!$AT$51+손익!$AT$65+손익!$AT$67+손익!$AT$68)+(손익!$AT$35*B29+손익!$AT$36*B29+손익!$AT$37*B29+손익!$AT$38*50%*(1+B29)+(손익!$X$51+$C$7)*B29))+손익!$AT$70</f>
        <v>388992513.59408069</v>
      </c>
      <c r="U29" s="703">
        <f ca="1">S29-T29</f>
        <v>-29575641.356688917</v>
      </c>
      <c r="V29" s="652" t="str">
        <f ca="1">IF(U29&lt;0," 사업비 부족, 다시해!"," Good!")</f>
        <v xml:space="preserve"> 사업비 부족, 다시해!</v>
      </c>
      <c r="W29" s="706" t="b">
        <f ca="1">ROUND(E29,3)=ROUND(H29+P29,3)</f>
        <v>1</v>
      </c>
      <c r="X29" s="644">
        <f ca="1">(손익!$AT$23+'PF상환 민감도'!$U29)/손익!$AT$23</f>
        <v>0.85643726184847013</v>
      </c>
      <c r="Y29" s="652" t="str">
        <f ca="1">IF(U29&gt;=0," 공사비 EXIT!"," 공사비 부족!")</f>
        <v xml:space="preserve"> 공사비 부족!</v>
      </c>
    </row>
    <row r="30" spans="1:25">
      <c r="A30" s="652"/>
      <c r="B30" s="698">
        <v>0.9</v>
      </c>
      <c r="C30" s="699">
        <f t="shared" ca="1" si="0"/>
        <v>269631609.43020284</v>
      </c>
      <c r="D30" s="700">
        <f t="shared" ca="1" si="1"/>
        <v>133587371.83686286</v>
      </c>
      <c r="E30" s="701">
        <f t="shared" ca="1" si="13"/>
        <v>403218981.2670657</v>
      </c>
      <c r="F30" s="702">
        <f t="shared" ca="1" si="16"/>
        <v>53926321.886040553</v>
      </c>
      <c r="G30" s="700">
        <f t="shared" ca="1" si="17"/>
        <v>66073678.113959447</v>
      </c>
      <c r="H30" s="703">
        <f t="shared" ca="1" si="14"/>
        <v>120000000</v>
      </c>
      <c r="I30" s="605">
        <f t="shared" ca="1" si="2"/>
        <v>0</v>
      </c>
      <c r="J30" s="605">
        <f t="shared" ca="1" si="3"/>
        <v>44802109.029673934</v>
      </c>
      <c r="K30" s="713">
        <f t="shared" ca="1" si="6"/>
        <v>0</v>
      </c>
      <c r="L30" s="713">
        <f t="shared" ca="1" si="7"/>
        <v>0</v>
      </c>
      <c r="M30" s="713">
        <f t="shared" ca="1" si="8"/>
        <v>0</v>
      </c>
      <c r="N30" s="702">
        <f t="shared" ca="1" si="18"/>
        <v>215705287.54416227</v>
      </c>
      <c r="O30" s="700">
        <f t="shared" ca="1" si="19"/>
        <v>67513693.722903416</v>
      </c>
      <c r="P30" s="703">
        <f t="shared" ca="1" si="15"/>
        <v>283218981.2670657</v>
      </c>
      <c r="Q30" s="703">
        <f t="shared" si="20"/>
        <v>1000000</v>
      </c>
      <c r="R30" s="703">
        <f t="shared" si="20"/>
        <v>120000000</v>
      </c>
      <c r="S30" s="703">
        <f t="shared" ca="1" si="10"/>
        <v>404218981.2670657</v>
      </c>
      <c r="T30" s="703">
        <f ca="1">((손익!$AT$15-손익!$AT$63-손익!$AT$35-손익!$AT$36-손익!$AT$37-손익!$AT$38-손익!$AT$51+손익!$AT$65+손익!$AT$67+손익!$AT$68)+(손익!$AT$35*B30+손익!$AT$36*B30+손익!$AT$37*B30+손익!$AT$38*50%*(1+B30)+(손익!$X$51+$C$7)*B30))+손익!$AT$70</f>
        <v>391344687.8940807</v>
      </c>
      <c r="U30" s="703">
        <f t="shared" ca="1" si="4"/>
        <v>12874293.372985005</v>
      </c>
      <c r="V30" s="652" t="str">
        <f t="shared" ca="1" si="11"/>
        <v xml:space="preserve"> Good!</v>
      </c>
      <c r="W30" s="706" t="b">
        <f t="shared" ca="1" si="5"/>
        <v>1</v>
      </c>
      <c r="X30" s="644">
        <f ca="1">(손익!$AT$23+'PF상환 민감도'!$U30)/손익!$AT$23</f>
        <v>1.0624929409341046</v>
      </c>
      <c r="Y30" s="652" t="str">
        <f t="shared" ca="1" si="12"/>
        <v xml:space="preserve"> 공사비 EXIT!</v>
      </c>
    </row>
    <row r="31" spans="1:25">
      <c r="A31" s="652"/>
      <c r="B31" s="733">
        <v>1</v>
      </c>
      <c r="C31" s="734">
        <f t="shared" ca="1" si="0"/>
        <v>299590677.14466983</v>
      </c>
      <c r="D31" s="735">
        <f t="shared" ca="1" si="1"/>
        <v>148430413.15206984</v>
      </c>
      <c r="E31" s="736">
        <f t="shared" ca="1" si="13"/>
        <v>448021090.2967397</v>
      </c>
      <c r="F31" s="737">
        <f t="shared" ca="1" si="16"/>
        <v>59918135.428933948</v>
      </c>
      <c r="G31" s="735">
        <f t="shared" ca="1" si="17"/>
        <v>60081864.571066052</v>
      </c>
      <c r="H31" s="738">
        <f t="shared" ca="1" si="14"/>
        <v>120000000</v>
      </c>
      <c r="I31" s="739">
        <f t="shared" ca="1" si="2"/>
        <v>0</v>
      </c>
      <c r="J31" s="739">
        <f t="shared" ca="1" si="3"/>
        <v>0</v>
      </c>
      <c r="K31" s="740"/>
      <c r="L31" s="740"/>
      <c r="M31" s="740"/>
      <c r="N31" s="737">
        <f t="shared" ca="1" si="18"/>
        <v>239672541.71573588</v>
      </c>
      <c r="O31" s="735">
        <f t="shared" ca="1" si="19"/>
        <v>88348548.581003785</v>
      </c>
      <c r="P31" s="738">
        <f t="shared" ca="1" si="15"/>
        <v>328021090.2967397</v>
      </c>
      <c r="Q31" s="738">
        <f t="shared" si="20"/>
        <v>1000000</v>
      </c>
      <c r="R31" s="738">
        <f t="shared" si="20"/>
        <v>120000000</v>
      </c>
      <c r="S31" s="738">
        <f t="shared" ca="1" si="10"/>
        <v>449021090.2967397</v>
      </c>
      <c r="T31" s="741">
        <f ca="1">((손익!$AT$15-손익!$AT$63-손익!$AT$35-손익!$AT$36-손익!$AT$37-손익!$AT$38-손익!$AT$51+손익!$AT$65+손익!$AT$67+손익!$AT$68)+(손익!$AT$35*B31+손익!$AT$36*B31+손익!$AT$37*B31+손익!$AT$38*50%*(1+B31)+(손익!$X$51+$C$7)*B31))+손익!$AT$70</f>
        <v>393696862.19408071</v>
      </c>
      <c r="U31" s="738">
        <f t="shared" ca="1" si="4"/>
        <v>55324228.102658987</v>
      </c>
      <c r="V31" s="652" t="str">
        <f t="shared" ca="1" si="11"/>
        <v xml:space="preserve"> Good!</v>
      </c>
      <c r="W31" s="706" t="b">
        <f t="shared" ca="1" si="5"/>
        <v>1</v>
      </c>
      <c r="X31" s="644">
        <f ca="1">(손익!$AT$23+'PF상환 민감도'!$U31)/손익!$AT$23</f>
        <v>1.2685486200197393</v>
      </c>
      <c r="Y31" s="652" t="str">
        <f t="shared" ca="1" si="12"/>
        <v xml:space="preserve"> 공사비 EXIT!</v>
      </c>
    </row>
    <row r="32" spans="1:25">
      <c r="A32" s="652"/>
      <c r="B32" s="652"/>
      <c r="C32" s="652"/>
      <c r="D32" s="652"/>
      <c r="E32" s="652"/>
      <c r="F32" s="652"/>
      <c r="G32" s="652"/>
      <c r="H32" s="652"/>
      <c r="I32" s="652"/>
      <c r="J32" s="652"/>
      <c r="K32" s="652"/>
      <c r="L32" s="652"/>
      <c r="M32" s="652"/>
      <c r="N32" s="652"/>
      <c r="O32" s="652"/>
      <c r="P32" s="652"/>
      <c r="Q32" s="652"/>
      <c r="R32" s="652"/>
      <c r="S32" s="652"/>
      <c r="T32" s="742"/>
      <c r="U32" s="652"/>
      <c r="V32" s="652"/>
      <c r="W32" s="652"/>
      <c r="X32" s="652"/>
      <c r="Y32" s="652"/>
    </row>
  </sheetData>
  <mergeCells count="25">
    <mergeCell ref="U18:U19"/>
    <mergeCell ref="X18:X19"/>
    <mergeCell ref="K18:M18"/>
    <mergeCell ref="N18:O18"/>
    <mergeCell ref="Q18:Q19"/>
    <mergeCell ref="R18:R19"/>
    <mergeCell ref="S18:S19"/>
    <mergeCell ref="T18:T19"/>
    <mergeCell ref="B13:C13"/>
    <mergeCell ref="I13:I14"/>
    <mergeCell ref="J13:M13"/>
    <mergeCell ref="B14:C14"/>
    <mergeCell ref="J14:M14"/>
    <mergeCell ref="B18:B19"/>
    <mergeCell ref="C18:D18"/>
    <mergeCell ref="F18:G18"/>
    <mergeCell ref="I18:I19"/>
    <mergeCell ref="J18:J19"/>
    <mergeCell ref="B10:C10"/>
    <mergeCell ref="I10:M10"/>
    <mergeCell ref="B11:C11"/>
    <mergeCell ref="I11:I12"/>
    <mergeCell ref="J11:M11"/>
    <mergeCell ref="B12:C12"/>
    <mergeCell ref="J12:M1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8F1C-67C2-444A-AF48-F6A1289D3FC1}">
  <dimension ref="A1:V46"/>
  <sheetViews>
    <sheetView workbookViewId="0">
      <selection activeCell="C10" sqref="C10"/>
    </sheetView>
  </sheetViews>
  <sheetFormatPr defaultColWidth="9" defaultRowHeight="17"/>
  <cols>
    <col min="1" max="1" width="32.58203125" style="2" customWidth="1"/>
    <col min="2" max="9" width="13.58203125" style="2" customWidth="1"/>
    <col min="10" max="10" width="2.58203125" style="2" customWidth="1"/>
    <col min="11" max="11" width="15.58203125" style="2" customWidth="1"/>
    <col min="12" max="18" width="10.58203125" style="2" customWidth="1"/>
    <col min="19" max="16384" width="9" style="2"/>
  </cols>
  <sheetData>
    <row r="1" spans="1:22" ht="21">
      <c r="A1" s="743" t="s">
        <v>424</v>
      </c>
      <c r="B1" s="743"/>
      <c r="C1" s="744"/>
      <c r="D1" s="744"/>
      <c r="E1" s="745"/>
      <c r="F1" s="744"/>
      <c r="G1" s="745"/>
      <c r="H1" s="745"/>
      <c r="I1" s="745" t="s">
        <v>425</v>
      </c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</row>
    <row r="2" spans="1:22">
      <c r="A2" s="747"/>
      <c r="B2" s="747"/>
      <c r="C2" s="747"/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747"/>
      <c r="Q2" s="747"/>
      <c r="R2" s="747"/>
      <c r="S2" s="747"/>
      <c r="T2" s="747"/>
      <c r="U2" s="747"/>
      <c r="V2" s="747"/>
    </row>
    <row r="3" spans="1:22">
      <c r="A3" s="748" t="s">
        <v>426</v>
      </c>
      <c r="B3" s="749"/>
      <c r="C3" s="749"/>
      <c r="D3" s="749"/>
      <c r="E3" s="749"/>
      <c r="F3" s="749"/>
      <c r="G3" s="749"/>
      <c r="H3" s="749"/>
      <c r="I3" s="749"/>
      <c r="J3" s="747"/>
      <c r="K3" s="747"/>
      <c r="L3" s="747"/>
      <c r="M3" s="747"/>
      <c r="N3" s="747"/>
      <c r="O3" s="747"/>
      <c r="P3" s="747"/>
      <c r="Q3" s="747"/>
      <c r="R3" s="747"/>
      <c r="S3" s="747"/>
      <c r="T3" s="747"/>
      <c r="U3" s="747"/>
      <c r="V3" s="747"/>
    </row>
    <row r="4" spans="1:22">
      <c r="A4" s="750"/>
      <c r="B4" s="747"/>
      <c r="C4" s="751"/>
      <c r="D4" s="751" t="s">
        <v>427</v>
      </c>
      <c r="E4" s="751" t="str">
        <f>D4</f>
        <v>분리과세</v>
      </c>
      <c r="F4" s="751" t="str">
        <f>E4</f>
        <v>분리과세</v>
      </c>
      <c r="G4" s="751" t="str">
        <f>F4</f>
        <v>분리과세</v>
      </c>
      <c r="H4" s="751"/>
      <c r="I4" s="751"/>
      <c r="J4" s="747"/>
      <c r="K4" s="747"/>
      <c r="L4" s="747"/>
      <c r="M4" s="747"/>
      <c r="N4" s="747"/>
      <c r="O4" s="747"/>
      <c r="P4" s="747"/>
      <c r="Q4" s="747"/>
      <c r="R4" s="747"/>
      <c r="S4" s="747"/>
      <c r="T4" s="747"/>
      <c r="U4" s="747"/>
      <c r="V4" s="747"/>
    </row>
    <row r="5" spans="1:22">
      <c r="A5" s="752"/>
      <c r="B5" s="1901" t="s">
        <v>428</v>
      </c>
      <c r="C5" s="753">
        <v>1</v>
      </c>
      <c r="D5" s="753">
        <f t="shared" ref="D5:I6" si="0">C5+1</f>
        <v>2</v>
      </c>
      <c r="E5" s="753">
        <f t="shared" si="0"/>
        <v>3</v>
      </c>
      <c r="F5" s="753">
        <f t="shared" si="0"/>
        <v>4</v>
      </c>
      <c r="G5" s="753">
        <f t="shared" si="0"/>
        <v>5</v>
      </c>
      <c r="H5" s="753">
        <f t="shared" si="0"/>
        <v>6</v>
      </c>
      <c r="I5" s="753">
        <f t="shared" si="0"/>
        <v>7</v>
      </c>
      <c r="J5" s="747"/>
      <c r="K5" s="747"/>
      <c r="L5" s="747"/>
      <c r="M5" s="747"/>
      <c r="N5" s="747"/>
      <c r="O5" s="747"/>
      <c r="P5" s="747"/>
      <c r="Q5" s="747"/>
      <c r="R5" s="747"/>
      <c r="S5" s="747"/>
      <c r="T5" s="747"/>
      <c r="U5" s="747"/>
      <c r="V5" s="747"/>
    </row>
    <row r="6" spans="1:22">
      <c r="A6" s="752"/>
      <c r="B6" s="1902"/>
      <c r="C6" s="754">
        <v>2021</v>
      </c>
      <c r="D6" s="754">
        <f>C6+1</f>
        <v>2022</v>
      </c>
      <c r="E6" s="754">
        <f t="shared" si="0"/>
        <v>2023</v>
      </c>
      <c r="F6" s="754">
        <f t="shared" si="0"/>
        <v>2024</v>
      </c>
      <c r="G6" s="754">
        <f t="shared" si="0"/>
        <v>2025</v>
      </c>
      <c r="H6" s="754">
        <f t="shared" si="0"/>
        <v>2026</v>
      </c>
      <c r="I6" s="754">
        <f t="shared" si="0"/>
        <v>2027</v>
      </c>
      <c r="J6" s="747"/>
      <c r="K6" s="747"/>
      <c r="L6" s="747"/>
      <c r="M6" s="747"/>
      <c r="N6" s="747"/>
      <c r="O6" s="747"/>
      <c r="P6" s="747"/>
      <c r="Q6" s="747"/>
      <c r="R6" s="747"/>
      <c r="S6" s="747"/>
      <c r="T6" s="747"/>
      <c r="U6" s="747"/>
      <c r="V6" s="747"/>
    </row>
    <row r="7" spans="1:22">
      <c r="A7" s="755" t="s">
        <v>429</v>
      </c>
      <c r="B7" s="756">
        <f>SUM(C7:I7)</f>
        <v>474394.5</v>
      </c>
      <c r="C7" s="756">
        <f t="shared" ref="C7:I7" si="1">C23</f>
        <v>0</v>
      </c>
      <c r="D7" s="756">
        <f t="shared" si="1"/>
        <v>110065.14</v>
      </c>
      <c r="E7" s="756">
        <f t="shared" si="1"/>
        <v>115568.39</v>
      </c>
      <c r="F7" s="756">
        <f t="shared" si="1"/>
        <v>121346.82</v>
      </c>
      <c r="G7" s="756">
        <f t="shared" si="1"/>
        <v>127414.15</v>
      </c>
      <c r="H7" s="756">
        <f t="shared" si="1"/>
        <v>0</v>
      </c>
      <c r="I7" s="756">
        <f t="shared" si="1"/>
        <v>0</v>
      </c>
      <c r="J7" s="747"/>
      <c r="K7" s="747"/>
      <c r="L7" s="747"/>
      <c r="M7" s="747"/>
      <c r="N7" s="747"/>
      <c r="O7" s="747"/>
      <c r="P7" s="747"/>
      <c r="Q7" s="747"/>
      <c r="R7" s="747"/>
      <c r="S7" s="747"/>
      <c r="T7" s="747"/>
      <c r="U7" s="747"/>
      <c r="V7" s="747"/>
    </row>
    <row r="8" spans="1:22">
      <c r="A8" s="757" t="s">
        <v>430</v>
      </c>
      <c r="B8" s="758">
        <f>SUM(C8:I8)</f>
        <v>82359.61</v>
      </c>
      <c r="C8" s="758">
        <f t="shared" ref="C8:I8" si="2">C43</f>
        <v>0</v>
      </c>
      <c r="D8" s="758">
        <f t="shared" si="2"/>
        <v>18279.510000000002</v>
      </c>
      <c r="E8" s="758">
        <f t="shared" si="2"/>
        <v>19769.48</v>
      </c>
      <c r="F8" s="758">
        <f t="shared" si="2"/>
        <v>21333.96</v>
      </c>
      <c r="G8" s="758">
        <f t="shared" si="2"/>
        <v>22976.66</v>
      </c>
      <c r="H8" s="758">
        <f t="shared" si="2"/>
        <v>0</v>
      </c>
      <c r="I8" s="758">
        <f t="shared" si="2"/>
        <v>0</v>
      </c>
      <c r="J8" s="747"/>
      <c r="K8" s="747"/>
      <c r="L8" s="747"/>
      <c r="M8" s="747"/>
      <c r="N8" s="747"/>
      <c r="O8" s="747"/>
      <c r="P8" s="747"/>
      <c r="Q8" s="747"/>
      <c r="R8" s="747"/>
      <c r="S8" s="747"/>
      <c r="T8" s="747"/>
      <c r="U8" s="747"/>
      <c r="V8" s="747"/>
    </row>
    <row r="9" spans="1:22">
      <c r="A9" s="759" t="s">
        <v>431</v>
      </c>
      <c r="B9" s="760">
        <f t="shared" ref="B9:I9" si="3">SUM(B7:B8)</f>
        <v>556754.11</v>
      </c>
      <c r="C9" s="760">
        <f t="shared" si="3"/>
        <v>0</v>
      </c>
      <c r="D9" s="760">
        <f t="shared" si="3"/>
        <v>128344.65</v>
      </c>
      <c r="E9" s="760">
        <f t="shared" si="3"/>
        <v>135337.87</v>
      </c>
      <c r="F9" s="760">
        <f t="shared" si="3"/>
        <v>142680.78</v>
      </c>
      <c r="G9" s="760">
        <f>SUM(G7:G8)</f>
        <v>150390.81</v>
      </c>
      <c r="H9" s="760">
        <f>SUM(H7:H8)</f>
        <v>0</v>
      </c>
      <c r="I9" s="760">
        <f t="shared" si="3"/>
        <v>0</v>
      </c>
      <c r="J9" s="747"/>
      <c r="K9" s="747"/>
      <c r="L9" s="747"/>
      <c r="M9" s="747"/>
      <c r="N9" s="747"/>
      <c r="O9" s="747"/>
      <c r="P9" s="747"/>
      <c r="Q9" s="747"/>
      <c r="R9" s="747"/>
      <c r="S9" s="747"/>
      <c r="T9" s="747"/>
      <c r="U9" s="747"/>
      <c r="V9" s="747"/>
    </row>
    <row r="10" spans="1:22">
      <c r="A10" s="747"/>
      <c r="B10" s="747"/>
      <c r="C10" s="1095">
        <f>IF(C9&gt;0,1,)</f>
        <v>0</v>
      </c>
      <c r="D10" s="1095">
        <f t="shared" ref="D10:I10" si="4">IF(D9&gt;0,1,)</f>
        <v>1</v>
      </c>
      <c r="E10" s="1095">
        <f t="shared" si="4"/>
        <v>1</v>
      </c>
      <c r="F10" s="1095">
        <f t="shared" si="4"/>
        <v>1</v>
      </c>
      <c r="G10" s="1095">
        <f t="shared" si="4"/>
        <v>1</v>
      </c>
      <c r="H10" s="1095">
        <f t="shared" si="4"/>
        <v>0</v>
      </c>
      <c r="I10" s="1095">
        <f t="shared" si="4"/>
        <v>0</v>
      </c>
      <c r="J10" s="747"/>
      <c r="K10" s="747"/>
      <c r="L10" s="747"/>
      <c r="M10" s="747"/>
      <c r="N10" s="747"/>
      <c r="O10" s="747"/>
      <c r="P10" s="747"/>
      <c r="Q10" s="747"/>
      <c r="R10" s="747"/>
      <c r="S10" s="747"/>
      <c r="T10" s="747"/>
      <c r="U10" s="747"/>
      <c r="V10" s="747"/>
    </row>
    <row r="11" spans="1:22">
      <c r="A11" s="748" t="s">
        <v>432</v>
      </c>
      <c r="B11" s="749"/>
      <c r="C11" s="749"/>
      <c r="D11" s="749"/>
      <c r="E11" s="749"/>
      <c r="F11" s="749"/>
      <c r="G11" s="749"/>
      <c r="H11" s="749"/>
      <c r="I11" s="749"/>
      <c r="J11" s="747"/>
      <c r="K11" s="747"/>
      <c r="L11" s="747"/>
      <c r="M11" s="747"/>
      <c r="N11" s="747"/>
      <c r="O11" s="747"/>
      <c r="P11" s="747"/>
      <c r="Q11" s="747"/>
      <c r="R11" s="747"/>
      <c r="S11" s="747"/>
      <c r="T11" s="747"/>
      <c r="U11" s="747"/>
      <c r="V11" s="747"/>
    </row>
    <row r="12" spans="1:22">
      <c r="A12" s="750"/>
      <c r="B12" s="747"/>
      <c r="C12" s="747"/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747"/>
      <c r="P12" s="747"/>
      <c r="Q12" s="747"/>
      <c r="R12" s="747"/>
      <c r="S12" s="747"/>
      <c r="T12" s="747"/>
      <c r="U12" s="747"/>
      <c r="V12" s="747"/>
    </row>
    <row r="13" spans="1:22">
      <c r="A13" s="747"/>
      <c r="B13" s="1901" t="s">
        <v>428</v>
      </c>
      <c r="C13" s="753">
        <v>1</v>
      </c>
      <c r="D13" s="753">
        <f>C13+1</f>
        <v>2</v>
      </c>
      <c r="E13" s="753">
        <f>D13+1</f>
        <v>3</v>
      </c>
      <c r="F13" s="753">
        <f>E13+1</f>
        <v>4</v>
      </c>
      <c r="G13" s="753">
        <f>D13+1</f>
        <v>3</v>
      </c>
      <c r="H13" s="753">
        <f>E13+1</f>
        <v>4</v>
      </c>
      <c r="I13" s="753">
        <f>F13+1</f>
        <v>5</v>
      </c>
      <c r="J13" s="761"/>
      <c r="K13" s="747"/>
      <c r="L13" s="39"/>
      <c r="M13" s="762"/>
      <c r="N13" s="753">
        <v>1</v>
      </c>
      <c r="O13" s="753">
        <f>N13+1</f>
        <v>2</v>
      </c>
      <c r="P13" s="753">
        <f>O13+1</f>
        <v>3</v>
      </c>
      <c r="Q13" s="753">
        <f>P13+1</f>
        <v>4</v>
      </c>
      <c r="R13" s="763">
        <f>Q13+1</f>
        <v>5</v>
      </c>
      <c r="S13" s="747"/>
      <c r="T13" s="747"/>
      <c r="U13" s="747"/>
      <c r="V13" s="747"/>
    </row>
    <row r="14" spans="1:22">
      <c r="A14" s="747"/>
      <c r="B14" s="1903"/>
      <c r="C14" s="764">
        <f t="shared" ref="C14:I14" si="5">C6</f>
        <v>2021</v>
      </c>
      <c r="D14" s="764">
        <f t="shared" si="5"/>
        <v>2022</v>
      </c>
      <c r="E14" s="764">
        <f t="shared" si="5"/>
        <v>2023</v>
      </c>
      <c r="F14" s="764">
        <f t="shared" si="5"/>
        <v>2024</v>
      </c>
      <c r="G14" s="764">
        <f t="shared" si="5"/>
        <v>2025</v>
      </c>
      <c r="H14" s="764">
        <f t="shared" si="5"/>
        <v>2026</v>
      </c>
      <c r="I14" s="764">
        <f t="shared" si="5"/>
        <v>2027</v>
      </c>
      <c r="J14" s="747"/>
      <c r="K14" s="747" t="s">
        <v>433</v>
      </c>
      <c r="L14" s="39"/>
      <c r="M14" s="765">
        <v>0.05</v>
      </c>
      <c r="N14" s="766">
        <v>1</v>
      </c>
      <c r="O14" s="766">
        <f>$N$14*(1+$M$14)^(O13-$N$13)</f>
        <v>1.05</v>
      </c>
      <c r="P14" s="766">
        <f>$N$14*(1+$M$14)^(P13-$N$13)</f>
        <v>1.1025</v>
      </c>
      <c r="Q14" s="766">
        <f>$N$14*(1+$M$14)^(Q13-$N$13)</f>
        <v>1.1576250000000001</v>
      </c>
      <c r="R14" s="767">
        <f>$N$14*(1+$M$14)^(R13-$N$13)</f>
        <v>1.21550625</v>
      </c>
      <c r="S14" s="747"/>
      <c r="T14" s="747"/>
      <c r="U14" s="747"/>
      <c r="V14" s="747"/>
    </row>
    <row r="15" spans="1:22">
      <c r="A15" s="762" t="s">
        <v>434</v>
      </c>
      <c r="B15" s="768"/>
      <c r="C15" s="769">
        <f>손익!H14*2500</f>
        <v>39407500</v>
      </c>
      <c r="D15" s="768">
        <f>IF(D4=0,0,$C$15*O14)</f>
        <v>41377875</v>
      </c>
      <c r="E15" s="768">
        <f>IF(E4=0,0,$C$15*P14)</f>
        <v>43446768.75</v>
      </c>
      <c r="F15" s="768">
        <f>IF(F4=0,0,$C$15*Q14)</f>
        <v>45619107.187500007</v>
      </c>
      <c r="G15" s="768">
        <f>IF(G4=0,0,$C$15*R14)</f>
        <v>47900062.546875</v>
      </c>
      <c r="H15" s="768"/>
      <c r="I15" s="768"/>
      <c r="J15" s="747"/>
      <c r="K15" s="747"/>
      <c r="L15" s="39"/>
      <c r="M15" s="39"/>
      <c r="N15" s="39"/>
      <c r="O15" s="39"/>
      <c r="P15" s="39"/>
      <c r="Q15" s="39"/>
      <c r="R15" s="747"/>
      <c r="S15" s="747"/>
      <c r="T15" s="747"/>
      <c r="U15" s="747"/>
      <c r="V15" s="747"/>
    </row>
    <row r="16" spans="1:22">
      <c r="A16" s="770" t="s">
        <v>435</v>
      </c>
      <c r="B16" s="771"/>
      <c r="C16" s="772">
        <v>0.7</v>
      </c>
      <c r="D16" s="772">
        <v>0.7</v>
      </c>
      <c r="E16" s="772">
        <v>0.7</v>
      </c>
      <c r="F16" s="772">
        <v>0.7</v>
      </c>
      <c r="G16" s="772">
        <v>0.7</v>
      </c>
      <c r="H16" s="772">
        <v>0.7</v>
      </c>
      <c r="I16" s="772">
        <v>0.7</v>
      </c>
      <c r="J16" s="747"/>
      <c r="K16" s="747" t="s">
        <v>436</v>
      </c>
      <c r="L16" s="747"/>
      <c r="M16" s="747"/>
      <c r="N16" s="747"/>
      <c r="O16" s="747"/>
      <c r="P16" s="747"/>
      <c r="Q16" s="747"/>
      <c r="R16" s="747"/>
      <c r="S16" s="747"/>
      <c r="T16" s="747"/>
      <c r="U16" s="747"/>
      <c r="V16" s="747"/>
    </row>
    <row r="17" spans="1:22">
      <c r="A17" s="773" t="s">
        <v>437</v>
      </c>
      <c r="B17" s="774"/>
      <c r="C17" s="774">
        <f t="shared" ref="C17:I17" si="6">C15*C16</f>
        <v>27585250</v>
      </c>
      <c r="D17" s="774">
        <f t="shared" si="6"/>
        <v>28964512.5</v>
      </c>
      <c r="E17" s="774">
        <f t="shared" si="6"/>
        <v>30412738.124999996</v>
      </c>
      <c r="F17" s="774">
        <f t="shared" si="6"/>
        <v>31933375.031250004</v>
      </c>
      <c r="G17" s="774">
        <f t="shared" si="6"/>
        <v>33530043.782812499</v>
      </c>
      <c r="H17" s="774">
        <f t="shared" si="6"/>
        <v>0</v>
      </c>
      <c r="I17" s="774">
        <f t="shared" si="6"/>
        <v>0</v>
      </c>
      <c r="J17" s="747"/>
      <c r="K17" s="747" t="s">
        <v>438</v>
      </c>
      <c r="L17" s="775" t="s">
        <v>439</v>
      </c>
      <c r="M17" s="747" t="s">
        <v>440</v>
      </c>
      <c r="N17" s="747"/>
      <c r="O17" s="747"/>
      <c r="P17" s="747"/>
      <c r="Q17" s="747"/>
      <c r="R17" s="747"/>
      <c r="S17" s="747"/>
      <c r="T17" s="747"/>
      <c r="U17" s="747"/>
      <c r="V17" s="747"/>
    </row>
    <row r="18" spans="1:22">
      <c r="A18" s="762" t="s">
        <v>441</v>
      </c>
      <c r="B18" s="768"/>
      <c r="C18" s="768">
        <f t="shared" ref="C18:I18" si="7">IF(C4="별도합산",2800+(C17-1000000)*0.4%,IF(C4="분리과세",C17*0.2%,IF(C4="종합합산",250+(C17-100000)*0.5%,0)))</f>
        <v>0</v>
      </c>
      <c r="D18" s="768">
        <f t="shared" si="7"/>
        <v>57929.025000000001</v>
      </c>
      <c r="E18" s="768">
        <f t="shared" si="7"/>
        <v>60825.476249999992</v>
      </c>
      <c r="F18" s="768">
        <f t="shared" si="7"/>
        <v>63866.75006250001</v>
      </c>
      <c r="G18" s="768">
        <f t="shared" si="7"/>
        <v>67060.087565624999</v>
      </c>
      <c r="H18" s="768">
        <f t="shared" si="7"/>
        <v>0</v>
      </c>
      <c r="I18" s="768">
        <f t="shared" si="7"/>
        <v>0</v>
      </c>
      <c r="J18" s="747"/>
      <c r="K18" s="747"/>
      <c r="L18" s="775" t="s">
        <v>442</v>
      </c>
      <c r="M18" s="747" t="s">
        <v>443</v>
      </c>
      <c r="N18" s="747"/>
      <c r="O18" s="747"/>
      <c r="P18" s="747"/>
      <c r="Q18" s="747"/>
      <c r="R18" s="747"/>
      <c r="S18" s="747"/>
      <c r="T18" s="747"/>
      <c r="U18" s="747"/>
      <c r="V18" s="747"/>
    </row>
    <row r="19" spans="1:22">
      <c r="A19" s="770" t="s">
        <v>444</v>
      </c>
      <c r="B19" s="776"/>
      <c r="C19" s="776"/>
      <c r="D19" s="776">
        <f>C20</f>
        <v>0</v>
      </c>
      <c r="E19" s="776">
        <f>D20</f>
        <v>57929.025000000001</v>
      </c>
      <c r="F19" s="776">
        <f>E20</f>
        <v>60825.476249999992</v>
      </c>
      <c r="G19" s="776">
        <f>D20</f>
        <v>57929.025000000001</v>
      </c>
      <c r="H19" s="776">
        <f>E20</f>
        <v>60825.476249999992</v>
      </c>
      <c r="I19" s="776">
        <f>F20</f>
        <v>63866.75006250001</v>
      </c>
      <c r="J19" s="747"/>
      <c r="K19" s="747"/>
      <c r="L19" s="775" t="s">
        <v>445</v>
      </c>
      <c r="M19" s="777" t="s">
        <v>446</v>
      </c>
      <c r="N19" s="747"/>
      <c r="O19" s="747"/>
      <c r="P19" s="747"/>
      <c r="Q19" s="747"/>
      <c r="R19" s="747"/>
      <c r="S19" s="747"/>
      <c r="T19" s="747"/>
      <c r="U19" s="747"/>
      <c r="V19" s="747"/>
    </row>
    <row r="20" spans="1:22">
      <c r="A20" s="778" t="s">
        <v>447</v>
      </c>
      <c r="B20" s="779">
        <f>SUM(C20:I20)</f>
        <v>249681.33887812501</v>
      </c>
      <c r="C20" s="779">
        <f>C18</f>
        <v>0</v>
      </c>
      <c r="D20" s="779">
        <f>D18</f>
        <v>57929.025000000001</v>
      </c>
      <c r="E20" s="779">
        <f>MIN(E19*150%,E18)</f>
        <v>60825.476249999992</v>
      </c>
      <c r="F20" s="779">
        <f>MIN(F19*150%,F18)</f>
        <v>63866.75006250001</v>
      </c>
      <c r="G20" s="779">
        <f>MIN(G19*150%,G18)</f>
        <v>67060.087565624999</v>
      </c>
      <c r="H20" s="779">
        <f>MIN(H19*150%,H18)</f>
        <v>0</v>
      </c>
      <c r="I20" s="779">
        <f>MIN(I19*150%,I18)</f>
        <v>0</v>
      </c>
      <c r="J20" s="747"/>
      <c r="K20" s="747" t="s">
        <v>448</v>
      </c>
      <c r="L20" s="747"/>
      <c r="M20" s="747"/>
      <c r="N20" s="747"/>
      <c r="O20" s="747"/>
      <c r="P20" s="747"/>
      <c r="Q20" s="747"/>
      <c r="R20" s="747"/>
      <c r="S20" s="747"/>
      <c r="T20" s="747"/>
      <c r="U20" s="747"/>
      <c r="V20" s="747"/>
    </row>
    <row r="21" spans="1:22">
      <c r="A21" s="780" t="s">
        <v>449</v>
      </c>
      <c r="B21" s="781">
        <f>SUM(C21:I21)</f>
        <v>49936.25</v>
      </c>
      <c r="C21" s="781">
        <f t="shared" ref="C21:I21" si="8">ROUNDDOWN(C20*20%,2)</f>
        <v>0</v>
      </c>
      <c r="D21" s="781">
        <f t="shared" si="8"/>
        <v>11585.8</v>
      </c>
      <c r="E21" s="781">
        <f t="shared" si="8"/>
        <v>12165.09</v>
      </c>
      <c r="F21" s="781">
        <f t="shared" si="8"/>
        <v>12773.35</v>
      </c>
      <c r="G21" s="781">
        <f t="shared" si="8"/>
        <v>13412.01</v>
      </c>
      <c r="H21" s="781">
        <f t="shared" si="8"/>
        <v>0</v>
      </c>
      <c r="I21" s="781">
        <f t="shared" si="8"/>
        <v>0</v>
      </c>
      <c r="J21" s="747"/>
      <c r="K21" s="747" t="s">
        <v>450</v>
      </c>
      <c r="L21" s="747" t="s">
        <v>451</v>
      </c>
      <c r="M21" s="747"/>
      <c r="N21" s="747"/>
      <c r="O21" s="747"/>
      <c r="P21" s="747"/>
      <c r="Q21" s="747"/>
      <c r="R21" s="747"/>
      <c r="S21" s="747"/>
      <c r="T21" s="747"/>
      <c r="U21" s="747"/>
      <c r="V21" s="747"/>
    </row>
    <row r="22" spans="1:22">
      <c r="A22" s="780" t="s">
        <v>452</v>
      </c>
      <c r="B22" s="781">
        <f>SUM(C22:I22)</f>
        <v>174776.93721468752</v>
      </c>
      <c r="C22" s="781">
        <f>IF(C21&gt;0,C17*0.14%,)</f>
        <v>0</v>
      </c>
      <c r="D22" s="781">
        <f>IF(D21&gt;0,D17*0.14%,)</f>
        <v>40550.317500000005</v>
      </c>
      <c r="E22" s="781">
        <f>IF(E21&gt;0,E17*0.14%,)</f>
        <v>42577.833375000002</v>
      </c>
      <c r="F22" s="781">
        <f>IF(F21&gt;0,F17*0.14%,)</f>
        <v>44706.725043750012</v>
      </c>
      <c r="G22" s="781">
        <f>G17*0.14%</f>
        <v>46942.061295937507</v>
      </c>
      <c r="H22" s="781">
        <f>H17*0.14%</f>
        <v>0</v>
      </c>
      <c r="I22" s="781">
        <f>I17*0.14%</f>
        <v>0</v>
      </c>
      <c r="J22" s="747"/>
      <c r="K22" s="747" t="s">
        <v>450</v>
      </c>
      <c r="L22" s="747" t="s">
        <v>453</v>
      </c>
      <c r="M22" s="747"/>
      <c r="N22" s="747"/>
      <c r="O22" s="747"/>
      <c r="P22" s="747"/>
      <c r="Q22" s="747"/>
      <c r="R22" s="747"/>
      <c r="S22" s="747"/>
      <c r="T22" s="747"/>
      <c r="U22" s="747"/>
      <c r="V22" s="747"/>
    </row>
    <row r="23" spans="1:22">
      <c r="A23" s="782" t="s">
        <v>429</v>
      </c>
      <c r="B23" s="783">
        <f>SUM(C23:I23)</f>
        <v>474394.5</v>
      </c>
      <c r="C23" s="783">
        <f t="shared" ref="C23:I23" si="9">ROUNDDOWN(SUM(C20,C22),2)+C21</f>
        <v>0</v>
      </c>
      <c r="D23" s="783">
        <f t="shared" si="9"/>
        <v>110065.14</v>
      </c>
      <c r="E23" s="783">
        <f t="shared" si="9"/>
        <v>115568.39</v>
      </c>
      <c r="F23" s="783">
        <f t="shared" si="9"/>
        <v>121346.82</v>
      </c>
      <c r="G23" s="783">
        <f t="shared" si="9"/>
        <v>127414.15</v>
      </c>
      <c r="H23" s="783">
        <f t="shared" si="9"/>
        <v>0</v>
      </c>
      <c r="I23" s="783">
        <f t="shared" si="9"/>
        <v>0</v>
      </c>
      <c r="J23" s="747"/>
      <c r="K23" s="747"/>
      <c r="L23" s="747"/>
      <c r="M23" s="747"/>
      <c r="N23" s="747"/>
      <c r="O23" s="747"/>
      <c r="P23" s="747"/>
      <c r="Q23" s="747"/>
      <c r="R23" s="747"/>
      <c r="S23" s="747"/>
      <c r="T23" s="747"/>
      <c r="U23" s="747"/>
      <c r="V23" s="747"/>
    </row>
    <row r="24" spans="1:22">
      <c r="A24" s="747"/>
      <c r="B24" s="747"/>
      <c r="C24" s="784"/>
      <c r="D24" s="747"/>
      <c r="E24" s="747"/>
      <c r="F24" s="747"/>
      <c r="G24" s="747"/>
      <c r="H24" s="747"/>
      <c r="I24" s="747"/>
      <c r="J24" s="747"/>
      <c r="K24" s="747"/>
      <c r="L24" s="747"/>
      <c r="M24" s="747"/>
      <c r="N24" s="747"/>
      <c r="O24" s="747"/>
      <c r="P24" s="747"/>
      <c r="Q24" s="747"/>
      <c r="R24" s="747"/>
      <c r="S24" s="747"/>
      <c r="T24" s="747"/>
      <c r="U24" s="747"/>
      <c r="V24" s="747"/>
    </row>
    <row r="25" spans="1:22">
      <c r="A25" s="747" t="s">
        <v>454</v>
      </c>
      <c r="B25" s="785"/>
      <c r="C25" s="786"/>
      <c r="D25" s="786"/>
      <c r="E25" s="785"/>
      <c r="F25" s="785"/>
      <c r="G25" s="785"/>
      <c r="H25" s="785"/>
      <c r="I25" s="785"/>
      <c r="J25" s="747"/>
      <c r="K25" s="747"/>
      <c r="L25" s="747"/>
      <c r="M25" s="747"/>
      <c r="N25" s="747"/>
      <c r="O25" s="747"/>
      <c r="P25" s="747"/>
      <c r="Q25" s="747"/>
      <c r="R25" s="747"/>
      <c r="S25" s="747"/>
      <c r="T25" s="747"/>
      <c r="U25" s="747"/>
      <c r="V25" s="747"/>
    </row>
    <row r="26" spans="1:22">
      <c r="A26" s="747" t="s">
        <v>455</v>
      </c>
      <c r="B26" s="785"/>
      <c r="C26" s="785"/>
      <c r="D26" s="785"/>
      <c r="E26" s="785"/>
      <c r="F26" s="785"/>
      <c r="G26" s="785"/>
      <c r="H26" s="785"/>
      <c r="I26" s="785"/>
      <c r="J26" s="747"/>
      <c r="K26" s="747"/>
      <c r="L26" s="747"/>
      <c r="M26" s="747"/>
      <c r="N26" s="747"/>
      <c r="O26" s="747"/>
      <c r="P26" s="747"/>
      <c r="Q26" s="747"/>
      <c r="R26" s="747"/>
      <c r="S26" s="747"/>
      <c r="T26" s="747"/>
      <c r="U26" s="747"/>
      <c r="V26" s="747"/>
    </row>
    <row r="27" spans="1:22">
      <c r="A27" s="747"/>
      <c r="B27" s="747"/>
      <c r="C27" s="747"/>
      <c r="D27" s="747"/>
      <c r="E27" s="747"/>
      <c r="F27" s="747"/>
      <c r="G27" s="747"/>
      <c r="H27" s="747"/>
      <c r="I27" s="747"/>
      <c r="J27" s="747"/>
      <c r="K27" s="747"/>
      <c r="L27" s="747"/>
      <c r="M27" s="747"/>
      <c r="N27" s="747"/>
      <c r="O27" s="747"/>
      <c r="P27" s="747"/>
      <c r="Q27" s="747"/>
      <c r="R27" s="747"/>
      <c r="S27" s="747"/>
      <c r="T27" s="747"/>
      <c r="U27" s="747"/>
      <c r="V27" s="747"/>
    </row>
    <row r="28" spans="1:22">
      <c r="A28" s="748" t="s">
        <v>456</v>
      </c>
      <c r="B28" s="749"/>
      <c r="C28" s="749"/>
      <c r="D28" s="749"/>
      <c r="E28" s="749"/>
      <c r="F28" s="749"/>
      <c r="G28" s="749"/>
      <c r="H28" s="749"/>
      <c r="I28" s="749"/>
      <c r="J28" s="747"/>
      <c r="K28" s="747"/>
      <c r="L28" s="747"/>
      <c r="M28" s="747"/>
      <c r="N28" s="747"/>
      <c r="O28" s="747"/>
      <c r="P28" s="747"/>
      <c r="Q28" s="747"/>
      <c r="R28" s="747"/>
      <c r="S28" s="747"/>
      <c r="T28" s="747"/>
      <c r="U28" s="747"/>
      <c r="V28" s="747"/>
    </row>
    <row r="29" spans="1:22">
      <c r="A29" s="750"/>
      <c r="B29" s="747"/>
      <c r="C29" s="747"/>
      <c r="D29" s="751" t="s">
        <v>457</v>
      </c>
      <c r="E29" s="751" t="str">
        <f>D29</f>
        <v>별도합산</v>
      </c>
      <c r="F29" s="751" t="str">
        <f>E29</f>
        <v>별도합산</v>
      </c>
      <c r="G29" s="751" t="str">
        <f>F29</f>
        <v>별도합산</v>
      </c>
      <c r="H29" s="747"/>
      <c r="I29" s="747"/>
      <c r="J29" s="747"/>
      <c r="K29" s="747"/>
      <c r="L29" s="747"/>
      <c r="M29" s="747"/>
      <c r="N29" s="747"/>
      <c r="O29" s="747"/>
      <c r="P29" s="747"/>
      <c r="Q29" s="747"/>
      <c r="R29" s="747"/>
      <c r="S29" s="747"/>
      <c r="T29" s="747"/>
      <c r="U29" s="747"/>
      <c r="V29" s="747"/>
    </row>
    <row r="30" spans="1:22">
      <c r="A30" s="747"/>
      <c r="B30" s="1901" t="s">
        <v>428</v>
      </c>
      <c r="C30" s="753">
        <v>1</v>
      </c>
      <c r="D30" s="753">
        <f>C30+1</f>
        <v>2</v>
      </c>
      <c r="E30" s="753">
        <f>D30+1</f>
        <v>3</v>
      </c>
      <c r="F30" s="753">
        <f>E30+1</f>
        <v>4</v>
      </c>
      <c r="G30" s="753">
        <f>D30+1</f>
        <v>3</v>
      </c>
      <c r="H30" s="753">
        <f>E30+1</f>
        <v>4</v>
      </c>
      <c r="I30" s="753">
        <f>F30+1</f>
        <v>5</v>
      </c>
      <c r="J30" s="747"/>
      <c r="K30" s="747"/>
      <c r="L30" s="747"/>
      <c r="M30" s="747"/>
      <c r="N30" s="747"/>
      <c r="O30" s="747"/>
      <c r="P30" s="747"/>
      <c r="Q30" s="747"/>
      <c r="R30" s="747"/>
      <c r="S30" s="747"/>
      <c r="T30" s="747"/>
      <c r="U30" s="747"/>
      <c r="V30" s="747"/>
    </row>
    <row r="31" spans="1:22">
      <c r="A31" s="747"/>
      <c r="B31" s="1903"/>
      <c r="C31" s="764">
        <f t="shared" ref="C31:I31" si="10">C6</f>
        <v>2021</v>
      </c>
      <c r="D31" s="764">
        <f t="shared" si="10"/>
        <v>2022</v>
      </c>
      <c r="E31" s="764">
        <f t="shared" si="10"/>
        <v>2023</v>
      </c>
      <c r="F31" s="764">
        <f t="shared" si="10"/>
        <v>2024</v>
      </c>
      <c r="G31" s="764">
        <f t="shared" si="10"/>
        <v>2025</v>
      </c>
      <c r="H31" s="764">
        <f t="shared" si="10"/>
        <v>2026</v>
      </c>
      <c r="I31" s="764">
        <f t="shared" si="10"/>
        <v>2027</v>
      </c>
      <c r="J31" s="747"/>
      <c r="K31" s="747"/>
      <c r="L31" s="747"/>
      <c r="M31" s="747"/>
      <c r="N31" s="747"/>
      <c r="O31" s="747"/>
      <c r="P31" s="747"/>
      <c r="Q31" s="747"/>
      <c r="R31" s="747"/>
      <c r="S31" s="747"/>
      <c r="T31" s="747"/>
      <c r="U31" s="747"/>
      <c r="V31" s="747"/>
    </row>
    <row r="32" spans="1:22">
      <c r="A32" s="762" t="s">
        <v>434</v>
      </c>
      <c r="B32" s="768"/>
      <c r="C32" s="768">
        <f>IF(C29="분리과세",0,IF(C29=0,0,C15))</f>
        <v>0</v>
      </c>
      <c r="D32" s="768">
        <f>IF(D29="분리과세",0,IF(D29=0,0,D15*(손익!$O$13/손익!$O$14)))</f>
        <v>20694111.005499117</v>
      </c>
      <c r="E32" s="768">
        <f>IF(E29="분리과세",0,IF(E29=0,0,E15*(손익!$O$13/손익!$O$14)))</f>
        <v>21728816.555774074</v>
      </c>
      <c r="F32" s="768">
        <f>IF(F29="분리과세",0,IF(F29=0,0,F15*(손익!$O$13/손익!$O$14)))</f>
        <v>22815257.383562781</v>
      </c>
      <c r="G32" s="768">
        <f>IF(G29="분리과세",0,IF(G29=0,0,G15*(손익!$O$13/손익!$O$14)))</f>
        <v>23956020.252740916</v>
      </c>
      <c r="H32" s="768">
        <f>IF(H29="분리과세",0,IF(H29=0,0,H15*(손익!$O$13/손익!$O$14)))</f>
        <v>0</v>
      </c>
      <c r="I32" s="768">
        <f>IF(I29="분리과세",0,IF(I29=0,0,I15*(손익!$O$13/손익!$O$14)))</f>
        <v>0</v>
      </c>
      <c r="J32" s="747"/>
      <c r="K32" s="39"/>
      <c r="L32" s="747"/>
      <c r="M32" s="747"/>
      <c r="N32" s="747"/>
      <c r="O32" s="747"/>
      <c r="P32" s="747"/>
      <c r="Q32" s="747"/>
      <c r="R32" s="747"/>
      <c r="S32" s="747"/>
      <c r="T32" s="747"/>
      <c r="U32" s="747"/>
      <c r="V32" s="747"/>
    </row>
    <row r="33" spans="1:22">
      <c r="A33" s="770" t="s">
        <v>435</v>
      </c>
      <c r="B33" s="771"/>
      <c r="C33" s="772">
        <v>0.8</v>
      </c>
      <c r="D33" s="772">
        <v>0.8</v>
      </c>
      <c r="E33" s="772">
        <v>0.8</v>
      </c>
      <c r="F33" s="772">
        <v>0.8</v>
      </c>
      <c r="G33" s="772">
        <v>0.8</v>
      </c>
      <c r="H33" s="772">
        <v>0.8</v>
      </c>
      <c r="I33" s="772">
        <v>0.8</v>
      </c>
      <c r="J33" s="747"/>
      <c r="K33" s="747" t="s">
        <v>458</v>
      </c>
      <c r="L33" s="747"/>
      <c r="M33" s="747"/>
      <c r="N33" s="747"/>
      <c r="O33" s="747"/>
      <c r="P33" s="747"/>
      <c r="Q33" s="747"/>
      <c r="R33" s="747"/>
      <c r="S33" s="747"/>
      <c r="T33" s="747"/>
      <c r="U33" s="747"/>
      <c r="V33" s="747"/>
    </row>
    <row r="34" spans="1:22">
      <c r="A34" s="773" t="s">
        <v>437</v>
      </c>
      <c r="B34" s="774"/>
      <c r="C34" s="774">
        <f>IF(C32=0,0,IF(C29="별도합산",(C32-8000000)*C33,(C32-500000)*C33))</f>
        <v>0</v>
      </c>
      <c r="D34" s="774">
        <f t="shared" ref="D34:I34" si="11">IF(D32=0,0,IF(D29="별도합산",(D32-8000000)*D33,(D32-500000)*D33))</f>
        <v>10155288.804399295</v>
      </c>
      <c r="E34" s="774">
        <f t="shared" si="11"/>
        <v>10983053.24461926</v>
      </c>
      <c r="F34" s="774">
        <f t="shared" si="11"/>
        <v>11852205.906850226</v>
      </c>
      <c r="G34" s="774">
        <f t="shared" si="11"/>
        <v>12764816.202192733</v>
      </c>
      <c r="H34" s="774">
        <f t="shared" si="11"/>
        <v>0</v>
      </c>
      <c r="I34" s="774">
        <f t="shared" si="11"/>
        <v>0</v>
      </c>
      <c r="J34" s="747"/>
      <c r="K34" s="747" t="s">
        <v>459</v>
      </c>
      <c r="L34" s="775" t="s">
        <v>439</v>
      </c>
      <c r="M34" s="747" t="s">
        <v>460</v>
      </c>
      <c r="N34" s="747"/>
      <c r="O34" s="747"/>
      <c r="P34" s="747"/>
      <c r="Q34" s="747"/>
      <c r="R34" s="747"/>
      <c r="S34" s="747"/>
      <c r="T34" s="747"/>
      <c r="U34" s="747"/>
      <c r="V34" s="747"/>
    </row>
    <row r="35" spans="1:22">
      <c r="A35" s="787" t="s">
        <v>461</v>
      </c>
      <c r="B35" s="788"/>
      <c r="C35" s="788">
        <f>IF(C29="별도합산",IF(C34&lt;=20000000,C34*0.5%,IF(C34&gt;40000000,220000+(C34-40000000)*0.7%,100000+(C34-20000000)*0.6%)),IF(C34&lt;=1500000,C34*0.75%,IF(C34&gt;4500000,56250+(C34-4500000)*2%,11250+(C34-1500000)*1.5%)))</f>
        <v>0</v>
      </c>
      <c r="D35" s="788">
        <f t="shared" ref="D35:I35" si="12">IF(D29="별도합산",IF(D34&lt;=20000000,D34*0.5%,IF(D34&gt;40000000,220000+(D34-40000000)*0.7%,100000+(D34-20000000)*0.6%)),IF(D34&lt;=1500000,D34*0.75%,IF(D34&gt;4500000,56250+(D34-4500000)*2%,11250+(D34-1500000)*1.5%)))</f>
        <v>50776.444021996474</v>
      </c>
      <c r="E35" s="788">
        <f t="shared" si="12"/>
        <v>54915.266223096296</v>
      </c>
      <c r="F35" s="788">
        <f t="shared" si="12"/>
        <v>59261.029534251131</v>
      </c>
      <c r="G35" s="788">
        <f t="shared" si="12"/>
        <v>63824.081010963666</v>
      </c>
      <c r="H35" s="788">
        <f t="shared" si="12"/>
        <v>0</v>
      </c>
      <c r="I35" s="788">
        <f t="shared" si="12"/>
        <v>0</v>
      </c>
      <c r="J35" s="747"/>
      <c r="K35" s="39"/>
      <c r="L35" s="775" t="s">
        <v>442</v>
      </c>
      <c r="M35" s="747" t="s">
        <v>462</v>
      </c>
      <c r="N35" s="747"/>
      <c r="O35" s="747"/>
      <c r="P35" s="747"/>
      <c r="Q35" s="747"/>
      <c r="R35" s="747"/>
      <c r="S35" s="747"/>
      <c r="T35" s="747"/>
      <c r="U35" s="747"/>
      <c r="V35" s="747"/>
    </row>
    <row r="36" spans="1:22">
      <c r="A36" s="770" t="s">
        <v>463</v>
      </c>
      <c r="B36" s="776"/>
      <c r="C36" s="776"/>
      <c r="D36" s="776"/>
      <c r="E36" s="776"/>
      <c r="F36" s="776"/>
      <c r="G36" s="776"/>
      <c r="H36" s="776"/>
      <c r="I36" s="776"/>
      <c r="J36" s="747"/>
      <c r="K36" s="747"/>
      <c r="L36" s="789" t="s">
        <v>445</v>
      </c>
      <c r="M36" s="777" t="s">
        <v>464</v>
      </c>
      <c r="N36" s="747"/>
      <c r="O36" s="747"/>
      <c r="P36" s="747"/>
      <c r="Q36" s="747"/>
      <c r="R36" s="747"/>
      <c r="S36" s="747"/>
      <c r="T36" s="747"/>
      <c r="U36" s="747"/>
      <c r="V36" s="747"/>
    </row>
    <row r="37" spans="1:22">
      <c r="A37" s="790" t="s">
        <v>465</v>
      </c>
      <c r="B37" s="791"/>
      <c r="C37" s="791">
        <f>IF(C32=0,0,IF(C29="별도합산",C32-8000000,C32-500000))</f>
        <v>0</v>
      </c>
      <c r="D37" s="791">
        <f t="shared" ref="D37:I37" si="13">IF(D32=0,0,IF(D29="별도합산",D32-8000000,D32-500000))</f>
        <v>12694111.005499117</v>
      </c>
      <c r="E37" s="791">
        <f t="shared" si="13"/>
        <v>13728816.555774074</v>
      </c>
      <c r="F37" s="791">
        <f t="shared" si="13"/>
        <v>14815257.383562781</v>
      </c>
      <c r="G37" s="791">
        <f t="shared" si="13"/>
        <v>15956020.252740916</v>
      </c>
      <c r="H37" s="791">
        <f t="shared" si="13"/>
        <v>0</v>
      </c>
      <c r="I37" s="791">
        <f t="shared" si="13"/>
        <v>0</v>
      </c>
      <c r="J37" s="747"/>
      <c r="K37" s="747"/>
      <c r="L37" s="747"/>
      <c r="M37" s="747"/>
      <c r="N37" s="747"/>
      <c r="O37" s="747"/>
      <c r="P37" s="747"/>
      <c r="Q37" s="747"/>
      <c r="R37" s="747"/>
      <c r="S37" s="747"/>
      <c r="T37" s="747"/>
      <c r="U37" s="747"/>
      <c r="V37" s="747"/>
    </row>
    <row r="38" spans="1:22">
      <c r="A38" s="790" t="s">
        <v>435</v>
      </c>
      <c r="B38" s="792"/>
      <c r="C38" s="793">
        <v>0.7</v>
      </c>
      <c r="D38" s="793">
        <v>0.7</v>
      </c>
      <c r="E38" s="793">
        <v>0.7</v>
      </c>
      <c r="F38" s="793">
        <v>0.7</v>
      </c>
      <c r="G38" s="793">
        <v>0.7</v>
      </c>
      <c r="H38" s="793">
        <v>0.7</v>
      </c>
      <c r="I38" s="793">
        <v>0.7</v>
      </c>
      <c r="J38" s="747"/>
      <c r="K38" s="747"/>
      <c r="L38" s="747"/>
      <c r="M38" s="747"/>
      <c r="N38" s="747"/>
      <c r="O38" s="747"/>
      <c r="P38" s="747"/>
      <c r="Q38" s="747"/>
      <c r="R38" s="747"/>
      <c r="S38" s="747"/>
      <c r="T38" s="747"/>
      <c r="U38" s="747"/>
      <c r="V38" s="747"/>
    </row>
    <row r="39" spans="1:22">
      <c r="A39" s="790" t="s">
        <v>437</v>
      </c>
      <c r="B39" s="791"/>
      <c r="C39" s="791">
        <f t="shared" ref="C39:I39" si="14">C37*C38</f>
        <v>0</v>
      </c>
      <c r="D39" s="791">
        <f t="shared" si="14"/>
        <v>8885877.7038493808</v>
      </c>
      <c r="E39" s="791">
        <f t="shared" si="14"/>
        <v>9610171.5890418515</v>
      </c>
      <c r="F39" s="791">
        <f t="shared" si="14"/>
        <v>10370680.168493945</v>
      </c>
      <c r="G39" s="791">
        <f t="shared" si="14"/>
        <v>11169214.176918641</v>
      </c>
      <c r="H39" s="791">
        <f t="shared" si="14"/>
        <v>0</v>
      </c>
      <c r="I39" s="791">
        <f t="shared" si="14"/>
        <v>0</v>
      </c>
      <c r="J39" s="747"/>
      <c r="K39" s="747"/>
      <c r="L39" s="747"/>
      <c r="M39" s="747"/>
      <c r="N39" s="747"/>
      <c r="O39" s="747"/>
      <c r="P39" s="747"/>
      <c r="Q39" s="747"/>
      <c r="R39" s="747"/>
      <c r="S39" s="747"/>
      <c r="T39" s="747"/>
      <c r="U39" s="747"/>
      <c r="V39" s="747"/>
    </row>
    <row r="40" spans="1:22">
      <c r="A40" s="790" t="s">
        <v>466</v>
      </c>
      <c r="B40" s="791"/>
      <c r="C40" s="791">
        <f t="shared" ref="C40:I40" si="15">C39*0.4%</f>
        <v>0</v>
      </c>
      <c r="D40" s="791">
        <f t="shared" si="15"/>
        <v>35543.510815397523</v>
      </c>
      <c r="E40" s="791">
        <f t="shared" si="15"/>
        <v>38440.686356167404</v>
      </c>
      <c r="F40" s="791">
        <f t="shared" si="15"/>
        <v>41482.720673975782</v>
      </c>
      <c r="G40" s="791">
        <f t="shared" si="15"/>
        <v>44676.85670767456</v>
      </c>
      <c r="H40" s="791">
        <f t="shared" si="15"/>
        <v>0</v>
      </c>
      <c r="I40" s="791">
        <f t="shared" si="15"/>
        <v>0</v>
      </c>
      <c r="J40" s="747"/>
      <c r="K40" s="747"/>
      <c r="L40" s="747"/>
      <c r="M40" s="747"/>
      <c r="N40" s="747"/>
      <c r="O40" s="747"/>
      <c r="P40" s="747"/>
      <c r="Q40" s="747"/>
      <c r="R40" s="747"/>
      <c r="S40" s="747"/>
      <c r="T40" s="747"/>
      <c r="U40" s="747"/>
      <c r="V40" s="747"/>
    </row>
    <row r="41" spans="1:22">
      <c r="A41" s="778" t="s">
        <v>467</v>
      </c>
      <c r="B41" s="779">
        <f>SUM(C41:I41)</f>
        <v>68633.046237092291</v>
      </c>
      <c r="C41" s="779">
        <f t="shared" ref="C41:I41" si="16">C35-C40</f>
        <v>0</v>
      </c>
      <c r="D41" s="779">
        <f t="shared" si="16"/>
        <v>15232.933206598951</v>
      </c>
      <c r="E41" s="779">
        <f t="shared" si="16"/>
        <v>16474.579866928892</v>
      </c>
      <c r="F41" s="779">
        <f t="shared" si="16"/>
        <v>17778.308860275349</v>
      </c>
      <c r="G41" s="779">
        <f t="shared" si="16"/>
        <v>19147.224303289106</v>
      </c>
      <c r="H41" s="779">
        <f t="shared" si="16"/>
        <v>0</v>
      </c>
      <c r="I41" s="779">
        <f t="shared" si="16"/>
        <v>0</v>
      </c>
      <c r="J41" s="747"/>
      <c r="K41" s="747" t="s">
        <v>468</v>
      </c>
      <c r="L41" s="747"/>
      <c r="M41" s="747"/>
      <c r="N41" s="747"/>
      <c r="O41" s="747"/>
      <c r="P41" s="747"/>
      <c r="Q41" s="747"/>
      <c r="R41" s="747"/>
      <c r="S41" s="747"/>
      <c r="T41" s="747"/>
      <c r="U41" s="747"/>
      <c r="V41" s="747"/>
    </row>
    <row r="42" spans="1:22">
      <c r="A42" s="780" t="s">
        <v>469</v>
      </c>
      <c r="B42" s="781">
        <f>SUM(C42:I42)</f>
        <v>13726.59</v>
      </c>
      <c r="C42" s="781">
        <f t="shared" ref="C42:I42" si="17">ROUNDDOWN(C41*20%,2)</f>
        <v>0</v>
      </c>
      <c r="D42" s="781">
        <f t="shared" si="17"/>
        <v>3046.58</v>
      </c>
      <c r="E42" s="781">
        <f t="shared" si="17"/>
        <v>3294.91</v>
      </c>
      <c r="F42" s="781">
        <f t="shared" si="17"/>
        <v>3555.66</v>
      </c>
      <c r="G42" s="781">
        <f t="shared" si="17"/>
        <v>3829.44</v>
      </c>
      <c r="H42" s="781">
        <f t="shared" si="17"/>
        <v>0</v>
      </c>
      <c r="I42" s="781">
        <f t="shared" si="17"/>
        <v>0</v>
      </c>
      <c r="J42" s="747"/>
      <c r="K42" s="747" t="s">
        <v>450</v>
      </c>
      <c r="L42" s="747" t="s">
        <v>470</v>
      </c>
      <c r="M42" s="747"/>
      <c r="N42" s="747"/>
      <c r="O42" s="747"/>
      <c r="P42" s="747"/>
      <c r="Q42" s="747"/>
      <c r="R42" s="747"/>
      <c r="S42" s="747"/>
      <c r="T42" s="747"/>
      <c r="U42" s="747"/>
      <c r="V42" s="747"/>
    </row>
    <row r="43" spans="1:22">
      <c r="A43" s="782" t="s">
        <v>430</v>
      </c>
      <c r="B43" s="783">
        <f>SUM(C43:I43)</f>
        <v>82359.61</v>
      </c>
      <c r="C43" s="783">
        <f t="shared" ref="C43:I43" si="18">ROUNDDOWN(C41,2)+C42</f>
        <v>0</v>
      </c>
      <c r="D43" s="783">
        <f t="shared" si="18"/>
        <v>18279.510000000002</v>
      </c>
      <c r="E43" s="783">
        <f t="shared" si="18"/>
        <v>19769.48</v>
      </c>
      <c r="F43" s="783">
        <f t="shared" si="18"/>
        <v>21333.96</v>
      </c>
      <c r="G43" s="783">
        <f t="shared" si="18"/>
        <v>22976.66</v>
      </c>
      <c r="H43" s="783">
        <f t="shared" si="18"/>
        <v>0</v>
      </c>
      <c r="I43" s="783">
        <f t="shared" si="18"/>
        <v>0</v>
      </c>
      <c r="J43" s="747"/>
      <c r="K43" s="747"/>
      <c r="L43" s="747"/>
      <c r="M43" s="747"/>
      <c r="N43" s="747"/>
      <c r="O43" s="747"/>
      <c r="P43" s="747"/>
      <c r="Q43" s="747"/>
      <c r="R43" s="747"/>
      <c r="S43" s="747"/>
      <c r="T43" s="747"/>
      <c r="U43" s="747"/>
      <c r="V43" s="747"/>
    </row>
    <row r="44" spans="1:22">
      <c r="A44" s="747"/>
      <c r="B44" s="747"/>
      <c r="C44" s="747"/>
      <c r="D44" s="747"/>
      <c r="E44" s="747"/>
      <c r="F44" s="747"/>
      <c r="G44" s="747"/>
      <c r="H44" s="747"/>
      <c r="I44" s="747"/>
      <c r="J44" s="747"/>
      <c r="K44" s="747"/>
      <c r="L44" s="747"/>
      <c r="M44" s="747"/>
      <c r="N44" s="747"/>
      <c r="O44" s="747"/>
      <c r="P44" s="747"/>
      <c r="Q44" s="747"/>
      <c r="R44" s="747"/>
      <c r="S44" s="747"/>
      <c r="T44" s="747"/>
      <c r="U44" s="747"/>
      <c r="V44" s="747"/>
    </row>
    <row r="45" spans="1:22">
      <c r="A45" s="747" t="s">
        <v>454</v>
      </c>
      <c r="B45" s="785"/>
      <c r="C45" s="785"/>
      <c r="D45" s="785"/>
      <c r="E45" s="785"/>
      <c r="F45" s="785"/>
      <c r="G45" s="785"/>
      <c r="H45" s="785"/>
      <c r="I45" s="785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</row>
    <row r="46" spans="1:22">
      <c r="A46" s="747" t="s">
        <v>471</v>
      </c>
      <c r="B46" s="785"/>
      <c r="C46" s="785"/>
      <c r="D46" s="785"/>
      <c r="E46" s="785"/>
      <c r="F46" s="785"/>
      <c r="G46" s="785"/>
      <c r="H46" s="785"/>
      <c r="I46" s="785"/>
      <c r="J46" s="747"/>
      <c r="K46" s="747"/>
      <c r="L46" s="747"/>
      <c r="M46" s="747"/>
      <c r="N46" s="747"/>
      <c r="O46" s="747"/>
      <c r="P46" s="747"/>
      <c r="Q46" s="747"/>
      <c r="R46" s="747"/>
      <c r="S46" s="747"/>
      <c r="T46" s="747"/>
      <c r="U46" s="747"/>
      <c r="V46" s="747"/>
    </row>
  </sheetData>
  <mergeCells count="3">
    <mergeCell ref="B5:B6"/>
    <mergeCell ref="B13:B14"/>
    <mergeCell ref="B30:B3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669B-14EE-4535-9684-4523F413EAEA}">
  <dimension ref="A1:H31"/>
  <sheetViews>
    <sheetView topLeftCell="A12" workbookViewId="0">
      <selection activeCell="A28" sqref="A28"/>
    </sheetView>
  </sheetViews>
  <sheetFormatPr defaultColWidth="9" defaultRowHeight="17"/>
  <cols>
    <col min="1" max="1" width="15.58203125" style="2" customWidth="1"/>
    <col min="2" max="2" width="18.08203125" style="2" bestFit="1" customWidth="1"/>
    <col min="3" max="7" width="15.58203125" style="2" customWidth="1"/>
    <col min="8" max="8" width="9.6640625" style="2" bestFit="1" customWidth="1"/>
    <col min="9" max="16384" width="9" style="2"/>
  </cols>
  <sheetData>
    <row r="1" spans="1:8">
      <c r="A1" s="39"/>
      <c r="B1" s="39"/>
      <c r="C1" s="39"/>
      <c r="D1" s="39"/>
      <c r="E1" s="39"/>
      <c r="F1" s="39"/>
      <c r="G1" s="39"/>
      <c r="H1" s="39"/>
    </row>
    <row r="2" spans="1:8" ht="17.5" thickBot="1">
      <c r="A2" s="39"/>
      <c r="B2" s="39"/>
      <c r="C2" s="39"/>
      <c r="D2" s="39"/>
      <c r="E2" s="39"/>
      <c r="F2" s="39"/>
      <c r="G2" s="39"/>
      <c r="H2" s="39"/>
    </row>
    <row r="3" spans="1:8" ht="32">
      <c r="A3" s="794" t="s">
        <v>472</v>
      </c>
      <c r="B3" s="795" t="s">
        <v>473</v>
      </c>
      <c r="C3" s="795" t="s">
        <v>474</v>
      </c>
      <c r="D3" s="795" t="s">
        <v>475</v>
      </c>
      <c r="E3" s="795" t="s">
        <v>476</v>
      </c>
      <c r="F3" s="795" t="s">
        <v>477</v>
      </c>
      <c r="G3" s="796" t="s">
        <v>478</v>
      </c>
      <c r="H3" s="595"/>
    </row>
    <row r="4" spans="1:8">
      <c r="A4" s="797" t="s">
        <v>479</v>
      </c>
      <c r="B4" s="798">
        <f>손익!H25</f>
        <v>84.938000000000002</v>
      </c>
      <c r="C4" s="798">
        <f>손익!P25</f>
        <v>165.01247774310934</v>
      </c>
      <c r="D4" s="799">
        <f>손익!G25</f>
        <v>148</v>
      </c>
      <c r="E4" s="800">
        <f t="shared" ref="E4:E11" si="0">C4*D4</f>
        <v>24421.846705980184</v>
      </c>
      <c r="F4" s="800">
        <f>IF($E$25=0,0,E4*$E$25/($E$12+$E$21))</f>
        <v>0</v>
      </c>
      <c r="G4" s="801">
        <f t="shared" ref="G4:G11" si="1">E4+F4</f>
        <v>24421.846705980184</v>
      </c>
      <c r="H4" s="652"/>
    </row>
    <row r="5" spans="1:8">
      <c r="A5" s="797"/>
      <c r="B5" s="798">
        <f>손익!H26</f>
        <v>84.915000000000006</v>
      </c>
      <c r="C5" s="798">
        <f>손익!P26</f>
        <v>163.28020470880091</v>
      </c>
      <c r="D5" s="799">
        <f>손익!G26</f>
        <v>74</v>
      </c>
      <c r="E5" s="800">
        <f t="shared" si="0"/>
        <v>12082.735148451267</v>
      </c>
      <c r="F5" s="800">
        <f t="shared" ref="F5:F20" si="2">IF($E$25=0,0,E5*$E$25/($E$12+$E$21))</f>
        <v>0</v>
      </c>
      <c r="G5" s="802">
        <f t="shared" si="1"/>
        <v>12082.735148451267</v>
      </c>
      <c r="H5" s="652"/>
    </row>
    <row r="6" spans="1:8">
      <c r="A6" s="797"/>
      <c r="B6" s="798">
        <f>손익!H27</f>
        <v>84.688999999999993</v>
      </c>
      <c r="C6" s="798">
        <f>손익!P27</f>
        <v>163.23482619776996</v>
      </c>
      <c r="D6" s="799">
        <f>손익!G27</f>
        <v>148</v>
      </c>
      <c r="E6" s="800">
        <f t="shared" si="0"/>
        <v>24158.754277269953</v>
      </c>
      <c r="F6" s="800">
        <f t="shared" si="2"/>
        <v>0</v>
      </c>
      <c r="G6" s="802">
        <f t="shared" si="1"/>
        <v>24158.754277269953</v>
      </c>
      <c r="H6" s="652"/>
    </row>
    <row r="7" spans="1:8">
      <c r="A7" s="797"/>
      <c r="B7" s="798">
        <f>손익!H28</f>
        <v>84.926000000000002</v>
      </c>
      <c r="C7" s="798">
        <f>손익!P28</f>
        <v>165.29042224694842</v>
      </c>
      <c r="D7" s="799">
        <f>손익!G28</f>
        <v>66</v>
      </c>
      <c r="E7" s="800">
        <f t="shared" si="0"/>
        <v>10909.167868298597</v>
      </c>
      <c r="F7" s="800">
        <f t="shared" si="2"/>
        <v>0</v>
      </c>
      <c r="G7" s="802">
        <f t="shared" si="1"/>
        <v>10909.167868298597</v>
      </c>
      <c r="H7" s="652"/>
    </row>
    <row r="8" spans="1:8">
      <c r="A8" s="797"/>
      <c r="B8" s="798"/>
      <c r="C8" s="798"/>
      <c r="D8" s="799"/>
      <c r="E8" s="800">
        <f t="shared" si="0"/>
        <v>0</v>
      </c>
      <c r="F8" s="800">
        <f t="shared" si="2"/>
        <v>0</v>
      </c>
      <c r="G8" s="802">
        <f t="shared" si="1"/>
        <v>0</v>
      </c>
      <c r="H8" s="652"/>
    </row>
    <row r="9" spans="1:8">
      <c r="A9" s="797"/>
      <c r="B9" s="798"/>
      <c r="C9" s="798"/>
      <c r="D9" s="799"/>
      <c r="E9" s="800">
        <f t="shared" si="0"/>
        <v>0</v>
      </c>
      <c r="F9" s="800">
        <f t="shared" si="2"/>
        <v>0</v>
      </c>
      <c r="G9" s="802">
        <f t="shared" si="1"/>
        <v>0</v>
      </c>
      <c r="H9" s="652"/>
    </row>
    <row r="10" spans="1:8">
      <c r="A10" s="797"/>
      <c r="B10" s="798"/>
      <c r="C10" s="798"/>
      <c r="D10" s="799"/>
      <c r="E10" s="800">
        <f t="shared" si="0"/>
        <v>0</v>
      </c>
      <c r="F10" s="800">
        <f t="shared" si="2"/>
        <v>0</v>
      </c>
      <c r="G10" s="802">
        <f t="shared" si="1"/>
        <v>0</v>
      </c>
      <c r="H10" s="652"/>
    </row>
    <row r="11" spans="1:8">
      <c r="A11" s="797"/>
      <c r="B11" s="803"/>
      <c r="C11" s="803"/>
      <c r="D11" s="804"/>
      <c r="E11" s="805">
        <f t="shared" si="0"/>
        <v>0</v>
      </c>
      <c r="F11" s="805">
        <f t="shared" si="2"/>
        <v>0</v>
      </c>
      <c r="G11" s="806">
        <f t="shared" si="1"/>
        <v>0</v>
      </c>
      <c r="H11" s="652"/>
    </row>
    <row r="12" spans="1:8">
      <c r="A12" s="807"/>
      <c r="B12" s="808" t="s">
        <v>480</v>
      </c>
      <c r="C12" s="809"/>
      <c r="D12" s="810">
        <f>SUM(D4:D11)</f>
        <v>436</v>
      </c>
      <c r="E12" s="811">
        <f>SUM(E4:E11)</f>
        <v>71572.504000000001</v>
      </c>
      <c r="F12" s="805"/>
      <c r="G12" s="812">
        <f>SUM(G4:G11)</f>
        <v>71572.504000000001</v>
      </c>
      <c r="H12" s="652"/>
    </row>
    <row r="13" spans="1:8">
      <c r="A13" s="813" t="s">
        <v>481</v>
      </c>
      <c r="B13" s="814"/>
      <c r="C13" s="814"/>
      <c r="D13" s="815"/>
      <c r="E13" s="816">
        <f t="shared" ref="E13:E20" si="3">C13*D13</f>
        <v>0</v>
      </c>
      <c r="F13" s="816">
        <f t="shared" si="2"/>
        <v>0</v>
      </c>
      <c r="G13" s="801">
        <f t="shared" ref="G13:G20" si="4">E13+F13</f>
        <v>0</v>
      </c>
      <c r="H13" s="652"/>
    </row>
    <row r="14" spans="1:8">
      <c r="A14" s="797"/>
      <c r="B14" s="798"/>
      <c r="C14" s="798"/>
      <c r="D14" s="799"/>
      <c r="E14" s="800">
        <f t="shared" si="3"/>
        <v>0</v>
      </c>
      <c r="F14" s="800">
        <f t="shared" si="2"/>
        <v>0</v>
      </c>
      <c r="G14" s="802">
        <f t="shared" si="4"/>
        <v>0</v>
      </c>
      <c r="H14" s="652"/>
    </row>
    <row r="15" spans="1:8">
      <c r="A15" s="797"/>
      <c r="B15" s="798"/>
      <c r="C15" s="798"/>
      <c r="D15" s="799"/>
      <c r="E15" s="800">
        <f t="shared" si="3"/>
        <v>0</v>
      </c>
      <c r="F15" s="800">
        <f t="shared" si="2"/>
        <v>0</v>
      </c>
      <c r="G15" s="802">
        <f t="shared" si="4"/>
        <v>0</v>
      </c>
      <c r="H15" s="652"/>
    </row>
    <row r="16" spans="1:8">
      <c r="A16" s="797"/>
      <c r="B16" s="798"/>
      <c r="C16" s="798"/>
      <c r="D16" s="799"/>
      <c r="E16" s="800">
        <f t="shared" si="3"/>
        <v>0</v>
      </c>
      <c r="F16" s="800">
        <f t="shared" si="2"/>
        <v>0</v>
      </c>
      <c r="G16" s="802">
        <f t="shared" si="4"/>
        <v>0</v>
      </c>
      <c r="H16" s="652"/>
    </row>
    <row r="17" spans="1:8">
      <c r="A17" s="797"/>
      <c r="B17" s="798"/>
      <c r="C17" s="798"/>
      <c r="D17" s="799"/>
      <c r="E17" s="800">
        <f t="shared" si="3"/>
        <v>0</v>
      </c>
      <c r="F17" s="800">
        <f t="shared" si="2"/>
        <v>0</v>
      </c>
      <c r="G17" s="802">
        <f t="shared" si="4"/>
        <v>0</v>
      </c>
      <c r="H17" s="652"/>
    </row>
    <row r="18" spans="1:8">
      <c r="A18" s="797"/>
      <c r="B18" s="798"/>
      <c r="C18" s="798"/>
      <c r="D18" s="799"/>
      <c r="E18" s="800">
        <f t="shared" si="3"/>
        <v>0</v>
      </c>
      <c r="F18" s="800">
        <f t="shared" si="2"/>
        <v>0</v>
      </c>
      <c r="G18" s="802">
        <f t="shared" si="4"/>
        <v>0</v>
      </c>
      <c r="H18" s="652"/>
    </row>
    <row r="19" spans="1:8">
      <c r="A19" s="797"/>
      <c r="B19" s="798"/>
      <c r="C19" s="798"/>
      <c r="D19" s="799"/>
      <c r="E19" s="800">
        <f t="shared" si="3"/>
        <v>0</v>
      </c>
      <c r="F19" s="800">
        <f t="shared" si="2"/>
        <v>0</v>
      </c>
      <c r="G19" s="802">
        <f t="shared" si="4"/>
        <v>0</v>
      </c>
      <c r="H19" s="652"/>
    </row>
    <row r="20" spans="1:8">
      <c r="A20" s="797"/>
      <c r="B20" s="803"/>
      <c r="C20" s="803"/>
      <c r="D20" s="804"/>
      <c r="E20" s="805">
        <f t="shared" si="3"/>
        <v>0</v>
      </c>
      <c r="F20" s="805">
        <f t="shared" si="2"/>
        <v>0</v>
      </c>
      <c r="G20" s="806">
        <f t="shared" si="4"/>
        <v>0</v>
      </c>
      <c r="H20" s="652"/>
    </row>
    <row r="21" spans="1:8">
      <c r="A21" s="807"/>
      <c r="B21" s="808" t="s">
        <v>480</v>
      </c>
      <c r="C21" s="809"/>
      <c r="D21" s="817">
        <f>SUM(D13:D20)</f>
        <v>0</v>
      </c>
      <c r="E21" s="818">
        <f>SUM(E13:E20)</f>
        <v>0</v>
      </c>
      <c r="F21" s="819"/>
      <c r="G21" s="820">
        <f>SUM(G13:G20)</f>
        <v>0</v>
      </c>
      <c r="H21" s="652"/>
    </row>
    <row r="22" spans="1:8">
      <c r="A22" s="821" t="s">
        <v>482</v>
      </c>
      <c r="B22" s="663" t="s">
        <v>480</v>
      </c>
      <c r="C22" s="822"/>
      <c r="D22" s="823"/>
      <c r="E22" s="824">
        <f>손익!P38+손익!P43+손익!P46</f>
        <v>71608.308000000005</v>
      </c>
      <c r="F22" s="825"/>
      <c r="G22" s="826">
        <f>E22</f>
        <v>71608.308000000005</v>
      </c>
      <c r="H22" s="652"/>
    </row>
    <row r="23" spans="1:8">
      <c r="A23" s="1904" t="s">
        <v>483</v>
      </c>
      <c r="B23" s="1905"/>
      <c r="C23" s="822"/>
      <c r="D23" s="823">
        <f>D21+D12</f>
        <v>436</v>
      </c>
      <c r="E23" s="827">
        <f>E22+E21+E12</f>
        <v>143180.81200000001</v>
      </c>
      <c r="F23" s="825"/>
      <c r="G23" s="826">
        <f>G22+G21+G12</f>
        <v>143180.81200000001</v>
      </c>
      <c r="H23" s="652"/>
    </row>
    <row r="24" spans="1:8">
      <c r="A24" s="1906" t="s">
        <v>484</v>
      </c>
      <c r="B24" s="1905"/>
      <c r="C24" s="822"/>
      <c r="D24" s="823"/>
      <c r="E24" s="824">
        <f>손익!P47</f>
        <v>143180.81199999998</v>
      </c>
      <c r="F24" s="825"/>
      <c r="G24" s="828"/>
      <c r="H24" s="652"/>
    </row>
    <row r="25" spans="1:8" ht="17.5" thickBot="1">
      <c r="A25" s="1907" t="s">
        <v>485</v>
      </c>
      <c r="B25" s="1908"/>
      <c r="C25" s="829"/>
      <c r="D25" s="830"/>
      <c r="E25" s="831">
        <f>E24-E23</f>
        <v>0</v>
      </c>
      <c r="F25" s="831"/>
      <c r="G25" s="832"/>
      <c r="H25" s="652"/>
    </row>
    <row r="26" spans="1:8">
      <c r="A26" s="652"/>
      <c r="B26" s="652"/>
      <c r="C26" s="652"/>
      <c r="D26" s="652"/>
      <c r="E26" s="652"/>
      <c r="F26" s="652"/>
      <c r="G26" s="652"/>
      <c r="H26" s="652"/>
    </row>
    <row r="27" spans="1:8" ht="17.5" thickBot="1">
      <c r="A27" s="652"/>
      <c r="B27" s="652"/>
      <c r="C27" s="652"/>
      <c r="D27" s="652"/>
      <c r="E27" s="652"/>
      <c r="F27" s="595" t="s">
        <v>486</v>
      </c>
      <c r="G27" s="595" t="s">
        <v>487</v>
      </c>
      <c r="H27" s="652"/>
    </row>
    <row r="28" spans="1:8" ht="17.5" thickBot="1">
      <c r="A28" s="652" t="s">
        <v>488</v>
      </c>
      <c r="B28" s="652"/>
      <c r="C28" s="652"/>
      <c r="D28" s="652"/>
      <c r="E28" s="652"/>
      <c r="F28" s="833">
        <f>ROUND($G$12/$G$23,4)</f>
        <v>0.49990000000000001</v>
      </c>
      <c r="G28" s="834">
        <f>1-F28</f>
        <v>0.50009999999999999</v>
      </c>
      <c r="H28" s="652"/>
    </row>
    <row r="29" spans="1:8">
      <c r="A29" s="652"/>
      <c r="B29" s="652"/>
      <c r="C29" s="652"/>
      <c r="D29" s="652"/>
      <c r="E29" s="652"/>
      <c r="F29" s="652"/>
      <c r="G29" s="652"/>
      <c r="H29" s="652"/>
    </row>
    <row r="30" spans="1:8">
      <c r="A30" s="652"/>
      <c r="B30" s="652"/>
      <c r="C30" s="652"/>
      <c r="D30" s="595" t="s">
        <v>489</v>
      </c>
      <c r="E30" s="595" t="s">
        <v>490</v>
      </c>
      <c r="F30" s="595" t="s">
        <v>491</v>
      </c>
      <c r="G30" s="595" t="s">
        <v>492</v>
      </c>
      <c r="H30" s="652"/>
    </row>
    <row r="31" spans="1:8">
      <c r="A31" s="652"/>
      <c r="B31" s="652" t="s">
        <v>493</v>
      </c>
      <c r="C31" s="595" t="s">
        <v>494</v>
      </c>
      <c r="D31" s="835">
        <f>손익!X23</f>
        <v>196200000</v>
      </c>
      <c r="E31" s="835">
        <f>D31*$F$28</f>
        <v>98080380</v>
      </c>
      <c r="F31" s="835">
        <f>D31-E31</f>
        <v>98119620</v>
      </c>
      <c r="G31" s="835">
        <f>F31*10%</f>
        <v>9811962</v>
      </c>
      <c r="H31" s="836">
        <f>G31/D31</f>
        <v>5.0009999999999999E-2</v>
      </c>
    </row>
  </sheetData>
  <mergeCells count="3">
    <mergeCell ref="A23:B23"/>
    <mergeCell ref="A24:B24"/>
    <mergeCell ref="A25:B25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AAFB-80E4-4839-BB02-964BB6CEDF9C}">
  <dimension ref="B3:H29"/>
  <sheetViews>
    <sheetView workbookViewId="0">
      <selection activeCell="G17" sqref="G17"/>
    </sheetView>
  </sheetViews>
  <sheetFormatPr defaultColWidth="9" defaultRowHeight="17"/>
  <cols>
    <col min="1" max="1" width="9" style="2"/>
    <col min="2" max="2" width="8.58203125" style="2" customWidth="1"/>
    <col min="3" max="3" width="20.58203125" style="2" customWidth="1"/>
    <col min="4" max="7" width="12.58203125" style="2" customWidth="1"/>
    <col min="8" max="16384" width="9" style="2"/>
  </cols>
  <sheetData>
    <row r="3" spans="2:8">
      <c r="B3" s="1909" t="s">
        <v>495</v>
      </c>
      <c r="C3" s="1909"/>
      <c r="D3" s="838" t="s">
        <v>496</v>
      </c>
      <c r="E3" s="838" t="s">
        <v>497</v>
      </c>
      <c r="F3" s="838" t="s">
        <v>498</v>
      </c>
      <c r="G3" s="838" t="s">
        <v>499</v>
      </c>
    </row>
    <row r="4" spans="2:8">
      <c r="B4" s="838" t="s">
        <v>500</v>
      </c>
      <c r="C4" s="838" t="s">
        <v>501</v>
      </c>
      <c r="D4" s="837">
        <v>1000</v>
      </c>
      <c r="E4" s="837"/>
      <c r="F4" s="837"/>
      <c r="G4" s="837">
        <f>SUM(D4:F4)</f>
        <v>1000</v>
      </c>
    </row>
    <row r="5" spans="2:8">
      <c r="B5" s="838"/>
      <c r="C5" s="838" t="s">
        <v>497</v>
      </c>
      <c r="D5" s="837"/>
      <c r="E5" s="837">
        <f>'CASH FLOW'!E25</f>
        <v>3000</v>
      </c>
      <c r="F5" s="837"/>
      <c r="G5" s="837">
        <f>SUM(D5:F5)</f>
        <v>3000</v>
      </c>
    </row>
    <row r="6" spans="2:8">
      <c r="B6" s="838"/>
      <c r="C6" s="838" t="s">
        <v>498</v>
      </c>
      <c r="D6" s="837"/>
      <c r="E6" s="837"/>
      <c r="F6" s="837">
        <f>'CASH FLOW'!E28-D6</f>
        <v>120000</v>
      </c>
      <c r="G6" s="837">
        <f>SUM(D6:F6)</f>
        <v>120000</v>
      </c>
    </row>
    <row r="7" spans="2:8">
      <c r="B7" s="838"/>
      <c r="C7" s="838" t="s">
        <v>232</v>
      </c>
      <c r="D7" s="837">
        <f>SUM(D4:D6)</f>
        <v>1000</v>
      </c>
      <c r="E7" s="837">
        <f>SUM(E4:E6)</f>
        <v>3000</v>
      </c>
      <c r="F7" s="837">
        <f>SUM(F4:F6)</f>
        <v>120000</v>
      </c>
      <c r="G7" s="837">
        <f>SUM(D7:F7)</f>
        <v>124000</v>
      </c>
    </row>
    <row r="8" spans="2:8">
      <c r="B8" s="838" t="s">
        <v>502</v>
      </c>
      <c r="C8" s="838" t="s">
        <v>503</v>
      </c>
      <c r="D8" s="837">
        <v>5627.0010000000002</v>
      </c>
      <c r="E8" s="837">
        <v>2773</v>
      </c>
      <c r="F8" s="837">
        <f>'CASH FLOW'!U34+'CASH FLOW'!U35</f>
        <v>75600.008999999991</v>
      </c>
      <c r="G8" s="837">
        <f t="shared" ref="G8:G27" si="0">SUM(D8:F8)</f>
        <v>84000.01</v>
      </c>
      <c r="H8" s="586"/>
    </row>
    <row r="9" spans="2:8">
      <c r="B9" s="838"/>
      <c r="C9" s="838"/>
      <c r="D9" s="837">
        <f>SUM(D10,D13,D16)-'CASH FLOW'!U69</f>
        <v>-4627.0010000000002</v>
      </c>
      <c r="E9" s="837"/>
      <c r="F9" s="837">
        <f>-D9</f>
        <v>4627.0010000000002</v>
      </c>
      <c r="G9" s="837">
        <f t="shared" si="0"/>
        <v>0</v>
      </c>
    </row>
    <row r="10" spans="2:8">
      <c r="B10" s="838"/>
      <c r="C10" s="838" t="s">
        <v>504</v>
      </c>
      <c r="D10" s="837">
        <f>'CASH FLOW'!K36</f>
        <v>386.40003999999999</v>
      </c>
      <c r="E10" s="837"/>
      <c r="F10" s="837">
        <f>'CASH FLOW'!U36</f>
        <v>3477.59996</v>
      </c>
      <c r="G10" s="837">
        <f t="shared" si="0"/>
        <v>3864</v>
      </c>
    </row>
    <row r="11" spans="2:8">
      <c r="B11" s="838"/>
      <c r="C11" s="838"/>
      <c r="D11" s="837">
        <f>-D10</f>
        <v>-386.40003999999999</v>
      </c>
      <c r="E11" s="837"/>
      <c r="F11" s="837">
        <f>D10</f>
        <v>386.40003999999999</v>
      </c>
      <c r="G11" s="837">
        <f t="shared" si="0"/>
        <v>0</v>
      </c>
    </row>
    <row r="12" spans="2:8">
      <c r="B12" s="838"/>
      <c r="C12" s="838" t="s">
        <v>505</v>
      </c>
      <c r="D12" s="837"/>
      <c r="E12" s="837"/>
      <c r="F12" s="837">
        <f>'CASH FLOW'!Y38</f>
        <v>110.06514</v>
      </c>
      <c r="G12" s="837">
        <f t="shared" si="0"/>
        <v>110.06514</v>
      </c>
    </row>
    <row r="13" spans="2:8">
      <c r="B13" s="838"/>
      <c r="C13" s="838" t="s">
        <v>506</v>
      </c>
      <c r="D13" s="837">
        <f>'CASH FLOW'!K39</f>
        <v>412.50000000000006</v>
      </c>
      <c r="E13" s="837"/>
      <c r="F13" s="837">
        <f>'CASH FLOW'!U39+'CASH FLOW'!X39+'CASH FLOW'!Z39</f>
        <v>2160.0244999999995</v>
      </c>
      <c r="G13" s="837">
        <f t="shared" si="0"/>
        <v>2572.5244999999995</v>
      </c>
    </row>
    <row r="14" spans="2:8">
      <c r="B14" s="838"/>
      <c r="C14" s="838"/>
      <c r="D14" s="837">
        <f>-D13</f>
        <v>-412.50000000000006</v>
      </c>
      <c r="E14" s="837"/>
      <c r="F14" s="837">
        <f>D13</f>
        <v>412.50000000000006</v>
      </c>
      <c r="G14" s="837">
        <f t="shared" si="0"/>
        <v>0</v>
      </c>
    </row>
    <row r="15" spans="2:8">
      <c r="B15" s="838"/>
      <c r="C15" s="838" t="s">
        <v>507</v>
      </c>
      <c r="D15" s="837"/>
      <c r="E15" s="837"/>
      <c r="F15" s="837">
        <f>'CASH FLOW'!Z41</f>
        <v>523.6</v>
      </c>
      <c r="G15" s="837">
        <f t="shared" si="0"/>
        <v>523.6</v>
      </c>
    </row>
    <row r="16" spans="2:8">
      <c r="B16" s="838"/>
      <c r="C16" s="838" t="s">
        <v>508</v>
      </c>
      <c r="D16" s="837">
        <f>'CASH FLOW'!K40</f>
        <v>17.600000000000001</v>
      </c>
      <c r="E16" s="837">
        <f>'CASH FLOW'!I43</f>
        <v>11</v>
      </c>
      <c r="F16" s="837">
        <f>'CASH FLOW'!V40+'CASH FLOW'!X40+'CASH FLOW'!Y42+'CASH FLOW'!W43+'CASH FLOW'!Y43+'CASH FLOW'!U59+'CASH FLOW'!Z59</f>
        <v>1498</v>
      </c>
      <c r="G16" s="837">
        <f t="shared" si="0"/>
        <v>1526.6</v>
      </c>
    </row>
    <row r="17" spans="2:7">
      <c r="B17" s="838"/>
      <c r="C17" s="838"/>
      <c r="D17" s="837">
        <f>-D16</f>
        <v>-17.600000000000001</v>
      </c>
      <c r="E17" s="837"/>
      <c r="F17" s="837">
        <f>D16</f>
        <v>17.600000000000001</v>
      </c>
      <c r="G17" s="837">
        <f t="shared" si="0"/>
        <v>0</v>
      </c>
    </row>
    <row r="18" spans="2:7">
      <c r="B18" s="838"/>
      <c r="C18" s="838" t="s">
        <v>509</v>
      </c>
      <c r="D18" s="837"/>
      <c r="E18" s="837"/>
      <c r="F18" s="837">
        <f>SUM('CASH FLOW'!X44,'CASH FLOW'!X45:Z45,'CASH FLOW'!Z46)</f>
        <v>2618</v>
      </c>
      <c r="G18" s="837">
        <f t="shared" si="0"/>
        <v>2618</v>
      </c>
    </row>
    <row r="19" spans="2:7">
      <c r="B19" s="838"/>
      <c r="C19" s="838" t="s">
        <v>510</v>
      </c>
      <c r="D19" s="837"/>
      <c r="E19" s="837">
        <f>'CASH FLOW'!I57+'CASH FLOW'!I71</f>
        <v>216</v>
      </c>
      <c r="F19" s="837"/>
      <c r="G19" s="837">
        <f t="shared" si="0"/>
        <v>216</v>
      </c>
    </row>
    <row r="20" spans="2:7">
      <c r="B20" s="838"/>
      <c r="C20" s="838" t="s">
        <v>511</v>
      </c>
      <c r="D20" s="837"/>
      <c r="E20" s="837"/>
      <c r="F20" s="837">
        <f>'CASH FLOW'!U70</f>
        <v>3000</v>
      </c>
      <c r="G20" s="837">
        <f t="shared" si="0"/>
        <v>3000</v>
      </c>
    </row>
    <row r="21" spans="2:7">
      <c r="B21" s="838"/>
      <c r="C21" s="838" t="s">
        <v>512</v>
      </c>
      <c r="D21" s="837"/>
      <c r="E21" s="837"/>
      <c r="F21" s="837">
        <f>'CASH FLOW'!U58+SUM('CASH FLOW'!U77,'CASH FLOW'!X77)</f>
        <v>7523.4732869999998</v>
      </c>
      <c r="G21" s="837">
        <f t="shared" si="0"/>
        <v>7523.4732869999998</v>
      </c>
    </row>
    <row r="22" spans="2:7">
      <c r="B22" s="838"/>
      <c r="C22" s="838" t="s">
        <v>513</v>
      </c>
      <c r="D22" s="837"/>
      <c r="E22" s="837"/>
      <c r="F22" s="837">
        <f>'CASH FLOW'!Y65+'CASH FLOW'!Z56</f>
        <v>2158.3000000000002</v>
      </c>
      <c r="G22" s="837">
        <f t="shared" si="0"/>
        <v>2158.3000000000002</v>
      </c>
    </row>
    <row r="23" spans="2:7">
      <c r="B23" s="838"/>
      <c r="C23" s="838" t="s">
        <v>514</v>
      </c>
      <c r="D23" s="837"/>
      <c r="E23" s="837"/>
      <c r="F23" s="837">
        <f>SUM('CASH FLOW'!U107:Z107)</f>
        <v>600</v>
      </c>
      <c r="G23" s="837">
        <f t="shared" si="0"/>
        <v>600</v>
      </c>
    </row>
    <row r="24" spans="2:7">
      <c r="B24" s="838"/>
      <c r="C24" s="838" t="s">
        <v>515</v>
      </c>
      <c r="D24" s="837"/>
      <c r="E24" s="837"/>
      <c r="F24" s="837">
        <v>2756.6612329999916</v>
      </c>
      <c r="G24" s="837">
        <f t="shared" si="0"/>
        <v>2756.6612329999916</v>
      </c>
    </row>
    <row r="25" spans="2:7">
      <c r="B25" s="838"/>
      <c r="C25" s="838" t="s">
        <v>516</v>
      </c>
      <c r="D25" s="837"/>
      <c r="E25" s="837"/>
      <c r="F25" s="837">
        <f>'CASH FLOW'!Z120</f>
        <v>13000</v>
      </c>
      <c r="G25" s="837">
        <f t="shared" si="0"/>
        <v>13000</v>
      </c>
    </row>
    <row r="26" spans="2:7">
      <c r="B26" s="838"/>
      <c r="C26" s="838" t="s">
        <v>232</v>
      </c>
      <c r="D26" s="837">
        <f>SUM(D8:D25)</f>
        <v>1000</v>
      </c>
      <c r="E26" s="837">
        <f>SUM(E8:E25)</f>
        <v>3000</v>
      </c>
      <c r="F26" s="837">
        <f>SUM(F8:F25)</f>
        <v>120469.23416000001</v>
      </c>
      <c r="G26" s="837">
        <f t="shared" si="0"/>
        <v>124469.23416000001</v>
      </c>
    </row>
    <row r="27" spans="2:7">
      <c r="B27" s="1909" t="s">
        <v>517</v>
      </c>
      <c r="C27" s="1909"/>
      <c r="D27" s="837">
        <f>D7-D26</f>
        <v>0</v>
      </c>
      <c r="E27" s="837">
        <f>E7-E26</f>
        <v>0</v>
      </c>
      <c r="F27" s="837">
        <f>F7-F26</f>
        <v>-469.23416000000725</v>
      </c>
      <c r="G27" s="837">
        <f t="shared" si="0"/>
        <v>-469.23416000000725</v>
      </c>
    </row>
    <row r="28" spans="2:7">
      <c r="F28" s="586"/>
    </row>
    <row r="29" spans="2:7">
      <c r="F29" s="586"/>
    </row>
  </sheetData>
  <mergeCells count="2">
    <mergeCell ref="B3:C3"/>
    <mergeCell ref="B27:C27"/>
  </mergeCells>
  <phoneticPr fontId="4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2</vt:i4>
      </vt:variant>
    </vt:vector>
  </HeadingPairs>
  <TitlesOfParts>
    <vt:vector size="13" baseType="lpstr">
      <vt:lpstr>EXIT (시뮬)</vt:lpstr>
      <vt:lpstr>손익</vt:lpstr>
      <vt:lpstr>Sheet1 (2)</vt:lpstr>
      <vt:lpstr>CASH FLOW</vt:lpstr>
      <vt:lpstr>수입</vt:lpstr>
      <vt:lpstr>PF상환 민감도</vt:lpstr>
      <vt:lpstr>보유세액</vt:lpstr>
      <vt:lpstr>면세비율</vt:lpstr>
      <vt:lpstr>Sheet3</vt:lpstr>
      <vt:lpstr>비용표</vt:lpstr>
      <vt:lpstr>Sheet1</vt:lpstr>
      <vt:lpstr>비용표!Print_Area</vt:lpstr>
      <vt:lpstr>손익!Print_Area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이원호</dc:creator>
  <cp:lastModifiedBy>창희 박</cp:lastModifiedBy>
  <cp:lastPrinted>2025-07-15T12:23:47Z</cp:lastPrinted>
  <dcterms:created xsi:type="dcterms:W3CDTF">2015-06-05T18:17:20Z</dcterms:created>
  <dcterms:modified xsi:type="dcterms:W3CDTF">2025-07-19T15:09:33Z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2025-07-03T04:41:28Z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