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04BB4C4-5964-4FF2-BFF4-1A6CED262FE3}" xr6:coauthVersionLast="47" xr6:coauthVersionMax="47" xr10:uidLastSave="{00000000-0000-0000-0000-000000000000}"/>
  <bookViews>
    <workbookView xWindow="-120" yWindow="-120" windowWidth="20730" windowHeight="11160" firstSheet="9" activeTab="10" xr2:uid="{D24F5437-41A7-4695-932D-00786C8C0B53}"/>
  </bookViews>
  <sheets>
    <sheet name="Sheet1" sheetId="1" r:id="rId1"/>
    <sheet name="Sheet2" sheetId="2" r:id="rId2"/>
    <sheet name="Goal Seek" sheetId="3" r:id="rId3"/>
    <sheet name="What if analysis" sheetId="4" r:id="rId4"/>
    <sheet name="What if analysis Quis" sheetId="5" r:id="rId5"/>
    <sheet name="Regression" sheetId="6" r:id="rId6"/>
    <sheet name="NPV" sheetId="7" r:id="rId7"/>
    <sheet name="Regression Quis" sheetId="8" r:id="rId8"/>
    <sheet name="NPV Quis" sheetId="9" r:id="rId9"/>
    <sheet name="Project Model" sheetId="10" r:id="rId10"/>
    <sheet name="LP" sheetId="12" r:id="rId11"/>
    <sheet name="LP &amp; Net Profit" sheetId="13" r:id="rId12"/>
    <sheet name="LP &amp; Investment Allocation" sheetId="14" r:id="rId13"/>
    <sheet name="LP&amp;Transportation" sheetId="15" r:id="rId14"/>
  </sheets>
  <externalReferences>
    <externalReference r:id="rId15"/>
    <externalReference r:id="rId16"/>
    <externalReference r:id="rId17"/>
  </externalReferences>
  <definedNames>
    <definedName name="solver_adj" localSheetId="10" hidden="1">LP!$B$41:$C$41</definedName>
    <definedName name="solver_adj" localSheetId="12" hidden="1">'LP &amp; Investment Allocation'!$B$22:$D$22</definedName>
    <definedName name="solver_adj" localSheetId="11" hidden="1">'LP &amp; Net Profit'!$B$4:$C$4</definedName>
    <definedName name="solver_adj" localSheetId="13" hidden="1">'LP&amp;Transportation'!$B$29:$K$29</definedName>
    <definedName name="solver_cvg" localSheetId="10" hidden="1">0.0001</definedName>
    <definedName name="solver_cvg" localSheetId="12" hidden="1">0.0001</definedName>
    <definedName name="solver_cvg" localSheetId="11" hidden="1">0.0001</definedName>
    <definedName name="solver_cvg" localSheetId="13" hidden="1">0.0001</definedName>
    <definedName name="solver_drv" localSheetId="10" hidden="1">1</definedName>
    <definedName name="solver_drv" localSheetId="12" hidden="1">1</definedName>
    <definedName name="solver_drv" localSheetId="11" hidden="1">1</definedName>
    <definedName name="solver_drv" localSheetId="13" hidden="1">1</definedName>
    <definedName name="solver_eng" localSheetId="10" hidden="1">2</definedName>
    <definedName name="solver_eng" localSheetId="12" hidden="1">2</definedName>
    <definedName name="solver_eng" localSheetId="11" hidden="1">2</definedName>
    <definedName name="solver_eng" localSheetId="13" hidden="1">2</definedName>
    <definedName name="solver_est" localSheetId="10" hidden="1">1</definedName>
    <definedName name="solver_est" localSheetId="12" hidden="1">1</definedName>
    <definedName name="solver_est" localSheetId="11" hidden="1">1</definedName>
    <definedName name="solver_est" localSheetId="13" hidden="1">1</definedName>
    <definedName name="solver_itr" localSheetId="10" hidden="1">2147483647</definedName>
    <definedName name="solver_itr" localSheetId="12" hidden="1">2147483647</definedName>
    <definedName name="solver_itr" localSheetId="11" hidden="1">2147483647</definedName>
    <definedName name="solver_itr" localSheetId="13" hidden="1">2147483647</definedName>
    <definedName name="solver_lhs1" localSheetId="10" hidden="1">LP!$D$47:$D$48</definedName>
    <definedName name="solver_lhs1" localSheetId="12" hidden="1">'LP &amp; Investment Allocation'!$E$28</definedName>
    <definedName name="solver_lhs1" localSheetId="11" hidden="1">'LP &amp; Net Profit'!$D$16:$D$19</definedName>
    <definedName name="solver_lhs1" localSheetId="13" hidden="1">'LP&amp;Transportation'!$L$51:$L$55</definedName>
    <definedName name="solver_lhs2" localSheetId="10" hidden="1">LP!$D$32</definedName>
    <definedName name="solver_lhs2" localSheetId="12" hidden="1">'LP &amp; Investment Allocation'!$E$29:$E$33</definedName>
    <definedName name="solver_lhs2" localSheetId="13" hidden="1">'LP&amp;Transportation'!$Q$16:$Q$20</definedName>
    <definedName name="solver_lhs3" localSheetId="10" hidden="1">LP!$D$12</definedName>
    <definedName name="solver_lhs3" localSheetId="12" hidden="1">'LP &amp; Investment Allocation'!$G$13</definedName>
    <definedName name="solver_lhs4" localSheetId="10" hidden="1">LP!$D$13</definedName>
    <definedName name="solver_mip" localSheetId="10" hidden="1">2147483647</definedName>
    <definedName name="solver_mip" localSheetId="12" hidden="1">2147483647</definedName>
    <definedName name="solver_mip" localSheetId="11" hidden="1">2147483647</definedName>
    <definedName name="solver_mip" localSheetId="13" hidden="1">2147483647</definedName>
    <definedName name="solver_mni" localSheetId="10" hidden="1">30</definedName>
    <definedName name="solver_mni" localSheetId="12" hidden="1">30</definedName>
    <definedName name="solver_mni" localSheetId="11" hidden="1">30</definedName>
    <definedName name="solver_mni" localSheetId="13" hidden="1">30</definedName>
    <definedName name="solver_mrt" localSheetId="10" hidden="1">0.075</definedName>
    <definedName name="solver_mrt" localSheetId="12" hidden="1">0.075</definedName>
    <definedName name="solver_mrt" localSheetId="11" hidden="1">0.075</definedName>
    <definedName name="solver_mrt" localSheetId="13" hidden="1">0.075</definedName>
    <definedName name="solver_msl" localSheetId="10" hidden="1">2</definedName>
    <definedName name="solver_msl" localSheetId="12" hidden="1">2</definedName>
    <definedName name="solver_msl" localSheetId="11" hidden="1">2</definedName>
    <definedName name="solver_msl" localSheetId="13" hidden="1">2</definedName>
    <definedName name="solver_neg" localSheetId="10" hidden="1">1</definedName>
    <definedName name="solver_neg" localSheetId="12" hidden="1">1</definedName>
    <definedName name="solver_neg" localSheetId="11" hidden="1">1</definedName>
    <definedName name="solver_neg" localSheetId="13" hidden="1">1</definedName>
    <definedName name="solver_nod" localSheetId="10" hidden="1">2147483647</definedName>
    <definedName name="solver_nod" localSheetId="12" hidden="1">2147483647</definedName>
    <definedName name="solver_nod" localSheetId="11" hidden="1">2147483647</definedName>
    <definedName name="solver_nod" localSheetId="13" hidden="1">2147483647</definedName>
    <definedName name="solver_num" localSheetId="10" hidden="1">1</definedName>
    <definedName name="solver_num" localSheetId="12" hidden="1">2</definedName>
    <definedName name="solver_num" localSheetId="11" hidden="1">1</definedName>
    <definedName name="solver_num" localSheetId="13" hidden="1">1</definedName>
    <definedName name="solver_nwt" localSheetId="10" hidden="1">1</definedName>
    <definedName name="solver_nwt" localSheetId="12" hidden="1">1</definedName>
    <definedName name="solver_nwt" localSheetId="11" hidden="1">1</definedName>
    <definedName name="solver_nwt" localSheetId="13" hidden="1">1</definedName>
    <definedName name="solver_opt" localSheetId="10" hidden="1">LP!$B$44</definedName>
    <definedName name="solver_opt" localSheetId="12" hidden="1">'LP &amp; Investment Allocation'!$B$25</definedName>
    <definedName name="solver_opt" localSheetId="11" hidden="1">'LP &amp; Net Profit'!$D$13</definedName>
    <definedName name="solver_opt" localSheetId="13" hidden="1">'LP&amp;Transportation'!$B$48</definedName>
    <definedName name="solver_pre" localSheetId="10" hidden="1">0.000001</definedName>
    <definedName name="solver_pre" localSheetId="12" hidden="1">0.000001</definedName>
    <definedName name="solver_pre" localSheetId="11" hidden="1">0.000001</definedName>
    <definedName name="solver_pre" localSheetId="13" hidden="1">0.000001</definedName>
    <definedName name="solver_rbv" localSheetId="10" hidden="1">1</definedName>
    <definedName name="solver_rbv" localSheetId="12" hidden="1">1</definedName>
    <definedName name="solver_rbv" localSheetId="11" hidden="1">1</definedName>
    <definedName name="solver_rbv" localSheetId="13" hidden="1">1</definedName>
    <definedName name="solver_rel1" localSheetId="10" hidden="1">1</definedName>
    <definedName name="solver_rel1" localSheetId="12" hidden="1">1</definedName>
    <definedName name="solver_rel1" localSheetId="11" hidden="1">1</definedName>
    <definedName name="solver_rel1" localSheetId="13" hidden="1">2</definedName>
    <definedName name="solver_rel2" localSheetId="10" hidden="1">1</definedName>
    <definedName name="solver_rel2" localSheetId="12" hidden="1">3</definedName>
    <definedName name="solver_rel2" localSheetId="13" hidden="1">2</definedName>
    <definedName name="solver_rel3" localSheetId="10" hidden="1">3</definedName>
    <definedName name="solver_rel3" localSheetId="12" hidden="1">1</definedName>
    <definedName name="solver_rel4" localSheetId="10" hidden="1">3</definedName>
    <definedName name="solver_rhs1" localSheetId="10" hidden="1">LP!$F$47:$F$48</definedName>
    <definedName name="solver_rhs1" localSheetId="12" hidden="1">'LP &amp; Investment Allocation'!$G$28</definedName>
    <definedName name="solver_rhs1" localSheetId="11" hidden="1">'LP &amp; Net Profit'!$F$16:$F$19</definedName>
    <definedName name="solver_rhs1" localSheetId="13" hidden="1">'LP&amp;Transportation'!$N$51:$N$55</definedName>
    <definedName name="solver_rhs2" localSheetId="10" hidden="1">LP!$F$32</definedName>
    <definedName name="solver_rhs2" localSheetId="12" hidden="1">'LP &amp; Investment Allocation'!$G$29:$G$33</definedName>
    <definedName name="solver_rhs2" localSheetId="13" hidden="1">'LP&amp;Transportation'!$S$16:$S$20</definedName>
    <definedName name="solver_rhs3" localSheetId="10" hidden="1">LP!$F$12</definedName>
    <definedName name="solver_rhs3" localSheetId="12" hidden="1">'LP &amp; Investment Allocation'!$I$13</definedName>
    <definedName name="solver_rhs4" localSheetId="10" hidden="1">LP!$F$13</definedName>
    <definedName name="solver_rlx" localSheetId="10" hidden="1">2</definedName>
    <definedName name="solver_rlx" localSheetId="12" hidden="1">2</definedName>
    <definedName name="solver_rlx" localSheetId="11" hidden="1">2</definedName>
    <definedName name="solver_rlx" localSheetId="13" hidden="1">2</definedName>
    <definedName name="solver_rsd" localSheetId="10" hidden="1">0</definedName>
    <definedName name="solver_rsd" localSheetId="12" hidden="1">0</definedName>
    <definedName name="solver_rsd" localSheetId="11" hidden="1">0</definedName>
    <definedName name="solver_rsd" localSheetId="13" hidden="1">0</definedName>
    <definedName name="solver_scl" localSheetId="10" hidden="1">1</definedName>
    <definedName name="solver_scl" localSheetId="12" hidden="1">1</definedName>
    <definedName name="solver_scl" localSheetId="11" hidden="1">1</definedName>
    <definedName name="solver_scl" localSheetId="13" hidden="1">1</definedName>
    <definedName name="solver_sho" localSheetId="10" hidden="1">2</definedName>
    <definedName name="solver_sho" localSheetId="12" hidden="1">2</definedName>
    <definedName name="solver_sho" localSheetId="11" hidden="1">2</definedName>
    <definedName name="solver_sho" localSheetId="13" hidden="1">2</definedName>
    <definedName name="solver_ssz" localSheetId="10" hidden="1">100</definedName>
    <definedName name="solver_ssz" localSheetId="12" hidden="1">100</definedName>
    <definedName name="solver_ssz" localSheetId="11" hidden="1">100</definedName>
    <definedName name="solver_ssz" localSheetId="13" hidden="1">100</definedName>
    <definedName name="solver_tim" localSheetId="10" hidden="1">2147483647</definedName>
    <definedName name="solver_tim" localSheetId="12" hidden="1">2147483647</definedName>
    <definedName name="solver_tim" localSheetId="11" hidden="1">2147483647</definedName>
    <definedName name="solver_tim" localSheetId="13" hidden="1">2147483647</definedName>
    <definedName name="solver_tol" localSheetId="10" hidden="1">0.01</definedName>
    <definedName name="solver_tol" localSheetId="12" hidden="1">0.01</definedName>
    <definedName name="solver_tol" localSheetId="11" hidden="1">0.01</definedName>
    <definedName name="solver_tol" localSheetId="13" hidden="1">0.01</definedName>
    <definedName name="solver_typ" localSheetId="10" hidden="1">1</definedName>
    <definedName name="solver_typ" localSheetId="12" hidden="1">2</definedName>
    <definedName name="solver_typ" localSheetId="11" hidden="1">1</definedName>
    <definedName name="solver_typ" localSheetId="13" hidden="1">2</definedName>
    <definedName name="solver_val" localSheetId="10" hidden="1">0</definedName>
    <definedName name="solver_val" localSheetId="12" hidden="1">0</definedName>
    <definedName name="solver_val" localSheetId="11" hidden="1">0</definedName>
    <definedName name="solver_val" localSheetId="13" hidden="1">0</definedName>
    <definedName name="solver_ver" localSheetId="10" hidden="1">3</definedName>
    <definedName name="solver_ver" localSheetId="12" hidden="1">3</definedName>
    <definedName name="solver_ver" localSheetId="11" hidden="1">3</definedName>
    <definedName name="solver_ver" localSheetId="1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2" l="1"/>
  <c r="D48" i="12"/>
  <c r="D47" i="12"/>
  <c r="L55" i="15"/>
  <c r="L54" i="15"/>
  <c r="L53" i="15"/>
  <c r="L52" i="15"/>
  <c r="L51" i="15"/>
  <c r="N55" i="15"/>
  <c r="N54" i="15"/>
  <c r="N53" i="15"/>
  <c r="N52" i="15"/>
  <c r="N51" i="15"/>
  <c r="B39" i="15"/>
  <c r="B37" i="15"/>
  <c r="Q20" i="15"/>
  <c r="Q19" i="15"/>
  <c r="Q18" i="15"/>
  <c r="Q17" i="15"/>
  <c r="Q16" i="15"/>
  <c r="Q15" i="15"/>
  <c r="Q14" i="15"/>
  <c r="Q13" i="15"/>
  <c r="B10" i="15"/>
  <c r="E33" i="14"/>
  <c r="E32" i="14"/>
  <c r="E31" i="14"/>
  <c r="E30" i="14"/>
  <c r="E29" i="14"/>
  <c r="E28" i="14"/>
  <c r="B25" i="14"/>
  <c r="G13" i="14"/>
  <c r="I12" i="14"/>
  <c r="G12" i="14"/>
  <c r="I11" i="14"/>
  <c r="G11" i="14"/>
  <c r="G10" i="14"/>
  <c r="B7" i="14"/>
  <c r="D36" i="13"/>
  <c r="D35" i="13"/>
  <c r="B32" i="13"/>
  <c r="D19" i="13"/>
  <c r="D18" i="13"/>
  <c r="D17" i="13"/>
  <c r="D16" i="13"/>
  <c r="D12" i="13"/>
  <c r="D11" i="13"/>
  <c r="D10" i="13"/>
  <c r="D8" i="13"/>
  <c r="D32" i="12"/>
  <c r="D31" i="12"/>
  <c r="B28" i="12"/>
  <c r="D13" i="12"/>
  <c r="D12" i="12"/>
  <c r="D11" i="12"/>
  <c r="D10" i="12"/>
  <c r="B7" i="12"/>
  <c r="I39" i="10"/>
  <c r="J39" i="10" s="1"/>
  <c r="F39" i="10"/>
  <c r="G39" i="10" s="1"/>
  <c r="E39" i="10"/>
  <c r="D39" i="10"/>
  <c r="I38" i="10"/>
  <c r="J38" i="10" s="1"/>
  <c r="F38" i="10"/>
  <c r="E38" i="10"/>
  <c r="E40" i="10" s="1"/>
  <c r="P32" i="10" s="1"/>
  <c r="D38" i="10"/>
  <c r="G38" i="10" s="1"/>
  <c r="J37" i="10"/>
  <c r="I37" i="10"/>
  <c r="F37" i="10"/>
  <c r="F40" i="10" s="1"/>
  <c r="Q32" i="10" s="1"/>
  <c r="E37" i="10"/>
  <c r="D37" i="10"/>
  <c r="I33" i="10"/>
  <c r="I43" i="10" s="1"/>
  <c r="F33" i="10"/>
  <c r="E33" i="10"/>
  <c r="D33" i="10"/>
  <c r="G33" i="10" s="1"/>
  <c r="J32" i="10"/>
  <c r="I32" i="10"/>
  <c r="F32" i="10"/>
  <c r="E32" i="10"/>
  <c r="D32" i="10"/>
  <c r="G32" i="10" s="1"/>
  <c r="J31" i="10"/>
  <c r="I31" i="10"/>
  <c r="F31" i="10"/>
  <c r="G31" i="10" s="1"/>
  <c r="E31" i="10"/>
  <c r="D31" i="10"/>
  <c r="I30" i="10"/>
  <c r="J30" i="10" s="1"/>
  <c r="G30" i="10"/>
  <c r="F30" i="10"/>
  <c r="E30" i="10"/>
  <c r="E34" i="10" s="1"/>
  <c r="P31" i="10" s="1"/>
  <c r="D30" i="10"/>
  <c r="D34" i="10" s="1"/>
  <c r="O31" i="10" s="1"/>
  <c r="J26" i="10"/>
  <c r="I26" i="10"/>
  <c r="F26" i="10"/>
  <c r="E26" i="10"/>
  <c r="D26" i="10"/>
  <c r="G26" i="10" s="1"/>
  <c r="J25" i="10"/>
  <c r="I25" i="10"/>
  <c r="G25" i="10"/>
  <c r="F25" i="10"/>
  <c r="E25" i="10"/>
  <c r="D25" i="10"/>
  <c r="J24" i="10"/>
  <c r="I24" i="10"/>
  <c r="F24" i="10"/>
  <c r="E24" i="10"/>
  <c r="D24" i="10"/>
  <c r="G24" i="10" s="1"/>
  <c r="I23" i="10"/>
  <c r="J23" i="10" s="1"/>
  <c r="G23" i="10"/>
  <c r="F23" i="10"/>
  <c r="E23" i="10"/>
  <c r="D23" i="10"/>
  <c r="D27" i="10" s="1"/>
  <c r="J22" i="10"/>
  <c r="I22" i="10"/>
  <c r="F22" i="10"/>
  <c r="F27" i="10" s="1"/>
  <c r="E22" i="10"/>
  <c r="E27" i="10" s="1"/>
  <c r="D22" i="10"/>
  <c r="G22" i="10" s="1"/>
  <c r="J15" i="10"/>
  <c r="J16" i="10" s="1"/>
  <c r="J14" i="10"/>
  <c r="J13" i="10"/>
  <c r="G6" i="9"/>
  <c r="G7" i="9" s="1"/>
  <c r="J27" i="8"/>
  <c r="J26" i="8"/>
  <c r="H21" i="8"/>
  <c r="I21" i="8" s="1"/>
  <c r="G21" i="8"/>
  <c r="I20" i="8"/>
  <c r="H20" i="8"/>
  <c r="G20" i="8"/>
  <c r="H19" i="8"/>
  <c r="I19" i="8" s="1"/>
  <c r="G19" i="8"/>
  <c r="H18" i="8"/>
  <c r="I18" i="8" s="1"/>
  <c r="G18" i="8"/>
  <c r="I17" i="8"/>
  <c r="H17" i="8"/>
  <c r="G17" i="8"/>
  <c r="I16" i="8"/>
  <c r="H16" i="8"/>
  <c r="G16" i="8"/>
  <c r="H15" i="8"/>
  <c r="I15" i="8" s="1"/>
  <c r="G15" i="8"/>
  <c r="H14" i="8"/>
  <c r="I14" i="8" s="1"/>
  <c r="G14" i="8"/>
  <c r="I13" i="8"/>
  <c r="H13" i="8"/>
  <c r="G13" i="8"/>
  <c r="I12" i="8"/>
  <c r="H12" i="8"/>
  <c r="G12" i="8"/>
  <c r="H11" i="8"/>
  <c r="I11" i="8" s="1"/>
  <c r="G11" i="8"/>
  <c r="H10" i="8"/>
  <c r="I10" i="8" s="1"/>
  <c r="G10" i="8"/>
  <c r="I9" i="8"/>
  <c r="H9" i="8"/>
  <c r="G9" i="8"/>
  <c r="I8" i="8"/>
  <c r="H8" i="8"/>
  <c r="G8" i="8"/>
  <c r="H7" i="8"/>
  <c r="I7" i="8" s="1"/>
  <c r="G7" i="8"/>
  <c r="H6" i="8"/>
  <c r="I6" i="8" s="1"/>
  <c r="G6" i="8"/>
  <c r="G23" i="8" s="1"/>
  <c r="I5" i="8"/>
  <c r="H5" i="8"/>
  <c r="G5" i="8"/>
  <c r="I4" i="8"/>
  <c r="H4" i="8"/>
  <c r="G4" i="8"/>
  <c r="H3" i="8"/>
  <c r="I3" i="8" s="1"/>
  <c r="G3" i="8"/>
  <c r="H2" i="8"/>
  <c r="I2" i="8" s="1"/>
  <c r="B28" i="7"/>
  <c r="B29" i="7" s="1"/>
  <c r="F6" i="7"/>
  <c r="F5" i="7"/>
  <c r="B164" i="6"/>
  <c r="D170" i="6"/>
  <c r="D171" i="6"/>
  <c r="D172" i="6"/>
  <c r="F172" i="6" s="1"/>
  <c r="D173" i="6"/>
  <c r="F173" i="6" s="1"/>
  <c r="D174" i="6"/>
  <c r="D169" i="6"/>
  <c r="F169" i="6" s="1"/>
  <c r="C170" i="6"/>
  <c r="C171" i="6"/>
  <c r="E171" i="6" s="1"/>
  <c r="C172" i="6"/>
  <c r="C173" i="6"/>
  <c r="E173" i="6" s="1"/>
  <c r="C174" i="6"/>
  <c r="E174" i="6" s="1"/>
  <c r="C169" i="6"/>
  <c r="E169" i="6" s="1"/>
  <c r="F174" i="6"/>
  <c r="E172" i="6"/>
  <c r="F171" i="6"/>
  <c r="F170" i="6"/>
  <c r="E170" i="6"/>
  <c r="C158" i="6"/>
  <c r="E158" i="6" s="1"/>
  <c r="C159" i="6"/>
  <c r="E159" i="6" s="1"/>
  <c r="C160" i="6"/>
  <c r="E160" i="6" s="1"/>
  <c r="C161" i="6"/>
  <c r="E161" i="6" s="1"/>
  <c r="C157" i="6"/>
  <c r="E157" i="6" s="1"/>
  <c r="D158" i="6"/>
  <c r="F158" i="6" s="1"/>
  <c r="D159" i="6"/>
  <c r="F159" i="6" s="1"/>
  <c r="D160" i="6"/>
  <c r="F160" i="6" s="1"/>
  <c r="D161" i="6"/>
  <c r="F161" i="6" s="1"/>
  <c r="D157" i="6"/>
  <c r="F157" i="6" s="1"/>
  <c r="F131" i="6"/>
  <c r="D131" i="6"/>
  <c r="E131" i="6"/>
  <c r="C131" i="6"/>
  <c r="B43" i="6"/>
  <c r="B44" i="6" s="1"/>
  <c r="B46" i="6" s="1"/>
  <c r="D25" i="6"/>
  <c r="H25" i="6" s="1"/>
  <c r="D26" i="6"/>
  <c r="H26" i="6" s="1"/>
  <c r="D27" i="6"/>
  <c r="H27" i="6" s="1"/>
  <c r="D28" i="6"/>
  <c r="H28" i="6" s="1"/>
  <c r="D29" i="6"/>
  <c r="H29" i="6" s="1"/>
  <c r="D30" i="6"/>
  <c r="H30" i="6" s="1"/>
  <c r="D31" i="6"/>
  <c r="H31" i="6" s="1"/>
  <c r="D32" i="6"/>
  <c r="H32" i="6" s="1"/>
  <c r="D33" i="6"/>
  <c r="H33" i="6" s="1"/>
  <c r="D34" i="6"/>
  <c r="H34" i="6" s="1"/>
  <c r="D35" i="6"/>
  <c r="H35" i="6" s="1"/>
  <c r="D24" i="6"/>
  <c r="H24" i="6" s="1"/>
  <c r="C25" i="6"/>
  <c r="G25" i="6" s="1"/>
  <c r="C26" i="6"/>
  <c r="G26" i="6" s="1"/>
  <c r="C27" i="6"/>
  <c r="G27" i="6" s="1"/>
  <c r="C28" i="6"/>
  <c r="G28" i="6" s="1"/>
  <c r="C29" i="6"/>
  <c r="G29" i="6" s="1"/>
  <c r="C30" i="6"/>
  <c r="G30" i="6" s="1"/>
  <c r="C31" i="6"/>
  <c r="G31" i="6" s="1"/>
  <c r="C32" i="6"/>
  <c r="G32" i="6" s="1"/>
  <c r="C33" i="6"/>
  <c r="G33" i="6" s="1"/>
  <c r="C34" i="6"/>
  <c r="G34" i="6" s="1"/>
  <c r="C35" i="6"/>
  <c r="G35" i="6" s="1"/>
  <c r="C24" i="6"/>
  <c r="G24" i="6" s="1"/>
  <c r="B25" i="6"/>
  <c r="F25" i="6" s="1"/>
  <c r="B26" i="6"/>
  <c r="F26" i="6" s="1"/>
  <c r="B27" i="6"/>
  <c r="F27" i="6" s="1"/>
  <c r="B28" i="6"/>
  <c r="F28" i="6" s="1"/>
  <c r="B29" i="6"/>
  <c r="F29" i="6" s="1"/>
  <c r="B30" i="6"/>
  <c r="F30" i="6" s="1"/>
  <c r="B31" i="6"/>
  <c r="F31" i="6" s="1"/>
  <c r="B32" i="6"/>
  <c r="F32" i="6" s="1"/>
  <c r="B33" i="6"/>
  <c r="F33" i="6" s="1"/>
  <c r="B34" i="6"/>
  <c r="F34" i="6" s="1"/>
  <c r="B35" i="6"/>
  <c r="F35" i="6" s="1"/>
  <c r="B24" i="6"/>
  <c r="F24" i="6" s="1"/>
  <c r="B11" i="5"/>
  <c r="B6" i="5"/>
  <c r="B16" i="5" s="1"/>
  <c r="B35" i="4"/>
  <c r="B32" i="4"/>
  <c r="B29" i="4"/>
  <c r="B12" i="4"/>
  <c r="B10" i="4"/>
  <c r="B9" i="4"/>
  <c r="B14" i="4" s="1"/>
  <c r="B32" i="1"/>
  <c r="B36" i="1"/>
  <c r="C42" i="15"/>
  <c r="G8" i="7"/>
  <c r="G16" i="7"/>
  <c r="C10" i="4"/>
  <c r="E43" i="6"/>
  <c r="H12" i="12"/>
  <c r="G14" i="7"/>
  <c r="G9" i="7"/>
  <c r="G21" i="7"/>
  <c r="C9" i="4"/>
  <c r="C41" i="15"/>
  <c r="E44" i="6"/>
  <c r="G6" i="7"/>
  <c r="G23" i="7"/>
  <c r="H11" i="12"/>
  <c r="G5" i="7"/>
  <c r="C43" i="15"/>
  <c r="C11" i="5"/>
  <c r="C16" i="5"/>
  <c r="C11" i="7"/>
  <c r="C21" i="5"/>
  <c r="C28" i="7"/>
  <c r="C50" i="4"/>
  <c r="C6" i="5"/>
  <c r="G17" i="7"/>
  <c r="G22" i="7"/>
  <c r="G10" i="7"/>
  <c r="C48" i="15"/>
  <c r="C35" i="4"/>
  <c r="C34" i="4"/>
  <c r="C32" i="4"/>
  <c r="C40" i="15"/>
  <c r="C16" i="4"/>
  <c r="G24" i="7"/>
  <c r="C29" i="7"/>
  <c r="G19" i="7"/>
  <c r="E46" i="6"/>
  <c r="H10" i="12"/>
  <c r="C44" i="4"/>
  <c r="C39" i="15"/>
  <c r="C13" i="7"/>
  <c r="H13" i="12"/>
  <c r="G12" i="7"/>
  <c r="C14" i="4"/>
  <c r="C12" i="4"/>
  <c r="E47" i="6"/>
  <c r="G7" i="7"/>
  <c r="G18" i="7"/>
  <c r="G11" i="7"/>
  <c r="G15" i="7"/>
  <c r="G13" i="7"/>
  <c r="C29" i="4"/>
  <c r="G20" i="7"/>
  <c r="E49" i="6"/>
  <c r="B40" i="15" l="1"/>
  <c r="B41" i="15" s="1"/>
  <c r="B42" i="15" s="1"/>
  <c r="B43" i="15" s="1"/>
  <c r="D13" i="13"/>
  <c r="H6" i="9"/>
  <c r="I6" i="9" s="1"/>
  <c r="Q30" i="10"/>
  <c r="G27" i="10"/>
  <c r="E47" i="10"/>
  <c r="E43" i="10"/>
  <c r="J9" i="10" s="1"/>
  <c r="P30" i="10"/>
  <c r="O30" i="10"/>
  <c r="D43" i="10"/>
  <c r="J8" i="10" s="1"/>
  <c r="G34" i="10"/>
  <c r="F34" i="10"/>
  <c r="Q31" i="10" s="1"/>
  <c r="D40" i="10"/>
  <c r="O32" i="10" s="1"/>
  <c r="J12" i="10"/>
  <c r="J33" i="10"/>
  <c r="G37" i="10"/>
  <c r="G40" i="10" s="1"/>
  <c r="C47" i="10"/>
  <c r="D47" i="10"/>
  <c r="G8" i="9"/>
  <c r="H7" i="9"/>
  <c r="J6" i="9"/>
  <c r="I23" i="8"/>
  <c r="F7" i="7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175" i="6"/>
  <c r="E175" i="6"/>
  <c r="F162" i="6"/>
  <c r="E162" i="6"/>
  <c r="F37" i="6"/>
  <c r="G37" i="6"/>
  <c r="H37" i="6"/>
  <c r="B47" i="6"/>
  <c r="B49" i="6" s="1"/>
  <c r="B21" i="5"/>
  <c r="B23" i="5" s="1"/>
  <c r="J26" i="5" s="1"/>
  <c r="B34" i="4"/>
  <c r="B44" i="4" s="1"/>
  <c r="B16" i="4"/>
  <c r="I14" i="4" s="1"/>
  <c r="B38" i="1"/>
  <c r="B45" i="15" l="1"/>
  <c r="B46" i="15" s="1"/>
  <c r="B48" i="15" s="1"/>
  <c r="K6" i="9"/>
  <c r="L6" i="9" s="1"/>
  <c r="G43" i="10"/>
  <c r="J11" i="10" s="1"/>
  <c r="F43" i="10"/>
  <c r="J10" i="10" s="1"/>
  <c r="J18" i="10" s="1"/>
  <c r="I7" i="9"/>
  <c r="J7" i="9"/>
  <c r="H8" i="9"/>
  <c r="G9" i="9"/>
  <c r="B11" i="7"/>
  <c r="B13" i="7" s="1"/>
  <c r="I43" i="6"/>
  <c r="B54" i="6"/>
  <c r="G19" i="5"/>
  <c r="G27" i="5"/>
  <c r="B50" i="4"/>
  <c r="B52" i="4" s="1"/>
  <c r="I44" i="4" s="1"/>
  <c r="B15" i="3"/>
  <c r="B11" i="3" s="1"/>
  <c r="D17" i="2"/>
  <c r="D18" i="2" s="1"/>
  <c r="D19" i="2" s="1"/>
  <c r="D20" i="2" s="1"/>
  <c r="D21" i="2" s="1"/>
  <c r="D22" i="2" s="1"/>
  <c r="C10" i="2"/>
  <c r="B10" i="2"/>
  <c r="C6" i="2"/>
  <c r="C17" i="2" s="1"/>
  <c r="B6" i="2"/>
  <c r="B17" i="2" s="1"/>
  <c r="B17" i="1"/>
  <c r="B15" i="1"/>
  <c r="B14" i="1"/>
  <c r="B18" i="1" s="1"/>
  <c r="B19" i="1" s="1"/>
  <c r="C18" i="1"/>
  <c r="C15" i="1"/>
  <c r="C20" i="3"/>
  <c r="C17" i="1"/>
  <c r="C19" i="1"/>
  <c r="C14" i="1"/>
  <c r="C15" i="3"/>
  <c r="K7" i="9" l="1"/>
  <c r="L7" i="9" s="1"/>
  <c r="G10" i="9"/>
  <c r="H10" i="9" s="1"/>
  <c r="H9" i="9"/>
  <c r="J8" i="9"/>
  <c r="I8" i="9"/>
  <c r="B19" i="3"/>
  <c r="B20" i="3" s="1"/>
  <c r="F5" i="3" s="1"/>
  <c r="C18" i="2"/>
  <c r="F17" i="2"/>
  <c r="B18" i="2"/>
  <c r="E17" i="2"/>
  <c r="C12" i="2"/>
  <c r="B12" i="2"/>
  <c r="I9" i="9" l="1"/>
  <c r="J9" i="9"/>
  <c r="K8" i="9"/>
  <c r="L8" i="9" s="1"/>
  <c r="J10" i="9"/>
  <c r="I10" i="9"/>
  <c r="B19" i="2"/>
  <c r="B20" i="2" s="1"/>
  <c r="B21" i="2" s="1"/>
  <c r="B22" i="2" s="1"/>
  <c r="E18" i="2"/>
  <c r="E19" i="2" s="1"/>
  <c r="E20" i="2" s="1"/>
  <c r="E21" i="2" s="1"/>
  <c r="E22" i="2" s="1"/>
  <c r="F18" i="2"/>
  <c r="F19" i="2" s="1"/>
  <c r="F20" i="2" s="1"/>
  <c r="F21" i="2" s="1"/>
  <c r="F22" i="2" s="1"/>
  <c r="C19" i="2"/>
  <c r="C20" i="2" s="1"/>
  <c r="C21" i="2" s="1"/>
  <c r="C22" i="2" s="1"/>
  <c r="K10" i="9" l="1"/>
  <c r="L10" i="9" s="1"/>
  <c r="K9" i="9"/>
  <c r="L9" i="9" s="1"/>
  <c r="B13" i="9" s="1"/>
  <c r="B15" i="9" s="1"/>
  <c r="L12" i="9" l="1"/>
</calcChain>
</file>

<file path=xl/sharedStrings.xml><?xml version="1.0" encoding="utf-8"?>
<sst xmlns="http://schemas.openxmlformats.org/spreadsheetml/2006/main" count="673" uniqueCount="458">
  <si>
    <t>NCAA T-shirt Vendor</t>
  </si>
  <si>
    <t xml:space="preserve">Given : </t>
  </si>
  <si>
    <t>Cost :</t>
  </si>
  <si>
    <t>Variable :</t>
  </si>
  <si>
    <t>Fixed :</t>
  </si>
  <si>
    <t>per T-shirt</t>
  </si>
  <si>
    <t>Revenue :</t>
  </si>
  <si>
    <t>full price :</t>
  </si>
  <si>
    <t>reduced price :</t>
  </si>
  <si>
    <t>Number of T-shird Ordered :</t>
  </si>
  <si>
    <t>Demand</t>
  </si>
  <si>
    <t>Number of T-shird Sold (FP) :</t>
  </si>
  <si>
    <t>Number of T-shird Sold (Reduced) :</t>
  </si>
  <si>
    <t>Total Revenue :</t>
  </si>
  <si>
    <t xml:space="preserve">Total Profit : </t>
  </si>
  <si>
    <t>Total cost :</t>
  </si>
  <si>
    <t>Woodworks Bookshelf Co.</t>
  </si>
  <si>
    <t xml:space="preserve">Cost : </t>
  </si>
  <si>
    <t>Cherry</t>
  </si>
  <si>
    <t>Oak</t>
  </si>
  <si>
    <t>Unit Cost :</t>
  </si>
  <si>
    <t>Number of Bookshelf:</t>
  </si>
  <si>
    <t xml:space="preserve">Material Cost : </t>
  </si>
  <si>
    <t>Labor Requared :</t>
  </si>
  <si>
    <t>Labor rate :</t>
  </si>
  <si>
    <t xml:space="preserve">Labor Cost : </t>
  </si>
  <si>
    <t xml:space="preserve">Total Cost : </t>
  </si>
  <si>
    <t xml:space="preserve"> </t>
  </si>
  <si>
    <t xml:space="preserve">Cost Increase : </t>
  </si>
  <si>
    <t>Year</t>
  </si>
  <si>
    <t>Labor</t>
  </si>
  <si>
    <t>Cherry + Labor</t>
  </si>
  <si>
    <t>Oak + Labor</t>
  </si>
  <si>
    <t>Quality Sweater Company</t>
  </si>
  <si>
    <t>Input:</t>
  </si>
  <si>
    <t>Printing:</t>
  </si>
  <si>
    <t>Mailing:</t>
  </si>
  <si>
    <t>per catalog</t>
  </si>
  <si>
    <t>reply envelopers :</t>
  </si>
  <si>
    <t>Total Cost  :</t>
  </si>
  <si>
    <t xml:space="preserve">Catalog Ordered : </t>
  </si>
  <si>
    <t xml:space="preserve">Response rate : </t>
  </si>
  <si>
    <t>Total Orders :</t>
  </si>
  <si>
    <t>Avarage Consumer Order :</t>
  </si>
  <si>
    <t>per order</t>
  </si>
  <si>
    <t xml:space="preserve">labor &amp; materials : </t>
  </si>
  <si>
    <t xml:space="preserve"> dump value</t>
  </si>
  <si>
    <t xml:space="preserve">a) Data Table </t>
  </si>
  <si>
    <t>Response rate :</t>
  </si>
  <si>
    <t>Total Profit</t>
  </si>
  <si>
    <t>b) break even = 0 profit</t>
  </si>
  <si>
    <t>the profit company has value 0 when the responses rate is 5,76923076923077%</t>
  </si>
  <si>
    <t>( tool : data - what-if analysis - goal seek )</t>
  </si>
  <si>
    <t>c) No, because company don't get plus profit when they procedd campaign with mailing</t>
  </si>
  <si>
    <t xml:space="preserve">d) its relate to the number you pick in the respones rate. If you look to the graph company about respones vs profit, </t>
  </si>
  <si>
    <t xml:space="preserve">it's diveded two that responses  rate&lt; 6 % produce negative profit value. Otherwise respones rate &gt; 6 % produce positive profit. </t>
  </si>
  <si>
    <t>Haute Dog</t>
  </si>
  <si>
    <t xml:space="preserve">Sales : </t>
  </si>
  <si>
    <t>Days open</t>
  </si>
  <si>
    <t>Daily Sales</t>
  </si>
  <si>
    <t>days per week</t>
  </si>
  <si>
    <t>hot dogs per day</t>
  </si>
  <si>
    <t>Start-up Cost</t>
  </si>
  <si>
    <t>Variable Cost</t>
  </si>
  <si>
    <t>per hot dog</t>
  </si>
  <si>
    <t xml:space="preserve">Revenue : </t>
  </si>
  <si>
    <t>Price</t>
  </si>
  <si>
    <t>Total weekly revenue</t>
  </si>
  <si>
    <t>Total weekly cost</t>
  </si>
  <si>
    <t>weekly profit :</t>
  </si>
  <si>
    <t>if I want to determine break-even point in this case. I will use goal seek by change daily sales hot dogs</t>
  </si>
  <si>
    <t>break-even point</t>
  </si>
  <si>
    <t>transformation cost</t>
  </si>
  <si>
    <t>per week</t>
  </si>
  <si>
    <t>B&amp;N Bookstore</t>
  </si>
  <si>
    <t>Reguler price:</t>
  </si>
  <si>
    <t>Sale price:</t>
  </si>
  <si>
    <t>demand:</t>
  </si>
  <si>
    <t>order:</t>
  </si>
  <si>
    <t>(500-4500)</t>
  </si>
  <si>
    <t>surplus:</t>
  </si>
  <si>
    <t>way #2</t>
  </si>
  <si>
    <t>costs:</t>
  </si>
  <si>
    <t>ordered</t>
  </si>
  <si>
    <t>unit cost</t>
  </si>
  <si>
    <t>atleast</t>
  </si>
  <si>
    <t>revenue:</t>
  </si>
  <si>
    <t>profit:</t>
  </si>
  <si>
    <t>Order</t>
  </si>
  <si>
    <t>Assigment Module 2</t>
  </si>
  <si>
    <t>Copy Shop</t>
  </si>
  <si>
    <t xml:space="preserve">per copy </t>
  </si>
  <si>
    <t>per month</t>
  </si>
  <si>
    <t>Number of Copier Rented</t>
  </si>
  <si>
    <t>Maximum Copies per Year</t>
  </si>
  <si>
    <t>Daily Demand</t>
  </si>
  <si>
    <t>(500 - 2000) per day</t>
  </si>
  <si>
    <t>Annual Demand</t>
  </si>
  <si>
    <t xml:space="preserve">Copies made per year </t>
  </si>
  <si>
    <t>Costs</t>
  </si>
  <si>
    <t>fixed cost :</t>
  </si>
  <si>
    <t>variable cost:</t>
  </si>
  <si>
    <t>copier rental</t>
  </si>
  <si>
    <t>per copier per year</t>
  </si>
  <si>
    <t>operation cost:</t>
  </si>
  <si>
    <t>per copy</t>
  </si>
  <si>
    <t xml:space="preserve">Total annual cost: </t>
  </si>
  <si>
    <t>Revenue</t>
  </si>
  <si>
    <t>selling price:</t>
  </si>
  <si>
    <t xml:space="preserve">Total annual revenue : </t>
  </si>
  <si>
    <t>Total Annual profit:</t>
  </si>
  <si>
    <t>Number Copier Rented</t>
  </si>
  <si>
    <t xml:space="preserve">copies per day </t>
  </si>
  <si>
    <t>break-even point for daily demand</t>
  </si>
  <si>
    <t>Screamin' Blue Jays Tour</t>
  </si>
  <si>
    <t>Number of Concerts</t>
  </si>
  <si>
    <t>concert per week:</t>
  </si>
  <si>
    <t>week on tour</t>
  </si>
  <si>
    <t>Total concerts:</t>
  </si>
  <si>
    <t>Expected Concert Attendance</t>
  </si>
  <si>
    <t>Maximum capacity:</t>
  </si>
  <si>
    <t>Attendance:</t>
  </si>
  <si>
    <t xml:space="preserve">Number of tickets sold: </t>
  </si>
  <si>
    <t>cost</t>
  </si>
  <si>
    <t>fixed start-up cost:</t>
  </si>
  <si>
    <t>Venue rental cost:</t>
  </si>
  <si>
    <t>Total cost:</t>
  </si>
  <si>
    <t>Ticket price:</t>
  </si>
  <si>
    <t>Concession sales :</t>
  </si>
  <si>
    <t>Total revenue:</t>
  </si>
  <si>
    <t>Profit:</t>
  </si>
  <si>
    <t>per show</t>
  </si>
  <si>
    <t>per persoon</t>
  </si>
  <si>
    <t>week</t>
  </si>
  <si>
    <t xml:space="preserve">attendance </t>
  </si>
  <si>
    <t>profit</t>
  </si>
  <si>
    <t>no 1</t>
  </si>
  <si>
    <t xml:space="preserve">profit </t>
  </si>
  <si>
    <t>no 2</t>
  </si>
  <si>
    <t>Ticket Price</t>
  </si>
  <si>
    <t>Week on tour</t>
  </si>
  <si>
    <t>the best option to get more profit is no 1 option.</t>
  </si>
  <si>
    <t>or 35 week</t>
  </si>
  <si>
    <t xml:space="preserve">Month </t>
  </si>
  <si>
    <t>Demand (00s)</t>
  </si>
  <si>
    <t xml:space="preserve">prediction function </t>
  </si>
  <si>
    <t>intercept(b) :</t>
  </si>
  <si>
    <t>slope(m):</t>
  </si>
  <si>
    <t>Linear  : y = mx+b</t>
  </si>
  <si>
    <t>Power</t>
  </si>
  <si>
    <t>Power : y =ax^b</t>
  </si>
  <si>
    <t>constant a:</t>
  </si>
  <si>
    <t>eksponent b:</t>
  </si>
  <si>
    <t>exponent b:</t>
  </si>
  <si>
    <t>Linear</t>
  </si>
  <si>
    <t>Eksponential</t>
  </si>
  <si>
    <t>Eksponential : y = ae^(bx)</t>
  </si>
  <si>
    <t>Demand Prediction</t>
  </si>
  <si>
    <t>Absulute Error (percent)</t>
  </si>
  <si>
    <t>average</t>
  </si>
  <si>
    <t>&lt;- power model</t>
  </si>
  <si>
    <t>Bussines Model of Th19 Hole Sells golf club</t>
  </si>
  <si>
    <t>unit cost :</t>
  </si>
  <si>
    <t>&lt;- multiple 10</t>
  </si>
  <si>
    <t>Sale price :</t>
  </si>
  <si>
    <t>per set of club</t>
  </si>
  <si>
    <t>from power model</t>
  </si>
  <si>
    <t>Demand(00s) Actual</t>
  </si>
  <si>
    <t xml:space="preserve">Demand actual </t>
  </si>
  <si>
    <t>cost :</t>
  </si>
  <si>
    <t>Revenue:</t>
  </si>
  <si>
    <t>Profit :</t>
  </si>
  <si>
    <t xml:space="preserve">price </t>
  </si>
  <si>
    <t>1) sell at a price $ 530 for profit $ 1.042.213</t>
  </si>
  <si>
    <t>Cost Unit</t>
  </si>
  <si>
    <t xml:space="preserve">Maximum </t>
  </si>
  <si>
    <t>no 2 more incraese sale price at more cost unit, make the profit decrease</t>
  </si>
  <si>
    <t>no 3</t>
  </si>
  <si>
    <t xml:space="preserve">yes, this model is accurate to give us information about </t>
  </si>
  <si>
    <t xml:space="preserve">how to estimate the relationship between price and demand. </t>
  </si>
  <si>
    <t xml:space="preserve">The best model is power model because it has error more minumum that other model. </t>
  </si>
  <si>
    <t xml:space="preserve">Based on the power model, we get to find the optimal price that give maximum profit. </t>
  </si>
  <si>
    <t>also, this model can inform us how optimal price depend on the unit cost.</t>
  </si>
  <si>
    <t>consider that price optimal $530 at the unit cost $ 250, it give profit $1.4042.213</t>
  </si>
  <si>
    <t xml:space="preserve">but, his price optimal a bit difference when the unit cost $ 300. </t>
  </si>
  <si>
    <t>so we can conclusion that sale price and unit cost</t>
  </si>
  <si>
    <t>have influence the profit.</t>
  </si>
  <si>
    <t xml:space="preserve">Assigment </t>
  </si>
  <si>
    <t xml:space="preserve">Year </t>
  </si>
  <si>
    <t>Revenue (millions of USD)</t>
  </si>
  <si>
    <t>Forecasts</t>
  </si>
  <si>
    <t>Powert</t>
  </si>
  <si>
    <t>Absolute Percent Error</t>
  </si>
  <si>
    <t>MAPE</t>
  </si>
  <si>
    <t>Prediction's Fuction for 5 years</t>
  </si>
  <si>
    <t>Prediction's Fuction for 6 years</t>
  </si>
  <si>
    <t>best model :</t>
  </si>
  <si>
    <t>eksponetial</t>
  </si>
  <si>
    <t>miliion USD</t>
  </si>
  <si>
    <t>revenue in 2023 :</t>
  </si>
  <si>
    <t>&gt; there is no best model because MAPE from both of the fit model are so high</t>
  </si>
  <si>
    <t>Gopher Drugs</t>
  </si>
  <si>
    <t>million</t>
  </si>
  <si>
    <t>lifetime:</t>
  </si>
  <si>
    <t>year 1 margin:</t>
  </si>
  <si>
    <t>year</t>
  </si>
  <si>
    <t>inc through year:</t>
  </si>
  <si>
    <t>rate of increase:</t>
  </si>
  <si>
    <t>rate of decrease:</t>
  </si>
  <si>
    <t>discount rate:</t>
  </si>
  <si>
    <t>End of year</t>
  </si>
  <si>
    <t>Cash Flow</t>
  </si>
  <si>
    <t>Gross Margin(M)</t>
  </si>
  <si>
    <t>(Net) Present Value :</t>
  </si>
  <si>
    <t>Net Present Value :</t>
  </si>
  <si>
    <t>development cost :</t>
  </si>
  <si>
    <t>development cost:</t>
  </si>
  <si>
    <t>answer :</t>
  </si>
  <si>
    <t>2. if inc through year is greater than before, let sat it has change to be 10, the NPV is $4,02</t>
  </si>
  <si>
    <t>otherwise, if it change to the smaller value let say 6, the NPV is $0,97 m</t>
  </si>
  <si>
    <t>1. the drug worth to pursuing which has positive NPV value. So it is a profitable bussiness.</t>
  </si>
  <si>
    <t>Assigment</t>
  </si>
  <si>
    <t xml:space="preserve">year </t>
  </si>
  <si>
    <t>Cash Inflow (end of year)</t>
  </si>
  <si>
    <t>initial invesment:</t>
  </si>
  <si>
    <t>(net) present value:</t>
  </si>
  <si>
    <t>Net present value:</t>
  </si>
  <si>
    <t>Average of Seasonally Adjusted Sales</t>
  </si>
  <si>
    <t>percent growth</t>
  </si>
  <si>
    <t>new sales based exponential model</t>
  </si>
  <si>
    <t>error</t>
  </si>
  <si>
    <t>Transformasi</t>
  </si>
  <si>
    <t>Growth Avarage</t>
  </si>
  <si>
    <t>Prediction Fucntion</t>
  </si>
  <si>
    <t>sales at 2025</t>
  </si>
  <si>
    <t>sales in 2050</t>
  </si>
  <si>
    <t>ekponent b:</t>
  </si>
  <si>
    <t>the indoor fort building kit</t>
  </si>
  <si>
    <t>year 1 product sell :</t>
  </si>
  <si>
    <t>kit</t>
  </si>
  <si>
    <t>unit sell</t>
  </si>
  <si>
    <t>revenue</t>
  </si>
  <si>
    <t>variable cost</t>
  </si>
  <si>
    <t>fixed SG&amp;A</t>
  </si>
  <si>
    <t>annual cost</t>
  </si>
  <si>
    <t>gross margin</t>
  </si>
  <si>
    <t>Growth rate sell :</t>
  </si>
  <si>
    <t>price:</t>
  </si>
  <si>
    <t xml:space="preserve">per unit </t>
  </si>
  <si>
    <t>rate of variable cost:</t>
  </si>
  <si>
    <t>Year 1 rate of SG&amp;A :</t>
  </si>
  <si>
    <t>Decrease rate :</t>
  </si>
  <si>
    <t>disc rate:</t>
  </si>
  <si>
    <t>total</t>
  </si>
  <si>
    <t>annual percentage growth rate is needed to pay back the $4 M investment by the of year 5 :</t>
  </si>
  <si>
    <t>Net Present value:</t>
  </si>
  <si>
    <t>process:</t>
  </si>
  <si>
    <t>use data &gt; what if analysis &gt; goal seek &gt; input ceel by total profit , cange to $4M, and by canging growth rate cell</t>
  </si>
  <si>
    <t>the answer is 48,8%</t>
  </si>
  <si>
    <t>the answer is 58,9%</t>
  </si>
  <si>
    <t>Financial Estimates for Potential Projects (in $millions)</t>
  </si>
  <si>
    <t>input</t>
  </si>
  <si>
    <t>Project Index</t>
  </si>
  <si>
    <t>Functional Area (FA)</t>
  </si>
  <si>
    <t>Partnership Percentage</t>
  </si>
  <si>
    <t>Capex Year 1</t>
  </si>
  <si>
    <t>Capex Year 2</t>
  </si>
  <si>
    <t>Capex Year 3</t>
  </si>
  <si>
    <t>NPV</t>
  </si>
  <si>
    <t>annual revenue (million)</t>
  </si>
  <si>
    <t>FA1</t>
  </si>
  <si>
    <t>expenditure (million)</t>
  </si>
  <si>
    <t>yearly cap (million)</t>
  </si>
  <si>
    <t>NPC Discount rate % decrease</t>
  </si>
  <si>
    <t>Requirement Checks</t>
  </si>
  <si>
    <t>FA2</t>
  </si>
  <si>
    <t>Capital Ex. Under 4000(Y1)</t>
  </si>
  <si>
    <t>Capital Ex.under 4000(Y2)</t>
  </si>
  <si>
    <t>Capital Ex. Under 4000(Y3)</t>
  </si>
  <si>
    <t>Under $10.000 (year 1-3)</t>
  </si>
  <si>
    <t>FA3</t>
  </si>
  <si>
    <t>Each FA has at leat 1 project approved</t>
  </si>
  <si>
    <t>Number of Approved Project for FA 1</t>
  </si>
  <si>
    <t>Number of Approved Project for FA 2</t>
  </si>
  <si>
    <t>Number of Approved Project for FA 3</t>
  </si>
  <si>
    <t>Total Number of Approved Project</t>
  </si>
  <si>
    <t>Are the Condition Met</t>
  </si>
  <si>
    <t>Adjusted based on % partnership:</t>
  </si>
  <si>
    <t>Total Cost</t>
  </si>
  <si>
    <t>NPV New</t>
  </si>
  <si>
    <t>ROI</t>
  </si>
  <si>
    <t>Approved</t>
  </si>
  <si>
    <t>FA1 Approved total</t>
  </si>
  <si>
    <t>Year 1</t>
  </si>
  <si>
    <t>Year 2</t>
  </si>
  <si>
    <t>Year 3</t>
  </si>
  <si>
    <t>Functional Area</t>
  </si>
  <si>
    <t>FA 1</t>
  </si>
  <si>
    <t>FA 2</t>
  </si>
  <si>
    <t>FA 3</t>
  </si>
  <si>
    <t>FA2 Approved total</t>
  </si>
  <si>
    <t>FA3 Approved total</t>
  </si>
  <si>
    <t>overall Total for Approved Project:</t>
  </si>
  <si>
    <t>Cap Ex. Yr1</t>
  </si>
  <si>
    <t>Cap Ex. Yr2</t>
  </si>
  <si>
    <t>Cap Ex. Yr3</t>
  </si>
  <si>
    <t>Total Approved NPV</t>
  </si>
  <si>
    <t>% Change</t>
  </si>
  <si>
    <t>Avarage</t>
  </si>
  <si>
    <t>Minimum</t>
  </si>
  <si>
    <t>Maximum</t>
  </si>
  <si>
    <t>Linear Programming</t>
  </si>
  <si>
    <t>No. of Radio ad</t>
  </si>
  <si>
    <t>No. of TV ad</t>
  </si>
  <si>
    <t>&lt;- Coeff</t>
  </si>
  <si>
    <t>Objective (max):</t>
  </si>
  <si>
    <t>Budget</t>
  </si>
  <si>
    <t>LHS</t>
  </si>
  <si>
    <t>Sign</t>
  </si>
  <si>
    <t>RHS</t>
  </si>
  <si>
    <t>LHS (Left Hand Side)</t>
  </si>
  <si>
    <t>RHS (Right Hand Side)</t>
  </si>
  <si>
    <t>Contraints Table :</t>
  </si>
  <si>
    <t>&lt;=</t>
  </si>
  <si>
    <t xml:space="preserve">at least 10 radio </t>
  </si>
  <si>
    <t>at least 10 TV</t>
  </si>
  <si>
    <t>&gt;=</t>
  </si>
  <si>
    <t>R &gt;= T</t>
  </si>
  <si>
    <t>summary sentence :</t>
  </si>
  <si>
    <t xml:space="preserve">model reach maximum when both number of radio and TV ad  is 175 and 10. the objective function is 595000 people reached.  </t>
  </si>
  <si>
    <t>Assignment</t>
  </si>
  <si>
    <t>X</t>
  </si>
  <si>
    <t>Y</t>
  </si>
  <si>
    <t>Contraints Table:</t>
  </si>
  <si>
    <t>Cont. 1</t>
  </si>
  <si>
    <t xml:space="preserve"> Cont. 2</t>
  </si>
  <si>
    <t>Summary Sentence:</t>
  </si>
  <si>
    <t>the maximum profit is 510 that reach when X= 30 and Y=60</t>
  </si>
  <si>
    <t>Linear Programming and Net Profit</t>
  </si>
  <si>
    <t xml:space="preserve">Variable : </t>
  </si>
  <si>
    <t>no. of XPs</t>
  </si>
  <si>
    <t>no. of Basics</t>
  </si>
  <si>
    <t>Objective (max) :</t>
  </si>
  <si>
    <t>Total</t>
  </si>
  <si>
    <t>Parts :</t>
  </si>
  <si>
    <t>Labor/ Assembly :</t>
  </si>
  <si>
    <t>Labor/Testing :</t>
  </si>
  <si>
    <t>Profit</t>
  </si>
  <si>
    <t xml:space="preserve">Labor cost: </t>
  </si>
  <si>
    <t>Contraint Table :</t>
  </si>
  <si>
    <t>at most 600 basics</t>
  </si>
  <si>
    <t>at most 1200 XPs</t>
  </si>
  <si>
    <t>Assembly Hour</t>
  </si>
  <si>
    <t>Testing Hour</t>
  </si>
  <si>
    <t xml:space="preserve">&lt;= </t>
  </si>
  <si>
    <t>Summary Sentence :</t>
  </si>
  <si>
    <t xml:space="preserve">Produce 560 Basics and 1200 XPs to get maximum profit $199.600 </t>
  </si>
  <si>
    <t>Assigmnent</t>
  </si>
  <si>
    <t>no. of brenches</t>
  </si>
  <si>
    <t>no. of tables</t>
  </si>
  <si>
    <t xml:space="preserve">Contraint Table : </t>
  </si>
  <si>
    <t xml:space="preserve">LHS </t>
  </si>
  <si>
    <t xml:space="preserve">Sign </t>
  </si>
  <si>
    <t>Labor Hour</t>
  </si>
  <si>
    <t>Board feet of Teak</t>
  </si>
  <si>
    <t xml:space="preserve">Summary Sentences: </t>
  </si>
  <si>
    <t>The maximum profit is $3820 when produce 260 brenches and 35 tables</t>
  </si>
  <si>
    <t>X1</t>
  </si>
  <si>
    <t>X2</t>
  </si>
  <si>
    <t>X3</t>
  </si>
  <si>
    <t>X4</t>
  </si>
  <si>
    <t>X5</t>
  </si>
  <si>
    <t>&lt;-- Coeff</t>
  </si>
  <si>
    <t>20% in muni</t>
  </si>
  <si>
    <t>40$ in tech</t>
  </si>
  <si>
    <t>no more 50% in high risk</t>
  </si>
  <si>
    <t>summary Sentece:</t>
  </si>
  <si>
    <t>the maximum return who get is $20.300 when you invest in X1 = $ 50.000, X4 =$175.00, and X5=$25.000</t>
  </si>
  <si>
    <t>Out Product</t>
  </si>
  <si>
    <t>Enriched Grain</t>
  </si>
  <si>
    <t>Mineral Product</t>
  </si>
  <si>
    <t xml:space="preserve"> &lt;- (lb)</t>
  </si>
  <si>
    <t>Objective (min):</t>
  </si>
  <si>
    <t>Max pound of feed/day</t>
  </si>
  <si>
    <t>Ingredients A</t>
  </si>
  <si>
    <t>Ingredients B</t>
  </si>
  <si>
    <t>Ingredients C</t>
  </si>
  <si>
    <t>Ingredients D</t>
  </si>
  <si>
    <t>Ingredients E</t>
  </si>
  <si>
    <t>Linear Programming and Investment Allocation</t>
  </si>
  <si>
    <t>Linear Programming and Transportation</t>
  </si>
  <si>
    <t>AB</t>
  </si>
  <si>
    <t>AC</t>
  </si>
  <si>
    <t>AE</t>
  </si>
  <si>
    <t>BB</t>
  </si>
  <si>
    <t>BC</t>
  </si>
  <si>
    <t>BE</t>
  </si>
  <si>
    <t>CB</t>
  </si>
  <si>
    <t>CC</t>
  </si>
  <si>
    <t>CE</t>
  </si>
  <si>
    <t>DB</t>
  </si>
  <si>
    <t>DC</t>
  </si>
  <si>
    <t>DE</t>
  </si>
  <si>
    <t>EB</t>
  </si>
  <si>
    <t>EC</t>
  </si>
  <si>
    <t>EE</t>
  </si>
  <si>
    <t>Objective (min) :</t>
  </si>
  <si>
    <t>total student miles :</t>
  </si>
  <si>
    <t>Contraint table :</t>
  </si>
  <si>
    <t>900 in school B</t>
  </si>
  <si>
    <t>900 in school C</t>
  </si>
  <si>
    <t>900 in school E</t>
  </si>
  <si>
    <t>700 in sector A</t>
  </si>
  <si>
    <t>=</t>
  </si>
  <si>
    <t>500 in sector B</t>
  </si>
  <si>
    <t>100 in sector C</t>
  </si>
  <si>
    <t>800 in sector D</t>
  </si>
  <si>
    <t>400 in sector E</t>
  </si>
  <si>
    <t>no. of student iwho travelled by the bus</t>
  </si>
  <si>
    <t>400 students from Ato B, 300 students from A to E, etc</t>
  </si>
  <si>
    <t xml:space="preserve">hiring cost </t>
  </si>
  <si>
    <t>firing cost</t>
  </si>
  <si>
    <t xml:space="preserve">annual salary </t>
  </si>
  <si>
    <t>hiring &amp; firing cost</t>
  </si>
  <si>
    <t xml:space="preserve">the current drivers </t>
  </si>
  <si>
    <t>no. of driver at year 1</t>
  </si>
  <si>
    <t>no. of driver at year 2</t>
  </si>
  <si>
    <t>no. of driver at year 3</t>
  </si>
  <si>
    <t>no. of driver at year 4</t>
  </si>
  <si>
    <t>no. of driver at year 5</t>
  </si>
  <si>
    <t>Total driver at year 1-5</t>
  </si>
  <si>
    <t>salary for year 1-5</t>
  </si>
  <si>
    <t>total cost (hire,fire, salary)</t>
  </si>
  <si>
    <t>Contraint table</t>
  </si>
  <si>
    <t>60 drivers in year 1</t>
  </si>
  <si>
    <t>70  drivers in year 2</t>
  </si>
  <si>
    <t>50 drivers in year 3</t>
  </si>
  <si>
    <t>65 drivers in year 4</t>
  </si>
  <si>
    <t>75 drivers in year 5</t>
  </si>
  <si>
    <t>H1</t>
  </si>
  <si>
    <t>F2</t>
  </si>
  <si>
    <t>F1</t>
  </si>
  <si>
    <t>H2</t>
  </si>
  <si>
    <t>H3</t>
  </si>
  <si>
    <t>F3</t>
  </si>
  <si>
    <t>H4</t>
  </si>
  <si>
    <t>F4</t>
  </si>
  <si>
    <t>H5</t>
  </si>
  <si>
    <t>F5</t>
  </si>
  <si>
    <t>no. of driver who hire &amp; fire in year 1-5</t>
  </si>
  <si>
    <t>Assignment 2</t>
  </si>
  <si>
    <t>no. of soccer ball</t>
  </si>
  <si>
    <t>no. of basketball</t>
  </si>
  <si>
    <t>objective (max)</t>
  </si>
  <si>
    <t>&lt;- profit</t>
  </si>
  <si>
    <t xml:space="preserve">Constraint table : </t>
  </si>
  <si>
    <t>machine time</t>
  </si>
  <si>
    <t>worker's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</si>
</sst>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Rp&quot;#,##0;[Red]\-&quot;Rp&quot;#,##0"/>
    <numFmt numFmtId="8" formatCode="&quot;Rp&quot;#,##0.00;[Red]\-&quot;Rp&quot;#,##0.00"/>
    <numFmt numFmtId="42" formatCode="_-&quot;Rp&quot;* #,##0_-;\-&quot;Rp&quot;* #,##0_-;_-&quot;Rp&quot;* &quot;-&quot;_-;_-@_-"/>
    <numFmt numFmtId="44" formatCode="_-&quot;Rp&quot;* #,##0.00_-;\-&quot;Rp&quot;* #,##0.00_-;_-&quot;Rp&quot;* &quot;-&quot;??_-;_-@_-"/>
    <numFmt numFmtId="164" formatCode="_-[$$-409]* #,##0.00_ ;_-[$$-409]* \-#,##0.00\ ;_-[$$-409]* &quot;-&quot;??_ ;_-@_ "/>
    <numFmt numFmtId="165" formatCode="0.0%"/>
    <numFmt numFmtId="166" formatCode="_-[$$-409]* #,##0_ ;_-[$$-409]* \-#,##0\ ;_-[$$-409]* &quot;-&quot;_ ;_-@_ "/>
    <numFmt numFmtId="167" formatCode="_-[$$-409]* #,##0_ ;_-[$$-409]* \-#,##0\ ;_-[$$-409]* &quot;-&quot;??_ ;_-@_ "/>
    <numFmt numFmtId="168" formatCode="0.000"/>
    <numFmt numFmtId="169" formatCode="0.0000"/>
    <numFmt numFmtId="170" formatCode="0.00000"/>
    <numFmt numFmtId="171" formatCode="0.0"/>
    <numFmt numFmtId="172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6" fillId="0" borderId="3" applyNumberFormat="0" applyFill="0" applyAlignment="0" applyProtection="0"/>
    <xf numFmtId="44" fontId="1" fillId="0" borderId="0" applyFont="0" applyFill="0" applyBorder="0" applyAlignment="0" applyProtection="0"/>
  </cellStyleXfs>
  <cellXfs count="181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164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horizontal="center" vertical="center"/>
    </xf>
    <xf numFmtId="10" fontId="0" fillId="2" borderId="0" xfId="2" applyNumberFormat="1" applyFont="1" applyFill="1"/>
    <xf numFmtId="10" fontId="0" fillId="2" borderId="0" xfId="0" applyNumberFormat="1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1" fontId="0" fillId="0" borderId="0" xfId="0" applyNumberFormat="1"/>
    <xf numFmtId="165" fontId="0" fillId="0" borderId="0" xfId="0" applyNumberFormat="1"/>
    <xf numFmtId="0" fontId="0" fillId="0" borderId="1" xfId="0" applyBorder="1"/>
    <xf numFmtId="164" fontId="3" fillId="0" borderId="1" xfId="0" applyNumberFormat="1" applyFont="1" applyBorder="1"/>
    <xf numFmtId="9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0" fontId="5" fillId="0" borderId="1" xfId="0" applyFont="1" applyBorder="1"/>
    <xf numFmtId="0" fontId="4" fillId="0" borderId="2" xfId="3" applyAlignment="1">
      <alignment horizontal="center"/>
    </xf>
    <xf numFmtId="0" fontId="4" fillId="0" borderId="2" xfId="3"/>
    <xf numFmtId="166" fontId="0" fillId="0" borderId="0" xfId="0" applyNumberFormat="1"/>
    <xf numFmtId="0" fontId="6" fillId="0" borderId="3" xfId="4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167" fontId="0" fillId="0" borderId="1" xfId="0" applyNumberFormat="1" applyBorder="1"/>
    <xf numFmtId="164" fontId="7" fillId="3" borderId="1" xfId="0" applyNumberFormat="1" applyFont="1" applyFill="1" applyBorder="1"/>
    <xf numFmtId="0" fontId="0" fillId="4" borderId="0" xfId="0" applyFill="1"/>
    <xf numFmtId="0" fontId="0" fillId="0" borderId="0" xfId="0" applyAlignment="1">
      <alignment horizontal="left" indent="2"/>
    </xf>
    <xf numFmtId="164" fontId="3" fillId="0" borderId="1" xfId="0" applyNumberFormat="1" applyFon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4" borderId="0" xfId="0" applyNumberFormat="1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8" fontId="0" fillId="0" borderId="0" xfId="0" applyNumberFormat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5" borderId="0" xfId="0" applyNumberFormat="1" applyFill="1" applyAlignment="1">
      <alignment horizontal="center"/>
    </xf>
    <xf numFmtId="164" fontId="0" fillId="5" borderId="0" xfId="0" applyNumberFormat="1" applyFill="1"/>
    <xf numFmtId="1" fontId="0" fillId="0" borderId="0" xfId="0" applyNumberFormat="1" applyAlignment="1">
      <alignment horizontal="center"/>
    </xf>
    <xf numFmtId="167" fontId="0" fillId="0" borderId="0" xfId="0" applyNumberFormat="1"/>
    <xf numFmtId="167" fontId="0" fillId="5" borderId="1" xfId="0" applyNumberFormat="1" applyFill="1" applyBorder="1"/>
    <xf numFmtId="164" fontId="0" fillId="6" borderId="1" xfId="0" applyNumberFormat="1" applyFill="1" applyBorder="1"/>
    <xf numFmtId="0" fontId="0" fillId="0" borderId="6" xfId="0" applyBorder="1" applyAlignment="1">
      <alignment vertical="center" textRotation="90"/>
    </xf>
    <xf numFmtId="0" fontId="0" fillId="0" borderId="5" xfId="0" applyBorder="1" applyAlignment="1">
      <alignment vertical="center" textRotation="90"/>
    </xf>
    <xf numFmtId="0" fontId="0" fillId="0" borderId="4" xfId="0" applyBorder="1" applyAlignment="1">
      <alignment vertical="center" textRotation="90"/>
    </xf>
    <xf numFmtId="169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9" fontId="0" fillId="0" borderId="0" xfId="0" applyNumberFormat="1"/>
    <xf numFmtId="171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9" fontId="0" fillId="4" borderId="0" xfId="0" applyNumberFormat="1" applyFill="1"/>
    <xf numFmtId="9" fontId="0" fillId="0" borderId="1" xfId="2" applyFont="1" applyBorder="1" applyAlignment="1">
      <alignment horizontal="center" vertical="center"/>
    </xf>
    <xf numFmtId="9" fontId="0" fillId="7" borderId="0" xfId="0" applyNumberFormat="1" applyFill="1" applyAlignment="1">
      <alignment horizontal="center"/>
    </xf>
    <xf numFmtId="0" fontId="0" fillId="0" borderId="1" xfId="0" applyBorder="1" applyAlignment="1">
      <alignment horizontal="right"/>
    </xf>
    <xf numFmtId="9" fontId="0" fillId="0" borderId="1" xfId="2" applyFont="1" applyBorder="1"/>
    <xf numFmtId="9" fontId="0" fillId="0" borderId="1" xfId="0" applyNumberFormat="1" applyBorder="1"/>
    <xf numFmtId="8" fontId="0" fillId="0" borderId="0" xfId="0" applyNumberFormat="1"/>
    <xf numFmtId="0" fontId="0" fillId="4" borderId="1" xfId="0" applyFill="1" applyBorder="1"/>
    <xf numFmtId="0" fontId="2" fillId="0" borderId="0" xfId="0" applyFont="1" applyAlignment="1">
      <alignment horizontal="center"/>
    </xf>
    <xf numFmtId="0" fontId="2" fillId="9" borderId="10" xfId="0" applyFont="1" applyFill="1" applyBorder="1" applyAlignment="1">
      <alignment horizontal="center"/>
    </xf>
    <xf numFmtId="172" fontId="2" fillId="9" borderId="10" xfId="5" applyNumberFormat="1" applyFont="1" applyFill="1" applyBorder="1" applyAlignment="1">
      <alignment horizontal="center"/>
    </xf>
    <xf numFmtId="44" fontId="2" fillId="9" borderId="10" xfId="5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44" fontId="1" fillId="8" borderId="0" xfId="5" applyFill="1"/>
    <xf numFmtId="172" fontId="0" fillId="0" borderId="0" xfId="5" applyNumberFormat="1" applyFont="1" applyAlignment="1">
      <alignment horizontal="center"/>
    </xf>
    <xf numFmtId="9" fontId="0" fillId="0" borderId="0" xfId="2" applyFont="1" applyAlignment="1">
      <alignment horizontal="center"/>
    </xf>
    <xf numFmtId="164" fontId="0" fillId="0" borderId="0" xfId="0" applyNumberFormat="1" applyAlignment="1">
      <alignment vertical="center"/>
    </xf>
    <xf numFmtId="10" fontId="0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10" fontId="0" fillId="0" borderId="0" xfId="0" applyNumberFormat="1"/>
    <xf numFmtId="0" fontId="0" fillId="11" borderId="0" xfId="0" applyFill="1" applyAlignment="1">
      <alignment horizontal="right"/>
    </xf>
    <xf numFmtId="165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9" fontId="0" fillId="0" borderId="0" xfId="2" applyFont="1"/>
    <xf numFmtId="165" fontId="0" fillId="4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  <xf numFmtId="6" fontId="0" fillId="0" borderId="0" xfId="0" applyNumberFormat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12" borderId="17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9" fontId="0" fillId="12" borderId="5" xfId="0" applyNumberFormat="1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2" fillId="0" borderId="1" xfId="0" applyFont="1" applyBorder="1"/>
    <xf numFmtId="167" fontId="0" fillId="0" borderId="1" xfId="0" applyNumberFormat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9" fontId="0" fillId="12" borderId="1" xfId="0" applyNumberFormat="1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9" fontId="0" fillId="4" borderId="1" xfId="0" applyNumberFormat="1" applyFill="1" applyBorder="1"/>
    <xf numFmtId="0" fontId="0" fillId="13" borderId="19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9" fontId="0" fillId="13" borderId="1" xfId="0" applyNumberFormat="1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9" fontId="0" fillId="14" borderId="1" xfId="0" applyNumberFormat="1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2" xfId="0" applyFill="1" applyBorder="1" applyAlignment="1">
      <alignment horizontal="center"/>
    </xf>
    <xf numFmtId="9" fontId="0" fillId="14" borderId="22" xfId="0" applyNumberFormat="1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0" fontId="2" fillId="15" borderId="24" xfId="0" applyFont="1" applyFill="1" applyBorder="1" applyAlignment="1">
      <alignment horizontal="center"/>
    </xf>
    <xf numFmtId="0" fontId="2" fillId="12" borderId="24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9" fontId="0" fillId="15" borderId="5" xfId="0" applyNumberFormat="1" applyFill="1" applyBorder="1" applyAlignment="1">
      <alignment horizontal="center"/>
    </xf>
    <xf numFmtId="164" fontId="0" fillId="15" borderId="5" xfId="0" applyNumberFormat="1" applyFill="1" applyBorder="1" applyAlignment="1">
      <alignment horizontal="center"/>
    </xf>
    <xf numFmtId="167" fontId="0" fillId="15" borderId="5" xfId="0" applyNumberFormat="1" applyFill="1" applyBorder="1"/>
    <xf numFmtId="9" fontId="0" fillId="15" borderId="5" xfId="2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9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 applyAlignment="1">
      <alignment horizontal="center"/>
    </xf>
    <xf numFmtId="167" fontId="0" fillId="15" borderId="1" xfId="0" applyNumberFormat="1" applyFill="1" applyBorder="1"/>
    <xf numFmtId="9" fontId="0" fillId="15" borderId="1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15" borderId="25" xfId="0" applyFill="1" applyBorder="1" applyAlignment="1">
      <alignment horizontal="center"/>
    </xf>
    <xf numFmtId="0" fontId="0" fillId="0" borderId="25" xfId="0" applyBorder="1"/>
    <xf numFmtId="164" fontId="0" fillId="15" borderId="26" xfId="0" applyNumberForma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7" fontId="0" fillId="0" borderId="1" xfId="2" applyNumberFormat="1" applyFont="1" applyBorder="1"/>
    <xf numFmtId="164" fontId="0" fillId="15" borderId="25" xfId="0" applyNumberFormat="1" applyFill="1" applyBorder="1" applyAlignment="1">
      <alignment horizontal="center"/>
    </xf>
    <xf numFmtId="0" fontId="2" fillId="14" borderId="24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  <xf numFmtId="164" fontId="0" fillId="0" borderId="5" xfId="0" applyNumberFormat="1" applyBorder="1"/>
    <xf numFmtId="9" fontId="0" fillId="0" borderId="5" xfId="2" applyFont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24" xfId="0" applyFont="1" applyBorder="1"/>
    <xf numFmtId="9" fontId="8" fillId="0" borderId="1" xfId="2" applyFont="1" applyBorder="1" applyAlignment="1">
      <alignment horizontal="center"/>
    </xf>
    <xf numFmtId="167" fontId="0" fillId="0" borderId="5" xfId="0" applyNumberFormat="1" applyBorder="1"/>
    <xf numFmtId="0" fontId="0" fillId="16" borderId="0" xfId="0" applyFill="1" applyAlignment="1">
      <alignment horizontal="center"/>
    </xf>
    <xf numFmtId="167" fontId="0" fillId="16" borderId="0" xfId="0" applyNumberFormat="1" applyFill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167" fontId="0" fillId="16" borderId="1" xfId="0" applyNumberFormat="1" applyFill="1" applyBorder="1"/>
    <xf numFmtId="164" fontId="0" fillId="16" borderId="0" xfId="0" applyNumberFormat="1" applyFill="1"/>
    <xf numFmtId="167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textRotation="90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0" borderId="0" xfId="4" applyBorder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 textRotation="90"/>
    </xf>
    <xf numFmtId="0" fontId="0" fillId="11" borderId="0" xfId="0" applyFill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" xfId="0" applyBorder="1" applyAlignment="1">
      <alignment horizontal="left"/>
    </xf>
    <xf numFmtId="0" fontId="9" fillId="0" borderId="3" xfId="4" applyFont="1" applyAlignment="1">
      <alignment horizontal="left"/>
    </xf>
    <xf numFmtId="0" fontId="4" fillId="0" borderId="0" xfId="3" applyBorder="1" applyAlignment="1">
      <alignment horizontal="center"/>
    </xf>
    <xf numFmtId="0" fontId="4" fillId="0" borderId="2" xfId="3" applyAlignment="1">
      <alignment horizontal="center"/>
    </xf>
  </cellXfs>
  <cellStyles count="6">
    <cellStyle name="Currency" xfId="5" builtinId="4"/>
    <cellStyle name="Currency [0]" xfId="1" builtinId="7"/>
    <cellStyle name="Heading 1" xfId="4" builtinId="16"/>
    <cellStyle name="Heading 2" xfId="3" builtinId="17"/>
    <cellStyle name="Normal" xfId="0" builtinId="0"/>
    <cellStyle name="Percent" xfId="2" builtinId="5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Woodworks Bookshelf Co. Cost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[1]Sheet1!$B$16</c:f>
              <c:strCache>
                <c:ptCount val="1"/>
                <c:pt idx="0">
                  <c:v>Cherry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[1]Sheet1!$B$17:$B$22</c:f>
              <c:numCache>
                <c:formatCode>General</c:formatCode>
                <c:ptCount val="6"/>
                <c:pt idx="0">
                  <c:v>165</c:v>
                </c:pt>
                <c:pt idx="1">
                  <c:v>168.96</c:v>
                </c:pt>
                <c:pt idx="2">
                  <c:v>173.01504</c:v>
                </c:pt>
                <c:pt idx="3">
                  <c:v>177.16740096000001</c:v>
                </c:pt>
                <c:pt idx="4">
                  <c:v>181.41941858304003</c:v>
                </c:pt>
                <c:pt idx="5">
                  <c:v>185.77348462903299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50-4F6B-8D71-FCCF82C4DA53}"/>
            </c:ext>
          </c:extLst>
        </c:ser>
        <c:ser>
          <c:idx val="1"/>
          <c:order val="1"/>
          <c:tx>
            <c:strRef>
              <c:f>[1]Sheet1!$C$16</c:f>
              <c:strCache>
                <c:ptCount val="1"/>
                <c:pt idx="0">
                  <c:v>Oak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[1]Sheet1!$A$17:$A$22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[1]Sheet1!$C$17:$C$22</c:f>
              <c:numCache>
                <c:formatCode>General</c:formatCode>
                <c:ptCount val="6"/>
                <c:pt idx="0">
                  <c:v>129</c:v>
                </c:pt>
                <c:pt idx="1">
                  <c:v>131.19299999999998</c:v>
                </c:pt>
                <c:pt idx="2">
                  <c:v>134.34163199999998</c:v>
                </c:pt>
                <c:pt idx="3">
                  <c:v>137.56583116799999</c:v>
                </c:pt>
                <c:pt idx="4">
                  <c:v>140.867411116032</c:v>
                </c:pt>
                <c:pt idx="5">
                  <c:v>144.24822898281678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50-4F6B-8D71-FCCF82C4DA53}"/>
            </c:ext>
          </c:extLst>
        </c:ser>
        <c:ser>
          <c:idx val="2"/>
          <c:order val="2"/>
          <c:tx>
            <c:strRef>
              <c:f>[1]Sheet1!$D$16</c:f>
              <c:strCache>
                <c:ptCount val="1"/>
                <c:pt idx="0">
                  <c:v>Labor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[1]Sheet1!$A$17:$A$22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[1]Sheet1!$D$17:$D$22</c:f>
              <c:numCache>
                <c:formatCode>General</c:formatCode>
                <c:ptCount val="6"/>
                <c:pt idx="0">
                  <c:v>296</c:v>
                </c:pt>
                <c:pt idx="1">
                  <c:v>300.44</c:v>
                </c:pt>
                <c:pt idx="2">
                  <c:v>307.65055999999998</c:v>
                </c:pt>
                <c:pt idx="3">
                  <c:v>315.03417344000002</c:v>
                </c:pt>
                <c:pt idx="4">
                  <c:v>322.59499360256001</c:v>
                </c:pt>
                <c:pt idx="5">
                  <c:v>330.33727344902144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50-4F6B-8D71-FCCF82C4DA53}"/>
            </c:ext>
          </c:extLst>
        </c:ser>
        <c:ser>
          <c:idx val="3"/>
          <c:order val="3"/>
          <c:tx>
            <c:strRef>
              <c:f>[1]Sheet1!$E$16</c:f>
              <c:strCache>
                <c:ptCount val="1"/>
                <c:pt idx="0">
                  <c:v>Cherry + Labor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[1]Sheet1!$A$17:$A$22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[1]Sheet1!$E$17:$E$22</c:f>
              <c:numCache>
                <c:formatCode>General</c:formatCode>
                <c:ptCount val="6"/>
                <c:pt idx="0">
                  <c:v>461</c:v>
                </c:pt>
                <c:pt idx="1">
                  <c:v>469.4</c:v>
                </c:pt>
                <c:pt idx="2">
                  <c:v>480.66559999999998</c:v>
                </c:pt>
                <c:pt idx="3">
                  <c:v>492.20157439999997</c:v>
                </c:pt>
                <c:pt idx="4">
                  <c:v>504.01441218559995</c:v>
                </c:pt>
                <c:pt idx="5">
                  <c:v>516.11075807805435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50-4F6B-8D71-FCCF82C4DA53}"/>
            </c:ext>
          </c:extLst>
        </c:ser>
        <c:ser>
          <c:idx val="4"/>
          <c:order val="4"/>
          <c:tx>
            <c:strRef>
              <c:f>[1]Sheet1!$F$16</c:f>
              <c:strCache>
                <c:ptCount val="1"/>
                <c:pt idx="0">
                  <c:v>Oak + Labor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[1]Sheet1!$A$17:$A$22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[1]Sheet1!$F$17:$F$22</c:f>
              <c:numCache>
                <c:formatCode>General</c:formatCode>
                <c:ptCount val="6"/>
                <c:pt idx="0">
                  <c:v>425</c:v>
                </c:pt>
                <c:pt idx="1">
                  <c:v>431.63299999999998</c:v>
                </c:pt>
                <c:pt idx="2">
                  <c:v>441.99219199999999</c:v>
                </c:pt>
                <c:pt idx="3">
                  <c:v>452.60000460800001</c:v>
                </c:pt>
                <c:pt idx="4">
                  <c:v>463.46240471859204</c:v>
                </c:pt>
                <c:pt idx="5">
                  <c:v>474.58550243183828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50-4F6B-8D71-FCCF82C4D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173856"/>
        <c:axId val="1483616592"/>
      </c:barChart>
      <c:catAx>
        <c:axId val="153317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616592"/>
        <c:crosses val="autoZero"/>
        <c:auto val="1"/>
        <c:lblAlgn val="ctr"/>
        <c:lblOffset val="100"/>
        <c:noMultiLvlLbl val="0"/>
      </c:catAx>
      <c:valAx>
        <c:axId val="148361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17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Woodworks Bookshelf Co. Cost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[1]Sheet1!$B$16</c:f>
              <c:strCache>
                <c:ptCount val="1"/>
                <c:pt idx="0">
                  <c:v>Cherry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[1]Sheet1!$B$17:$B$22</c:f>
              <c:numCache>
                <c:formatCode>General</c:formatCode>
                <c:ptCount val="6"/>
                <c:pt idx="0">
                  <c:v>165</c:v>
                </c:pt>
                <c:pt idx="1">
                  <c:v>168.96</c:v>
                </c:pt>
                <c:pt idx="2">
                  <c:v>173.01504</c:v>
                </c:pt>
                <c:pt idx="3">
                  <c:v>177.16740096000001</c:v>
                </c:pt>
                <c:pt idx="4">
                  <c:v>181.41941858304003</c:v>
                </c:pt>
                <c:pt idx="5">
                  <c:v>185.77348462903299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8B-47DA-8C3C-FA71EE0B74A8}"/>
            </c:ext>
          </c:extLst>
        </c:ser>
        <c:ser>
          <c:idx val="1"/>
          <c:order val="1"/>
          <c:tx>
            <c:strRef>
              <c:f>[1]Sheet1!$C$16</c:f>
              <c:strCache>
                <c:ptCount val="1"/>
                <c:pt idx="0">
                  <c:v>Oak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[1]Sheet1!$C$17:$C$22</c:f>
              <c:numCache>
                <c:formatCode>General</c:formatCode>
                <c:ptCount val="6"/>
                <c:pt idx="0">
                  <c:v>129</c:v>
                </c:pt>
                <c:pt idx="1">
                  <c:v>131.19299999999998</c:v>
                </c:pt>
                <c:pt idx="2">
                  <c:v>134.34163199999998</c:v>
                </c:pt>
                <c:pt idx="3">
                  <c:v>137.56583116799999</c:v>
                </c:pt>
                <c:pt idx="4">
                  <c:v>140.867411116032</c:v>
                </c:pt>
                <c:pt idx="5">
                  <c:v>144.24822898281678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8B-47DA-8C3C-FA71EE0B74A8}"/>
            </c:ext>
          </c:extLst>
        </c:ser>
        <c:ser>
          <c:idx val="2"/>
          <c:order val="2"/>
          <c:tx>
            <c:strRef>
              <c:f>[1]Sheet1!$D$16</c:f>
              <c:strCache>
                <c:ptCount val="1"/>
                <c:pt idx="0">
                  <c:v>Labor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[1]Sheet1!$A$17:$A$22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[1]Sheet1!$D$17:$D$22</c:f>
              <c:numCache>
                <c:formatCode>General</c:formatCode>
                <c:ptCount val="6"/>
                <c:pt idx="0">
                  <c:v>296</c:v>
                </c:pt>
                <c:pt idx="1">
                  <c:v>300.44</c:v>
                </c:pt>
                <c:pt idx="2">
                  <c:v>307.65055999999998</c:v>
                </c:pt>
                <c:pt idx="3">
                  <c:v>315.03417344000002</c:v>
                </c:pt>
                <c:pt idx="4">
                  <c:v>322.59499360256001</c:v>
                </c:pt>
                <c:pt idx="5">
                  <c:v>330.33727344902144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8B-47DA-8C3C-FA71EE0B74A8}"/>
            </c:ext>
          </c:extLst>
        </c:ser>
        <c:ser>
          <c:idx val="3"/>
          <c:order val="3"/>
          <c:tx>
            <c:strRef>
              <c:f>[1]Sheet1!$E$16</c:f>
              <c:strCache>
                <c:ptCount val="1"/>
                <c:pt idx="0">
                  <c:v>Cherry + Labor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[1]Sheet1!$A$17:$A$22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[1]Sheet1!$E$17:$E$22</c:f>
              <c:numCache>
                <c:formatCode>General</c:formatCode>
                <c:ptCount val="6"/>
                <c:pt idx="0">
                  <c:v>461</c:v>
                </c:pt>
                <c:pt idx="1">
                  <c:v>469.4</c:v>
                </c:pt>
                <c:pt idx="2">
                  <c:v>480.66559999999998</c:v>
                </c:pt>
                <c:pt idx="3">
                  <c:v>492.20157439999997</c:v>
                </c:pt>
                <c:pt idx="4">
                  <c:v>504.01441218559995</c:v>
                </c:pt>
                <c:pt idx="5">
                  <c:v>516.11075807805435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8B-47DA-8C3C-FA71EE0B74A8}"/>
            </c:ext>
          </c:extLst>
        </c:ser>
        <c:ser>
          <c:idx val="4"/>
          <c:order val="4"/>
          <c:tx>
            <c:strRef>
              <c:f>[1]Sheet1!$F$16</c:f>
              <c:strCache>
                <c:ptCount val="1"/>
                <c:pt idx="0">
                  <c:v>Oak + Labor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[1]Sheet1!$A$17:$A$22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[1]Sheet1!$F$17:$F$22</c:f>
              <c:numCache>
                <c:formatCode>General</c:formatCode>
                <c:ptCount val="6"/>
                <c:pt idx="0">
                  <c:v>425</c:v>
                </c:pt>
                <c:pt idx="1">
                  <c:v>431.63299999999998</c:v>
                </c:pt>
                <c:pt idx="2">
                  <c:v>441.99219199999999</c:v>
                </c:pt>
                <c:pt idx="3">
                  <c:v>452.60000460800001</c:v>
                </c:pt>
                <c:pt idx="4">
                  <c:v>463.46240471859204</c:v>
                </c:pt>
                <c:pt idx="5">
                  <c:v>474.58550243183828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8B-47DA-8C3C-FA71EE0B7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0118752"/>
        <c:axId val="1535715456"/>
      </c:lineChart>
      <c:catAx>
        <c:axId val="132011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715456"/>
        <c:crosses val="autoZero"/>
        <c:auto val="1"/>
        <c:lblAlgn val="ctr"/>
        <c:lblOffset val="100"/>
        <c:noMultiLvlLbl val="0"/>
      </c:catAx>
      <c:valAx>
        <c:axId val="15357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11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100" b="1"/>
              <a:t> Quality Sweater Company: Respones Rate vs </a:t>
            </a:r>
            <a:r>
              <a:rPr lang="en-ID" sz="1100" b="1" baseline="0"/>
              <a:t>Profit</a:t>
            </a:r>
            <a:endParaRPr lang="en-ID" sz="11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722905286491158"/>
          <c:y val="0.20066157760814249"/>
          <c:w val="0.66469115954473212"/>
          <c:h val="0.6659794434092685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'Goal Seek'!$E$6:$E$26</c:f>
              <c:numCache>
                <c:formatCode>0.00%</c:formatCode>
                <c:ptCount val="21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  <c:pt idx="11">
                  <c:v>8.5000000000000006E-2</c:v>
                </c:pt>
                <c:pt idx="12" formatCode="0%">
                  <c:v>9.0000000000000094E-2</c:v>
                </c:pt>
                <c:pt idx="13">
                  <c:v>9.5000000000000098E-2</c:v>
                </c:pt>
                <c:pt idx="14" formatCode="0%">
                  <c:v>0.1</c:v>
                </c:pt>
                <c:pt idx="15">
                  <c:v>0.105</c:v>
                </c:pt>
                <c:pt idx="16" formatCode="0%">
                  <c:v>0.11</c:v>
                </c:pt>
                <c:pt idx="17">
                  <c:v>0.115</c:v>
                </c:pt>
                <c:pt idx="18" formatCode="0%">
                  <c:v>0.12</c:v>
                </c:pt>
                <c:pt idx="19">
                  <c:v>0.125</c:v>
                </c:pt>
                <c:pt idx="20" formatCode="0%">
                  <c:v>0.13</c:v>
                </c:pt>
              </c:numCache>
            </c:numRef>
          </c:cat>
          <c:val>
            <c:numRef>
              <c:f>'Goal Seek'!$F$6:$F$26</c:f>
              <c:numCache>
                <c:formatCode>_-[$$-409]* #,##0.00_ ;_-[$$-409]* \-#,##0.00\ ;_-[$$-409]* "-"??_ ;_-@_ </c:formatCode>
                <c:ptCount val="2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  <c:pt idx="11">
                  <c:v>21300</c:v>
                </c:pt>
                <c:pt idx="12">
                  <c:v>25200.000000000058</c:v>
                </c:pt>
                <c:pt idx="13">
                  <c:v>29100.000000000058</c:v>
                </c:pt>
                <c:pt idx="14">
                  <c:v>33000</c:v>
                </c:pt>
                <c:pt idx="15">
                  <c:v>36899.999999999942</c:v>
                </c:pt>
                <c:pt idx="16">
                  <c:v>40799.999999999942</c:v>
                </c:pt>
                <c:pt idx="17">
                  <c:v>44699.999999999942</c:v>
                </c:pt>
                <c:pt idx="18">
                  <c:v>48599.999999999942</c:v>
                </c:pt>
                <c:pt idx="19">
                  <c:v>52499.999999999942</c:v>
                </c:pt>
                <c:pt idx="20">
                  <c:v>56399.999999999942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8-4B22-A438-6F8AD496C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5479408"/>
        <c:axId val="1601257936"/>
      </c:barChart>
      <c:catAx>
        <c:axId val="45547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Respones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257936"/>
        <c:crosses val="autoZero"/>
        <c:auto val="1"/>
        <c:lblAlgn val="ctr"/>
        <c:lblOffset val="100"/>
        <c:noMultiLvlLbl val="0"/>
      </c:catAx>
      <c:valAx>
        <c:axId val="160125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Profit</a:t>
                </a:r>
              </a:p>
              <a:p>
                <a:pPr>
                  <a:defRPr/>
                </a:pP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47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Regression!$C$2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284773678474467"/>
                  <c:y val="-0.569055534724826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9.9605147508986316E-2"/>
                  <c:y val="-0.4032970427433033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1001315366756985"/>
                  <c:y val="-0.290642712982176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Regression!$C$3:$C$14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D-4361-8CB4-FF4BA61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720944"/>
        <c:axId val="24336400"/>
      </c:scatterChart>
      <c:valAx>
        <c:axId val="114172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6400"/>
        <c:crosses val="autoZero"/>
        <c:crossBetween val="midCat"/>
      </c:valAx>
      <c:valAx>
        <c:axId val="243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72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Sale</a:t>
            </a:r>
            <a:r>
              <a:rPr lang="en-ID" baseline="0"/>
              <a:t> price vs Profit with power model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Regression!$H$44:$H$118</c:f>
              <c:numCache>
                <c:formatCode>_-[$$-409]* #,##0.00_ ;_-[$$-409]* \-#,##0.00\ ;_-[$$-409]* "-"??_ ;_-@_ </c:formatCode>
                <c:ptCount val="7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  <c:pt idx="62">
                  <c:v>880</c:v>
                </c:pt>
                <c:pt idx="63">
                  <c:v>890</c:v>
                </c:pt>
                <c:pt idx="64">
                  <c:v>900</c:v>
                </c:pt>
                <c:pt idx="65">
                  <c:v>910</c:v>
                </c:pt>
                <c:pt idx="66">
                  <c:v>920</c:v>
                </c:pt>
                <c:pt idx="67">
                  <c:v>930</c:v>
                </c:pt>
                <c:pt idx="68">
                  <c:v>940</c:v>
                </c:pt>
                <c:pt idx="69">
                  <c:v>950</c:v>
                </c:pt>
                <c:pt idx="70">
                  <c:v>960</c:v>
                </c:pt>
                <c:pt idx="71">
                  <c:v>970</c:v>
                </c:pt>
                <c:pt idx="72">
                  <c:v>980</c:v>
                </c:pt>
                <c:pt idx="73">
                  <c:v>990</c:v>
                </c:pt>
                <c:pt idx="74">
                  <c:v>1000</c:v>
                </c:pt>
              </c:numCache>
            </c:numRef>
          </c:xVal>
          <c:yVal>
            <c:numRef>
              <c:f>Regression!$I$44:$I$118</c:f>
              <c:numCache>
                <c:formatCode>_-[$$-409]* #,##0_ ;_-[$$-409]* \-#,##0\ ;_-[$$-409]* "-"??_ ;_-@_ </c:formatCode>
                <c:ptCount val="75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1024731.2726827315</c:v>
                </c:pt>
                <c:pt idx="36">
                  <c:v>1021022.2237432048</c:v>
                </c:pt>
                <c:pt idx="37">
                  <c:v>1017088.2634793159</c:v>
                </c:pt>
                <c:pt idx="38">
                  <c:v>1012954.7173026291</c:v>
                </c:pt>
                <c:pt idx="39">
                  <c:v>1008644.4924491229</c:v>
                </c:pt>
                <c:pt idx="40">
                  <c:v>1004178.3234829371</c:v>
                </c:pt>
                <c:pt idx="41">
                  <c:v>999574.99043870345</c:v>
                </c:pt>
                <c:pt idx="42">
                  <c:v>994851.51295467373</c:v>
                </c:pt>
                <c:pt idx="43">
                  <c:v>990023.32329994719</c:v>
                </c:pt>
                <c:pt idx="44">
                  <c:v>985104.42081539321</c:v>
                </c:pt>
                <c:pt idx="45">
                  <c:v>980107.50995916908</c:v>
                </c:pt>
                <c:pt idx="46">
                  <c:v>975044.1238656675</c:v>
                </c:pt>
                <c:pt idx="47">
                  <c:v>969924.73508398188</c:v>
                </c:pt>
                <c:pt idx="48">
                  <c:v>964758.8549528002</c:v>
                </c:pt>
                <c:pt idx="49">
                  <c:v>959555.12288789009</c:v>
                </c:pt>
                <c:pt idx="50">
                  <c:v>954321.38670201262</c:v>
                </c:pt>
                <c:pt idx="51">
                  <c:v>949064.7749414182</c:v>
                </c:pt>
                <c:pt idx="52">
                  <c:v>943791.76210536808</c:v>
                </c:pt>
                <c:pt idx="53">
                  <c:v>938508.22751260083</c:v>
                </c:pt>
                <c:pt idx="54">
                  <c:v>933219.50848926988</c:v>
                </c:pt>
                <c:pt idx="55">
                  <c:v>927930.44847494666</c:v>
                </c:pt>
                <c:pt idx="56">
                  <c:v>922645.44057495799</c:v>
                </c:pt>
                <c:pt idx="57">
                  <c:v>917368.46702761366</c:v>
                </c:pt>
                <c:pt idx="58">
                  <c:v>912103.13500239153</c:v>
                </c:pt>
                <c:pt idx="59">
                  <c:v>906852.70909909625</c:v>
                </c:pt>
                <c:pt idx="60">
                  <c:v>901620.14087741717</c:v>
                </c:pt>
                <c:pt idx="61">
                  <c:v>896408.09571059258</c:v>
                </c:pt>
                <c:pt idx="62">
                  <c:v>891218.97722535138</c:v>
                </c:pt>
                <c:pt idx="63">
                  <c:v>886054.94956237264</c:v>
                </c:pt>
                <c:pt idx="64">
                  <c:v>880917.95766693447</c:v>
                </c:pt>
                <c:pt idx="65">
                  <c:v>875809.74579744879</c:v>
                </c:pt>
                <c:pt idx="66">
                  <c:v>870731.87442029815</c:v>
                </c:pt>
                <c:pt idx="67">
                  <c:v>865685.73564207088</c:v>
                </c:pt>
                <c:pt idx="68">
                  <c:v>860672.56731504342</c:v>
                </c:pt>
                <c:pt idx="69">
                  <c:v>855693.46593807475</c:v>
                </c:pt>
                <c:pt idx="70">
                  <c:v>850749.39846291335</c:v>
                </c:pt>
                <c:pt idx="71">
                  <c:v>845841.21310510824</c:v>
                </c:pt>
                <c:pt idx="72">
                  <c:v>840969.6492489638</c:v>
                </c:pt>
                <c:pt idx="73">
                  <c:v>836135.34652733605</c:v>
                </c:pt>
                <c:pt idx="74">
                  <c:v>831338.85314930137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B5-47F0-BAA8-E9EDBB4E1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31488"/>
        <c:axId val="228618944"/>
      </c:scatterChart>
      <c:valAx>
        <c:axId val="20243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Sale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618944"/>
        <c:crosses val="autoZero"/>
        <c:crossBetween val="midCat"/>
      </c:valAx>
      <c:valAx>
        <c:axId val="22861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3148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(millions of USD) for 5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Regression!$G$144</c:f>
              <c:strCache>
                <c:ptCount val="1"/>
                <c:pt idx="0">
                  <c:v>Revenue (millions of USD)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8.5123359580052488E-2"/>
                  <c:y val="1.06784047827354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2709973753280838E-2"/>
                  <c:y val="0.19571011956838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Regression!$F$145:$F$149</c:f>
              <c:numCache>
                <c:formatCode>0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Regression!$G$145:$G$149</c:f>
              <c:numCache>
                <c:formatCode>0.0</c:formatCode>
                <c:ptCount val="5"/>
                <c:pt idx="0">
                  <c:v>218.6</c:v>
                </c:pt>
                <c:pt idx="1">
                  <c:v>435</c:v>
                </c:pt>
                <c:pt idx="2">
                  <c:v>915</c:v>
                </c:pt>
                <c:pt idx="3">
                  <c:v>1825.9</c:v>
                </c:pt>
                <c:pt idx="4">
                  <c:v>4021.8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D8-4CED-8145-030B71968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116847"/>
        <c:axId val="1829261423"/>
      </c:lineChart>
      <c:catAx>
        <c:axId val="153511684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261423"/>
        <c:crosses val="autoZero"/>
        <c:auto val="1"/>
        <c:lblAlgn val="ctr"/>
        <c:lblOffset val="100"/>
        <c:noMultiLvlLbl val="0"/>
      </c:catAx>
      <c:valAx>
        <c:axId val="182926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116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(millions of USD) for 6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Regression!$G$144</c:f>
              <c:strCache>
                <c:ptCount val="1"/>
                <c:pt idx="0">
                  <c:v>Revenue (millions of USD)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5066272965879269E-2"/>
                  <c:y val="0.184027777777777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Regression!$F$145:$F$150</c:f>
              <c:numCache>
                <c:formatCode>0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Regression!$G$145:$G$150</c:f>
              <c:numCache>
                <c:formatCode>0.0</c:formatCode>
                <c:ptCount val="6"/>
                <c:pt idx="0">
                  <c:v>218.6</c:v>
                </c:pt>
                <c:pt idx="1">
                  <c:v>435</c:v>
                </c:pt>
                <c:pt idx="2">
                  <c:v>915</c:v>
                </c:pt>
                <c:pt idx="3">
                  <c:v>1825.9</c:v>
                </c:pt>
                <c:pt idx="4">
                  <c:v>4021.8</c:v>
                </c:pt>
                <c:pt idx="5">
                  <c:v>3582.1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C6-49D3-97CE-9500D257F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2277328"/>
        <c:axId val="1829274815"/>
      </c:lineChart>
      <c:catAx>
        <c:axId val="76227732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274815"/>
        <c:crosses val="autoZero"/>
        <c:auto val="1"/>
        <c:lblAlgn val="ctr"/>
        <c:lblOffset val="100"/>
        <c:noMultiLvlLbl val="0"/>
      </c:catAx>
      <c:valAx>
        <c:axId val="182927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27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67825896762904"/>
          <c:y val="0.15319444444444447"/>
          <c:w val="0.7889884076990376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[2]Sheet1!$F$1</c:f>
              <c:strCache>
                <c:ptCount val="1"/>
                <c:pt idx="0">
                  <c:v>Average of Seasonally Adjusted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24698009623797026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[2]Sheet1!$E$2:$E$21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[2]Sheet1!$F$2:$F$21</c:f>
              <c:numCache>
                <c:formatCode>General</c:formatCode>
                <c:ptCount val="20"/>
                <c:pt idx="0">
                  <c:v>150781.16666666666</c:v>
                </c:pt>
                <c:pt idx="1">
                  <c:v>161696.25</c:v>
                </c:pt>
                <c:pt idx="2">
                  <c:v>175688.83333333334</c:v>
                </c:pt>
                <c:pt idx="3">
                  <c:v>185437.25</c:v>
                </c:pt>
                <c:pt idx="4">
                  <c:v>196728.16666666666</c:v>
                </c:pt>
                <c:pt idx="5">
                  <c:v>206334.08333333334</c:v>
                </c:pt>
                <c:pt idx="6">
                  <c:v>215657.66666666666</c:v>
                </c:pt>
                <c:pt idx="7">
                  <c:v>233872</c:v>
                </c:pt>
                <c:pt idx="8">
                  <c:v>248748.25</c:v>
                </c:pt>
                <c:pt idx="9">
                  <c:v>255663.75</c:v>
                </c:pt>
                <c:pt idx="10">
                  <c:v>261272.41666666666</c:v>
                </c:pt>
                <c:pt idx="11">
                  <c:v>272232.5</c:v>
                </c:pt>
                <c:pt idx="12">
                  <c:v>288987.5</c:v>
                </c:pt>
                <c:pt idx="13">
                  <c:v>307826.08333333331</c:v>
                </c:pt>
                <c:pt idx="14">
                  <c:v>323823.08333333331</c:v>
                </c:pt>
                <c:pt idx="15">
                  <c:v>334008</c:v>
                </c:pt>
                <c:pt idx="16">
                  <c:v>328780.33333333331</c:v>
                </c:pt>
                <c:pt idx="17">
                  <c:v>303288.91666666669</c:v>
                </c:pt>
                <c:pt idx="18">
                  <c:v>323964.16666666669</c:v>
                </c:pt>
                <c:pt idx="19">
                  <c:v>349717.75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2E-47A1-BF3B-C4DCD407D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42127"/>
        <c:axId val="350581791"/>
      </c:scatterChart>
      <c:valAx>
        <c:axId val="18524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81791"/>
        <c:crosses val="autoZero"/>
        <c:crossBetween val="midCat"/>
      </c:valAx>
      <c:valAx>
        <c:axId val="35058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4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Capital</a:t>
            </a:r>
            <a:r>
              <a:rPr lang="en-ID" baseline="0"/>
              <a:t> Expenditure for year 1-3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[3]Sheet1!$N$30</c:f>
              <c:strCache>
                <c:ptCount val="1"/>
                <c:pt idx="0">
                  <c:v>FA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[3]Sheet1!$O$29:$Q$29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[3]Sheet1!$O$30:$Q$30</c:f>
              <c:numCache>
                <c:formatCode>General</c:formatCode>
                <c:ptCount val="3"/>
                <c:pt idx="0">
                  <c:v>615</c:v>
                </c:pt>
                <c:pt idx="1">
                  <c:v>599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CC-4F34-97A6-E85D220762FB}"/>
            </c:ext>
          </c:extLst>
        </c:ser>
        <c:ser>
          <c:idx val="1"/>
          <c:order val="1"/>
          <c:tx>
            <c:strRef>
              <c:f>[3]Sheet1!$N$31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[3]Sheet1!$O$29:$Q$29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[3]Sheet1!$O$31:$Q$31</c:f>
              <c:numCache>
                <c:formatCode>General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CC-4F34-97A6-E85D220762FB}"/>
            </c:ext>
          </c:extLst>
        </c:ser>
        <c:ser>
          <c:idx val="2"/>
          <c:order val="2"/>
          <c:tx>
            <c:strRef>
              <c:f>[3]Sheet1!$N$32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[3]Sheet1!$O$29:$Q$29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[3]Sheet1!$O$32:$Q$32</c:f>
              <c:numCache>
                <c:formatCode>General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CC-4F34-97A6-E85D22076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969104"/>
        <c:axId val="78393184"/>
      </c:lineChart>
      <c:catAx>
        <c:axId val="117496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93184"/>
        <c:crosses val="autoZero"/>
        <c:auto val="1"/>
        <c:lblAlgn val="ctr"/>
        <c:lblOffset val="100"/>
        <c:noMultiLvlLbl val="0"/>
      </c:catAx>
      <c:valAx>
        <c:axId val="7839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9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4.xml"/><Relationship Id="rId7" Type="http://schemas.openxmlformats.org/officeDocument/2006/relationships/chart" Target="../charts/chart6.xml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7.png"/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0</xdr:row>
      <xdr:rowOff>133350</xdr:rowOff>
    </xdr:from>
    <xdr:to>
      <xdr:col>11</xdr:col>
      <xdr:colOff>361950</xdr:colOff>
      <xdr:row>12</xdr:row>
      <xdr:rowOff>114011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EFF71F-992D-A66F-6977-7A1906165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33350"/>
          <a:ext cx="4991100" cy="2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531282</xdr:colOff>
      <xdr:row>16</xdr:row>
      <xdr:rowOff>170391</xdr:rowOff>
    </xdr:from>
    <xdr:to>
      <xdr:col>22</xdr:col>
      <xdr:colOff>205316</xdr:colOff>
      <xdr:row>31</xdr:row>
      <xdr:rowOff>56091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F78045-4665-48E8-902B-1170A0BA1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</xdr:colOff>
      <xdr:row>16</xdr:row>
      <xdr:rowOff>170391</xdr:rowOff>
    </xdr:from>
    <xdr:to>
      <xdr:col>14</xdr:col>
      <xdr:colOff>336550</xdr:colOff>
      <xdr:row>31</xdr:row>
      <xdr:rowOff>56091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1D8A12-C480-4A0F-91AC-A321700AAE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420158</xdr:colOff>
      <xdr:row>1</xdr:row>
      <xdr:rowOff>116416</xdr:rowOff>
    </xdr:from>
    <xdr:to>
      <xdr:col>16</xdr:col>
      <xdr:colOff>210608</xdr:colOff>
      <xdr:row>16</xdr:row>
      <xdr:rowOff>59612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8BA4AF-0BA1-4888-9CFE-58767FD1E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3491" y="306916"/>
          <a:ext cx="5928784" cy="28006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219075</xdr:colOff>
      <xdr:row>1</xdr:row>
      <xdr:rowOff>28575</xdr:rowOff>
    </xdr:from>
    <xdr:to>
      <xdr:col>21</xdr:col>
      <xdr:colOff>571500</xdr:colOff>
      <xdr:row>14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DA624A-8B86-27F5-BA6F-EE12C28A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219075"/>
          <a:ext cx="5229225" cy="2486025"/>
        </a:xfrm>
        <a:prstGeom prst="rect">
          <a:avLst/>
        </a:prstGeom>
      </xdr:spPr>
    </xdr:pic>
    <xdr:clientData/>
  </xdr:twoCellAnchor>
  <xdr:twoCellAnchor>
    <xdr:from>
      <xdr:col>6</xdr:col>
      <xdr:colOff>190500</xdr:colOff>
      <xdr:row>1</xdr:row>
      <xdr:rowOff>47625</xdr:rowOff>
    </xdr:from>
    <xdr:to>
      <xdr:col>13</xdr:col>
      <xdr:colOff>28575</xdr:colOff>
      <xdr:row>14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DA7B28-CDC1-FA43-99DB-6271853CD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9524</xdr:colOff>
      <xdr:row>0</xdr:row>
      <xdr:rowOff>133351</xdr:rowOff>
    </xdr:from>
    <xdr:to>
      <xdr:col>18</xdr:col>
      <xdr:colOff>8497</xdr:colOff>
      <xdr:row>10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354655-6870-8E93-B05F-4D2358A6B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9774" y="133351"/>
          <a:ext cx="6856973" cy="1962150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23</xdr:row>
      <xdr:rowOff>123825</xdr:rowOff>
    </xdr:from>
    <xdr:to>
      <xdr:col>14</xdr:col>
      <xdr:colOff>65152</xdr:colOff>
      <xdr:row>31</xdr:row>
      <xdr:rowOff>56958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2E2449-B90C-1CBD-D584-251462E65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4581525"/>
          <a:ext cx="6084952" cy="15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52300</xdr:rowOff>
    </xdr:from>
    <xdr:to>
      <xdr:col>10</xdr:col>
      <xdr:colOff>390526</xdr:colOff>
      <xdr:row>37</xdr:row>
      <xdr:rowOff>142988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0B273D-2B7B-35D3-B417-D0D7A62EC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52950" y="6300700"/>
          <a:ext cx="3609976" cy="11098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1</xdr:row>
      <xdr:rowOff>85725</xdr:rowOff>
    </xdr:from>
    <xdr:to>
      <xdr:col>11</xdr:col>
      <xdr:colOff>876301</xdr:colOff>
      <xdr:row>8</xdr:row>
      <xdr:rowOff>190301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C0A8DA-1A58-7994-9017-3A502083D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5325" y="276225"/>
          <a:ext cx="5667376" cy="15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10</xdr:row>
      <xdr:rowOff>9525</xdr:rowOff>
    </xdr:from>
    <xdr:to>
      <xdr:col>10</xdr:col>
      <xdr:colOff>542345</xdr:colOff>
      <xdr:row>11</xdr:row>
      <xdr:rowOff>9501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5786B7-CDAD-946D-47C1-4FA37F4D3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4350" y="2143125"/>
          <a:ext cx="4638095" cy="1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13</xdr:row>
      <xdr:rowOff>152400</xdr:rowOff>
    </xdr:from>
    <xdr:to>
      <xdr:col>10</xdr:col>
      <xdr:colOff>304242</xdr:colOff>
      <xdr:row>15</xdr:row>
      <xdr:rowOff>180923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DDF379-0261-F23C-768C-347F6B229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57675" y="2924175"/>
          <a:ext cx="4466667" cy="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171450</xdr:rowOff>
    </xdr:from>
    <xdr:to>
      <xdr:col>4</xdr:col>
      <xdr:colOff>0</xdr:colOff>
      <xdr:row>31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9E1F00-9184-6EC4-656A-58B2CFBE0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124450"/>
          <a:ext cx="3609975" cy="12096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600074</xdr:colOff>
      <xdr:row>0</xdr:row>
      <xdr:rowOff>0</xdr:rowOff>
    </xdr:from>
    <xdr:to>
      <xdr:col>8</xdr:col>
      <xdr:colOff>190500</xdr:colOff>
      <xdr:row>14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74859-7563-10B8-B027-D508ACB95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199" y="0"/>
          <a:ext cx="4648201" cy="2790824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28</xdr:row>
      <xdr:rowOff>104775</xdr:rowOff>
    </xdr:from>
    <xdr:to>
      <xdr:col>16</xdr:col>
      <xdr:colOff>151746</xdr:colOff>
      <xdr:row>35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E37750-D301-0AFC-CA00-D0C2541FD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7100" y="5438775"/>
          <a:ext cx="5228571" cy="1304925"/>
        </a:xfrm>
        <a:prstGeom prst="rect">
          <a:avLst/>
        </a:prstGeom>
      </xdr:spPr>
    </xdr:pic>
    <xdr:clientData/>
  </xdr:twoCellAnchor>
  <xdr:twoCellAnchor>
    <xdr:from>
      <xdr:col>8</xdr:col>
      <xdr:colOff>295275</xdr:colOff>
      <xdr:row>14</xdr:row>
      <xdr:rowOff>104775</xdr:rowOff>
    </xdr:from>
    <xdr:to>
      <xdr:col>15</xdr:col>
      <xdr:colOff>152400</xdr:colOff>
      <xdr:row>28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A1A16A-D8BD-6163-B335-722A01C68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476250</xdr:colOff>
      <xdr:row>42</xdr:row>
      <xdr:rowOff>180974</xdr:rowOff>
    </xdr:from>
    <xdr:to>
      <xdr:col>16</xdr:col>
      <xdr:colOff>361950</xdr:colOff>
      <xdr:row>55</xdr:row>
      <xdr:rowOff>152399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1EAC95-5F9D-4528-81B2-40E0E74AB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134</xdr:row>
      <xdr:rowOff>38100</xdr:rowOff>
    </xdr:from>
    <xdr:to>
      <xdr:col>4</xdr:col>
      <xdr:colOff>532149</xdr:colOff>
      <xdr:row>141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C38EEB-4E4D-E448-D74A-7A22659D4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660350"/>
          <a:ext cx="5142249" cy="13716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666750</xdr:colOff>
      <xdr:row>134</xdr:row>
      <xdr:rowOff>180975</xdr:rowOff>
    </xdr:from>
    <xdr:to>
      <xdr:col>9</xdr:col>
      <xdr:colOff>276225</xdr:colOff>
      <xdr:row>141</xdr:row>
      <xdr:rowOff>180976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1271075-C03F-4806-B4AF-3F27F36F7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76850" y="25803225"/>
          <a:ext cx="4762500" cy="1333501"/>
        </a:xfrm>
        <a:prstGeom prst="rect">
          <a:avLst/>
        </a:prstGeom>
      </xdr:spPr>
    </xdr:pic>
    <xdr:clientData/>
  </xdr:twoCellAnchor>
  <xdr:twoCellAnchor>
    <xdr:from>
      <xdr:col>6</xdr:col>
      <xdr:colOff>485775</xdr:colOff>
      <xdr:row>150</xdr:row>
      <xdr:rowOff>171450</xdr:rowOff>
    </xdr:from>
    <xdr:to>
      <xdr:col>11</xdr:col>
      <xdr:colOff>390525</xdr:colOff>
      <xdr:row>167</xdr:row>
      <xdr:rowOff>57150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467A9EB-603A-B817-62B1-AB6E48527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495300</xdr:colOff>
      <xdr:row>167</xdr:row>
      <xdr:rowOff>152400</xdr:rowOff>
    </xdr:from>
    <xdr:to>
      <xdr:col>11</xdr:col>
      <xdr:colOff>400050</xdr:colOff>
      <xdr:row>182</xdr:row>
      <xdr:rowOff>38100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C3973C1-93CC-E7C0-699E-A69BA41D6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361950</xdr:colOff>
      <xdr:row>0</xdr:row>
      <xdr:rowOff>0</xdr:rowOff>
    </xdr:from>
    <xdr:to>
      <xdr:col>16</xdr:col>
      <xdr:colOff>589714</xdr:colOff>
      <xdr:row>9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A9DEDD-9DF0-6C4B-005B-285FDF915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0" y="0"/>
          <a:ext cx="5104564" cy="1790701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25</xdr:row>
      <xdr:rowOff>57150</xdr:rowOff>
    </xdr:from>
    <xdr:to>
      <xdr:col>8</xdr:col>
      <xdr:colOff>571500</xdr:colOff>
      <xdr:row>32</xdr:row>
      <xdr:rowOff>113933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BB6109-1B4B-DB65-4C48-0F0071C89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0" y="4953000"/>
          <a:ext cx="5610225" cy="139028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1247775</xdr:colOff>
      <xdr:row>25</xdr:row>
      <xdr:rowOff>0</xdr:rowOff>
    </xdr:from>
    <xdr:to>
      <xdr:col>5</xdr:col>
      <xdr:colOff>2124075</xdr:colOff>
      <xdr:row>39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D12A6-86DD-4714-B970-380B423671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17</xdr:row>
      <xdr:rowOff>152400</xdr:rowOff>
    </xdr:from>
    <xdr:to>
      <xdr:col>6</xdr:col>
      <xdr:colOff>247650</xdr:colOff>
      <xdr:row>28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2B8689-91ED-4CB7-B49C-1C3EEA23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3390900"/>
          <a:ext cx="5076825" cy="1962149"/>
        </a:xfrm>
        <a:prstGeom prst="rect">
          <a:avLst/>
        </a:prstGeom>
      </xdr:spPr>
    </xdr:pic>
    <xdr:clientData/>
  </xdr:twoCellAnchor>
  <xdr:twoCellAnchor editAs="oneCell">
    <xdr:from>
      <xdr:col>7</xdr:col>
      <xdr:colOff>923926</xdr:colOff>
      <xdr:row>18</xdr:row>
      <xdr:rowOff>180975</xdr:rowOff>
    </xdr:from>
    <xdr:to>
      <xdr:col>15</xdr:col>
      <xdr:colOff>238125</xdr:colOff>
      <xdr:row>21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96F175-E5B0-4F31-A852-3967CC1E1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1" y="3609975"/>
          <a:ext cx="5819774" cy="5619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3</xdr:row>
      <xdr:rowOff>161925</xdr:rowOff>
    </xdr:from>
    <xdr:to>
      <xdr:col>13</xdr:col>
      <xdr:colOff>161925</xdr:colOff>
      <xdr:row>5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58CE982-3EEF-4A9C-9FBB-C83BE977AAE7}"/>
            </a:ext>
          </a:extLst>
        </xdr:cNvPr>
        <xdr:cNvSpPr/>
      </xdr:nvSpPr>
      <xdr:spPr>
        <a:xfrm>
          <a:off x="10839450" y="762000"/>
          <a:ext cx="1809750" cy="24765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Insert discount</a:t>
          </a:r>
          <a:r>
            <a:rPr lang="en-ID" sz="1100" baseline="0"/>
            <a:t> rate in here</a:t>
          </a:r>
          <a:endParaRPr lang="en-ID" sz="1100"/>
        </a:p>
      </xdr:txBody>
    </xdr:sp>
    <xdr:clientData/>
  </xdr:twoCellAnchor>
  <xdr:twoCellAnchor>
    <xdr:from>
      <xdr:col>11</xdr:col>
      <xdr:colOff>504825</xdr:colOff>
      <xdr:row>21</xdr:row>
      <xdr:rowOff>0</xdr:rowOff>
    </xdr:from>
    <xdr:to>
      <xdr:col>14</xdr:col>
      <xdr:colOff>428625</xdr:colOff>
      <xdr:row>24</xdr:row>
      <xdr:rowOff>66675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1F8F7CE-818E-40EF-9946-3CCDC7E4FFD3}"/>
            </a:ext>
          </a:extLst>
        </xdr:cNvPr>
        <xdr:cNvSpPr/>
      </xdr:nvSpPr>
      <xdr:spPr>
        <a:xfrm>
          <a:off x="11715750" y="4048125"/>
          <a:ext cx="1885950" cy="6477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Insert 0</a:t>
          </a:r>
          <a:r>
            <a:rPr lang="en-ID" sz="1100" baseline="0"/>
            <a:t> or 1 in here</a:t>
          </a:r>
        </a:p>
        <a:p>
          <a:pPr algn="l"/>
          <a:r>
            <a:rPr lang="en-ID" sz="1100" baseline="0"/>
            <a:t>0 : FA is shut out</a:t>
          </a:r>
        </a:p>
        <a:p>
          <a:pPr algn="l"/>
          <a:r>
            <a:rPr lang="en-ID" sz="1100" baseline="0"/>
            <a:t>1 : FA is approved</a:t>
          </a:r>
        </a:p>
        <a:p>
          <a:pPr algn="l"/>
          <a:endParaRPr lang="en-ID" sz="1100"/>
        </a:p>
      </xdr:txBody>
    </xdr:sp>
    <xdr:clientData/>
  </xdr:twoCellAnchor>
  <xdr:twoCellAnchor>
    <xdr:from>
      <xdr:col>6</xdr:col>
      <xdr:colOff>0</xdr:colOff>
      <xdr:row>45</xdr:row>
      <xdr:rowOff>19050</xdr:rowOff>
    </xdr:from>
    <xdr:to>
      <xdr:col>10</xdr:col>
      <xdr:colOff>9525</xdr:colOff>
      <xdr:row>59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C6E7B3-EB37-486B-8F9F-EDE0AE1CC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0</xdr:rowOff>
    </xdr:from>
    <xdr:to>
      <xdr:col>13</xdr:col>
      <xdr:colOff>303884</xdr:colOff>
      <xdr:row>6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20370A-69A0-8BE1-77D1-F21F97F58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0"/>
          <a:ext cx="5742659" cy="1304925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21</xdr:row>
      <xdr:rowOff>66676</xdr:rowOff>
    </xdr:from>
    <xdr:to>
      <xdr:col>13</xdr:col>
      <xdr:colOff>8764</xdr:colOff>
      <xdr:row>27</xdr:row>
      <xdr:rowOff>142876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C39821-961B-0F11-F4F2-50EE047BA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0900" y="4143376"/>
          <a:ext cx="6085714" cy="129540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36</xdr:row>
      <xdr:rowOff>133350</xdr:rowOff>
    </xdr:from>
    <xdr:to>
      <xdr:col>13</xdr:col>
      <xdr:colOff>237230</xdr:colOff>
      <xdr:row>43</xdr:row>
      <xdr:rowOff>171273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EFB05F-4E8D-4ABD-18A6-FB44104FC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81525" y="7143750"/>
          <a:ext cx="5123555" cy="141904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6</xdr:row>
      <xdr:rowOff>142875</xdr:rowOff>
    </xdr:from>
    <xdr:to>
      <xdr:col>16</xdr:col>
      <xdr:colOff>438150</xdr:colOff>
      <xdr:row>16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7F77C7-FA89-E955-A0CD-48BC3222A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1314450"/>
          <a:ext cx="6353175" cy="1762125"/>
        </a:xfrm>
        <a:prstGeom prst="rect">
          <a:avLst/>
        </a:prstGeom>
      </xdr:spPr>
    </xdr:pic>
    <xdr:clientData/>
  </xdr:twoCellAnchor>
  <xdr:twoCellAnchor>
    <xdr:from>
      <xdr:col>4</xdr:col>
      <xdr:colOff>38100</xdr:colOff>
      <xdr:row>4</xdr:row>
      <xdr:rowOff>123826</xdr:rowOff>
    </xdr:from>
    <xdr:to>
      <xdr:col>6</xdr:col>
      <xdr:colOff>200025</xdr:colOff>
      <xdr:row>6</xdr:row>
      <xdr:rowOff>104776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F7E254D-5687-4ACA-DFCA-D7A1482A2135}"/>
            </a:ext>
          </a:extLst>
        </xdr:cNvPr>
        <xdr:cNvSpPr/>
      </xdr:nvSpPr>
      <xdr:spPr>
        <a:xfrm>
          <a:off x="3476625" y="914401"/>
          <a:ext cx="1514475" cy="3619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500"/>
            <a:t>Net Profit</a:t>
          </a:r>
        </a:p>
      </xdr:txBody>
    </xdr:sp>
    <xdr:clientData/>
  </xdr:twoCellAnchor>
  <xdr:twoCellAnchor editAs="oneCell">
    <xdr:from>
      <xdr:col>3</xdr:col>
      <xdr:colOff>638175</xdr:colOff>
      <xdr:row>23</xdr:row>
      <xdr:rowOff>57149</xdr:rowOff>
    </xdr:from>
    <xdr:to>
      <xdr:col>15</xdr:col>
      <xdr:colOff>560873</xdr:colOff>
      <xdr:row>32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11B173-B955-EFC9-6384-30774031F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0" y="4467224"/>
          <a:ext cx="7447448" cy="173355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266700</xdr:colOff>
      <xdr:row>0</xdr:row>
      <xdr:rowOff>9525</xdr:rowOff>
    </xdr:from>
    <xdr:to>
      <xdr:col>18</xdr:col>
      <xdr:colOff>485775</xdr:colOff>
      <xdr:row>15</xdr:row>
      <xdr:rowOff>116488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36DF3-3580-3C40-F233-85D70EC80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9525"/>
          <a:ext cx="5095875" cy="2993038"/>
        </a:xfrm>
        <a:prstGeom prst="rect">
          <a:avLst/>
        </a:prstGeom>
      </xdr:spPr>
    </xdr:pic>
    <xdr:clientData/>
  </xdr:twoCellAnchor>
  <xdr:twoCellAnchor editAs="oneCell">
    <xdr:from>
      <xdr:col>7</xdr:col>
      <xdr:colOff>466725</xdr:colOff>
      <xdr:row>17</xdr:row>
      <xdr:rowOff>152400</xdr:rowOff>
    </xdr:from>
    <xdr:to>
      <xdr:col>19</xdr:col>
      <xdr:colOff>122953</xdr:colOff>
      <xdr:row>44</xdr:row>
      <xdr:rowOff>142227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DC7EE8-4C55-433E-7207-80E6F3DA3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0200" y="3419475"/>
          <a:ext cx="6971428" cy="518095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598565</xdr:colOff>
      <xdr:row>5</xdr:row>
      <xdr:rowOff>171450</xdr:rowOff>
    </xdr:from>
    <xdr:to>
      <xdr:col>27</xdr:col>
      <xdr:colOff>504054</xdr:colOff>
      <xdr:row>21</xdr:row>
      <xdr:rowOff>9059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4B885-5FAF-1C11-FB36-0D657DE1F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76040" y="1171575"/>
          <a:ext cx="4782289" cy="2885609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34</xdr:row>
      <xdr:rowOff>152400</xdr:rowOff>
    </xdr:from>
    <xdr:to>
      <xdr:col>22</xdr:col>
      <xdr:colOff>103925</xdr:colOff>
      <xdr:row>46</xdr:row>
      <xdr:rowOff>161638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631100-3464-BBDE-666E-DF4839934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7925" y="6724650"/>
          <a:ext cx="6800000" cy="22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9nB4bJbkTi2G54z5ASnU-A_c9145d70edce4071aa5cf40d422966f1_Microsoft_Sales.xlsx" TargetMode="External"/><Relationship Id="rId1" Type="http://schemas.openxmlformats.org/officeDocument/2006/relationships/externalLinkPath" Target="file:///C:\Users\DELL\Downloads\9nB4bJbkTi2G54z5ASnU-A_c9145d70edce4071aa5cf40d422966f1_Microsoft_Sale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GLBhJkCvQFKL3t3W_jzvag_42cf2a46285047d499961254d859a3f1_Bluejay-Natural-Gas-Midterm-Starting-Data.xlsx" TargetMode="External"/><Relationship Id="rId1" Type="http://schemas.openxmlformats.org/officeDocument/2006/relationships/externalLinkPath" Target="file:///C:\Users\DELL\Downloads\GLBhJkCvQFKL3t3W_jzvag_42cf2a46285047d499961254d859a3f1_Bluejay-Natural-Gas-Midterm-Starting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6">
          <cell r="B16" t="str">
            <v>Cherry</v>
          </cell>
          <cell r="C16" t="str">
            <v>Oak</v>
          </cell>
          <cell r="D16" t="str">
            <v>Labor</v>
          </cell>
          <cell r="E16" t="str">
            <v>Cherry + Labor</v>
          </cell>
          <cell r="F16" t="str">
            <v>Oak + Labor</v>
          </cell>
        </row>
        <row r="17">
          <cell r="A17">
            <v>0</v>
          </cell>
          <cell r="B17">
            <v>165</v>
          </cell>
          <cell r="C17">
            <v>129</v>
          </cell>
          <cell r="D17">
            <v>296</v>
          </cell>
          <cell r="E17">
            <v>461</v>
          </cell>
          <cell r="F17">
            <v>425</v>
          </cell>
        </row>
        <row r="18">
          <cell r="A18">
            <v>1</v>
          </cell>
          <cell r="B18">
            <v>168.96</v>
          </cell>
          <cell r="C18">
            <v>131.19299999999998</v>
          </cell>
          <cell r="D18">
            <v>300.44</v>
          </cell>
          <cell r="E18">
            <v>469.4</v>
          </cell>
          <cell r="F18">
            <v>431.63299999999998</v>
          </cell>
        </row>
        <row r="19">
          <cell r="A19">
            <v>2</v>
          </cell>
          <cell r="B19">
            <v>173.01504</v>
          </cell>
          <cell r="C19">
            <v>134.34163199999998</v>
          </cell>
          <cell r="D19">
            <v>307.65055999999998</v>
          </cell>
          <cell r="E19">
            <v>480.66559999999998</v>
          </cell>
          <cell r="F19">
            <v>441.99219199999999</v>
          </cell>
        </row>
        <row r="20">
          <cell r="A20">
            <v>3</v>
          </cell>
          <cell r="B20">
            <v>177.16740096000001</v>
          </cell>
          <cell r="C20">
            <v>137.56583116799999</v>
          </cell>
          <cell r="D20">
            <v>315.03417344000002</v>
          </cell>
          <cell r="E20">
            <v>492.20157439999997</v>
          </cell>
          <cell r="F20">
            <v>452.60000460800001</v>
          </cell>
        </row>
        <row r="21">
          <cell r="A21">
            <v>4</v>
          </cell>
          <cell r="B21">
            <v>181.41941858304003</v>
          </cell>
          <cell r="C21">
            <v>140.867411116032</v>
          </cell>
          <cell r="D21">
            <v>322.59499360256001</v>
          </cell>
          <cell r="E21">
            <v>504.01441218559995</v>
          </cell>
          <cell r="F21">
            <v>463.46240471859204</v>
          </cell>
        </row>
        <row r="22">
          <cell r="A22">
            <v>5</v>
          </cell>
          <cell r="B22">
            <v>185.77348462903299</v>
          </cell>
          <cell r="C22">
            <v>144.24822898281678</v>
          </cell>
          <cell r="D22">
            <v>330.33727344902144</v>
          </cell>
          <cell r="E22">
            <v>516.11075807805435</v>
          </cell>
          <cell r="F22">
            <v>474.58550243183828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1">
          <cell r="F1" t="str">
            <v>Average of Seasonally Adjusted Sales</v>
          </cell>
        </row>
        <row r="2">
          <cell r="E2">
            <v>1</v>
          </cell>
          <cell r="F2">
            <v>150781.16666666666</v>
          </cell>
        </row>
        <row r="3">
          <cell r="E3">
            <v>2</v>
          </cell>
          <cell r="F3">
            <v>161696.25</v>
          </cell>
        </row>
        <row r="4">
          <cell r="E4">
            <v>3</v>
          </cell>
          <cell r="F4">
            <v>175688.83333333334</v>
          </cell>
        </row>
        <row r="5">
          <cell r="E5">
            <v>4</v>
          </cell>
          <cell r="F5">
            <v>185437.25</v>
          </cell>
        </row>
        <row r="6">
          <cell r="E6">
            <v>5</v>
          </cell>
          <cell r="F6">
            <v>196728.16666666666</v>
          </cell>
        </row>
        <row r="7">
          <cell r="E7">
            <v>6</v>
          </cell>
          <cell r="F7">
            <v>206334.08333333334</v>
          </cell>
        </row>
        <row r="8">
          <cell r="E8">
            <v>7</v>
          </cell>
          <cell r="F8">
            <v>215657.66666666666</v>
          </cell>
        </row>
        <row r="9">
          <cell r="E9">
            <v>8</v>
          </cell>
          <cell r="F9">
            <v>233872</v>
          </cell>
        </row>
        <row r="10">
          <cell r="E10">
            <v>9</v>
          </cell>
          <cell r="F10">
            <v>248748.25</v>
          </cell>
        </row>
        <row r="11">
          <cell r="E11">
            <v>10</v>
          </cell>
          <cell r="F11">
            <v>255663.75</v>
          </cell>
        </row>
        <row r="12">
          <cell r="E12">
            <v>11</v>
          </cell>
          <cell r="F12">
            <v>261272.41666666666</v>
          </cell>
        </row>
        <row r="13">
          <cell r="E13">
            <v>12</v>
          </cell>
          <cell r="F13">
            <v>272232.5</v>
          </cell>
        </row>
        <row r="14">
          <cell r="E14">
            <v>13</v>
          </cell>
          <cell r="F14">
            <v>288987.5</v>
          </cell>
        </row>
        <row r="15">
          <cell r="E15">
            <v>14</v>
          </cell>
          <cell r="F15">
            <v>307826.08333333331</v>
          </cell>
        </row>
        <row r="16">
          <cell r="E16">
            <v>15</v>
          </cell>
          <cell r="F16">
            <v>323823.08333333331</v>
          </cell>
        </row>
        <row r="17">
          <cell r="E17">
            <v>16</v>
          </cell>
          <cell r="F17">
            <v>334008</v>
          </cell>
        </row>
        <row r="18">
          <cell r="E18">
            <v>17</v>
          </cell>
          <cell r="F18">
            <v>328780.33333333331</v>
          </cell>
        </row>
        <row r="19">
          <cell r="E19">
            <v>18</v>
          </cell>
          <cell r="F19">
            <v>303288.91666666669</v>
          </cell>
        </row>
        <row r="20">
          <cell r="E20">
            <v>19</v>
          </cell>
          <cell r="F20">
            <v>323964.16666666669</v>
          </cell>
        </row>
        <row r="21">
          <cell r="E21">
            <v>20</v>
          </cell>
          <cell r="F21">
            <v>349717.75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9">
          <cell r="O29" t="str">
            <v>Year 1</v>
          </cell>
          <cell r="P29" t="str">
            <v>Year 2</v>
          </cell>
          <cell r="Q29" t="str">
            <v>Year 3</v>
          </cell>
        </row>
        <row r="30">
          <cell r="N30" t="str">
            <v>FA 1</v>
          </cell>
          <cell r="O30">
            <v>615</v>
          </cell>
          <cell r="P30">
            <v>599</v>
          </cell>
          <cell r="Q30">
            <v>999</v>
          </cell>
        </row>
        <row r="31">
          <cell r="N31" t="str">
            <v>FA 2</v>
          </cell>
          <cell r="O31">
            <v>1518</v>
          </cell>
          <cell r="P31">
            <v>1302</v>
          </cell>
          <cell r="Q31">
            <v>986</v>
          </cell>
        </row>
        <row r="32">
          <cell r="N32" t="str">
            <v>FA 3</v>
          </cell>
          <cell r="O32">
            <v>1850</v>
          </cell>
          <cell r="P32">
            <v>650</v>
          </cell>
          <cell r="Q32">
            <v>550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CA1D-B91E-46AA-880E-271ACE9B82CB}">
  <dimension ref="A1:I38"/>
  <sheetViews>
    <sheetView topLeftCell="A21" workbookViewId="0">
      <selection activeCell="G33" sqref="G33"/>
    </sheetView>
  </sheetViews>
  <sheetFormatPr defaultRowHeight="15" x14ac:dyDescent="0.25"/>
  <cols>
    <col min="1" max="1" width="32.7109375" bestFit="1" customWidth="1"/>
    <col min="2" max="2" width="11.28515625" bestFit="1" customWidth="1"/>
    <col min="3" max="3" width="16.7109375" bestFit="1" customWidth="1"/>
  </cols>
  <sheetData>
    <row r="1" spans="1:3" ht="18" thickBot="1" x14ac:dyDescent="0.35">
      <c r="A1" s="21" t="s">
        <v>0</v>
      </c>
    </row>
    <row r="2" spans="1:3" ht="15.75" thickTop="1" x14ac:dyDescent="0.25"/>
    <row r="3" spans="1:3" x14ac:dyDescent="0.25">
      <c r="A3" t="s">
        <v>1</v>
      </c>
    </row>
    <row r="4" spans="1:3" x14ac:dyDescent="0.25">
      <c r="A4" s="2" t="s">
        <v>2</v>
      </c>
    </row>
    <row r="5" spans="1:3" x14ac:dyDescent="0.25">
      <c r="A5" s="1" t="s">
        <v>4</v>
      </c>
      <c r="B5" s="3">
        <v>750</v>
      </c>
    </row>
    <row r="6" spans="1:3" x14ac:dyDescent="0.25">
      <c r="A6" s="1" t="s">
        <v>3</v>
      </c>
      <c r="B6" s="4">
        <v>8</v>
      </c>
      <c r="C6" t="s">
        <v>5</v>
      </c>
    </row>
    <row r="8" spans="1:3" x14ac:dyDescent="0.25">
      <c r="A8" s="2" t="s">
        <v>6</v>
      </c>
    </row>
    <row r="9" spans="1:3" x14ac:dyDescent="0.25">
      <c r="A9" s="1" t="s">
        <v>7</v>
      </c>
      <c r="B9" s="3">
        <v>18</v>
      </c>
      <c r="C9" t="s">
        <v>5</v>
      </c>
    </row>
    <row r="10" spans="1:3" x14ac:dyDescent="0.25">
      <c r="A10" s="1" t="s">
        <v>8</v>
      </c>
      <c r="B10" s="3">
        <v>6</v>
      </c>
      <c r="C10" t="s">
        <v>5</v>
      </c>
    </row>
    <row r="12" spans="1:3" x14ac:dyDescent="0.25">
      <c r="A12" t="s">
        <v>9</v>
      </c>
      <c r="B12">
        <v>1450</v>
      </c>
    </row>
    <row r="13" spans="1:3" x14ac:dyDescent="0.25">
      <c r="A13" t="s">
        <v>10</v>
      </c>
      <c r="B13">
        <v>1200</v>
      </c>
    </row>
    <row r="14" spans="1:3" x14ac:dyDescent="0.25">
      <c r="A14" t="s">
        <v>11</v>
      </c>
      <c r="B14">
        <f>MIN(B12,B13)</f>
        <v>1200</v>
      </c>
      <c r="C14" t="str">
        <f ca="1">_xlfn.FORMULATEXT(B14)</f>
        <v>=MIN(B12;B13)</v>
      </c>
    </row>
    <row r="15" spans="1:3" x14ac:dyDescent="0.25">
      <c r="A15" t="s">
        <v>12</v>
      </c>
      <c r="B15">
        <f>MAX(B12-B13,0)</f>
        <v>250</v>
      </c>
      <c r="C15" t="str">
        <f ca="1">_xlfn.FORMULATEXT(B15)</f>
        <v>=MAX(B12-B13;0)</v>
      </c>
    </row>
    <row r="17" spans="1:9" x14ac:dyDescent="0.25">
      <c r="A17" s="5" t="s">
        <v>15</v>
      </c>
      <c r="B17" s="3">
        <f>B5+B12*B6</f>
        <v>12350</v>
      </c>
      <c r="C17" t="str">
        <f ca="1">_xlfn.FORMULATEXT(B17)</f>
        <v>=B5+B12*B6</v>
      </c>
    </row>
    <row r="18" spans="1:9" x14ac:dyDescent="0.25">
      <c r="A18" s="5" t="s">
        <v>13</v>
      </c>
      <c r="B18" s="3">
        <f>B14*B9+B15*B10</f>
        <v>23100</v>
      </c>
      <c r="C18" t="str">
        <f ca="1">_xlfn.FORMULATEXT(B18)</f>
        <v>=B14*B9+B15*B10</v>
      </c>
    </row>
    <row r="19" spans="1:9" x14ac:dyDescent="0.25">
      <c r="A19" s="5" t="s">
        <v>14</v>
      </c>
      <c r="B19" s="6">
        <f>B18-B17</f>
        <v>10750</v>
      </c>
      <c r="C19" t="str">
        <f ca="1">_xlfn.FORMULATEXT(B19)</f>
        <v>=B18-B17</v>
      </c>
    </row>
    <row r="22" spans="1:9" ht="18" thickBot="1" x14ac:dyDescent="0.35">
      <c r="A22" s="20" t="s">
        <v>56</v>
      </c>
    </row>
    <row r="23" spans="1:9" ht="15.75" thickTop="1" x14ac:dyDescent="0.25"/>
    <row r="24" spans="1:9" x14ac:dyDescent="0.25">
      <c r="A24" s="2" t="s">
        <v>57</v>
      </c>
    </row>
    <row r="25" spans="1:9" x14ac:dyDescent="0.25">
      <c r="A25" t="s">
        <v>58</v>
      </c>
      <c r="B25">
        <v>6</v>
      </c>
      <c r="C25" t="s">
        <v>60</v>
      </c>
      <c r="G25" t="s">
        <v>70</v>
      </c>
    </row>
    <row r="26" spans="1:9" x14ac:dyDescent="0.25">
      <c r="A26" t="s">
        <v>59</v>
      </c>
      <c r="B26">
        <v>50</v>
      </c>
      <c r="C26" t="s">
        <v>61</v>
      </c>
    </row>
    <row r="27" spans="1:9" x14ac:dyDescent="0.25">
      <c r="G27" t="s">
        <v>71</v>
      </c>
      <c r="I27">
        <v>24</v>
      </c>
    </row>
    <row r="28" spans="1:9" x14ac:dyDescent="0.25">
      <c r="A28" s="2" t="s">
        <v>2</v>
      </c>
    </row>
    <row r="29" spans="1:9" x14ac:dyDescent="0.25">
      <c r="A29" t="s">
        <v>62</v>
      </c>
      <c r="B29" s="22">
        <v>500</v>
      </c>
    </row>
    <row r="30" spans="1:9" x14ac:dyDescent="0.25">
      <c r="A30" t="s">
        <v>72</v>
      </c>
      <c r="B30" s="22">
        <v>200</v>
      </c>
      <c r="C30" t="s">
        <v>73</v>
      </c>
    </row>
    <row r="31" spans="1:9" x14ac:dyDescent="0.25">
      <c r="A31" t="s">
        <v>63</v>
      </c>
      <c r="B31" s="4">
        <v>0.5</v>
      </c>
      <c r="C31" t="s">
        <v>64</v>
      </c>
    </row>
    <row r="32" spans="1:9" x14ac:dyDescent="0.25">
      <c r="A32" t="s">
        <v>68</v>
      </c>
      <c r="B32" s="4">
        <f>B29+B30+B25*B26*B31</f>
        <v>850</v>
      </c>
    </row>
    <row r="34" spans="1:3" x14ac:dyDescent="0.25">
      <c r="A34" s="2" t="s">
        <v>65</v>
      </c>
    </row>
    <row r="35" spans="1:3" x14ac:dyDescent="0.25">
      <c r="A35" t="s">
        <v>66</v>
      </c>
      <c r="B35" s="3">
        <v>4</v>
      </c>
      <c r="C35" t="s">
        <v>64</v>
      </c>
    </row>
    <row r="36" spans="1:3" x14ac:dyDescent="0.25">
      <c r="A36" t="s">
        <v>67</v>
      </c>
      <c r="B36" s="3">
        <f>B25*B26*B35</f>
        <v>1200</v>
      </c>
    </row>
    <row r="38" spans="1:3" x14ac:dyDescent="0.25">
      <c r="A38" s="2" t="s">
        <v>69</v>
      </c>
      <c r="B38" s="3">
        <f>B36-B32</f>
        <v>350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8996-26DE-472E-B09F-CD483D3C53C6}">
  <dimension ref="A1:S22"/>
  <sheetViews>
    <sheetView topLeftCell="A10" zoomScale="90" zoomScaleNormal="90" workbookViewId="0">
      <selection activeCell="B19" sqref="B19"/>
    </sheetView>
  </sheetViews>
  <sheetFormatPr defaultRowHeight="15" x14ac:dyDescent="0.25"/>
  <cols>
    <col min="1" max="1" width="22.7109375" customWidth="1"/>
    <col min="2" max="2" width="11.7109375" customWidth="1"/>
    <col min="3" max="3" width="11.5703125" customWidth="1"/>
    <col min="5" max="6" width="13.7109375" customWidth="1"/>
  </cols>
  <sheetData>
    <row r="1" spans="1:19" x14ac:dyDescent="0.25">
      <c r="A1" s="159" t="s">
        <v>16</v>
      </c>
      <c r="B1" s="159"/>
    </row>
    <row r="3" spans="1:19" x14ac:dyDescent="0.25">
      <c r="A3" s="7" t="s">
        <v>17</v>
      </c>
      <c r="B3" s="7" t="s">
        <v>18</v>
      </c>
      <c r="C3" s="7" t="s">
        <v>19</v>
      </c>
    </row>
    <row r="4" spans="1:19" x14ac:dyDescent="0.25">
      <c r="A4" t="s">
        <v>20</v>
      </c>
      <c r="B4" s="3">
        <v>5.5</v>
      </c>
      <c r="C4" s="4">
        <v>4.3</v>
      </c>
    </row>
    <row r="5" spans="1:19" x14ac:dyDescent="0.25">
      <c r="A5" t="s">
        <v>21</v>
      </c>
      <c r="B5">
        <v>30</v>
      </c>
      <c r="C5">
        <v>30</v>
      </c>
    </row>
    <row r="6" spans="1:19" x14ac:dyDescent="0.25">
      <c r="A6" t="s">
        <v>22</v>
      </c>
      <c r="B6" s="3">
        <f>B4*B5</f>
        <v>165</v>
      </c>
      <c r="C6" s="3">
        <f>C4*C5</f>
        <v>129</v>
      </c>
    </row>
    <row r="8" spans="1:19" x14ac:dyDescent="0.25">
      <c r="A8" t="s">
        <v>23</v>
      </c>
      <c r="B8">
        <v>16</v>
      </c>
      <c r="C8">
        <v>16</v>
      </c>
    </row>
    <row r="9" spans="1:19" x14ac:dyDescent="0.25">
      <c r="A9" t="s">
        <v>24</v>
      </c>
      <c r="B9" s="3">
        <v>18.5</v>
      </c>
      <c r="C9" s="3">
        <v>18.5</v>
      </c>
      <c r="S9" t="s">
        <v>27</v>
      </c>
    </row>
    <row r="10" spans="1:19" x14ac:dyDescent="0.25">
      <c r="A10" t="s">
        <v>25</v>
      </c>
      <c r="B10" s="3">
        <f>B8*B9</f>
        <v>296</v>
      </c>
      <c r="C10" s="3">
        <f>C8*C9</f>
        <v>296</v>
      </c>
    </row>
    <row r="12" spans="1:19" x14ac:dyDescent="0.25">
      <c r="A12" t="s">
        <v>26</v>
      </c>
      <c r="B12" s="3">
        <f>B6+B10</f>
        <v>461</v>
      </c>
      <c r="C12" s="3">
        <f>C6+C10</f>
        <v>425</v>
      </c>
      <c r="E12" t="s">
        <v>27</v>
      </c>
    </row>
    <row r="14" spans="1:19" x14ac:dyDescent="0.25">
      <c r="A14" t="s">
        <v>28</v>
      </c>
      <c r="B14" s="8">
        <v>2.4E-2</v>
      </c>
      <c r="C14" s="8">
        <v>1.7000000000000001E-2</v>
      </c>
      <c r="D14" s="9">
        <v>1.4999999999999999E-2</v>
      </c>
      <c r="E14" t="s">
        <v>27</v>
      </c>
    </row>
    <row r="16" spans="1:19" x14ac:dyDescent="0.25">
      <c r="A16" s="10" t="s">
        <v>29</v>
      </c>
      <c r="B16" s="10" t="s">
        <v>18</v>
      </c>
      <c r="C16" s="10" t="s">
        <v>19</v>
      </c>
      <c r="D16" s="10" t="s">
        <v>30</v>
      </c>
      <c r="E16" s="10" t="s">
        <v>31</v>
      </c>
      <c r="F16" s="10" t="s">
        <v>32</v>
      </c>
    </row>
    <row r="17" spans="1:6" x14ac:dyDescent="0.25">
      <c r="A17" s="11">
        <v>0</v>
      </c>
      <c r="B17" s="12">
        <f>B6</f>
        <v>165</v>
      </c>
      <c r="C17" s="12">
        <f>C6</f>
        <v>129</v>
      </c>
      <c r="D17" s="12">
        <f>B10</f>
        <v>296</v>
      </c>
      <c r="E17" s="12">
        <f>B17+D17</f>
        <v>461</v>
      </c>
      <c r="F17" s="12">
        <f>C17+D17</f>
        <v>425</v>
      </c>
    </row>
    <row r="18" spans="1:6" x14ac:dyDescent="0.25">
      <c r="A18" s="11">
        <v>1</v>
      </c>
      <c r="B18" s="12">
        <f>B17*(1+B14)</f>
        <v>168.96</v>
      </c>
      <c r="C18" s="12">
        <f>C17*(1+C14)</f>
        <v>131.19299999999998</v>
      </c>
      <c r="D18" s="12">
        <f>D17*(1+D14)</f>
        <v>300.44</v>
      </c>
      <c r="E18" s="12">
        <f>B18+D18</f>
        <v>469.4</v>
      </c>
      <c r="F18" s="12">
        <f>C18+D18</f>
        <v>431.63299999999998</v>
      </c>
    </row>
    <row r="19" spans="1:6" x14ac:dyDescent="0.25">
      <c r="A19" s="11">
        <v>2</v>
      </c>
      <c r="B19" s="12">
        <f>B18*(1+$B$14)</f>
        <v>173.01504</v>
      </c>
      <c r="C19" s="12">
        <f t="shared" ref="C19:F22" si="0">C18*(1+$B$14)</f>
        <v>134.34163199999998</v>
      </c>
      <c r="D19" s="12">
        <f t="shared" si="0"/>
        <v>307.65055999999998</v>
      </c>
      <c r="E19" s="12">
        <f t="shared" si="0"/>
        <v>480.66559999999998</v>
      </c>
      <c r="F19" s="12">
        <f t="shared" si="0"/>
        <v>441.99219199999999</v>
      </c>
    </row>
    <row r="20" spans="1:6" x14ac:dyDescent="0.25">
      <c r="A20" s="11">
        <v>3</v>
      </c>
      <c r="B20" s="12">
        <f t="shared" ref="B20:B22" si="1">B19*(1+$B$14)</f>
        <v>177.16740096000001</v>
      </c>
      <c r="C20" s="12">
        <f t="shared" si="0"/>
        <v>137.56583116799999</v>
      </c>
      <c r="D20" s="12">
        <f t="shared" si="0"/>
        <v>315.03417344000002</v>
      </c>
      <c r="E20" s="12">
        <f t="shared" si="0"/>
        <v>492.20157439999997</v>
      </c>
      <c r="F20" s="12">
        <f t="shared" si="0"/>
        <v>452.60000460800001</v>
      </c>
    </row>
    <row r="21" spans="1:6" x14ac:dyDescent="0.25">
      <c r="A21" s="11">
        <v>4</v>
      </c>
      <c r="B21" s="12">
        <f t="shared" si="1"/>
        <v>181.41941858304003</v>
      </c>
      <c r="C21" s="12">
        <f t="shared" si="0"/>
        <v>140.867411116032</v>
      </c>
      <c r="D21" s="12">
        <f t="shared" si="0"/>
        <v>322.59499360256001</v>
      </c>
      <c r="E21" s="12">
        <f t="shared" si="0"/>
        <v>504.01441218559995</v>
      </c>
      <c r="F21" s="12">
        <f t="shared" si="0"/>
        <v>463.46240471859204</v>
      </c>
    </row>
    <row r="22" spans="1:6" x14ac:dyDescent="0.25">
      <c r="A22" s="11">
        <v>5</v>
      </c>
      <c r="B22" s="12">
        <f t="shared" si="1"/>
        <v>185.77348462903299</v>
      </c>
      <c r="C22" s="12">
        <f t="shared" si="0"/>
        <v>144.24822898281678</v>
      </c>
      <c r="D22" s="12">
        <f t="shared" si="0"/>
        <v>330.33727344902144</v>
      </c>
      <c r="E22" s="12">
        <f t="shared" si="0"/>
        <v>516.11075807805435</v>
      </c>
      <c r="F22" s="12">
        <f t="shared" si="0"/>
        <v>474.58550243183828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A75B-8F12-49F8-827E-4E3E5456192A}">
  <dimension ref="A1:P29"/>
  <sheetViews>
    <sheetView topLeftCell="A9" workbookViewId="0">
      <selection activeCell="L31" sqref="L31"/>
    </sheetView>
  </sheetViews>
  <sheetFormatPr defaultRowHeight="15" x14ac:dyDescent="0.25"/>
  <cols>
    <col min="1" max="1" width="21" customWidth="1"/>
    <col min="2" max="2" width="12.28515625" bestFit="1" customWidth="1"/>
    <col min="5" max="5" width="15.140625" customWidth="1"/>
    <col min="6" max="6" width="14.5703125" customWidth="1"/>
  </cols>
  <sheetData>
    <row r="1" spans="1:8" x14ac:dyDescent="0.25">
      <c r="A1" s="2" t="s">
        <v>33</v>
      </c>
    </row>
    <row r="3" spans="1:8" x14ac:dyDescent="0.25">
      <c r="A3" t="s">
        <v>34</v>
      </c>
      <c r="E3" t="s">
        <v>47</v>
      </c>
    </row>
    <row r="4" spans="1:8" x14ac:dyDescent="0.25">
      <c r="A4" t="s">
        <v>17</v>
      </c>
      <c r="E4" s="15" t="s">
        <v>48</v>
      </c>
      <c r="F4" s="15" t="s">
        <v>49</v>
      </c>
    </row>
    <row r="5" spans="1:8" x14ac:dyDescent="0.25">
      <c r="A5" t="s">
        <v>35</v>
      </c>
      <c r="B5" s="3">
        <v>20000</v>
      </c>
      <c r="E5" s="19"/>
      <c r="F5" s="16">
        <f xml:space="preserve"> B20</f>
        <v>-17700</v>
      </c>
    </row>
    <row r="6" spans="1:8" x14ac:dyDescent="0.25">
      <c r="A6" t="s">
        <v>3</v>
      </c>
      <c r="E6" s="17">
        <v>0.03</v>
      </c>
      <c r="F6" s="12">
        <f t="dataTable" ref="F6:F26" dt2D="0" dtr="0" r1="B14"/>
        <v>-21600</v>
      </c>
    </row>
    <row r="7" spans="1:8" x14ac:dyDescent="0.25">
      <c r="A7" s="1" t="s">
        <v>35</v>
      </c>
      <c r="B7" s="3">
        <v>0.1</v>
      </c>
      <c r="C7" t="s">
        <v>37</v>
      </c>
      <c r="E7" s="18">
        <v>3.5000000000000003E-2</v>
      </c>
      <c r="F7" s="12">
        <v>-17700</v>
      </c>
    </row>
    <row r="8" spans="1:8" x14ac:dyDescent="0.25">
      <c r="A8" s="1" t="s">
        <v>36</v>
      </c>
      <c r="B8" s="3">
        <v>0.15</v>
      </c>
      <c r="C8" t="s">
        <v>37</v>
      </c>
      <c r="E8" s="17">
        <v>0.04</v>
      </c>
      <c r="F8" s="12">
        <v>-13800</v>
      </c>
    </row>
    <row r="9" spans="1:8" x14ac:dyDescent="0.25">
      <c r="A9" t="s">
        <v>38</v>
      </c>
      <c r="B9" s="3">
        <v>0.2</v>
      </c>
      <c r="C9" t="s">
        <v>44</v>
      </c>
      <c r="E9" s="18">
        <v>4.4999999999999998E-2</v>
      </c>
      <c r="F9" s="12">
        <v>-9900</v>
      </c>
    </row>
    <row r="10" spans="1:8" x14ac:dyDescent="0.25">
      <c r="A10" t="s">
        <v>45</v>
      </c>
      <c r="B10" s="3">
        <v>32</v>
      </c>
      <c r="C10" t="s">
        <v>44</v>
      </c>
      <c r="E10" s="17">
        <v>0.05</v>
      </c>
      <c r="F10" s="12">
        <v>-6000</v>
      </c>
    </row>
    <row r="11" spans="1:8" x14ac:dyDescent="0.25">
      <c r="A11" t="s">
        <v>39</v>
      </c>
      <c r="B11" s="3">
        <f>B5+(B7+B8)*B13+(B9+B10)*B15</f>
        <v>157700.00000000003</v>
      </c>
      <c r="E11" s="18">
        <v>5.5E-2</v>
      </c>
      <c r="F11" s="12">
        <v>-2100.0000000000291</v>
      </c>
    </row>
    <row r="12" spans="1:8" x14ac:dyDescent="0.25">
      <c r="E12" s="17">
        <v>0.06</v>
      </c>
      <c r="F12" s="12">
        <v>1799.9999999999709</v>
      </c>
    </row>
    <row r="13" spans="1:8" x14ac:dyDescent="0.25">
      <c r="A13" t="s">
        <v>40</v>
      </c>
      <c r="B13" s="13">
        <v>100000</v>
      </c>
      <c r="E13" s="18">
        <v>6.5000000000000002E-2</v>
      </c>
      <c r="F13" s="12">
        <v>5699.9999999999709</v>
      </c>
    </row>
    <row r="14" spans="1:8" x14ac:dyDescent="0.25">
      <c r="A14" t="s">
        <v>41</v>
      </c>
      <c r="B14" s="14">
        <v>3.5000000000000003E-2</v>
      </c>
      <c r="C14" t="s">
        <v>46</v>
      </c>
      <c r="E14" s="17">
        <v>7.0000000000000007E-2</v>
      </c>
      <c r="F14" s="12">
        <v>9600</v>
      </c>
    </row>
    <row r="15" spans="1:8" x14ac:dyDescent="0.25">
      <c r="A15" t="s">
        <v>42</v>
      </c>
      <c r="B15">
        <f>B14*B13</f>
        <v>3500.0000000000005</v>
      </c>
      <c r="C15" t="str">
        <f ca="1">_xlfn.FORMULATEXT(B15)</f>
        <v>=B14*B13</v>
      </c>
      <c r="E15" s="18">
        <v>7.4999999999999997E-2</v>
      </c>
      <c r="F15" s="12">
        <v>13500</v>
      </c>
    </row>
    <row r="16" spans="1:8" x14ac:dyDescent="0.25">
      <c r="E16" s="17">
        <v>0.08</v>
      </c>
      <c r="F16" s="12">
        <v>17400</v>
      </c>
      <c r="H16" t="s">
        <v>50</v>
      </c>
    </row>
    <row r="17" spans="1:16" x14ac:dyDescent="0.25">
      <c r="A17" t="s">
        <v>6</v>
      </c>
      <c r="E17" s="18">
        <v>8.5000000000000006E-2</v>
      </c>
      <c r="F17" s="12">
        <v>21300</v>
      </c>
      <c r="H17" t="s">
        <v>51</v>
      </c>
      <c r="P17" t="s">
        <v>52</v>
      </c>
    </row>
    <row r="18" spans="1:16" x14ac:dyDescent="0.25">
      <c r="A18" t="s">
        <v>43</v>
      </c>
      <c r="B18" s="3">
        <v>40</v>
      </c>
      <c r="E18" s="17">
        <v>9.0000000000000094E-2</v>
      </c>
      <c r="F18" s="12">
        <v>25200.000000000058</v>
      </c>
    </row>
    <row r="19" spans="1:16" x14ac:dyDescent="0.25">
      <c r="A19" t="s">
        <v>13</v>
      </c>
      <c r="B19" s="3">
        <f>B18*B15</f>
        <v>140000.00000000003</v>
      </c>
      <c r="E19" s="18">
        <v>9.5000000000000098E-2</v>
      </c>
      <c r="F19" s="12">
        <v>29100.000000000058</v>
      </c>
      <c r="H19" t="s">
        <v>53</v>
      </c>
    </row>
    <row r="20" spans="1:16" x14ac:dyDescent="0.25">
      <c r="A20" t="s">
        <v>14</v>
      </c>
      <c r="B20" s="3">
        <f>B19-B11</f>
        <v>-17700</v>
      </c>
      <c r="C20" t="str">
        <f ca="1">_xlfn.FORMULATEXT(B20)</f>
        <v>=B19-B11</v>
      </c>
      <c r="E20" s="17">
        <v>0.1</v>
      </c>
      <c r="F20" s="12">
        <v>33000</v>
      </c>
    </row>
    <row r="21" spans="1:16" x14ac:dyDescent="0.25">
      <c r="E21" s="18">
        <v>0.105</v>
      </c>
      <c r="F21" s="12">
        <v>36899.999999999942</v>
      </c>
      <c r="H21" t="s">
        <v>54</v>
      </c>
    </row>
    <row r="22" spans="1:16" x14ac:dyDescent="0.25">
      <c r="E22" s="17">
        <v>0.11</v>
      </c>
      <c r="F22" s="12">
        <v>40799.999999999942</v>
      </c>
      <c r="H22" t="s">
        <v>55</v>
      </c>
    </row>
    <row r="23" spans="1:16" x14ac:dyDescent="0.25">
      <c r="E23" s="18">
        <v>0.115</v>
      </c>
      <c r="F23" s="12">
        <v>44699.999999999942</v>
      </c>
    </row>
    <row r="24" spans="1:16" x14ac:dyDescent="0.25">
      <c r="E24" s="17">
        <v>0.12</v>
      </c>
      <c r="F24" s="12">
        <v>48599.999999999942</v>
      </c>
    </row>
    <row r="25" spans="1:16" x14ac:dyDescent="0.25">
      <c r="E25" s="18">
        <v>0.125</v>
      </c>
      <c r="F25" s="12">
        <v>52499.999999999942</v>
      </c>
    </row>
    <row r="26" spans="1:16" x14ac:dyDescent="0.25">
      <c r="E26" s="17">
        <v>0.13</v>
      </c>
      <c r="F26" s="12">
        <v>56399.999999999942</v>
      </c>
    </row>
    <row r="27" spans="1:16" x14ac:dyDescent="0.25">
      <c r="E27" s="18">
        <v>0.13500000000000001</v>
      </c>
      <c r="F27" s="12">
        <v>52499.999999999942</v>
      </c>
    </row>
    <row r="28" spans="1:16" x14ac:dyDescent="0.25">
      <c r="E28" s="17">
        <v>0.14000000000000001</v>
      </c>
      <c r="F28" s="12">
        <v>56399.999999999942</v>
      </c>
    </row>
    <row r="29" spans="1:16" x14ac:dyDescent="0.25">
      <c r="E29" s="18">
        <v>0.14499999999999999</v>
      </c>
      <c r="F29" s="12">
        <v>52499.999999999942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985D-C5D7-417B-B26C-122233658B7A}">
  <dimension ref="A1:R52"/>
  <sheetViews>
    <sheetView topLeftCell="A33" workbookViewId="0">
      <selection activeCell="M35" sqref="M35"/>
    </sheetView>
  </sheetViews>
  <sheetFormatPr defaultRowHeight="15" x14ac:dyDescent="0.25"/>
  <cols>
    <col min="1" max="1" width="24.5703125" customWidth="1"/>
    <col min="2" max="2" width="16.28515625" customWidth="1"/>
    <col min="8" max="8" width="3.7109375" customWidth="1"/>
    <col min="9" max="9" width="14.28515625" customWidth="1"/>
    <col min="10" max="10" width="12" customWidth="1"/>
    <col min="11" max="13" width="11" bestFit="1" customWidth="1"/>
    <col min="14" max="18" width="8.7109375" bestFit="1" customWidth="1"/>
  </cols>
  <sheetData>
    <row r="1" spans="1:18" ht="20.25" thickBot="1" x14ac:dyDescent="0.35">
      <c r="A1" s="23" t="s">
        <v>74</v>
      </c>
    </row>
    <row r="2" spans="1:18" ht="15.75" thickTop="1" x14ac:dyDescent="0.25">
      <c r="F2" t="s">
        <v>85</v>
      </c>
    </row>
    <row r="3" spans="1:18" x14ac:dyDescent="0.25">
      <c r="A3" t="s">
        <v>75</v>
      </c>
      <c r="B3" s="3">
        <v>30</v>
      </c>
      <c r="F3" s="15" t="s">
        <v>83</v>
      </c>
      <c r="G3" s="15" t="s">
        <v>84</v>
      </c>
    </row>
    <row r="4" spans="1:18" x14ac:dyDescent="0.25">
      <c r="A4" t="s">
        <v>76</v>
      </c>
      <c r="B4" s="3">
        <v>10</v>
      </c>
      <c r="F4" s="15">
        <v>0</v>
      </c>
      <c r="G4" s="12">
        <v>24</v>
      </c>
    </row>
    <row r="5" spans="1:18" x14ac:dyDescent="0.25">
      <c r="F5" s="15">
        <v>1000</v>
      </c>
      <c r="G5" s="12">
        <v>23</v>
      </c>
    </row>
    <row r="6" spans="1:18" x14ac:dyDescent="0.25">
      <c r="A6" t="s">
        <v>77</v>
      </c>
      <c r="B6" s="26">
        <v>500</v>
      </c>
      <c r="C6" t="s">
        <v>79</v>
      </c>
      <c r="F6" s="15">
        <v>2000</v>
      </c>
      <c r="G6" s="12">
        <v>22.25</v>
      </c>
    </row>
    <row r="7" spans="1:18" x14ac:dyDescent="0.25">
      <c r="A7" t="s">
        <v>78</v>
      </c>
      <c r="B7" s="26">
        <v>500</v>
      </c>
      <c r="F7" s="15">
        <v>3000</v>
      </c>
      <c r="G7" s="12">
        <v>21.75</v>
      </c>
    </row>
    <row r="8" spans="1:18" x14ac:dyDescent="0.25">
      <c r="F8" s="15">
        <v>4000</v>
      </c>
      <c r="G8" s="12">
        <v>21.3</v>
      </c>
    </row>
    <row r="9" spans="1:18" x14ac:dyDescent="0.25">
      <c r="A9" t="s">
        <v>80</v>
      </c>
      <c r="B9" s="24">
        <f>MAX(B7-B6,0)</f>
        <v>0</v>
      </c>
      <c r="C9" t="str">
        <f ca="1">_xlfn.FORMULATEXT(B9)</f>
        <v>=MAX(B7-B6;0)</v>
      </c>
    </row>
    <row r="10" spans="1:18" x14ac:dyDescent="0.25">
      <c r="A10" t="s">
        <v>81</v>
      </c>
      <c r="B10" s="25">
        <f>IF(B6&gt;B7,0,B7-B6)</f>
        <v>0</v>
      </c>
      <c r="C10" t="str">
        <f ca="1">_xlfn.FORMULATEXT(B10)</f>
        <v>=IF(B6&gt;B7;0;B7-B6)</v>
      </c>
    </row>
    <row r="12" spans="1:18" x14ac:dyDescent="0.25">
      <c r="A12" t="s">
        <v>82</v>
      </c>
      <c r="B12" s="3">
        <f>VLOOKUP(B7,F4:G8,2,TRUE)*B7</f>
        <v>12000</v>
      </c>
      <c r="C12" t="str">
        <f ca="1">_xlfn.FORMULATEXT(B12)</f>
        <v>=VLOOKUP(B7;F4:G8;2;TRUE)*B7</v>
      </c>
    </row>
    <row r="13" spans="1:18" x14ac:dyDescent="0.25">
      <c r="B13" t="s">
        <v>27</v>
      </c>
      <c r="I13" s="160" t="s">
        <v>10</v>
      </c>
      <c r="J13" s="160"/>
      <c r="K13" s="160"/>
      <c r="L13" s="160"/>
      <c r="M13" s="160"/>
      <c r="N13" s="160"/>
      <c r="O13" s="160"/>
      <c r="P13" s="160"/>
      <c r="Q13" s="160"/>
      <c r="R13" s="160"/>
    </row>
    <row r="14" spans="1:18" ht="15" customHeight="1" x14ac:dyDescent="0.25">
      <c r="A14" t="s">
        <v>86</v>
      </c>
      <c r="B14" s="3">
        <f>MIN(B6:B7)*B3+B9*B4</f>
        <v>15000</v>
      </c>
      <c r="C14" t="str">
        <f ca="1">_xlfn.FORMULATEXT(B14)</f>
        <v>=MIN(B6:B7)*B3+B9*B4</v>
      </c>
      <c r="H14" s="161" t="s">
        <v>88</v>
      </c>
      <c r="I14" s="29">
        <f>B16</f>
        <v>3000</v>
      </c>
      <c r="J14" s="11">
        <v>500</v>
      </c>
      <c r="K14" s="11">
        <v>1000</v>
      </c>
      <c r="L14" s="11">
        <v>1500</v>
      </c>
      <c r="M14" s="11">
        <v>2000</v>
      </c>
      <c r="N14" s="11">
        <v>2500</v>
      </c>
      <c r="O14" s="11">
        <v>3000</v>
      </c>
      <c r="P14" s="11">
        <v>3500</v>
      </c>
      <c r="Q14" s="11">
        <v>4000</v>
      </c>
      <c r="R14" s="11">
        <v>4500</v>
      </c>
    </row>
    <row r="15" spans="1:18" x14ac:dyDescent="0.25">
      <c r="H15" s="161"/>
      <c r="I15" s="27">
        <v>500</v>
      </c>
      <c r="J15" s="28">
        <f t="dataTable" ref="J15:R23" dt2D="1" dtr="1" r1="B6" r2="B7"/>
        <v>3000</v>
      </c>
      <c r="K15" s="28">
        <v>3000</v>
      </c>
      <c r="L15" s="28">
        <v>3000</v>
      </c>
      <c r="M15" s="28">
        <v>3000</v>
      </c>
      <c r="N15" s="28">
        <v>3000</v>
      </c>
      <c r="O15" s="28">
        <v>3000</v>
      </c>
      <c r="P15" s="28">
        <v>3000</v>
      </c>
      <c r="Q15" s="28">
        <v>3000</v>
      </c>
      <c r="R15" s="28">
        <v>3000</v>
      </c>
    </row>
    <row r="16" spans="1:18" x14ac:dyDescent="0.25">
      <c r="A16" t="s">
        <v>87</v>
      </c>
      <c r="B16" s="3">
        <f>B14-B12</f>
        <v>3000</v>
      </c>
      <c r="C16" t="str">
        <f ca="1">_xlfn.FORMULATEXT(B16)</f>
        <v>=B14-B12</v>
      </c>
      <c r="H16" s="161"/>
      <c r="I16" s="27">
        <v>1000</v>
      </c>
      <c r="J16" s="28">
        <v>-3000</v>
      </c>
      <c r="K16" s="28">
        <v>7000</v>
      </c>
      <c r="L16" s="28">
        <v>7000</v>
      </c>
      <c r="M16" s="28">
        <v>7000</v>
      </c>
      <c r="N16" s="28">
        <v>7000</v>
      </c>
      <c r="O16" s="28">
        <v>7000</v>
      </c>
      <c r="P16" s="28">
        <v>7000</v>
      </c>
      <c r="Q16" s="28">
        <v>7000</v>
      </c>
      <c r="R16" s="28">
        <v>7000</v>
      </c>
    </row>
    <row r="17" spans="1:18" x14ac:dyDescent="0.25">
      <c r="H17" s="161"/>
      <c r="I17" s="27">
        <v>1500</v>
      </c>
      <c r="J17" s="28">
        <v>-9500</v>
      </c>
      <c r="K17" s="28">
        <v>500</v>
      </c>
      <c r="L17" s="28">
        <v>10500</v>
      </c>
      <c r="M17" s="28">
        <v>10500</v>
      </c>
      <c r="N17" s="28">
        <v>10500</v>
      </c>
      <c r="O17" s="28">
        <v>10500</v>
      </c>
      <c r="P17" s="28">
        <v>10500</v>
      </c>
      <c r="Q17" s="28">
        <v>10500</v>
      </c>
      <c r="R17" s="28">
        <v>10500</v>
      </c>
    </row>
    <row r="18" spans="1:18" x14ac:dyDescent="0.25">
      <c r="H18" s="161"/>
      <c r="I18" s="27">
        <v>2000</v>
      </c>
      <c r="J18" s="28">
        <v>-14500</v>
      </c>
      <c r="K18" s="28">
        <v>-4500</v>
      </c>
      <c r="L18" s="28">
        <v>5500</v>
      </c>
      <c r="M18" s="28">
        <v>15500</v>
      </c>
      <c r="N18" s="28">
        <v>15500</v>
      </c>
      <c r="O18" s="28">
        <v>15500</v>
      </c>
      <c r="P18" s="28">
        <v>15500</v>
      </c>
      <c r="Q18" s="28">
        <v>15500</v>
      </c>
      <c r="R18" s="28">
        <v>15500</v>
      </c>
    </row>
    <row r="19" spans="1:18" x14ac:dyDescent="0.25">
      <c r="H19" s="161"/>
      <c r="I19" s="27">
        <v>2500</v>
      </c>
      <c r="J19" s="28">
        <v>-20625</v>
      </c>
      <c r="K19" s="28">
        <v>-10625</v>
      </c>
      <c r="L19" s="28">
        <v>-625</v>
      </c>
      <c r="M19" s="28">
        <v>9375</v>
      </c>
      <c r="N19" s="28">
        <v>19375</v>
      </c>
      <c r="O19" s="28">
        <v>19375</v>
      </c>
      <c r="P19" s="28">
        <v>19375</v>
      </c>
      <c r="Q19" s="28">
        <v>19375</v>
      </c>
      <c r="R19" s="28">
        <v>19375</v>
      </c>
    </row>
    <row r="20" spans="1:18" x14ac:dyDescent="0.25">
      <c r="H20" s="161"/>
      <c r="I20" s="27">
        <v>3000</v>
      </c>
      <c r="J20" s="28">
        <v>-25250</v>
      </c>
      <c r="K20" s="28">
        <v>-15250</v>
      </c>
      <c r="L20" s="28">
        <v>-5250</v>
      </c>
      <c r="M20" s="28">
        <v>4750</v>
      </c>
      <c r="N20" s="28">
        <v>14750</v>
      </c>
      <c r="O20" s="28">
        <v>24750</v>
      </c>
      <c r="P20" s="28">
        <v>24750</v>
      </c>
      <c r="Q20" s="28">
        <v>24750</v>
      </c>
      <c r="R20" s="28">
        <v>24750</v>
      </c>
    </row>
    <row r="21" spans="1:18" x14ac:dyDescent="0.25">
      <c r="H21" s="161"/>
      <c r="I21" s="27">
        <v>3500</v>
      </c>
      <c r="J21" s="28">
        <v>-31125</v>
      </c>
      <c r="K21" s="28">
        <v>-21125</v>
      </c>
      <c r="L21" s="28">
        <v>-11125</v>
      </c>
      <c r="M21" s="28">
        <v>-1125</v>
      </c>
      <c r="N21" s="28">
        <v>8875</v>
      </c>
      <c r="O21" s="28">
        <v>18875</v>
      </c>
      <c r="P21" s="28">
        <v>28875</v>
      </c>
      <c r="Q21" s="28">
        <v>28875</v>
      </c>
      <c r="R21" s="28">
        <v>28875</v>
      </c>
    </row>
    <row r="22" spans="1:18" x14ac:dyDescent="0.25">
      <c r="H22" s="161"/>
      <c r="I22" s="27">
        <v>4000</v>
      </c>
      <c r="J22" s="28">
        <v>-35200</v>
      </c>
      <c r="K22" s="28">
        <v>-25200</v>
      </c>
      <c r="L22" s="28">
        <v>-15200</v>
      </c>
      <c r="M22" s="28">
        <v>-5200</v>
      </c>
      <c r="N22" s="28">
        <v>4800</v>
      </c>
      <c r="O22" s="28">
        <v>14800</v>
      </c>
      <c r="P22" s="28">
        <v>24800</v>
      </c>
      <c r="Q22" s="28">
        <v>34800</v>
      </c>
      <c r="R22" s="28">
        <v>34800</v>
      </c>
    </row>
    <row r="23" spans="1:18" x14ac:dyDescent="0.25">
      <c r="H23" s="161"/>
      <c r="I23" s="27">
        <v>4500</v>
      </c>
      <c r="J23" s="28">
        <v>-40850</v>
      </c>
      <c r="K23" s="28">
        <v>-30850</v>
      </c>
      <c r="L23" s="28">
        <v>-20850</v>
      </c>
      <c r="M23" s="28">
        <v>-10850</v>
      </c>
      <c r="N23" s="28">
        <v>-850</v>
      </c>
      <c r="O23" s="28">
        <v>9150</v>
      </c>
      <c r="P23" s="28">
        <v>19150</v>
      </c>
      <c r="Q23" s="28">
        <v>29150</v>
      </c>
      <c r="R23" s="28">
        <v>39150</v>
      </c>
    </row>
    <row r="24" spans="1:18" x14ac:dyDescent="0.25">
      <c r="A24" t="s">
        <v>89</v>
      </c>
    </row>
    <row r="26" spans="1:18" ht="20.25" thickBot="1" x14ac:dyDescent="0.35">
      <c r="A26" s="23" t="s">
        <v>90</v>
      </c>
    </row>
    <row r="27" spans="1:18" ht="15.75" thickTop="1" x14ac:dyDescent="0.25"/>
    <row r="28" spans="1:18" x14ac:dyDescent="0.25">
      <c r="A28" s="2" t="s">
        <v>93</v>
      </c>
      <c r="B28" s="30">
        <v>3</v>
      </c>
    </row>
    <row r="29" spans="1:18" x14ac:dyDescent="0.25">
      <c r="A29" s="2" t="s">
        <v>94</v>
      </c>
      <c r="B29">
        <f>B28*100000</f>
        <v>300000</v>
      </c>
      <c r="C29" t="str">
        <f ca="1">_xlfn.FORMULATEXT(B29)</f>
        <v>=B28*100000</v>
      </c>
    </row>
    <row r="30" spans="1:18" x14ac:dyDescent="0.25">
      <c r="A30" s="2"/>
    </row>
    <row r="31" spans="1:18" x14ac:dyDescent="0.25">
      <c r="A31" s="2" t="s">
        <v>95</v>
      </c>
      <c r="B31" s="30">
        <v>774.95107632093936</v>
      </c>
      <c r="C31" t="s">
        <v>96</v>
      </c>
    </row>
    <row r="32" spans="1:18" x14ac:dyDescent="0.25">
      <c r="A32" s="2" t="s">
        <v>97</v>
      </c>
      <c r="B32">
        <f>B31*365</f>
        <v>282857.14285714284</v>
      </c>
      <c r="C32" t="str">
        <f ca="1">_xlfn.FORMULATEXT(B32)</f>
        <v>=B31*365</v>
      </c>
    </row>
    <row r="33" spans="1:13" x14ac:dyDescent="0.25">
      <c r="A33" s="2"/>
    </row>
    <row r="34" spans="1:13" x14ac:dyDescent="0.25">
      <c r="A34" s="2" t="s">
        <v>98</v>
      </c>
      <c r="B34">
        <f>MIN(B29,B32)</f>
        <v>282857.14285714284</v>
      </c>
      <c r="C34" t="str">
        <f ca="1">_xlfn.FORMULATEXT(B34)</f>
        <v>=MIN(B29;B32)</v>
      </c>
    </row>
    <row r="35" spans="1:13" x14ac:dyDescent="0.25">
      <c r="A35" s="2" t="s">
        <v>81</v>
      </c>
      <c r="B35">
        <f>IF(B32&gt;B29,B29,B32)</f>
        <v>282857.14285714284</v>
      </c>
      <c r="C35" t="str">
        <f ca="1">_xlfn.FORMULATEXT(B35)</f>
        <v>=IF(B32&gt;B29;B29;B32)</v>
      </c>
    </row>
    <row r="37" spans="1:13" ht="20.25" thickBot="1" x14ac:dyDescent="0.35">
      <c r="A37" s="23" t="s">
        <v>99</v>
      </c>
    </row>
    <row r="38" spans="1:13" ht="15.75" thickTop="1" x14ac:dyDescent="0.25"/>
    <row r="39" spans="1:13" x14ac:dyDescent="0.25">
      <c r="A39" t="s">
        <v>100</v>
      </c>
      <c r="B39" s="3">
        <v>400</v>
      </c>
      <c r="C39" t="s">
        <v>92</v>
      </c>
    </row>
    <row r="40" spans="1:13" x14ac:dyDescent="0.25">
      <c r="A40" t="s">
        <v>101</v>
      </c>
    </row>
    <row r="41" spans="1:13" x14ac:dyDescent="0.25">
      <c r="A41" s="31" t="s">
        <v>102</v>
      </c>
      <c r="B41" s="3">
        <v>5000</v>
      </c>
      <c r="C41" t="s">
        <v>103</v>
      </c>
    </row>
    <row r="42" spans="1:13" x14ac:dyDescent="0.25">
      <c r="A42" s="31" t="s">
        <v>104</v>
      </c>
      <c r="B42" s="3">
        <v>0.03</v>
      </c>
      <c r="C42" t="s">
        <v>105</v>
      </c>
    </row>
    <row r="43" spans="1:13" x14ac:dyDescent="0.25">
      <c r="H43" s="163" t="s">
        <v>111</v>
      </c>
      <c r="I43" s="162" t="s">
        <v>10</v>
      </c>
      <c r="J43" s="162"/>
      <c r="K43" s="162"/>
      <c r="L43" s="162"/>
      <c r="M43" s="162"/>
    </row>
    <row r="44" spans="1:13" x14ac:dyDescent="0.25">
      <c r="A44" s="2" t="s">
        <v>106</v>
      </c>
      <c r="B44" s="3">
        <f>B39*12+B41*B28+B42*B34</f>
        <v>28285.714285714283</v>
      </c>
      <c r="C44" t="str">
        <f ca="1">_xlfn.FORMULATEXT(B44)</f>
        <v>=B39*12+B41*B28+B42*B34</v>
      </c>
      <c r="H44" s="163"/>
      <c r="I44" s="32">
        <f>B52</f>
        <v>0</v>
      </c>
      <c r="J44" s="11">
        <v>500</v>
      </c>
      <c r="K44" s="11">
        <v>1000</v>
      </c>
      <c r="L44" s="11">
        <v>1500</v>
      </c>
      <c r="M44" s="11">
        <v>2000</v>
      </c>
    </row>
    <row r="45" spans="1:13" x14ac:dyDescent="0.25">
      <c r="H45" s="163"/>
      <c r="I45" s="11">
        <v>1</v>
      </c>
      <c r="J45" s="33">
        <f t="dataTable" ref="J45:M49" dt2D="1" dtr="1" r1="B31" r2="B28"/>
        <v>-2800</v>
      </c>
      <c r="K45" s="33">
        <v>-2800</v>
      </c>
      <c r="L45" s="33">
        <v>-2800</v>
      </c>
      <c r="M45" s="33">
        <v>-2800</v>
      </c>
    </row>
    <row r="46" spans="1:13" ht="20.25" thickBot="1" x14ac:dyDescent="0.35">
      <c r="A46" s="23" t="s">
        <v>107</v>
      </c>
      <c r="H46" s="163"/>
      <c r="I46" s="11">
        <v>2</v>
      </c>
      <c r="J46" s="33">
        <v>-2025</v>
      </c>
      <c r="K46" s="33">
        <v>-800</v>
      </c>
      <c r="L46" s="33">
        <v>-800</v>
      </c>
      <c r="M46" s="33">
        <v>-800</v>
      </c>
    </row>
    <row r="47" spans="1:13" ht="15.75" thickTop="1" x14ac:dyDescent="0.25">
      <c r="H47" s="163"/>
      <c r="I47" s="11">
        <v>3</v>
      </c>
      <c r="J47" s="33">
        <v>-7025</v>
      </c>
      <c r="K47" s="33">
        <v>1200</v>
      </c>
      <c r="L47" s="33">
        <v>1200</v>
      </c>
      <c r="M47" s="33">
        <v>1200</v>
      </c>
    </row>
    <row r="48" spans="1:13" x14ac:dyDescent="0.25">
      <c r="A48" t="s">
        <v>108</v>
      </c>
      <c r="B48" s="3">
        <v>0.1</v>
      </c>
      <c r="C48" t="s">
        <v>91</v>
      </c>
      <c r="H48" s="163"/>
      <c r="I48" s="11">
        <v>4</v>
      </c>
      <c r="J48" s="33">
        <v>-12025</v>
      </c>
      <c r="K48" s="33">
        <v>750</v>
      </c>
      <c r="L48" s="33">
        <v>3200</v>
      </c>
      <c r="M48" s="33">
        <v>3200</v>
      </c>
    </row>
    <row r="49" spans="1:13" x14ac:dyDescent="0.25">
      <c r="H49" s="163"/>
      <c r="I49" s="11">
        <v>5</v>
      </c>
      <c r="J49" s="33">
        <v>-17025</v>
      </c>
      <c r="K49" s="33">
        <v>-4250</v>
      </c>
      <c r="L49" s="33">
        <v>5200</v>
      </c>
      <c r="M49" s="33">
        <v>5200</v>
      </c>
    </row>
    <row r="50" spans="1:13" x14ac:dyDescent="0.25">
      <c r="A50" s="2" t="s">
        <v>109</v>
      </c>
      <c r="B50" s="3">
        <f>B48*B34</f>
        <v>28285.714285714286</v>
      </c>
      <c r="C50" t="str">
        <f ca="1">_xlfn.FORMULATEXT(B50)</f>
        <v>=B48*B34</v>
      </c>
      <c r="L50" t="s">
        <v>27</v>
      </c>
    </row>
    <row r="51" spans="1:13" x14ac:dyDescent="0.25">
      <c r="I51" t="s">
        <v>113</v>
      </c>
      <c r="K51">
        <v>775</v>
      </c>
      <c r="L51" t="s">
        <v>112</v>
      </c>
    </row>
    <row r="52" spans="1:13" x14ac:dyDescent="0.25">
      <c r="A52" s="2" t="s">
        <v>110</v>
      </c>
      <c r="B52" s="3">
        <f>B50-B44</f>
        <v>0</v>
      </c>
    </row>
  </sheetData>
  <mergeCells count="4">
    <mergeCell ref="I13:R13"/>
    <mergeCell ref="H14:H23"/>
    <mergeCell ref="I43:M43"/>
    <mergeCell ref="H43:H49"/>
  </mergeCells>
  <conditionalFormatting sqref="H43:M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:R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C664-7773-418C-8742-9BD8CDFFBD80}">
  <dimension ref="A1:N33"/>
  <sheetViews>
    <sheetView topLeftCell="A14" workbookViewId="0">
      <selection activeCell="M13" sqref="M13"/>
    </sheetView>
  </sheetViews>
  <sheetFormatPr defaultRowHeight="15" x14ac:dyDescent="0.25"/>
  <cols>
    <col min="1" max="1" width="21.140625" customWidth="1"/>
    <col min="2" max="2" width="14.7109375" bestFit="1" customWidth="1"/>
    <col min="6" max="6" width="14.5703125" customWidth="1"/>
    <col min="7" max="7" width="17" customWidth="1"/>
    <col min="10" max="11" width="13.140625" bestFit="1" customWidth="1"/>
    <col min="12" max="14" width="14" bestFit="1" customWidth="1"/>
  </cols>
  <sheetData>
    <row r="1" spans="1:8" ht="20.25" thickBot="1" x14ac:dyDescent="0.35">
      <c r="A1" s="23" t="s">
        <v>114</v>
      </c>
    </row>
    <row r="2" spans="1:8" ht="15.75" thickTop="1" x14ac:dyDescent="0.25"/>
    <row r="3" spans="1:8" ht="20.25" thickBot="1" x14ac:dyDescent="0.35">
      <c r="A3" s="23" t="s">
        <v>115</v>
      </c>
    </row>
    <row r="4" spans="1:8" ht="15.75" thickTop="1" x14ac:dyDescent="0.25">
      <c r="A4" s="2" t="s">
        <v>116</v>
      </c>
      <c r="B4" s="35">
        <v>5</v>
      </c>
    </row>
    <row r="5" spans="1:8" x14ac:dyDescent="0.25">
      <c r="A5" s="2" t="s">
        <v>117</v>
      </c>
      <c r="B5" s="35">
        <v>30</v>
      </c>
    </row>
    <row r="6" spans="1:8" x14ac:dyDescent="0.25">
      <c r="A6" s="2" t="s">
        <v>118</v>
      </c>
      <c r="B6" s="25">
        <f>B4*B5</f>
        <v>150</v>
      </c>
      <c r="C6" t="str">
        <f ca="1">_xlfn.FORMULATEXT(B6)</f>
        <v>=B4*B5</v>
      </c>
    </row>
    <row r="7" spans="1:8" x14ac:dyDescent="0.25">
      <c r="B7" s="25"/>
    </row>
    <row r="8" spans="1:8" ht="20.25" thickBot="1" x14ac:dyDescent="0.35">
      <c r="A8" s="23" t="s">
        <v>119</v>
      </c>
      <c r="B8" s="25"/>
    </row>
    <row r="9" spans="1:8" ht="15.75" thickTop="1" x14ac:dyDescent="0.25">
      <c r="A9" s="2" t="s">
        <v>120</v>
      </c>
      <c r="B9" s="25">
        <v>800</v>
      </c>
    </row>
    <row r="10" spans="1:8" x14ac:dyDescent="0.25">
      <c r="A10" s="2" t="s">
        <v>121</v>
      </c>
      <c r="B10" s="36">
        <v>0.8</v>
      </c>
    </row>
    <row r="11" spans="1:8" x14ac:dyDescent="0.25">
      <c r="A11" s="2" t="s">
        <v>122</v>
      </c>
      <c r="B11" s="25">
        <f>B9*B10</f>
        <v>640</v>
      </c>
      <c r="C11" t="str">
        <f ca="1">_xlfn.FORMULATEXT(B11)</f>
        <v>=B9*B10</v>
      </c>
    </row>
    <row r="13" spans="1:8" ht="20.25" thickBot="1" x14ac:dyDescent="0.35">
      <c r="A13" s="23" t="s">
        <v>123</v>
      </c>
      <c r="F13" s="41">
        <v>34.417999999999999</v>
      </c>
      <c r="G13" t="s">
        <v>133</v>
      </c>
      <c r="H13" t="s">
        <v>142</v>
      </c>
    </row>
    <row r="14" spans="1:8" ht="15.75" thickTop="1" x14ac:dyDescent="0.25">
      <c r="A14" s="2" t="s">
        <v>124</v>
      </c>
      <c r="B14" s="3">
        <v>5500000</v>
      </c>
    </row>
    <row r="15" spans="1:8" x14ac:dyDescent="0.25">
      <c r="A15" s="2" t="s">
        <v>125</v>
      </c>
      <c r="B15" s="3">
        <v>1000</v>
      </c>
      <c r="C15" t="s">
        <v>131</v>
      </c>
    </row>
    <row r="16" spans="1:8" x14ac:dyDescent="0.25">
      <c r="A16" s="2" t="s">
        <v>126</v>
      </c>
      <c r="B16" s="3">
        <f>B14+B6*B15</f>
        <v>5650000</v>
      </c>
      <c r="C16" t="str">
        <f ca="1">_xlfn.FORMULATEXT(B16)</f>
        <v>=B14+B6*B15</v>
      </c>
    </row>
    <row r="18" spans="1:14" ht="20.25" thickBot="1" x14ac:dyDescent="0.35">
      <c r="A18" s="23" t="s">
        <v>107</v>
      </c>
      <c r="F18" s="11" t="s">
        <v>134</v>
      </c>
      <c r="G18" s="11" t="s">
        <v>135</v>
      </c>
    </row>
    <row r="19" spans="1:14" ht="15.75" thickTop="1" x14ac:dyDescent="0.25">
      <c r="A19" s="2" t="s">
        <v>127</v>
      </c>
      <c r="B19" s="34">
        <v>50</v>
      </c>
      <c r="C19" t="s">
        <v>132</v>
      </c>
      <c r="F19" s="27"/>
      <c r="G19" s="37">
        <f>B23</f>
        <v>-706000</v>
      </c>
    </row>
    <row r="20" spans="1:14" x14ac:dyDescent="0.25">
      <c r="A20" s="2" t="s">
        <v>128</v>
      </c>
      <c r="B20" s="3">
        <v>1.5</v>
      </c>
      <c r="C20" t="s">
        <v>132</v>
      </c>
      <c r="F20" s="38">
        <v>0.8</v>
      </c>
      <c r="G20" s="39">
        <f t="dataTable" ref="G20:G22" dt2D="0" dtr="0" r1="B10"/>
        <v>-706000</v>
      </c>
    </row>
    <row r="21" spans="1:14" x14ac:dyDescent="0.25">
      <c r="A21" s="2" t="s">
        <v>129</v>
      </c>
      <c r="B21" s="3">
        <f>B6*B11*(B19+B20)</f>
        <v>4944000</v>
      </c>
      <c r="C21" t="str">
        <f ca="1">_xlfn.FORMULATEXT(B21)</f>
        <v>=B6*B11*(B19+B20)</v>
      </c>
      <c r="F21" s="38">
        <v>0.85</v>
      </c>
      <c r="G21" s="39">
        <v>-397000</v>
      </c>
    </row>
    <row r="22" spans="1:14" x14ac:dyDescent="0.25">
      <c r="F22" s="38">
        <v>0.9</v>
      </c>
      <c r="G22" s="39">
        <v>-88000</v>
      </c>
    </row>
    <row r="23" spans="1:14" x14ac:dyDescent="0.25">
      <c r="A23" s="2" t="s">
        <v>130</v>
      </c>
      <c r="B23" s="3">
        <f>B21-B16</f>
        <v>-706000</v>
      </c>
    </row>
    <row r="24" spans="1:14" x14ac:dyDescent="0.25">
      <c r="F24" t="s">
        <v>136</v>
      </c>
      <c r="I24" t="s">
        <v>138</v>
      </c>
    </row>
    <row r="25" spans="1:14" x14ac:dyDescent="0.25">
      <c r="I25" s="160" t="s">
        <v>140</v>
      </c>
      <c r="J25" s="160"/>
      <c r="K25" s="160"/>
      <c r="L25" s="160"/>
      <c r="M25" s="160"/>
      <c r="N25" s="160"/>
    </row>
    <row r="26" spans="1:14" x14ac:dyDescent="0.25">
      <c r="F26" s="27" t="s">
        <v>117</v>
      </c>
      <c r="G26" s="27" t="s">
        <v>137</v>
      </c>
      <c r="I26" s="161" t="s">
        <v>139</v>
      </c>
      <c r="J26" s="16">
        <f>B23</f>
        <v>-706000</v>
      </c>
      <c r="K26" s="15">
        <v>30</v>
      </c>
      <c r="L26" s="15">
        <v>40</v>
      </c>
      <c r="M26" s="15">
        <v>50</v>
      </c>
      <c r="N26" s="15">
        <v>60</v>
      </c>
    </row>
    <row r="27" spans="1:14" ht="15" customHeight="1" x14ac:dyDescent="0.25">
      <c r="F27" s="15"/>
      <c r="G27" s="16">
        <f>B23</f>
        <v>-706000</v>
      </c>
      <c r="I27" s="161"/>
      <c r="J27" s="40">
        <v>50</v>
      </c>
      <c r="K27" s="12">
        <f t="dataTable" ref="K27:N32" dt2D="1" dtr="1" r1="B5" r2="B19" ca="1"/>
        <v>-706000</v>
      </c>
      <c r="L27" s="12">
        <v>892000</v>
      </c>
      <c r="M27" s="12">
        <v>2490000</v>
      </c>
      <c r="N27" s="12">
        <v>4088000</v>
      </c>
    </row>
    <row r="28" spans="1:14" x14ac:dyDescent="0.25">
      <c r="F28" s="27">
        <v>30</v>
      </c>
      <c r="G28" s="12">
        <f t="dataTable" ref="G28:G31" dt2D="0" dtr="0" r1="B5" ca="1"/>
        <v>-706000</v>
      </c>
      <c r="I28" s="161"/>
      <c r="J28" s="40">
        <v>51</v>
      </c>
      <c r="K28" s="12">
        <v>-610000</v>
      </c>
      <c r="L28" s="12">
        <v>1020000</v>
      </c>
      <c r="M28" s="12">
        <v>2650000</v>
      </c>
      <c r="N28" s="12">
        <v>4280000</v>
      </c>
    </row>
    <row r="29" spans="1:14" x14ac:dyDescent="0.25">
      <c r="F29" s="27">
        <v>40</v>
      </c>
      <c r="G29" s="12">
        <v>892000</v>
      </c>
      <c r="I29" s="161"/>
      <c r="J29" s="40">
        <v>52</v>
      </c>
      <c r="K29" s="12">
        <v>-514000</v>
      </c>
      <c r="L29" s="12">
        <v>1148000</v>
      </c>
      <c r="M29" s="12">
        <v>2810000</v>
      </c>
      <c r="N29" s="12">
        <v>4472000</v>
      </c>
    </row>
    <row r="30" spans="1:14" x14ac:dyDescent="0.25">
      <c r="F30" s="27">
        <v>50</v>
      </c>
      <c r="G30" s="12">
        <v>2490000</v>
      </c>
      <c r="I30" s="161"/>
      <c r="J30" s="40">
        <v>53</v>
      </c>
      <c r="K30" s="12">
        <v>-418000</v>
      </c>
      <c r="L30" s="12">
        <v>1276000</v>
      </c>
      <c r="M30" s="12">
        <v>2970000</v>
      </c>
      <c r="N30" s="12">
        <v>4664000</v>
      </c>
    </row>
    <row r="31" spans="1:14" x14ac:dyDescent="0.25">
      <c r="F31" s="27">
        <v>60</v>
      </c>
      <c r="G31" s="12">
        <v>4088000</v>
      </c>
      <c r="I31" s="161"/>
      <c r="J31" s="40">
        <v>54</v>
      </c>
      <c r="K31" s="12">
        <v>-322000</v>
      </c>
      <c r="L31" s="12">
        <v>1404000</v>
      </c>
      <c r="M31" s="12">
        <v>3130000</v>
      </c>
      <c r="N31" s="12">
        <v>4856000</v>
      </c>
    </row>
    <row r="32" spans="1:14" x14ac:dyDescent="0.25">
      <c r="I32" s="161"/>
      <c r="J32" s="40">
        <v>55</v>
      </c>
      <c r="K32" s="12">
        <v>-226000</v>
      </c>
      <c r="L32" s="12">
        <v>1532000</v>
      </c>
      <c r="M32" s="12">
        <v>3290000</v>
      </c>
      <c r="N32" s="12">
        <v>5048000</v>
      </c>
    </row>
    <row r="33" spans="6:6" x14ac:dyDescent="0.25">
      <c r="F33" t="s">
        <v>141</v>
      </c>
    </row>
  </sheetData>
  <mergeCells count="2">
    <mergeCell ref="I26:I32"/>
    <mergeCell ref="I25:N25"/>
  </mergeCells>
  <conditionalFormatting sqref="K27:N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1EE6-B295-497D-AADC-62C33DC9F1DC}">
  <dimension ref="A2:X176"/>
  <sheetViews>
    <sheetView showGridLines="0" topLeftCell="A17" workbookViewId="0">
      <selection activeCell="X72" sqref="X72"/>
    </sheetView>
  </sheetViews>
  <sheetFormatPr defaultRowHeight="15" x14ac:dyDescent="0.25"/>
  <cols>
    <col min="1" max="1" width="16.42578125" customWidth="1"/>
    <col min="2" max="2" width="27" customWidth="1"/>
    <col min="3" max="3" width="13.140625" customWidth="1"/>
    <col min="4" max="4" width="12.5703125" customWidth="1"/>
    <col min="5" max="5" width="13" customWidth="1"/>
    <col min="6" max="6" width="14.7109375" bestFit="1" customWidth="1"/>
    <col min="7" max="7" width="23.42578125" customWidth="1"/>
    <col min="8" max="8" width="12.140625" customWidth="1"/>
    <col min="9" max="9" width="14" bestFit="1" customWidth="1"/>
    <col min="11" max="11" width="11.28515625" bestFit="1" customWidth="1"/>
  </cols>
  <sheetData>
    <row r="2" spans="1:3" x14ac:dyDescent="0.25">
      <c r="A2" s="11" t="s">
        <v>143</v>
      </c>
      <c r="B2" s="11" t="s">
        <v>66</v>
      </c>
      <c r="C2" s="11" t="s">
        <v>144</v>
      </c>
    </row>
    <row r="3" spans="1:3" x14ac:dyDescent="0.25">
      <c r="A3" s="11">
        <v>1</v>
      </c>
      <c r="B3" s="11">
        <v>450</v>
      </c>
      <c r="C3" s="11">
        <v>45</v>
      </c>
    </row>
    <row r="4" spans="1:3" x14ac:dyDescent="0.25">
      <c r="A4" s="11">
        <v>2</v>
      </c>
      <c r="B4" s="11">
        <v>300</v>
      </c>
      <c r="C4" s="11">
        <v>103</v>
      </c>
    </row>
    <row r="5" spans="1:3" x14ac:dyDescent="0.25">
      <c r="A5" s="11">
        <v>3</v>
      </c>
      <c r="B5" s="11">
        <v>440</v>
      </c>
      <c r="C5" s="11">
        <v>49</v>
      </c>
    </row>
    <row r="6" spans="1:3" x14ac:dyDescent="0.25">
      <c r="A6" s="11">
        <v>4</v>
      </c>
      <c r="B6" s="11">
        <v>360</v>
      </c>
      <c r="C6" s="11">
        <v>86</v>
      </c>
    </row>
    <row r="7" spans="1:3" x14ac:dyDescent="0.25">
      <c r="A7" s="11">
        <v>5</v>
      </c>
      <c r="B7" s="11">
        <v>290</v>
      </c>
      <c r="C7" s="11">
        <v>125</v>
      </c>
    </row>
    <row r="8" spans="1:3" x14ac:dyDescent="0.25">
      <c r="A8" s="11">
        <v>6</v>
      </c>
      <c r="B8" s="11">
        <v>450</v>
      </c>
      <c r="C8" s="11">
        <v>52</v>
      </c>
    </row>
    <row r="9" spans="1:3" x14ac:dyDescent="0.25">
      <c r="A9" s="11">
        <v>7</v>
      </c>
      <c r="B9" s="11">
        <v>340</v>
      </c>
      <c r="C9" s="11">
        <v>87</v>
      </c>
    </row>
    <row r="10" spans="1:3" x14ac:dyDescent="0.25">
      <c r="A10" s="11">
        <v>8</v>
      </c>
      <c r="B10" s="11">
        <v>370</v>
      </c>
      <c r="C10" s="11">
        <v>68</v>
      </c>
    </row>
    <row r="11" spans="1:3" x14ac:dyDescent="0.25">
      <c r="A11" s="11">
        <v>9</v>
      </c>
      <c r="B11" s="11">
        <v>500</v>
      </c>
      <c r="C11" s="11">
        <v>45</v>
      </c>
    </row>
    <row r="12" spans="1:3" x14ac:dyDescent="0.25">
      <c r="A12" s="11">
        <v>10</v>
      </c>
      <c r="B12" s="11">
        <v>490</v>
      </c>
      <c r="C12" s="11">
        <v>44</v>
      </c>
    </row>
    <row r="13" spans="1:3" x14ac:dyDescent="0.25">
      <c r="A13" s="11">
        <v>11</v>
      </c>
      <c r="B13" s="11">
        <v>430</v>
      </c>
      <c r="C13" s="11">
        <v>58</v>
      </c>
    </row>
    <row r="14" spans="1:3" x14ac:dyDescent="0.25">
      <c r="A14" s="11">
        <v>12</v>
      </c>
      <c r="B14" s="11">
        <v>390</v>
      </c>
      <c r="C14" s="11">
        <v>68</v>
      </c>
    </row>
    <row r="16" spans="1:3" x14ac:dyDescent="0.25">
      <c r="A16" t="s">
        <v>145</v>
      </c>
    </row>
    <row r="18" spans="1:8" x14ac:dyDescent="0.25">
      <c r="A18" s="42" t="s">
        <v>148</v>
      </c>
      <c r="B18" s="42"/>
      <c r="C18" s="42" t="s">
        <v>150</v>
      </c>
      <c r="D18" s="42"/>
      <c r="E18" s="42" t="s">
        <v>156</v>
      </c>
      <c r="F18" s="42"/>
    </row>
    <row r="19" spans="1:8" x14ac:dyDescent="0.25">
      <c r="A19" s="42" t="s">
        <v>146</v>
      </c>
      <c r="B19" s="27">
        <v>211.31</v>
      </c>
      <c r="C19" s="42" t="s">
        <v>151</v>
      </c>
      <c r="D19" s="27">
        <v>5871064</v>
      </c>
      <c r="E19" s="42" t="s">
        <v>151</v>
      </c>
      <c r="F19" s="27">
        <v>465.51</v>
      </c>
    </row>
    <row r="20" spans="1:8" x14ac:dyDescent="0.25">
      <c r="A20" s="42" t="s">
        <v>147</v>
      </c>
      <c r="B20" s="27">
        <v>-0.35460000000000003</v>
      </c>
      <c r="C20" s="42" t="s">
        <v>153</v>
      </c>
      <c r="D20" s="43">
        <v>-1.9079999999999999</v>
      </c>
      <c r="E20" s="42" t="s">
        <v>152</v>
      </c>
      <c r="F20" s="27">
        <v>-5.0000000000000001E-3</v>
      </c>
    </row>
    <row r="22" spans="1:8" x14ac:dyDescent="0.25">
      <c r="A22" s="162" t="s">
        <v>66</v>
      </c>
      <c r="B22" s="160" t="s">
        <v>157</v>
      </c>
      <c r="C22" s="160"/>
      <c r="D22" s="160"/>
      <c r="E22" s="167" t="s">
        <v>167</v>
      </c>
      <c r="F22" s="160" t="s">
        <v>158</v>
      </c>
      <c r="G22" s="160"/>
      <c r="H22" s="160"/>
    </row>
    <row r="23" spans="1:8" x14ac:dyDescent="0.25">
      <c r="A23" s="162"/>
      <c r="B23" s="27" t="s">
        <v>154</v>
      </c>
      <c r="C23" s="27" t="s">
        <v>149</v>
      </c>
      <c r="D23" s="27" t="s">
        <v>155</v>
      </c>
      <c r="E23" s="167"/>
      <c r="F23" s="27" t="s">
        <v>154</v>
      </c>
      <c r="G23" s="27" t="s">
        <v>149</v>
      </c>
      <c r="H23" s="27" t="s">
        <v>155</v>
      </c>
    </row>
    <row r="24" spans="1:8" x14ac:dyDescent="0.25">
      <c r="A24" s="11">
        <v>450</v>
      </c>
      <c r="B24" s="15">
        <f>$B$20*A24+$B$19</f>
        <v>51.739999999999981</v>
      </c>
      <c r="C24" s="15">
        <f>$D$19*A24^$D$20</f>
        <v>50.861286169919921</v>
      </c>
      <c r="D24" s="15">
        <f>$F$19*EXP($F$20*A24)</f>
        <v>49.064393025793464</v>
      </c>
      <c r="E24" s="11">
        <v>45</v>
      </c>
      <c r="F24" s="44">
        <f>ABS(B24-E24)/E24</f>
        <v>0.14977777777777734</v>
      </c>
      <c r="G24" s="44">
        <f>ABS(C24-E24)/E24</f>
        <v>0.13025080377599826</v>
      </c>
      <c r="H24" s="44">
        <f>ABS(D24-E24)/E24</f>
        <v>9.0319845017632544E-2</v>
      </c>
    </row>
    <row r="25" spans="1:8" x14ac:dyDescent="0.25">
      <c r="A25" s="11">
        <v>300</v>
      </c>
      <c r="B25" s="15">
        <f t="shared" ref="B25:B35" si="0">$B$20*A25+$B$19</f>
        <v>104.92999999999999</v>
      </c>
      <c r="C25" s="15">
        <f t="shared" ref="C25:C35" si="1">$D$19*A25^$D$20</f>
        <v>110.2476803704582</v>
      </c>
      <c r="D25" s="15">
        <f t="shared" ref="D25:D35" si="2">$F$19*EXP($F$20*A25)</f>
        <v>103.86932085069556</v>
      </c>
      <c r="E25" s="11">
        <v>103</v>
      </c>
      <c r="F25" s="44">
        <f t="shared" ref="F25:F35" si="3">ABS(B25-E25)/E25</f>
        <v>1.8737864077669832E-2</v>
      </c>
      <c r="G25" s="44">
        <f t="shared" ref="G25:G35" si="4">ABS(C25-E25)/E25</f>
        <v>7.0365828839399985E-2</v>
      </c>
      <c r="H25" s="44">
        <f t="shared" ref="H25:H35" si="5">ABS(D25-E25)/E25</f>
        <v>8.4400082591801796E-3</v>
      </c>
    </row>
    <row r="26" spans="1:8" x14ac:dyDescent="0.25">
      <c r="A26" s="11">
        <v>440</v>
      </c>
      <c r="B26" s="15">
        <f t="shared" si="0"/>
        <v>55.286000000000001</v>
      </c>
      <c r="C26" s="15">
        <f t="shared" si="1"/>
        <v>53.089557787712614</v>
      </c>
      <c r="D26" s="15">
        <f t="shared" si="2"/>
        <v>51.57997824925004</v>
      </c>
      <c r="E26" s="11">
        <v>49</v>
      </c>
      <c r="F26" s="44">
        <f t="shared" si="3"/>
        <v>0.12828571428571431</v>
      </c>
      <c r="G26" s="44">
        <f t="shared" si="4"/>
        <v>8.3460363014543154E-2</v>
      </c>
      <c r="H26" s="44">
        <f t="shared" si="5"/>
        <v>5.2652617331633463E-2</v>
      </c>
    </row>
    <row r="27" spans="1:8" x14ac:dyDescent="0.25">
      <c r="A27" s="11">
        <v>360</v>
      </c>
      <c r="B27" s="15">
        <f t="shared" si="0"/>
        <v>83.653999999999996</v>
      </c>
      <c r="C27" s="15">
        <f t="shared" si="1"/>
        <v>77.85592038588905</v>
      </c>
      <c r="D27" s="15">
        <f t="shared" si="2"/>
        <v>76.948285456030746</v>
      </c>
      <c r="E27" s="11">
        <v>86</v>
      </c>
      <c r="F27" s="44">
        <f t="shared" si="3"/>
        <v>2.7279069767441901E-2</v>
      </c>
      <c r="G27" s="44">
        <f t="shared" si="4"/>
        <v>9.4698600164080812E-2</v>
      </c>
      <c r="H27" s="44">
        <f t="shared" si="5"/>
        <v>0.10525249469731691</v>
      </c>
    </row>
    <row r="28" spans="1:8" x14ac:dyDescent="0.25">
      <c r="A28" s="11">
        <v>290</v>
      </c>
      <c r="B28" s="15">
        <f t="shared" si="0"/>
        <v>108.476</v>
      </c>
      <c r="C28" s="15">
        <f t="shared" si="1"/>
        <v>117.61465381582187</v>
      </c>
      <c r="D28" s="15">
        <f t="shared" si="2"/>
        <v>109.19481481054375</v>
      </c>
      <c r="E28" s="11">
        <v>125</v>
      </c>
      <c r="F28" s="44">
        <f t="shared" si="3"/>
        <v>0.132192</v>
      </c>
      <c r="G28" s="44">
        <f t="shared" si="4"/>
        <v>5.9082769473425063E-2</v>
      </c>
      <c r="H28" s="44">
        <f t="shared" si="5"/>
        <v>0.12644148151565002</v>
      </c>
    </row>
    <row r="29" spans="1:8" x14ac:dyDescent="0.25">
      <c r="A29" s="11">
        <v>450</v>
      </c>
      <c r="B29" s="15">
        <f t="shared" si="0"/>
        <v>51.739999999999981</v>
      </c>
      <c r="C29" s="15">
        <f t="shared" si="1"/>
        <v>50.861286169919921</v>
      </c>
      <c r="D29" s="15">
        <f t="shared" si="2"/>
        <v>49.064393025793464</v>
      </c>
      <c r="E29" s="11">
        <v>52</v>
      </c>
      <c r="F29" s="44">
        <f t="shared" si="3"/>
        <v>5.0000000000003713E-3</v>
      </c>
      <c r="G29" s="44">
        <f t="shared" si="4"/>
        <v>2.1898342886155355E-2</v>
      </c>
      <c r="H29" s="44">
        <f t="shared" si="5"/>
        <v>5.6453980273202614E-2</v>
      </c>
    </row>
    <row r="30" spans="1:8" x14ac:dyDescent="0.25">
      <c r="A30" s="11">
        <v>340</v>
      </c>
      <c r="B30" s="15">
        <f t="shared" si="0"/>
        <v>90.745999999999995</v>
      </c>
      <c r="C30" s="15">
        <f t="shared" si="1"/>
        <v>86.827049006961417</v>
      </c>
      <c r="D30" s="15">
        <f t="shared" si="2"/>
        <v>85.041007281788509</v>
      </c>
      <c r="E30" s="11">
        <v>87</v>
      </c>
      <c r="F30" s="44">
        <f t="shared" si="3"/>
        <v>4.3057471264367757E-2</v>
      </c>
      <c r="G30" s="44">
        <f t="shared" si="4"/>
        <v>1.9879424487193459E-3</v>
      </c>
      <c r="H30" s="44">
        <f t="shared" si="5"/>
        <v>2.2517157680591846E-2</v>
      </c>
    </row>
    <row r="31" spans="1:8" x14ac:dyDescent="0.25">
      <c r="A31" s="11">
        <v>370</v>
      </c>
      <c r="B31" s="15">
        <f t="shared" si="0"/>
        <v>80.108000000000004</v>
      </c>
      <c r="C31" s="15">
        <f t="shared" si="1"/>
        <v>73.890384263545585</v>
      </c>
      <c r="D31" s="15">
        <f t="shared" si="2"/>
        <v>73.195473290656793</v>
      </c>
      <c r="E31" s="11">
        <v>68</v>
      </c>
      <c r="F31" s="44">
        <f t="shared" si="3"/>
        <v>0.17805882352941182</v>
      </c>
      <c r="G31" s="44">
        <f t="shared" si="4"/>
        <v>8.6623297993317416E-2</v>
      </c>
      <c r="H31" s="44">
        <f t="shared" si="5"/>
        <v>7.6404018980246957E-2</v>
      </c>
    </row>
    <row r="32" spans="1:8" x14ac:dyDescent="0.25">
      <c r="A32" s="11">
        <v>500</v>
      </c>
      <c r="B32" s="15">
        <f t="shared" si="0"/>
        <v>34.009999999999991</v>
      </c>
      <c r="C32" s="15">
        <f t="shared" si="1"/>
        <v>41.59891911995917</v>
      </c>
      <c r="D32" s="15">
        <f t="shared" si="2"/>
        <v>38.211387709411127</v>
      </c>
      <c r="E32" s="11">
        <v>45</v>
      </c>
      <c r="F32" s="44">
        <f t="shared" si="3"/>
        <v>0.24422222222222242</v>
      </c>
      <c r="G32" s="44">
        <f t="shared" si="4"/>
        <v>7.5579575112018446E-2</v>
      </c>
      <c r="H32" s="44">
        <f t="shared" si="5"/>
        <v>0.15085805090197496</v>
      </c>
    </row>
    <row r="33" spans="1:15" x14ac:dyDescent="0.25">
      <c r="A33" s="11">
        <v>490</v>
      </c>
      <c r="B33" s="15">
        <f t="shared" si="0"/>
        <v>37.555999999999983</v>
      </c>
      <c r="C33" s="15">
        <f t="shared" si="1"/>
        <v>43.233728796663705</v>
      </c>
      <c r="D33" s="15">
        <f t="shared" si="2"/>
        <v>40.170527451321959</v>
      </c>
      <c r="E33" s="11">
        <v>44</v>
      </c>
      <c r="F33" s="44">
        <f t="shared" si="3"/>
        <v>0.14645454545454584</v>
      </c>
      <c r="G33" s="44">
        <f t="shared" si="4"/>
        <v>1.7415254621279432E-2</v>
      </c>
      <c r="H33" s="44">
        <f t="shared" si="5"/>
        <v>8.7033467015410024E-2</v>
      </c>
    </row>
    <row r="34" spans="1:15" x14ac:dyDescent="0.25">
      <c r="A34" s="11">
        <v>430</v>
      </c>
      <c r="B34" s="15">
        <f t="shared" si="0"/>
        <v>58.831999999999994</v>
      </c>
      <c r="C34" s="15">
        <f t="shared" si="1"/>
        <v>55.470106712335337</v>
      </c>
      <c r="D34" s="15">
        <f t="shared" si="2"/>
        <v>54.22454028514057</v>
      </c>
      <c r="E34" s="11">
        <v>58</v>
      </c>
      <c r="F34" s="44">
        <f t="shared" si="3"/>
        <v>1.4344827586206787E-2</v>
      </c>
      <c r="G34" s="44">
        <f t="shared" si="4"/>
        <v>4.3618849787321778E-2</v>
      </c>
      <c r="H34" s="44">
        <f t="shared" si="5"/>
        <v>6.5094133014817757E-2</v>
      </c>
    </row>
    <row r="35" spans="1:15" x14ac:dyDescent="0.25">
      <c r="A35" s="11">
        <v>390</v>
      </c>
      <c r="B35" s="15">
        <f t="shared" si="0"/>
        <v>73.015999999999991</v>
      </c>
      <c r="C35" s="15">
        <f t="shared" si="1"/>
        <v>66.829089531318985</v>
      </c>
      <c r="D35" s="15">
        <f t="shared" si="2"/>
        <v>66.230003064237934</v>
      </c>
      <c r="E35" s="11">
        <v>68</v>
      </c>
      <c r="F35" s="44">
        <f t="shared" si="3"/>
        <v>7.3764705882352816E-2</v>
      </c>
      <c r="G35" s="44">
        <f t="shared" si="4"/>
        <v>1.7219271598250221E-2</v>
      </c>
      <c r="H35" s="44">
        <f t="shared" si="5"/>
        <v>2.6029366702383323E-2</v>
      </c>
    </row>
    <row r="37" spans="1:15" x14ac:dyDescent="0.25">
      <c r="E37" t="s">
        <v>159</v>
      </c>
      <c r="F37" s="45">
        <f>AVERAGE(F24:F35)</f>
        <v>9.6764585153975916E-2</v>
      </c>
      <c r="G37" s="46">
        <f>AVERAGE(G24:G35)</f>
        <v>5.8516741642875771E-2</v>
      </c>
      <c r="H37" s="45">
        <f>AVERAGE(H24:H35)</f>
        <v>7.2291385115836729E-2</v>
      </c>
      <c r="I37" t="s">
        <v>160</v>
      </c>
      <c r="O37" t="s">
        <v>27</v>
      </c>
    </row>
    <row r="39" spans="1:15" ht="18" thickBot="1" x14ac:dyDescent="0.35">
      <c r="A39" s="21" t="s">
        <v>161</v>
      </c>
    </row>
    <row r="40" spans="1:15" ht="15.75" thickTop="1" x14ac:dyDescent="0.25">
      <c r="H40" t="s">
        <v>136</v>
      </c>
    </row>
    <row r="41" spans="1:15" x14ac:dyDescent="0.25">
      <c r="A41" t="s">
        <v>162</v>
      </c>
      <c r="B41" s="47">
        <v>250</v>
      </c>
      <c r="C41" t="s">
        <v>165</v>
      </c>
    </row>
    <row r="42" spans="1:15" x14ac:dyDescent="0.25">
      <c r="A42" t="s">
        <v>164</v>
      </c>
      <c r="B42" s="47">
        <v>400</v>
      </c>
      <c r="C42" t="s">
        <v>163</v>
      </c>
      <c r="H42" s="15" t="s">
        <v>172</v>
      </c>
      <c r="I42" s="15" t="s">
        <v>137</v>
      </c>
      <c r="K42" t="s">
        <v>173</v>
      </c>
    </row>
    <row r="43" spans="1:15" x14ac:dyDescent="0.25">
      <c r="A43" t="s">
        <v>144</v>
      </c>
      <c r="B43" s="48">
        <f>D19*B42^D20</f>
        <v>63.677550825641511</v>
      </c>
      <c r="C43" t="s">
        <v>166</v>
      </c>
      <c r="E43" t="str">
        <f ca="1">_xlfn.FORMULATEXT(B43)</f>
        <v>=D19*B42^D20</v>
      </c>
      <c r="H43" s="15"/>
      <c r="I43" s="16">
        <f>B49</f>
        <v>955163.26238462282</v>
      </c>
    </row>
    <row r="44" spans="1:15" x14ac:dyDescent="0.25">
      <c r="A44" t="s">
        <v>168</v>
      </c>
      <c r="B44">
        <f>B43*100</f>
        <v>6367.7550825641511</v>
      </c>
      <c r="E44" t="str">
        <f ca="1">_xlfn.FORMULATEXT(B44)</f>
        <v>=B43*100</v>
      </c>
      <c r="H44" s="12">
        <v>260</v>
      </c>
      <c r="I44" s="28">
        <f t="dataTable" ref="I44:I118" dt2D="0" dtr="0" r1="B42" ca="1"/>
        <v>144859.72842847556</v>
      </c>
      <c r="K44" s="49"/>
    </row>
    <row r="45" spans="1:15" x14ac:dyDescent="0.25">
      <c r="H45" s="12">
        <v>270</v>
      </c>
      <c r="I45" s="28">
        <v>269590.60184817808</v>
      </c>
    </row>
    <row r="46" spans="1:15" x14ac:dyDescent="0.25">
      <c r="A46" t="s">
        <v>169</v>
      </c>
      <c r="B46" s="3">
        <f>B44*B41</f>
        <v>1591938.7706410377</v>
      </c>
      <c r="E46" t="str">
        <f ca="1">_xlfn.FORMULATEXT(B46)</f>
        <v>=B44*B41</v>
      </c>
      <c r="H46" s="12">
        <v>280</v>
      </c>
      <c r="I46" s="28">
        <v>377277.18719872413</v>
      </c>
    </row>
    <row r="47" spans="1:15" x14ac:dyDescent="0.25">
      <c r="A47" t="s">
        <v>170</v>
      </c>
      <c r="B47" s="3">
        <f>B44*B42</f>
        <v>2547102.0330256606</v>
      </c>
      <c r="E47" t="str">
        <f ca="1">_xlfn.FORMULATEXT(B47)</f>
        <v>=B44*B42</v>
      </c>
      <c r="H47" s="12">
        <v>290</v>
      </c>
      <c r="I47" s="28">
        <v>470458.61526328744</v>
      </c>
    </row>
    <row r="48" spans="1:15" x14ac:dyDescent="0.25">
      <c r="H48" s="12">
        <v>300</v>
      </c>
      <c r="I48" s="28">
        <v>551238.40185229108</v>
      </c>
    </row>
    <row r="49" spans="1:11" x14ac:dyDescent="0.25">
      <c r="A49" t="s">
        <v>171</v>
      </c>
      <c r="B49" s="3">
        <f>B47-B46</f>
        <v>955163.26238462282</v>
      </c>
      <c r="E49" t="str">
        <f ca="1">_xlfn.FORMULATEXT(B49)</f>
        <v>=B47-B46</v>
      </c>
      <c r="H49" s="12">
        <v>310</v>
      </c>
      <c r="I49" s="28">
        <v>621369.53021456813</v>
      </c>
    </row>
    <row r="50" spans="1:11" x14ac:dyDescent="0.25">
      <c r="H50" s="12">
        <v>320</v>
      </c>
      <c r="I50" s="28">
        <v>682320.93416212313</v>
      </c>
    </row>
    <row r="51" spans="1:11" x14ac:dyDescent="0.25">
      <c r="H51" s="12">
        <v>330</v>
      </c>
      <c r="I51" s="28">
        <v>735329.86392835062</v>
      </c>
    </row>
    <row r="52" spans="1:11" x14ac:dyDescent="0.25">
      <c r="A52" t="s">
        <v>176</v>
      </c>
      <c r="H52" s="12">
        <v>340</v>
      </c>
      <c r="I52" s="28">
        <v>781443.44106265297</v>
      </c>
    </row>
    <row r="53" spans="1:11" ht="15" customHeight="1" x14ac:dyDescent="0.25">
      <c r="A53" s="54"/>
      <c r="B53" s="15"/>
      <c r="C53" s="164" t="s">
        <v>174</v>
      </c>
      <c r="D53" s="165"/>
      <c r="E53" s="165"/>
      <c r="F53" s="166"/>
      <c r="H53" s="12">
        <v>350</v>
      </c>
      <c r="I53" s="28">
        <v>821551.86522268457</v>
      </c>
    </row>
    <row r="54" spans="1:11" ht="15" customHeight="1" x14ac:dyDescent="0.25">
      <c r="A54" s="52"/>
      <c r="B54" s="16">
        <f>B49</f>
        <v>955163.26238462282</v>
      </c>
      <c r="C54" s="51">
        <v>250</v>
      </c>
      <c r="D54" s="51">
        <v>300</v>
      </c>
      <c r="E54" s="51">
        <v>350</v>
      </c>
      <c r="F54" s="51">
        <v>400</v>
      </c>
      <c r="H54" s="12">
        <v>360</v>
      </c>
      <c r="I54" s="28">
        <v>856415.12424477958</v>
      </c>
    </row>
    <row r="55" spans="1:11" ht="15" customHeight="1" x14ac:dyDescent="0.25">
      <c r="A55" s="52"/>
      <c r="B55" s="51">
        <v>260</v>
      </c>
      <c r="C55" s="28">
        <f t="dataTable" ref="C55:F129" dt2D="1" dtr="1" r1="B41" r2="B42"/>
        <v>144859.72842847556</v>
      </c>
      <c r="D55" s="28">
        <v>-579438.91371390224</v>
      </c>
      <c r="E55" s="28">
        <v>-1303737.5558562791</v>
      </c>
      <c r="F55" s="28">
        <v>-2028036.1979986569</v>
      </c>
      <c r="H55" s="12">
        <v>370</v>
      </c>
      <c r="I55" s="28">
        <v>886684.61116254725</v>
      </c>
    </row>
    <row r="56" spans="1:11" x14ac:dyDescent="0.25">
      <c r="A56" s="52"/>
      <c r="B56" s="51">
        <v>270</v>
      </c>
      <c r="C56" s="28">
        <v>269590.60184817808</v>
      </c>
      <c r="D56" s="28">
        <v>-404385.90277226688</v>
      </c>
      <c r="E56" s="28">
        <v>-1078362.4073927123</v>
      </c>
      <c r="F56" s="28">
        <v>-1752338.9120131573</v>
      </c>
      <c r="H56" s="12">
        <v>380</v>
      </c>
      <c r="I56" s="28">
        <v>912920.72098907013</v>
      </c>
    </row>
    <row r="57" spans="1:11" x14ac:dyDescent="0.25">
      <c r="A57" s="52"/>
      <c r="B57" s="51">
        <v>280</v>
      </c>
      <c r="C57" s="28">
        <v>377277.18719872413</v>
      </c>
      <c r="D57" s="28">
        <v>-251518.12479914958</v>
      </c>
      <c r="E57" s="28">
        <v>-880313.43679702282</v>
      </c>
      <c r="F57" s="28">
        <v>-1509108.7487948965</v>
      </c>
      <c r="H57" s="12">
        <v>390</v>
      </c>
      <c r="I57" s="28">
        <v>935607.253438466</v>
      </c>
    </row>
    <row r="58" spans="1:11" x14ac:dyDescent="0.25">
      <c r="A58" s="52"/>
      <c r="B58" s="51">
        <v>290</v>
      </c>
      <c r="C58" s="28">
        <v>470458.61526328744</v>
      </c>
      <c r="D58" s="28">
        <v>-117614.65381582174</v>
      </c>
      <c r="E58" s="28">
        <v>-705687.9228949314</v>
      </c>
      <c r="F58" s="28">
        <v>-1293761.1919740411</v>
      </c>
      <c r="H58" s="12">
        <v>400</v>
      </c>
      <c r="I58" s="28">
        <v>955163.26238462282</v>
      </c>
      <c r="K58" t="s">
        <v>177</v>
      </c>
    </row>
    <row r="59" spans="1:11" x14ac:dyDescent="0.25">
      <c r="A59" s="52"/>
      <c r="B59" s="51">
        <v>300</v>
      </c>
      <c r="C59" s="28">
        <v>551238.40185229108</v>
      </c>
      <c r="D59" s="28">
        <v>0</v>
      </c>
      <c r="E59" s="28">
        <v>-551238.40185229108</v>
      </c>
      <c r="F59" s="28">
        <v>-1102476.8037045817</v>
      </c>
      <c r="H59" s="12">
        <v>410</v>
      </c>
      <c r="I59" s="28">
        <v>971952.85243747453</v>
      </c>
    </row>
    <row r="60" spans="1:11" x14ac:dyDescent="0.25">
      <c r="A60" s="52"/>
      <c r="B60" s="51">
        <v>310</v>
      </c>
      <c r="C60" s="28">
        <v>621369.53021456813</v>
      </c>
      <c r="D60" s="28">
        <v>103561.58836909477</v>
      </c>
      <c r="E60" s="28">
        <v>-414246.3534763786</v>
      </c>
      <c r="F60" s="28">
        <v>-932054.2953218515</v>
      </c>
      <c r="H60" s="12">
        <v>420</v>
      </c>
      <c r="I60" s="28">
        <v>986293.31587235699</v>
      </c>
      <c r="K60" t="s">
        <v>178</v>
      </c>
    </row>
    <row r="61" spans="1:11" x14ac:dyDescent="0.25">
      <c r="A61" s="52"/>
      <c r="B61" s="51">
        <v>320</v>
      </c>
      <c r="C61" s="28">
        <v>682320.93416212313</v>
      </c>
      <c r="D61" s="28">
        <v>194948.83833203511</v>
      </c>
      <c r="E61" s="28">
        <v>-292423.2574980529</v>
      </c>
      <c r="F61" s="28">
        <v>-779795.35332814092</v>
      </c>
      <c r="H61" s="12">
        <v>430</v>
      </c>
      <c r="I61" s="28">
        <v>998461.92082203622</v>
      </c>
      <c r="K61" t="s">
        <v>179</v>
      </c>
    </row>
    <row r="62" spans="1:11" x14ac:dyDescent="0.25">
      <c r="A62" s="52"/>
      <c r="B62" s="51">
        <v>330</v>
      </c>
      <c r="C62" s="28">
        <v>735329.86392835062</v>
      </c>
      <c r="D62" s="28">
        <v>275748.69897313137</v>
      </c>
      <c r="E62" s="28">
        <v>-183832.46598208742</v>
      </c>
      <c r="F62" s="28">
        <v>-643413.63093730668</v>
      </c>
      <c r="H62" s="12">
        <v>440</v>
      </c>
      <c r="I62" s="28">
        <v>1008701.5979665397</v>
      </c>
      <c r="K62" t="s">
        <v>180</v>
      </c>
    </row>
    <row r="63" spans="1:11" x14ac:dyDescent="0.25">
      <c r="A63" s="52"/>
      <c r="B63" s="51">
        <v>340</v>
      </c>
      <c r="C63" s="28">
        <v>781443.44106265297</v>
      </c>
      <c r="D63" s="28">
        <v>347308.19602784561</v>
      </c>
      <c r="E63" s="28">
        <v>-86827.049006961286</v>
      </c>
      <c r="F63" s="28">
        <v>-520962.29404176865</v>
      </c>
      <c r="H63" s="12">
        <v>450</v>
      </c>
      <c r="I63" s="28">
        <v>1017225.7233983984</v>
      </c>
      <c r="K63" t="s">
        <v>181</v>
      </c>
    </row>
    <row r="64" spans="1:11" x14ac:dyDescent="0.25">
      <c r="A64" s="52"/>
      <c r="B64" s="51">
        <v>350</v>
      </c>
      <c r="C64" s="28">
        <v>821551.86522268457</v>
      </c>
      <c r="D64" s="28">
        <v>410775.93261134205</v>
      </c>
      <c r="E64" s="28">
        <v>0</v>
      </c>
      <c r="F64" s="28">
        <v>-410775.93261134205</v>
      </c>
      <c r="H64" s="12">
        <v>460</v>
      </c>
      <c r="I64" s="28">
        <v>1024222.1565401531</v>
      </c>
      <c r="K64" t="s">
        <v>182</v>
      </c>
    </row>
    <row r="65" spans="1:24" x14ac:dyDescent="0.25">
      <c r="A65" s="52"/>
      <c r="B65" s="51">
        <v>360</v>
      </c>
      <c r="C65" s="28">
        <v>856415.12424477958</v>
      </c>
      <c r="D65" s="28">
        <v>467135.52231533453</v>
      </c>
      <c r="E65" s="28">
        <v>77855.920385889243</v>
      </c>
      <c r="F65" s="28">
        <v>-311423.68154355604</v>
      </c>
      <c r="H65" s="12">
        <v>470</v>
      </c>
      <c r="I65" s="28">
        <v>1029856.6614397548</v>
      </c>
      <c r="K65" t="s">
        <v>183</v>
      </c>
    </row>
    <row r="66" spans="1:24" x14ac:dyDescent="0.25">
      <c r="A66" s="52"/>
      <c r="B66" s="51">
        <v>370</v>
      </c>
      <c r="C66" s="28">
        <v>886684.61116254725</v>
      </c>
      <c r="D66" s="28">
        <v>517232.68984481925</v>
      </c>
      <c r="E66" s="28">
        <v>147780.76852709148</v>
      </c>
      <c r="F66" s="28">
        <v>-221671.15279063676</v>
      </c>
      <c r="H66" s="12">
        <v>480</v>
      </c>
      <c r="I66" s="28">
        <v>1034275.8155834542</v>
      </c>
      <c r="K66" t="s">
        <v>184</v>
      </c>
      <c r="Q66" t="s">
        <v>185</v>
      </c>
    </row>
    <row r="67" spans="1:24" x14ac:dyDescent="0.25">
      <c r="A67" s="52"/>
      <c r="B67" s="51">
        <v>380</v>
      </c>
      <c r="C67" s="28">
        <v>912920.72098907013</v>
      </c>
      <c r="D67" s="28">
        <v>561797.36676250491</v>
      </c>
      <c r="E67" s="28">
        <v>210674.01253593946</v>
      </c>
      <c r="F67" s="28">
        <v>-140449.341690626</v>
      </c>
      <c r="H67" s="12">
        <v>490</v>
      </c>
      <c r="I67" s="28">
        <v>1037609.4911199291</v>
      </c>
      <c r="K67" t="s">
        <v>186</v>
      </c>
    </row>
    <row r="68" spans="1:24" x14ac:dyDescent="0.25">
      <c r="A68" s="52"/>
      <c r="B68" s="51">
        <v>390</v>
      </c>
      <c r="C68" s="28">
        <v>935607.253438466</v>
      </c>
      <c r="D68" s="28">
        <v>601461.80578187108</v>
      </c>
      <c r="E68" s="28">
        <v>267316.35812527593</v>
      </c>
      <c r="F68" s="28">
        <v>-66829.08953131875</v>
      </c>
      <c r="H68" s="12">
        <v>500</v>
      </c>
      <c r="I68" s="28">
        <v>1039972.9779989794</v>
      </c>
    </row>
    <row r="69" spans="1:24" x14ac:dyDescent="0.25">
      <c r="A69" s="52"/>
      <c r="B69" s="51">
        <v>400</v>
      </c>
      <c r="C69" s="28">
        <v>955163.26238462282</v>
      </c>
      <c r="D69" s="28">
        <v>636775.50825641514</v>
      </c>
      <c r="E69" s="28">
        <v>318387.75412820745</v>
      </c>
      <c r="F69" s="28">
        <v>0</v>
      </c>
      <c r="H69" s="12">
        <v>510</v>
      </c>
      <c r="I69" s="28">
        <v>1041468.8061629091</v>
      </c>
    </row>
    <row r="70" spans="1:24" x14ac:dyDescent="0.25">
      <c r="A70" s="52"/>
      <c r="B70" s="51">
        <v>410</v>
      </c>
      <c r="C70" s="28">
        <v>971952.85243747453</v>
      </c>
      <c r="D70" s="28">
        <v>668217.58605076349</v>
      </c>
      <c r="E70" s="28">
        <v>364482.31966405269</v>
      </c>
      <c r="F70" s="28">
        <v>60747.053277342115</v>
      </c>
      <c r="H70" s="12">
        <v>520</v>
      </c>
      <c r="I70" s="28">
        <v>1042188.3139489595</v>
      </c>
    </row>
    <row r="71" spans="1:24" x14ac:dyDescent="0.25">
      <c r="A71" s="52"/>
      <c r="B71" s="51">
        <v>420</v>
      </c>
      <c r="C71" s="28">
        <v>986293.31587235699</v>
      </c>
      <c r="D71" s="28">
        <v>696207.04649813427</v>
      </c>
      <c r="E71" s="28">
        <v>406120.77712391177</v>
      </c>
      <c r="F71" s="28">
        <v>116034.50774968928</v>
      </c>
      <c r="H71" s="12">
        <v>530</v>
      </c>
      <c r="I71" s="50">
        <v>1042213.0017719698</v>
      </c>
    </row>
    <row r="72" spans="1:24" x14ac:dyDescent="0.25">
      <c r="A72" s="52"/>
      <c r="B72" s="51">
        <v>430</v>
      </c>
      <c r="C72" s="28">
        <v>998461.92082203622</v>
      </c>
      <c r="D72" s="28">
        <v>721111.38726035948</v>
      </c>
      <c r="E72" s="28">
        <v>443760.85369868297</v>
      </c>
      <c r="F72" s="28">
        <v>166410.32013700623</v>
      </c>
      <c r="H72" s="12">
        <v>540</v>
      </c>
      <c r="I72" s="28">
        <v>1041615.7035724644</v>
      </c>
      <c r="X72" t="s">
        <v>27</v>
      </c>
    </row>
    <row r="73" spans="1:24" x14ac:dyDescent="0.25">
      <c r="A73" s="52"/>
      <c r="B73" s="51">
        <v>440</v>
      </c>
      <c r="C73" s="28">
        <v>1008701.5979665397</v>
      </c>
      <c r="D73" s="28">
        <v>743253.80902797659</v>
      </c>
      <c r="E73" s="28">
        <v>477806.02008941351</v>
      </c>
      <c r="F73" s="28">
        <v>212358.23115085065</v>
      </c>
      <c r="H73" s="12">
        <v>550</v>
      </c>
      <c r="I73" s="28">
        <v>1040461.6031350964</v>
      </c>
    </row>
    <row r="74" spans="1:24" x14ac:dyDescent="0.25">
      <c r="A74" s="52"/>
      <c r="B74" s="51">
        <v>450</v>
      </c>
      <c r="C74" s="28">
        <v>1017225.7233983984</v>
      </c>
      <c r="D74" s="28">
        <v>762919.29254879872</v>
      </c>
      <c r="E74" s="28">
        <v>508612.86169919907</v>
      </c>
      <c r="F74" s="28">
        <v>254306.43084959942</v>
      </c>
      <c r="H74" s="12">
        <v>560</v>
      </c>
      <c r="I74" s="28">
        <v>1038809.1179690239</v>
      </c>
    </row>
    <row r="75" spans="1:24" x14ac:dyDescent="0.25">
      <c r="A75" s="52"/>
      <c r="B75" s="51">
        <v>460</v>
      </c>
      <c r="C75" s="28">
        <v>1024222.1565401531</v>
      </c>
      <c r="D75" s="28">
        <v>780359.73831630708</v>
      </c>
      <c r="E75" s="28">
        <v>536497.3200924613</v>
      </c>
      <c r="F75" s="28">
        <v>292634.9018686153</v>
      </c>
      <c r="H75" s="12">
        <v>570</v>
      </c>
      <c r="I75" s="28">
        <v>1036710.669808225</v>
      </c>
    </row>
    <row r="76" spans="1:24" x14ac:dyDescent="0.25">
      <c r="A76" s="52"/>
      <c r="B76" s="51">
        <v>470</v>
      </c>
      <c r="C76" s="28">
        <v>1029856.6614397548</v>
      </c>
      <c r="D76" s="28">
        <v>795798.32929435605</v>
      </c>
      <c r="E76" s="28">
        <v>561739.9971489571</v>
      </c>
      <c r="F76" s="28">
        <v>327681.66500355839</v>
      </c>
      <c r="H76" s="12">
        <v>580</v>
      </c>
      <c r="I76" s="28">
        <v>1034213.3577876764</v>
      </c>
    </row>
    <row r="77" spans="1:24" x14ac:dyDescent="0.25">
      <c r="A77" s="52"/>
      <c r="B77" s="51">
        <v>480</v>
      </c>
      <c r="C77" s="28">
        <v>1034275.8155834542</v>
      </c>
      <c r="D77" s="28">
        <v>809433.24697835557</v>
      </c>
      <c r="E77" s="28">
        <v>584590.67837325693</v>
      </c>
      <c r="F77" s="28">
        <v>359748.10976815806</v>
      </c>
      <c r="H77" s="12">
        <v>590</v>
      </c>
      <c r="I77" s="28">
        <v>1031359.5478624469</v>
      </c>
    </row>
    <row r="78" spans="1:24" x14ac:dyDescent="0.25">
      <c r="A78" s="52"/>
      <c r="B78" s="51">
        <v>490</v>
      </c>
      <c r="C78" s="28">
        <v>1037609.4911199291</v>
      </c>
      <c r="D78" s="28">
        <v>821440.84713661065</v>
      </c>
      <c r="E78" s="28">
        <v>605272.20315329218</v>
      </c>
      <c r="F78" s="28">
        <v>389103.55916997371</v>
      </c>
      <c r="H78" s="12">
        <v>600</v>
      </c>
      <c r="I78" s="28">
        <v>1028187.3899667513</v>
      </c>
    </row>
    <row r="79" spans="1:24" x14ac:dyDescent="0.25">
      <c r="A79" s="52"/>
      <c r="B79" s="51">
        <v>500</v>
      </c>
      <c r="C79" s="28">
        <v>1039972.9779989794</v>
      </c>
      <c r="D79" s="28">
        <v>831978.3823991837</v>
      </c>
      <c r="E79" s="28">
        <v>623983.78679938777</v>
      </c>
      <c r="F79" s="28">
        <v>415989.19119959185</v>
      </c>
      <c r="H79" s="12">
        <v>610</v>
      </c>
      <c r="I79" s="28">
        <v>1024731.2726827315</v>
      </c>
    </row>
    <row r="80" spans="1:24" x14ac:dyDescent="0.25">
      <c r="A80" s="52"/>
      <c r="B80" s="51">
        <v>510</v>
      </c>
      <c r="C80" s="28">
        <v>1041468.8061629091</v>
      </c>
      <c r="D80" s="28">
        <v>841186.34343927284</v>
      </c>
      <c r="E80" s="28">
        <v>640903.8807156363</v>
      </c>
      <c r="F80" s="28">
        <v>440621.417992</v>
      </c>
      <c r="H80" s="12">
        <v>620</v>
      </c>
      <c r="I80" s="28">
        <v>1021022.2237432048</v>
      </c>
    </row>
    <row r="81" spans="1:9" x14ac:dyDescent="0.25">
      <c r="A81" s="52"/>
      <c r="B81" s="51">
        <v>520</v>
      </c>
      <c r="C81" s="28">
        <v>1042188.3139489595</v>
      </c>
      <c r="D81" s="28">
        <v>849190.47803248558</v>
      </c>
      <c r="E81" s="28">
        <v>656192.64211601159</v>
      </c>
      <c r="F81" s="28">
        <v>463194.80619953759</v>
      </c>
      <c r="H81" s="12">
        <v>630</v>
      </c>
      <c r="I81" s="28">
        <v>1017088.2634793159</v>
      </c>
    </row>
    <row r="82" spans="1:9" x14ac:dyDescent="0.25">
      <c r="A82" s="52"/>
      <c r="B82" s="51">
        <v>530</v>
      </c>
      <c r="C82" s="28">
        <v>1042213.0017719698</v>
      </c>
      <c r="D82" s="28">
        <v>856103.53716983227</v>
      </c>
      <c r="E82" s="28">
        <v>669994.07256769482</v>
      </c>
      <c r="F82" s="28">
        <v>483884.60796555737</v>
      </c>
      <c r="H82" s="12">
        <v>640</v>
      </c>
      <c r="I82" s="28">
        <v>1012954.7173026291</v>
      </c>
    </row>
    <row r="83" spans="1:9" x14ac:dyDescent="0.25">
      <c r="A83" s="52"/>
      <c r="B83" s="51">
        <v>540</v>
      </c>
      <c r="C83" s="28">
        <v>1041615.7035724644</v>
      </c>
      <c r="D83" s="28">
        <v>862026.78916341881</v>
      </c>
      <c r="E83" s="28">
        <v>682437.87475437322</v>
      </c>
      <c r="F83" s="28">
        <v>502848.96034532762</v>
      </c>
      <c r="H83" s="12">
        <v>650</v>
      </c>
      <c r="I83" s="28">
        <v>1008644.4924491229</v>
      </c>
    </row>
    <row r="84" spans="1:9" x14ac:dyDescent="0.25">
      <c r="A84" s="52"/>
      <c r="B84" s="51">
        <v>550</v>
      </c>
      <c r="C84" s="28">
        <v>1040461.6031350964</v>
      </c>
      <c r="D84" s="28">
        <v>867051.33594591368</v>
      </c>
      <c r="E84" s="28">
        <v>693641.06875673099</v>
      </c>
      <c r="F84" s="28">
        <v>520230.80156754819</v>
      </c>
      <c r="H84" s="12">
        <v>660</v>
      </c>
      <c r="I84" s="28">
        <v>1004178.3234829371</v>
      </c>
    </row>
    <row r="85" spans="1:9" x14ac:dyDescent="0.25">
      <c r="A85" s="52"/>
      <c r="B85" s="51">
        <v>560</v>
      </c>
      <c r="C85" s="28">
        <v>1038809.1179690239</v>
      </c>
      <c r="D85" s="28">
        <v>871259.26023208455</v>
      </c>
      <c r="E85" s="28">
        <v>703709.4024951451</v>
      </c>
      <c r="F85" s="28">
        <v>536159.544758206</v>
      </c>
      <c r="H85" s="12">
        <v>670</v>
      </c>
      <c r="I85" s="28">
        <v>999574.99043870345</v>
      </c>
    </row>
    <row r="86" spans="1:9" x14ac:dyDescent="0.25">
      <c r="A86" s="52"/>
      <c r="B86" s="51">
        <v>570</v>
      </c>
      <c r="C86" s="28">
        <v>1036710.669808225</v>
      </c>
      <c r="D86" s="28">
        <v>874724.6276506898</v>
      </c>
      <c r="E86" s="28">
        <v>712738.58549315459</v>
      </c>
      <c r="F86" s="28">
        <v>550752.54333561938</v>
      </c>
      <c r="H86" s="12">
        <v>680</v>
      </c>
      <c r="I86" s="28">
        <v>994851.51295467373</v>
      </c>
    </row>
    <row r="87" spans="1:9" x14ac:dyDescent="0.25">
      <c r="A87" s="52"/>
      <c r="B87" s="51">
        <v>580</v>
      </c>
      <c r="C87" s="28">
        <v>1034213.3577876764</v>
      </c>
      <c r="D87" s="28">
        <v>877514.36418348295</v>
      </c>
      <c r="E87" s="28">
        <v>720815.37057928951</v>
      </c>
      <c r="F87" s="28">
        <v>564116.37697509606</v>
      </c>
      <c r="H87" s="12">
        <v>690</v>
      </c>
      <c r="I87" s="28">
        <v>990023.32329994719</v>
      </c>
    </row>
    <row r="88" spans="1:9" x14ac:dyDescent="0.25">
      <c r="A88" s="52"/>
      <c r="B88" s="51">
        <v>590</v>
      </c>
      <c r="C88" s="28">
        <v>1031359.5478624469</v>
      </c>
      <c r="D88" s="28">
        <v>879689.02611796942</v>
      </c>
      <c r="E88" s="28">
        <v>728018.50437349197</v>
      </c>
      <c r="F88" s="28">
        <v>576347.98262901441</v>
      </c>
      <c r="H88" s="12">
        <v>700</v>
      </c>
      <c r="I88" s="28">
        <v>985104.42081539321</v>
      </c>
    </row>
    <row r="89" spans="1:9" x14ac:dyDescent="0.25">
      <c r="A89" s="52"/>
      <c r="B89" s="51">
        <v>600</v>
      </c>
      <c r="C89" s="28">
        <v>1028187.3899667513</v>
      </c>
      <c r="D89" s="28">
        <v>881303.47711435833</v>
      </c>
      <c r="E89" s="28">
        <v>734419.56426196522</v>
      </c>
      <c r="F89" s="28">
        <v>587535.65140957222</v>
      </c>
      <c r="H89" s="12">
        <v>710</v>
      </c>
      <c r="I89" s="28">
        <v>980107.50995916908</v>
      </c>
    </row>
    <row r="90" spans="1:9" x14ac:dyDescent="0.25">
      <c r="A90" s="52"/>
      <c r="B90" s="51">
        <v>610</v>
      </c>
      <c r="C90" s="28">
        <v>1024731.2726827315</v>
      </c>
      <c r="D90" s="28">
        <v>882407.48481012986</v>
      </c>
      <c r="E90" s="28">
        <v>740083.69693752832</v>
      </c>
      <c r="F90" s="28">
        <v>597759.90906492667</v>
      </c>
      <c r="H90" s="12">
        <v>720</v>
      </c>
      <c r="I90" s="28">
        <v>975044.1238656675</v>
      </c>
    </row>
    <row r="91" spans="1:9" x14ac:dyDescent="0.25">
      <c r="A91" s="52"/>
      <c r="B91" s="51">
        <v>620</v>
      </c>
      <c r="C91" s="28">
        <v>1021022.2237432048</v>
      </c>
      <c r="D91" s="28">
        <v>883046.24756169063</v>
      </c>
      <c r="E91" s="28">
        <v>745070.27138017653</v>
      </c>
      <c r="F91" s="28">
        <v>607094.29519866221</v>
      </c>
      <c r="H91" s="12">
        <v>730</v>
      </c>
      <c r="I91" s="28">
        <v>969924.73508398188</v>
      </c>
    </row>
    <row r="92" spans="1:9" x14ac:dyDescent="0.25">
      <c r="A92" s="52"/>
      <c r="B92" s="51">
        <v>630</v>
      </c>
      <c r="C92" s="28">
        <v>1017088.2634793159</v>
      </c>
      <c r="D92" s="28">
        <v>883260.86038993229</v>
      </c>
      <c r="E92" s="28">
        <v>749433.45730054856</v>
      </c>
      <c r="F92" s="28">
        <v>615606.05421116482</v>
      </c>
      <c r="H92" s="12">
        <v>740</v>
      </c>
      <c r="I92" s="28">
        <v>964758.8549528002</v>
      </c>
    </row>
    <row r="93" spans="1:9" x14ac:dyDescent="0.25">
      <c r="A93" s="52"/>
      <c r="B93" s="51">
        <v>640</v>
      </c>
      <c r="C93" s="28">
        <v>1012954.7173026291</v>
      </c>
      <c r="D93" s="28">
        <v>883088.7279048562</v>
      </c>
      <c r="E93" s="28">
        <v>753222.73850708327</v>
      </c>
      <c r="F93" s="28">
        <v>623356.74910931021</v>
      </c>
      <c r="H93" s="12">
        <v>750</v>
      </c>
      <c r="I93" s="28">
        <v>959555.12288789009</v>
      </c>
    </row>
    <row r="94" spans="1:9" x14ac:dyDescent="0.25">
      <c r="A94" s="52"/>
      <c r="B94" s="51">
        <v>650</v>
      </c>
      <c r="C94" s="28">
        <v>1008644.4924491229</v>
      </c>
      <c r="D94" s="28">
        <v>882563.93089298252</v>
      </c>
      <c r="E94" s="28">
        <v>756483.36933684221</v>
      </c>
      <c r="F94" s="28">
        <v>630402.80778070178</v>
      </c>
      <c r="H94" s="12">
        <v>760</v>
      </c>
      <c r="I94" s="28">
        <v>954321.38670201262</v>
      </c>
    </row>
    <row r="95" spans="1:9" x14ac:dyDescent="0.25">
      <c r="A95" s="52"/>
      <c r="B95" s="51">
        <v>660</v>
      </c>
      <c r="C95" s="28">
        <v>1004178.3234829371</v>
      </c>
      <c r="D95" s="28">
        <v>881717.55232648132</v>
      </c>
      <c r="E95" s="28">
        <v>759256.78117002558</v>
      </c>
      <c r="F95" s="28">
        <v>636796.01001356984</v>
      </c>
      <c r="H95" s="12">
        <v>770</v>
      </c>
      <c r="I95" s="28">
        <v>949064.7749414182</v>
      </c>
    </row>
    <row r="96" spans="1:9" x14ac:dyDescent="0.25">
      <c r="A96" s="52"/>
      <c r="B96" s="51">
        <v>670</v>
      </c>
      <c r="C96" s="28">
        <v>999574.99043870345</v>
      </c>
      <c r="D96" s="28">
        <v>880577.96776742931</v>
      </c>
      <c r="E96" s="28">
        <v>761580.94509615505</v>
      </c>
      <c r="F96" s="28">
        <v>642583.92242488079</v>
      </c>
      <c r="H96" s="12">
        <v>780</v>
      </c>
      <c r="I96" s="28">
        <v>943791.76210536808</v>
      </c>
    </row>
    <row r="97" spans="1:9" x14ac:dyDescent="0.25">
      <c r="A97" s="52"/>
      <c r="B97" s="51">
        <v>680</v>
      </c>
      <c r="C97" s="28">
        <v>994851.51295467373</v>
      </c>
      <c r="D97" s="28">
        <v>879171.10447157209</v>
      </c>
      <c r="E97" s="28">
        <v>763490.69598847057</v>
      </c>
      <c r="F97" s="28">
        <v>647810.28750536893</v>
      </c>
      <c r="H97" s="12">
        <v>790</v>
      </c>
      <c r="I97" s="28">
        <v>938508.22751260083</v>
      </c>
    </row>
    <row r="98" spans="1:9" x14ac:dyDescent="0.25">
      <c r="A98" s="52"/>
      <c r="B98" s="51">
        <v>690</v>
      </c>
      <c r="C98" s="28">
        <v>990023.32329994719</v>
      </c>
      <c r="D98" s="28">
        <v>877520.67292495316</v>
      </c>
      <c r="E98" s="28">
        <v>765018.02254995925</v>
      </c>
      <c r="F98" s="28">
        <v>652515.37217496522</v>
      </c>
      <c r="H98" s="12">
        <v>800</v>
      </c>
      <c r="I98" s="28">
        <v>933219.50848926988</v>
      </c>
    </row>
    <row r="99" spans="1:9" x14ac:dyDescent="0.25">
      <c r="A99" s="52"/>
      <c r="B99" s="51">
        <v>700</v>
      </c>
      <c r="C99" s="28">
        <v>985104.42081539321</v>
      </c>
      <c r="D99" s="28">
        <v>875648.37405812729</v>
      </c>
      <c r="E99" s="28">
        <v>766192.32730086136</v>
      </c>
      <c r="F99" s="28">
        <v>656736.28054359555</v>
      </c>
      <c r="H99" s="12">
        <v>810</v>
      </c>
      <c r="I99" s="28">
        <v>927930.44847494666</v>
      </c>
    </row>
    <row r="100" spans="1:9" x14ac:dyDescent="0.25">
      <c r="A100" s="52"/>
      <c r="B100" s="51">
        <v>710</v>
      </c>
      <c r="C100" s="28">
        <v>980107.50995916908</v>
      </c>
      <c r="D100" s="28">
        <v>873574.08496360714</v>
      </c>
      <c r="E100" s="28">
        <v>767040.65996804531</v>
      </c>
      <c r="F100" s="28">
        <v>660507.23497248348</v>
      </c>
      <c r="H100" s="12">
        <v>820</v>
      </c>
      <c r="I100" s="28">
        <v>922645.44057495799</v>
      </c>
    </row>
    <row r="101" spans="1:9" x14ac:dyDescent="0.25">
      <c r="A101" s="52"/>
      <c r="B101" s="51">
        <v>720</v>
      </c>
      <c r="C101" s="28">
        <v>975044.1238656675</v>
      </c>
      <c r="D101" s="28">
        <v>871316.02558208595</v>
      </c>
      <c r="E101" s="28">
        <v>767587.92729850428</v>
      </c>
      <c r="F101" s="28">
        <v>663859.82901492261</v>
      </c>
      <c r="H101" s="12">
        <v>830</v>
      </c>
      <c r="I101" s="28">
        <v>917368.46702761366</v>
      </c>
    </row>
    <row r="102" spans="1:9" x14ac:dyDescent="0.25">
      <c r="A102" s="52"/>
      <c r="B102" s="51">
        <v>730</v>
      </c>
      <c r="C102" s="28">
        <v>969924.73508398188</v>
      </c>
      <c r="D102" s="28">
        <v>868890.90851273388</v>
      </c>
      <c r="E102" s="28">
        <v>767857.08194148575</v>
      </c>
      <c r="F102" s="28">
        <v>666823.25537023752</v>
      </c>
      <c r="H102" s="12">
        <v>840</v>
      </c>
      <c r="I102" s="28">
        <v>912103.13500239153</v>
      </c>
    </row>
    <row r="103" spans="1:9" x14ac:dyDescent="0.25">
      <c r="A103" s="52"/>
      <c r="B103" s="51">
        <v>740</v>
      </c>
      <c r="C103" s="28">
        <v>964758.8549528002</v>
      </c>
      <c r="D103" s="28">
        <v>866314.07383516757</v>
      </c>
      <c r="E103" s="28">
        <v>767869.29271753482</v>
      </c>
      <c r="F103" s="28">
        <v>669424.51159990218</v>
      </c>
      <c r="H103" s="12">
        <v>850</v>
      </c>
      <c r="I103" s="28">
        <v>906852.70909909625</v>
      </c>
    </row>
    <row r="104" spans="1:9" x14ac:dyDescent="0.25">
      <c r="A104" s="52"/>
      <c r="B104" s="51">
        <v>750</v>
      </c>
      <c r="C104" s="28">
        <v>959555.12288789009</v>
      </c>
      <c r="D104" s="28">
        <v>863599.61059910117</v>
      </c>
      <c r="E104" s="28">
        <v>767644.09831031214</v>
      </c>
      <c r="F104" s="28">
        <v>671688.58602152311</v>
      </c>
      <c r="H104" s="12">
        <v>860</v>
      </c>
      <c r="I104" s="28">
        <v>901620.14087741717</v>
      </c>
    </row>
    <row r="105" spans="1:9" x14ac:dyDescent="0.25">
      <c r="A105" s="52"/>
      <c r="B105" s="51">
        <v>760</v>
      </c>
      <c r="C105" s="28">
        <v>954321.38670201262</v>
      </c>
      <c r="D105" s="28">
        <v>860760.4664371094</v>
      </c>
      <c r="E105" s="28">
        <v>767199.54617220617</v>
      </c>
      <c r="F105" s="28">
        <v>673638.62590730307</v>
      </c>
      <c r="H105" s="12">
        <v>870</v>
      </c>
      <c r="I105" s="28">
        <v>896408.09571059258</v>
      </c>
    </row>
    <row r="106" spans="1:9" x14ac:dyDescent="0.25">
      <c r="A106" s="52"/>
      <c r="B106" s="51">
        <v>770</v>
      </c>
      <c r="C106" s="28">
        <v>949064.7749414182</v>
      </c>
      <c r="D106" s="28">
        <v>857808.54658166645</v>
      </c>
      <c r="E106" s="28">
        <v>766552.3182219147</v>
      </c>
      <c r="F106" s="28">
        <v>675296.08986216295</v>
      </c>
      <c r="H106" s="12">
        <v>880</v>
      </c>
      <c r="I106" s="28">
        <v>891218.97722535138</v>
      </c>
    </row>
    <row r="107" spans="1:9" x14ac:dyDescent="0.25">
      <c r="A107" s="52"/>
      <c r="B107" s="51">
        <v>780</v>
      </c>
      <c r="C107" s="28">
        <v>943791.76210536808</v>
      </c>
      <c r="D107" s="28">
        <v>854754.80341618229</v>
      </c>
      <c r="E107" s="28">
        <v>765717.84472699661</v>
      </c>
      <c r="F107" s="28">
        <v>676680.88603781094</v>
      </c>
      <c r="H107" s="12">
        <v>890</v>
      </c>
      <c r="I107" s="28">
        <v>886054.94956237264</v>
      </c>
    </row>
    <row r="108" spans="1:9" x14ac:dyDescent="0.25">
      <c r="A108" s="52"/>
      <c r="B108" s="51">
        <v>790</v>
      </c>
      <c r="C108" s="28">
        <v>938508.22751260083</v>
      </c>
      <c r="D108" s="28">
        <v>851609.31755773036</v>
      </c>
      <c r="E108" s="28">
        <v>764710.40760285989</v>
      </c>
      <c r="F108" s="28">
        <v>677811.49764798942</v>
      </c>
      <c r="H108" s="12">
        <v>900</v>
      </c>
      <c r="I108" s="28">
        <v>880917.95766693447</v>
      </c>
    </row>
    <row r="109" spans="1:9" x14ac:dyDescent="0.25">
      <c r="A109" s="52"/>
      <c r="B109" s="51">
        <v>800</v>
      </c>
      <c r="C109" s="28">
        <v>933219.50848926988</v>
      </c>
      <c r="D109" s="28">
        <v>848381.37135388167</v>
      </c>
      <c r="E109" s="28">
        <v>763543.23421849345</v>
      </c>
      <c r="F109" s="28">
        <v>678705.09708310536</v>
      </c>
      <c r="H109" s="12">
        <v>910</v>
      </c>
      <c r="I109" s="28">
        <v>875809.74579744879</v>
      </c>
    </row>
    <row r="110" spans="1:9" x14ac:dyDescent="0.25">
      <c r="A110" s="52"/>
      <c r="B110" s="51">
        <v>810</v>
      </c>
      <c r="C110" s="28">
        <v>927930.44847494666</v>
      </c>
      <c r="D110" s="28">
        <v>845079.51557539788</v>
      </c>
      <c r="E110" s="28">
        <v>762228.58267584909</v>
      </c>
      <c r="F110" s="28">
        <v>679377.6497763003</v>
      </c>
      <c r="H110" s="12">
        <v>920</v>
      </c>
      <c r="I110" s="28">
        <v>870731.87442029815</v>
      </c>
    </row>
    <row r="111" spans="1:9" x14ac:dyDescent="0.25">
      <c r="A111" s="52"/>
      <c r="B111" s="51">
        <v>820</v>
      </c>
      <c r="C111" s="28">
        <v>922645.44057495799</v>
      </c>
      <c r="D111" s="28">
        <v>841711.62999820733</v>
      </c>
      <c r="E111" s="28">
        <v>760777.81942145666</v>
      </c>
      <c r="F111" s="28">
        <v>679844.00884470588</v>
      </c>
      <c r="H111" s="12">
        <v>930</v>
      </c>
      <c r="I111" s="28">
        <v>865685.73564207088</v>
      </c>
    </row>
    <row r="112" spans="1:9" x14ac:dyDescent="0.25">
      <c r="A112" s="52"/>
      <c r="B112" s="51">
        <v>830</v>
      </c>
      <c r="C112" s="28">
        <v>917368.46702761366</v>
      </c>
      <c r="D112" s="28">
        <v>838284.97849075054</v>
      </c>
      <c r="E112" s="28">
        <v>759201.48995388718</v>
      </c>
      <c r="F112" s="28">
        <v>680118.00141702394</v>
      </c>
      <c r="H112" s="12">
        <v>940</v>
      </c>
      <c r="I112" s="28">
        <v>860672.56731504342</v>
      </c>
    </row>
    <row r="113" spans="1:9" x14ac:dyDescent="0.25">
      <c r="A113" s="52"/>
      <c r="B113" s="51">
        <v>840</v>
      </c>
      <c r="C113" s="28">
        <v>912103.13500239153</v>
      </c>
      <c r="D113" s="28">
        <v>834806.25915473117</v>
      </c>
      <c r="E113" s="28">
        <v>757509.38330707094</v>
      </c>
      <c r="F113" s="28">
        <v>680212.50745941058</v>
      </c>
      <c r="H113" s="12">
        <v>950</v>
      </c>
      <c r="I113" s="28">
        <v>855693.46593807475</v>
      </c>
    </row>
    <row r="114" spans="1:9" x14ac:dyDescent="0.25">
      <c r="A114" s="52"/>
      <c r="B114" s="51">
        <v>850</v>
      </c>
      <c r="C114" s="28">
        <v>906852.70909909625</v>
      </c>
      <c r="D114" s="28">
        <v>831281.65000750497</v>
      </c>
      <c r="E114" s="28">
        <v>755710.59091591358</v>
      </c>
      <c r="F114" s="28">
        <v>680139.53182432218</v>
      </c>
      <c r="H114" s="12">
        <v>960</v>
      </c>
      <c r="I114" s="28">
        <v>850749.39846291335</v>
      </c>
    </row>
    <row r="115" spans="1:9" x14ac:dyDescent="0.25">
      <c r="A115" s="52"/>
      <c r="B115" s="51">
        <v>860</v>
      </c>
      <c r="C115" s="28">
        <v>901620.14087741717</v>
      </c>
      <c r="D115" s="28">
        <v>827716.8506415633</v>
      </c>
      <c r="E115" s="28">
        <v>753813.56040570955</v>
      </c>
      <c r="F115" s="28">
        <v>679910.27016985556</v>
      </c>
      <c r="H115" s="12">
        <v>970</v>
      </c>
      <c r="I115" s="28">
        <v>845841.21310510824</v>
      </c>
    </row>
    <row r="116" spans="1:9" x14ac:dyDescent="0.25">
      <c r="A116" s="52"/>
      <c r="B116" s="51">
        <v>870</v>
      </c>
      <c r="C116" s="28">
        <v>896408.09571059258</v>
      </c>
      <c r="D116" s="28">
        <v>824117.12025006092</v>
      </c>
      <c r="E116" s="28">
        <v>751826.14478952927</v>
      </c>
      <c r="F116" s="28">
        <v>679535.16932899761</v>
      </c>
      <c r="H116" s="12">
        <v>980</v>
      </c>
      <c r="I116" s="28">
        <v>840969.6492489638</v>
      </c>
    </row>
    <row r="117" spans="1:9" x14ac:dyDescent="0.25">
      <c r="A117" s="52"/>
      <c r="B117" s="51">
        <v>880</v>
      </c>
      <c r="C117" s="28">
        <v>891218.97722535138</v>
      </c>
      <c r="D117" s="28">
        <v>820487.31236619642</v>
      </c>
      <c r="E117" s="28">
        <v>749755.64750704158</v>
      </c>
      <c r="F117" s="28">
        <v>679023.98264788673</v>
      </c>
      <c r="H117" s="12">
        <v>990</v>
      </c>
      <c r="I117" s="28">
        <v>836135.34652733605</v>
      </c>
    </row>
    <row r="118" spans="1:9" x14ac:dyDescent="0.25">
      <c r="A118" s="52"/>
      <c r="B118" s="51">
        <v>890</v>
      </c>
      <c r="C118" s="28">
        <v>886054.94956237264</v>
      </c>
      <c r="D118" s="28">
        <v>816831.90662781219</v>
      </c>
      <c r="E118" s="28">
        <v>747608.86369325186</v>
      </c>
      <c r="F118" s="28">
        <v>678385.82075869152</v>
      </c>
      <c r="H118" s="12">
        <v>1000</v>
      </c>
      <c r="I118" s="28">
        <v>831338.85314930137</v>
      </c>
    </row>
    <row r="119" spans="1:9" x14ac:dyDescent="0.25">
      <c r="A119" s="52"/>
      <c r="B119" s="51">
        <v>900</v>
      </c>
      <c r="C119" s="28">
        <v>880917.95766693447</v>
      </c>
      <c r="D119" s="28">
        <v>813155.03784640098</v>
      </c>
      <c r="E119" s="28">
        <v>745392.11802586762</v>
      </c>
      <c r="F119" s="28">
        <v>677629.19820533413</v>
      </c>
    </row>
    <row r="120" spans="1:9" x14ac:dyDescent="0.25">
      <c r="A120" s="52"/>
      <c r="B120" s="51">
        <v>910</v>
      </c>
      <c r="C120" s="28">
        <v>875809.74579744879</v>
      </c>
      <c r="D120" s="28">
        <v>809460.52263097535</v>
      </c>
      <c r="E120" s="28">
        <v>743111.29946450202</v>
      </c>
      <c r="F120" s="28">
        <v>676762.07629802858</v>
      </c>
    </row>
    <row r="121" spans="1:9" x14ac:dyDescent="0.25">
      <c r="A121" s="52"/>
      <c r="B121" s="51">
        <v>920</v>
      </c>
      <c r="C121" s="28">
        <v>870731.87442029815</v>
      </c>
      <c r="D121" s="28">
        <v>805751.8837919177</v>
      </c>
      <c r="E121" s="28">
        <v>740771.89316353726</v>
      </c>
      <c r="F121" s="28">
        <v>675791.90253515681</v>
      </c>
    </row>
    <row r="122" spans="1:9" x14ac:dyDescent="0.25">
      <c r="A122" s="52"/>
      <c r="B122" s="51">
        <v>930</v>
      </c>
      <c r="C122" s="28">
        <v>865685.73564207088</v>
      </c>
      <c r="D122" s="28">
        <v>802032.37272721273</v>
      </c>
      <c r="E122" s="28">
        <v>738379.00981235458</v>
      </c>
      <c r="F122" s="28">
        <v>674725.64689749642</v>
      </c>
    </row>
    <row r="123" spans="1:9" x14ac:dyDescent="0.25">
      <c r="A123" s="52"/>
      <c r="B123" s="51">
        <v>940</v>
      </c>
      <c r="C123" s="28">
        <v>860672.56731504342</v>
      </c>
      <c r="D123" s="28">
        <v>798304.98997337348</v>
      </c>
      <c r="E123" s="28">
        <v>735937.41263170377</v>
      </c>
      <c r="F123" s="28">
        <v>673569.83529003384</v>
      </c>
    </row>
    <row r="124" spans="1:9" x14ac:dyDescent="0.25">
      <c r="A124" s="52"/>
      <c r="B124" s="51">
        <v>950</v>
      </c>
      <c r="C124" s="28">
        <v>855693.46593807475</v>
      </c>
      <c r="D124" s="28">
        <v>794572.50408535521</v>
      </c>
      <c r="E124" s="28">
        <v>733451.54223263543</v>
      </c>
      <c r="F124" s="28">
        <v>672330.58037991589</v>
      </c>
    </row>
    <row r="125" spans="1:9" x14ac:dyDescent="0.25">
      <c r="A125" s="52"/>
      <c r="B125" s="51">
        <v>960</v>
      </c>
      <c r="C125" s="28">
        <v>850749.39846291335</v>
      </c>
      <c r="D125" s="28">
        <v>790837.46899369406</v>
      </c>
      <c r="E125" s="28">
        <v>730925.53952447488</v>
      </c>
      <c r="F125" s="28">
        <v>671013.61005525559</v>
      </c>
    </row>
    <row r="126" spans="1:9" x14ac:dyDescent="0.25">
      <c r="A126" s="52"/>
      <c r="B126" s="51">
        <v>970</v>
      </c>
      <c r="C126" s="28">
        <v>845841.21310510824</v>
      </c>
      <c r="D126" s="28">
        <v>787102.2399728091</v>
      </c>
      <c r="E126" s="28">
        <v>728363.26684050984</v>
      </c>
      <c r="F126" s="28">
        <v>669624.29370821058</v>
      </c>
    </row>
    <row r="127" spans="1:9" x14ac:dyDescent="0.25">
      <c r="A127" s="52"/>
      <c r="B127" s="51">
        <v>980</v>
      </c>
      <c r="C127" s="28">
        <v>840969.6492489638</v>
      </c>
      <c r="D127" s="28">
        <v>783368.98834150052</v>
      </c>
      <c r="E127" s="28">
        <v>725768.32743403735</v>
      </c>
      <c r="F127" s="28">
        <v>668167.66652657394</v>
      </c>
    </row>
    <row r="128" spans="1:9" x14ac:dyDescent="0.25">
      <c r="A128" s="52"/>
      <c r="B128" s="51">
        <v>990</v>
      </c>
      <c r="C128" s="28">
        <v>836135.34652733605</v>
      </c>
      <c r="D128" s="28">
        <v>779639.71500521875</v>
      </c>
      <c r="E128" s="28">
        <v>723144.08348310145</v>
      </c>
      <c r="F128" s="28">
        <v>666648.45196098415</v>
      </c>
    </row>
    <row r="129" spans="1:7" x14ac:dyDescent="0.25">
      <c r="A129" s="53"/>
      <c r="B129" s="51">
        <v>1000</v>
      </c>
      <c r="C129" s="28">
        <v>831338.85314930137</v>
      </c>
      <c r="D129" s="28">
        <v>775916.262939348</v>
      </c>
      <c r="E129" s="28">
        <v>720493.67272939463</v>
      </c>
      <c r="F129" s="28">
        <v>665071.08251944114</v>
      </c>
    </row>
    <row r="131" spans="1:7" x14ac:dyDescent="0.25">
      <c r="B131" t="s">
        <v>175</v>
      </c>
      <c r="C131" s="49">
        <f>MAX(C55:C129)</f>
        <v>1042213.0017719698</v>
      </c>
      <c r="D131" s="49">
        <f t="shared" ref="D131:F131" si="6">MAX(D55:D129)</f>
        <v>883260.86038993229</v>
      </c>
      <c r="E131" s="49">
        <f t="shared" si="6"/>
        <v>767869.29271753482</v>
      </c>
      <c r="F131" s="49">
        <f t="shared" si="6"/>
        <v>680212.50745941058</v>
      </c>
    </row>
    <row r="133" spans="1:7" ht="18" thickBot="1" x14ac:dyDescent="0.35">
      <c r="A133" s="21" t="s">
        <v>187</v>
      </c>
    </row>
    <row r="134" spans="1:7" ht="15.75" thickTop="1" x14ac:dyDescent="0.25"/>
    <row r="144" spans="1:7" x14ac:dyDescent="0.25">
      <c r="A144" t="s">
        <v>194</v>
      </c>
      <c r="F144" s="27" t="s">
        <v>188</v>
      </c>
      <c r="G144" s="27" t="s">
        <v>189</v>
      </c>
    </row>
    <row r="145" spans="1:11" x14ac:dyDescent="0.25">
      <c r="A145" s="42" t="s">
        <v>150</v>
      </c>
      <c r="B145" s="42"/>
      <c r="C145" s="42" t="s">
        <v>156</v>
      </c>
      <c r="D145" s="42"/>
      <c r="F145" s="43">
        <v>2017</v>
      </c>
      <c r="G145" s="57">
        <v>218.6</v>
      </c>
    </row>
    <row r="146" spans="1:11" x14ac:dyDescent="0.25">
      <c r="A146" s="42" t="s">
        <v>151</v>
      </c>
      <c r="B146" s="27">
        <v>170.97</v>
      </c>
      <c r="C146" s="42" t="s">
        <v>151</v>
      </c>
      <c r="D146" s="27">
        <v>103.59</v>
      </c>
      <c r="F146" s="43">
        <v>2018</v>
      </c>
      <c r="G146" s="57">
        <v>435</v>
      </c>
      <c r="K146" t="s">
        <v>27</v>
      </c>
    </row>
    <row r="147" spans="1:11" x14ac:dyDescent="0.25">
      <c r="A147" s="42" t="s">
        <v>153</v>
      </c>
      <c r="B147" s="60">
        <v>1.7511000000000001</v>
      </c>
      <c r="C147" s="42" t="s">
        <v>152</v>
      </c>
      <c r="D147" s="56">
        <v>0.72589999999999999</v>
      </c>
      <c r="F147" s="43">
        <v>2019</v>
      </c>
      <c r="G147" s="57">
        <v>915</v>
      </c>
    </row>
    <row r="148" spans="1:11" x14ac:dyDescent="0.25">
      <c r="F148" s="43">
        <v>2020</v>
      </c>
      <c r="G148" s="57">
        <v>1825.9</v>
      </c>
    </row>
    <row r="149" spans="1:11" x14ac:dyDescent="0.25">
      <c r="A149" t="s">
        <v>195</v>
      </c>
      <c r="F149" s="43">
        <v>2021</v>
      </c>
      <c r="G149" s="57">
        <v>4021.8</v>
      </c>
    </row>
    <row r="150" spans="1:11" x14ac:dyDescent="0.25">
      <c r="A150" s="42" t="s">
        <v>150</v>
      </c>
      <c r="B150" s="42"/>
      <c r="C150" s="42" t="s">
        <v>156</v>
      </c>
      <c r="D150" s="42"/>
      <c r="F150" s="43">
        <v>2022</v>
      </c>
      <c r="G150" s="57">
        <v>3582.1</v>
      </c>
    </row>
    <row r="151" spans="1:11" x14ac:dyDescent="0.25">
      <c r="A151" s="42" t="s">
        <v>151</v>
      </c>
      <c r="B151" s="27">
        <v>173.94</v>
      </c>
      <c r="C151" s="42" t="s">
        <v>151</v>
      </c>
      <c r="D151" s="27">
        <v>135.80000000000001</v>
      </c>
      <c r="F151" s="48"/>
      <c r="G151" s="59"/>
    </row>
    <row r="152" spans="1:11" x14ac:dyDescent="0.25">
      <c r="A152" s="42" t="s">
        <v>153</v>
      </c>
      <c r="B152" s="55">
        <v>1.7209000000000001</v>
      </c>
      <c r="C152" s="42" t="s">
        <v>152</v>
      </c>
      <c r="D152" s="56">
        <v>0.6099</v>
      </c>
      <c r="F152" s="48"/>
      <c r="G152" s="59"/>
    </row>
    <row r="153" spans="1:11" x14ac:dyDescent="0.25">
      <c r="F153" s="48"/>
      <c r="G153" s="59"/>
    </row>
    <row r="155" spans="1:11" x14ac:dyDescent="0.25">
      <c r="A155" s="162" t="s">
        <v>188</v>
      </c>
      <c r="B155" s="162" t="s">
        <v>189</v>
      </c>
      <c r="C155" s="27" t="s">
        <v>190</v>
      </c>
      <c r="D155" s="27"/>
      <c r="E155" s="27" t="s">
        <v>192</v>
      </c>
      <c r="F155" s="27"/>
    </row>
    <row r="156" spans="1:11" x14ac:dyDescent="0.25">
      <c r="A156" s="162"/>
      <c r="B156" s="162"/>
      <c r="C156" s="27" t="s">
        <v>155</v>
      </c>
      <c r="D156" s="27" t="s">
        <v>149</v>
      </c>
      <c r="E156" s="27" t="s">
        <v>155</v>
      </c>
      <c r="F156" s="27" t="s">
        <v>191</v>
      </c>
    </row>
    <row r="157" spans="1:11" x14ac:dyDescent="0.25">
      <c r="A157" s="43">
        <v>1</v>
      </c>
      <c r="B157" s="57">
        <v>218.6</v>
      </c>
      <c r="C157" s="27">
        <f>$D$146*EXP(A157*$D$147)</f>
        <v>214.07807824032759</v>
      </c>
      <c r="D157" s="27">
        <f>$B$146*A157^$B$147</f>
        <v>170.97</v>
      </c>
      <c r="E157" s="44">
        <f>ABS(C157-B157)/B157</f>
        <v>2.0685826896946063E-2</v>
      </c>
      <c r="F157" s="62">
        <f>ABS(D157-B157)/B157</f>
        <v>0.2178865507776761</v>
      </c>
    </row>
    <row r="158" spans="1:11" x14ac:dyDescent="0.25">
      <c r="A158" s="43">
        <v>2</v>
      </c>
      <c r="B158" s="57">
        <v>435</v>
      </c>
      <c r="C158" s="27">
        <f t="shared" ref="C158:C161" si="7">$D$146*EXP(A158*$D$147)</f>
        <v>442.41165733248204</v>
      </c>
      <c r="D158" s="27">
        <f t="shared" ref="D158:D161" si="8">$B$146*A158^$B$147</f>
        <v>575.51087833709835</v>
      </c>
      <c r="E158" s="44">
        <f t="shared" ref="E158:E161" si="9">ABS(C158-B158)/B158</f>
        <v>1.7038292718349508E-2</v>
      </c>
      <c r="F158" s="62">
        <f t="shared" ref="F158:F161" si="10">ABS(D158-B158)/B158</f>
        <v>0.32301351341861689</v>
      </c>
    </row>
    <row r="159" spans="1:11" x14ac:dyDescent="0.25">
      <c r="A159" s="43">
        <v>3</v>
      </c>
      <c r="B159" s="57">
        <v>915</v>
      </c>
      <c r="C159" s="27">
        <f t="shared" si="7"/>
        <v>914.28359294194479</v>
      </c>
      <c r="D159" s="27">
        <f t="shared" si="8"/>
        <v>1170.5957441095538</v>
      </c>
      <c r="E159" s="44">
        <f t="shared" si="9"/>
        <v>7.8295853339367281E-4</v>
      </c>
      <c r="F159" s="62">
        <f t="shared" si="10"/>
        <v>0.2793396110486927</v>
      </c>
    </row>
    <row r="160" spans="1:11" x14ac:dyDescent="0.25">
      <c r="A160" s="43">
        <v>4</v>
      </c>
      <c r="B160" s="57">
        <v>1825.9</v>
      </c>
      <c r="C160" s="27">
        <f t="shared" si="7"/>
        <v>1889.449508096086</v>
      </c>
      <c r="D160" s="27">
        <f t="shared" si="8"/>
        <v>1937.2566595562869</v>
      </c>
      <c r="E160" s="44">
        <f t="shared" si="9"/>
        <v>3.4804484416499207E-2</v>
      </c>
      <c r="F160" s="62">
        <f t="shared" si="10"/>
        <v>6.0987271787220979E-2</v>
      </c>
    </row>
    <row r="161" spans="1:6" x14ac:dyDescent="0.25">
      <c r="A161" s="43">
        <v>5</v>
      </c>
      <c r="B161" s="57">
        <v>4021.8</v>
      </c>
      <c r="C161" s="27">
        <f t="shared" si="7"/>
        <v>3904.7178262896268</v>
      </c>
      <c r="D161" s="27">
        <f t="shared" si="8"/>
        <v>2863.4281246022297</v>
      </c>
      <c r="E161" s="44">
        <f t="shared" si="9"/>
        <v>2.9111883661637413E-2</v>
      </c>
      <c r="F161" s="62">
        <f t="shared" si="10"/>
        <v>0.28802324217956399</v>
      </c>
    </row>
    <row r="162" spans="1:6" x14ac:dyDescent="0.25">
      <c r="C162" t="s">
        <v>193</v>
      </c>
      <c r="E162" s="61">
        <f>AVERAGE(E157:E161)</f>
        <v>2.0484689245365173E-2</v>
      </c>
      <c r="F162" s="58">
        <f>AVERAGE(F157:F161)</f>
        <v>0.23385003784235411</v>
      </c>
    </row>
    <row r="163" spans="1:6" x14ac:dyDescent="0.25">
      <c r="A163" t="s">
        <v>196</v>
      </c>
      <c r="B163" t="s">
        <v>197</v>
      </c>
      <c r="E163" s="58"/>
      <c r="F163" s="58"/>
    </row>
    <row r="164" spans="1:6" x14ac:dyDescent="0.25">
      <c r="A164" t="s">
        <v>199</v>
      </c>
      <c r="B164" s="48">
        <f>D146*EXP(D147*7)</f>
        <v>16676.24949265836</v>
      </c>
      <c r="C164" t="s">
        <v>198</v>
      </c>
      <c r="E164" s="58"/>
      <c r="F164" s="58"/>
    </row>
    <row r="165" spans="1:6" x14ac:dyDescent="0.25">
      <c r="E165" s="58"/>
      <c r="F165" s="58"/>
    </row>
    <row r="167" spans="1:6" x14ac:dyDescent="0.25">
      <c r="A167" s="162" t="s">
        <v>188</v>
      </c>
      <c r="B167" s="162" t="s">
        <v>189</v>
      </c>
      <c r="C167" s="27" t="s">
        <v>190</v>
      </c>
      <c r="D167" s="27"/>
      <c r="E167" s="27" t="s">
        <v>192</v>
      </c>
      <c r="F167" s="27"/>
    </row>
    <row r="168" spans="1:6" x14ac:dyDescent="0.25">
      <c r="A168" s="162"/>
      <c r="B168" s="162"/>
      <c r="C168" s="27" t="s">
        <v>155</v>
      </c>
      <c r="D168" s="27" t="s">
        <v>149</v>
      </c>
      <c r="E168" s="27" t="s">
        <v>155</v>
      </c>
      <c r="F168" s="27" t="s">
        <v>149</v>
      </c>
    </row>
    <row r="169" spans="1:6" x14ac:dyDescent="0.25">
      <c r="A169" s="43">
        <v>1</v>
      </c>
      <c r="B169" s="57">
        <v>218.6</v>
      </c>
      <c r="C169" s="64">
        <f>$D$151*EXP(A169*$D$152)</f>
        <v>249.9055921457622</v>
      </c>
      <c r="D169" s="64">
        <f>$B$151*A169^$B$152</f>
        <v>173.94</v>
      </c>
      <c r="E169" s="44">
        <f>ABS(C169-B169)/B169</f>
        <v>0.14320947916634127</v>
      </c>
      <c r="F169" s="62">
        <f>ABS(D169-B169)/B169</f>
        <v>0.20430009149130832</v>
      </c>
    </row>
    <row r="170" spans="1:6" x14ac:dyDescent="0.25">
      <c r="A170" s="43">
        <v>2</v>
      </c>
      <c r="B170" s="57">
        <v>435</v>
      </c>
      <c r="C170" s="64">
        <f t="shared" ref="C170:C174" si="11">$D$151*EXP(A170*$D$152)</f>
        <v>459.88810740592078</v>
      </c>
      <c r="D170" s="64">
        <f t="shared" ref="D170:D174" si="12">$B$151*A170^$B$152</f>
        <v>573.3792672273787</v>
      </c>
      <c r="E170" s="44">
        <f t="shared" ref="E170:E174" si="13">ABS(C170-B170)/B170</f>
        <v>5.7214040013610981E-2</v>
      </c>
      <c r="F170" s="62">
        <f t="shared" ref="F170:F174" si="14">ABS(D170-B170)/B170</f>
        <v>0.31811325799397405</v>
      </c>
    </row>
    <row r="171" spans="1:6" x14ac:dyDescent="0.25">
      <c r="A171" s="43">
        <v>3</v>
      </c>
      <c r="B171" s="57">
        <v>915</v>
      </c>
      <c r="C171" s="64">
        <f t="shared" si="11"/>
        <v>846.30787777666035</v>
      </c>
      <c r="D171" s="64">
        <f t="shared" si="12"/>
        <v>1152.0661940645791</v>
      </c>
      <c r="E171" s="44">
        <f t="shared" si="13"/>
        <v>7.5073357621136233E-2</v>
      </c>
      <c r="F171" s="62">
        <f t="shared" si="14"/>
        <v>0.25908873668260013</v>
      </c>
    </row>
    <row r="172" spans="1:6" x14ac:dyDescent="0.25">
      <c r="A172" s="43">
        <v>4</v>
      </c>
      <c r="B172" s="57">
        <v>1825.9</v>
      </c>
      <c r="C172" s="64">
        <f t="shared" si="11"/>
        <v>1557.415841924887</v>
      </c>
      <c r="D172" s="64">
        <f t="shared" si="12"/>
        <v>1890.0987931827399</v>
      </c>
      <c r="E172" s="44">
        <f t="shared" si="13"/>
        <v>0.14704209325544285</v>
      </c>
      <c r="F172" s="62">
        <f t="shared" si="14"/>
        <v>3.5160081703674781E-2</v>
      </c>
    </row>
    <row r="173" spans="1:6" x14ac:dyDescent="0.25">
      <c r="A173" s="43">
        <v>5</v>
      </c>
      <c r="B173" s="57">
        <v>4021.8</v>
      </c>
      <c r="C173" s="64">
        <f t="shared" si="11"/>
        <v>2866.0303990679654</v>
      </c>
      <c r="D173" s="64">
        <f t="shared" si="12"/>
        <v>2774.9613986002573</v>
      </c>
      <c r="E173" s="44">
        <f t="shared" si="13"/>
        <v>0.28737619994331759</v>
      </c>
      <c r="F173" s="62">
        <f t="shared" si="14"/>
        <v>0.31002004112580012</v>
      </c>
    </row>
    <row r="174" spans="1:6" x14ac:dyDescent="0.25">
      <c r="A174" s="43">
        <v>6</v>
      </c>
      <c r="B174" s="57">
        <v>3582.1</v>
      </c>
      <c r="C174" s="64">
        <f t="shared" si="11"/>
        <v>5274.2048894464997</v>
      </c>
      <c r="D174" s="64">
        <f t="shared" si="12"/>
        <v>3797.6938608151286</v>
      </c>
      <c r="E174" s="44">
        <f t="shared" si="13"/>
        <v>0.47237790386826156</v>
      </c>
      <c r="F174" s="62">
        <f t="shared" si="14"/>
        <v>6.0186443933761949E-2</v>
      </c>
    </row>
    <row r="175" spans="1:6" x14ac:dyDescent="0.25">
      <c r="C175" t="s">
        <v>193</v>
      </c>
      <c r="E175" s="63">
        <f>AVERAGE(E169:E174)</f>
        <v>0.19704884564468508</v>
      </c>
      <c r="F175" s="63">
        <f>AVERAGE(F169:F174)</f>
        <v>0.19781144215518656</v>
      </c>
    </row>
    <row r="176" spans="1:6" x14ac:dyDescent="0.25">
      <c r="A176" t="s">
        <v>200</v>
      </c>
    </row>
  </sheetData>
  <mergeCells count="9">
    <mergeCell ref="A167:A168"/>
    <mergeCell ref="B167:B168"/>
    <mergeCell ref="C53:F53"/>
    <mergeCell ref="A22:A23"/>
    <mergeCell ref="B22:D22"/>
    <mergeCell ref="E22:E23"/>
    <mergeCell ref="F22:H22"/>
    <mergeCell ref="A155:A156"/>
    <mergeCell ref="B155:B156"/>
  </mergeCells>
  <conditionalFormatting sqref="B131">
    <cfRule type="cellIs" dxfId="20" priority="7" operator="equal">
      <formula>"MAX($C$55:$C$129)"</formula>
    </cfRule>
  </conditionalFormatting>
  <conditionalFormatting sqref="C55:C129">
    <cfRule type="cellIs" dxfId="19" priority="6" operator="equal">
      <formula>$C$131</formula>
    </cfRule>
  </conditionalFormatting>
  <conditionalFormatting sqref="D55:D129">
    <cfRule type="cellIs" dxfId="18" priority="5" operator="equal">
      <formula>$D$131</formula>
    </cfRule>
  </conditionalFormatting>
  <conditionalFormatting sqref="E55:E129">
    <cfRule type="cellIs" dxfId="17" priority="4" operator="equal">
      <formula>$E$131</formula>
    </cfRule>
  </conditionalFormatting>
  <conditionalFormatting sqref="F55:F129">
    <cfRule type="top10" dxfId="16" priority="1" rank="1"/>
    <cfRule type="cellIs" dxfId="15" priority="3" operator="equal">
      <formula>$F$131</formula>
    </cfRule>
  </conditionalFormatting>
  <conditionalFormatting sqref="I43:I70 I72:I118">
    <cfRule type="cellIs" dxfId="14" priority="8" operator="equal">
      <formula>$K$44</formula>
    </cfRule>
  </conditionalFormatting>
  <conditionalFormatting sqref="I43:I118">
    <cfRule type="cellIs" dxfId="13" priority="2" operator="equal">
      <formula>MAX($I$44:$I$118)</formula>
    </cfRule>
  </conditionalFormatting>
  <conditionalFormatting sqref="I44">
    <cfRule type="cellIs" dxfId="12" priority="9" operator="equal">
      <formula>"max($I$44:$I$118)"</formula>
    </cfRule>
  </conditionalFormatting>
  <conditionalFormatting sqref="I44:I70 I72:I118">
    <cfRule type="cellIs" dxfId="11" priority="10" operator="equal">
      <formula>" $593.536 "</formula>
    </cfRule>
    <cfRule type="cellIs" dxfId="10" priority="11" operator="equal">
      <formula>"MAX(I44:I118)"</formula>
    </cfRule>
    <cfRule type="cellIs" priority="13" operator="equal">
      <formula>$I$106</formula>
    </cfRule>
    <cfRule type="cellIs" dxfId="9" priority="14" operator="equal">
      <formula>"max"</formula>
    </cfRule>
    <cfRule type="cellIs" dxfId="8" priority="15" operator="equal">
      <formula>" $593.536 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EE54-D13A-4ADE-8F54-31420E59D921}">
  <dimension ref="A1:H29"/>
  <sheetViews>
    <sheetView topLeftCell="A2" workbookViewId="0">
      <selection activeCell="F8" sqref="F8"/>
    </sheetView>
  </sheetViews>
  <sheetFormatPr defaultRowHeight="15" x14ac:dyDescent="0.25"/>
  <cols>
    <col min="1" max="1" width="20.5703125" bestFit="1" customWidth="1"/>
    <col min="2" max="2" width="12.28515625" bestFit="1" customWidth="1"/>
    <col min="3" max="3" width="11.28515625" bestFit="1" customWidth="1"/>
    <col min="5" max="5" width="10.85546875" bestFit="1" customWidth="1"/>
    <col min="6" max="6" width="16.7109375" bestFit="1" customWidth="1"/>
    <col min="7" max="7" width="39.28515625" bestFit="1" customWidth="1"/>
  </cols>
  <sheetData>
    <row r="1" spans="1:8" ht="19.5" x14ac:dyDescent="0.3">
      <c r="A1" s="168" t="s">
        <v>201</v>
      </c>
      <c r="B1" s="168"/>
      <c r="C1" s="168"/>
    </row>
    <row r="3" spans="1:8" x14ac:dyDescent="0.25">
      <c r="A3" s="15" t="s">
        <v>215</v>
      </c>
      <c r="B3" s="15">
        <v>9.3000000000000007</v>
      </c>
      <c r="C3" t="s">
        <v>202</v>
      </c>
      <c r="E3" s="169" t="s">
        <v>211</v>
      </c>
      <c r="F3" s="169"/>
    </row>
    <row r="4" spans="1:8" x14ac:dyDescent="0.25">
      <c r="A4" s="15" t="s">
        <v>203</v>
      </c>
      <c r="B4" s="15">
        <v>20</v>
      </c>
      <c r="C4" t="s">
        <v>205</v>
      </c>
      <c r="E4" t="s">
        <v>210</v>
      </c>
      <c r="F4" t="s">
        <v>212</v>
      </c>
    </row>
    <row r="5" spans="1:8" x14ac:dyDescent="0.25">
      <c r="A5" s="15" t="s">
        <v>204</v>
      </c>
      <c r="B5" s="15">
        <v>1.2</v>
      </c>
      <c r="C5" t="s">
        <v>202</v>
      </c>
      <c r="E5" s="25">
        <v>1</v>
      </c>
      <c r="F5" s="3">
        <f>B5</f>
        <v>1.2</v>
      </c>
      <c r="G5" t="str">
        <f ca="1">_xlfn.FORMULATEXT(F5)</f>
        <v>=B5</v>
      </c>
    </row>
    <row r="6" spans="1:8" x14ac:dyDescent="0.25">
      <c r="A6" s="15" t="s">
        <v>206</v>
      </c>
      <c r="B6" s="68">
        <v>8</v>
      </c>
      <c r="E6" s="25">
        <v>2</v>
      </c>
      <c r="F6" s="3">
        <f>IF(E6&lt;$B$6,F5+$B$7*F5,F5-$B$8*F5)</f>
        <v>1.3199999999999998</v>
      </c>
      <c r="G6" t="str">
        <f t="shared" ref="G6:G24" ca="1" si="0">_xlfn.FORMULATEXT(F6)</f>
        <v>=IF(E6&lt;$B$6;F5+$B$7*F5;F5-$B$8*F5)</v>
      </c>
    </row>
    <row r="7" spans="1:8" x14ac:dyDescent="0.25">
      <c r="A7" s="15" t="s">
        <v>207</v>
      </c>
      <c r="B7" s="65">
        <v>0.1</v>
      </c>
      <c r="E7" s="25">
        <v>3</v>
      </c>
      <c r="F7" s="3">
        <f>IF(E7&lt;$B$6,F6+$B$7*F6,F6-$B$8*F6)</f>
        <v>1.4519999999999997</v>
      </c>
      <c r="G7" t="str">
        <f t="shared" ca="1" si="0"/>
        <v>=IF(E7&lt;$B$6;F6+$B$7*F6;F6-$B$8*F6)</v>
      </c>
    </row>
    <row r="8" spans="1:8" x14ac:dyDescent="0.25">
      <c r="A8" s="15" t="s">
        <v>208</v>
      </c>
      <c r="B8" s="66">
        <v>0.05</v>
      </c>
      <c r="E8" s="25">
        <v>4</v>
      </c>
      <c r="F8" s="3">
        <f t="shared" ref="F8:F24" si="1">IF(E8&lt;$B$6,F7+$B$7*F7,F7-$B$8*F7)</f>
        <v>1.5971999999999997</v>
      </c>
      <c r="G8" t="str">
        <f t="shared" ca="1" si="0"/>
        <v>=IF(E8&lt;$B$6;F7+$B$7*F7;F7-$B$8*F7)</v>
      </c>
    </row>
    <row r="9" spans="1:8" x14ac:dyDescent="0.25">
      <c r="A9" s="15" t="s">
        <v>209</v>
      </c>
      <c r="B9" s="66">
        <v>0.12</v>
      </c>
      <c r="E9" s="25">
        <v>5</v>
      </c>
      <c r="F9" s="3">
        <f t="shared" si="1"/>
        <v>1.7569199999999996</v>
      </c>
      <c r="G9" t="str">
        <f t="shared" ca="1" si="0"/>
        <v>=IF(E9&lt;$B$6;F8+$B$7*F8;F8-$B$8*F8)</v>
      </c>
    </row>
    <row r="10" spans="1:8" x14ac:dyDescent="0.25">
      <c r="E10" s="25">
        <v>6</v>
      </c>
      <c r="F10" s="3">
        <f t="shared" si="1"/>
        <v>1.9326119999999996</v>
      </c>
      <c r="G10" t="str">
        <f t="shared" ca="1" si="0"/>
        <v>=IF(E10&lt;$B$6;F9+$B$7*F9;F9-$B$8*F9)</v>
      </c>
    </row>
    <row r="11" spans="1:8" x14ac:dyDescent="0.25">
      <c r="A11" t="s">
        <v>213</v>
      </c>
      <c r="B11" s="3">
        <f>NPV(B9,F5:F24)</f>
        <v>11.851609399230435</v>
      </c>
      <c r="C11" t="str">
        <f ca="1">_xlfn.FORMULATEXT(B11)</f>
        <v>=NPV(B9;F5:F24)</v>
      </c>
      <c r="E11" s="25">
        <v>7</v>
      </c>
      <c r="F11" s="3">
        <f t="shared" si="1"/>
        <v>2.1258731999999996</v>
      </c>
      <c r="G11" t="str">
        <f t="shared" ca="1" si="0"/>
        <v>=IF(E11&lt;$B$6;F10+$B$7*F10;F10-$B$8*F10)</v>
      </c>
      <c r="H11" t="s">
        <v>217</v>
      </c>
    </row>
    <row r="12" spans="1:8" x14ac:dyDescent="0.25">
      <c r="A12" t="s">
        <v>216</v>
      </c>
      <c r="B12" s="3">
        <v>9.3000000000000007</v>
      </c>
      <c r="E12" s="25">
        <v>8</v>
      </c>
      <c r="F12" s="3">
        <f t="shared" si="1"/>
        <v>2.0195795399999996</v>
      </c>
      <c r="G12" t="str">
        <f t="shared" ca="1" si="0"/>
        <v>=IF(E12&lt;$B$6;F11+$B$7*F11;F11-$B$8*F11)</v>
      </c>
    </row>
    <row r="13" spans="1:8" x14ac:dyDescent="0.25">
      <c r="A13" s="2" t="s">
        <v>214</v>
      </c>
      <c r="B13" s="6">
        <f>B11-B12</f>
        <v>2.5516093992304345</v>
      </c>
      <c r="C13" t="str">
        <f t="shared" ref="C13" ca="1" si="2">_xlfn.FORMULATEXT(B13)</f>
        <v>=B11-B12</v>
      </c>
      <c r="E13" s="25">
        <v>9</v>
      </c>
      <c r="F13" s="3">
        <f t="shared" si="1"/>
        <v>1.9186005629999996</v>
      </c>
      <c r="G13" t="str">
        <f t="shared" ca="1" si="0"/>
        <v>=IF(E13&lt;$B$6;F12+$B$7*F12;F12-$B$8*F12)</v>
      </c>
      <c r="H13" t="s">
        <v>220</v>
      </c>
    </row>
    <row r="14" spans="1:8" x14ac:dyDescent="0.25">
      <c r="E14" s="25">
        <v>10</v>
      </c>
      <c r="F14" s="3">
        <f t="shared" si="1"/>
        <v>1.8226705348499996</v>
      </c>
      <c r="G14" t="str">
        <f t="shared" ca="1" si="0"/>
        <v>=IF(E14&lt;$B$6;F13+$B$7*F13;F13-$B$8*F13)</v>
      </c>
      <c r="H14" t="s">
        <v>218</v>
      </c>
    </row>
    <row r="15" spans="1:8" x14ac:dyDescent="0.25">
      <c r="E15" s="25">
        <v>11</v>
      </c>
      <c r="F15" s="3">
        <f t="shared" si="1"/>
        <v>1.7315370081074997</v>
      </c>
      <c r="G15" t="str">
        <f t="shared" ca="1" si="0"/>
        <v>=IF(E15&lt;$B$6;F14+$B$7*F14;F14-$B$8*F14)</v>
      </c>
      <c r="H15" t="s">
        <v>219</v>
      </c>
    </row>
    <row r="16" spans="1:8" ht="20.25" thickBot="1" x14ac:dyDescent="0.35">
      <c r="A16" s="23" t="s">
        <v>221</v>
      </c>
      <c r="E16" s="25">
        <v>12</v>
      </c>
      <c r="F16" s="3">
        <f t="shared" si="1"/>
        <v>1.6449601577021247</v>
      </c>
      <c r="G16" t="str">
        <f t="shared" ca="1" si="0"/>
        <v>=IF(E16&lt;$B$6;F15+$B$7*F15;F15-$B$8*F15)</v>
      </c>
    </row>
    <row r="17" spans="1:7" ht="15.75" thickTop="1" x14ac:dyDescent="0.25">
      <c r="E17" s="25">
        <v>13</v>
      </c>
      <c r="F17" s="3">
        <f t="shared" si="1"/>
        <v>1.5627121498170184</v>
      </c>
      <c r="G17" t="str">
        <f t="shared" ca="1" si="0"/>
        <v>=IF(E17&lt;$B$6;F16+$B$7*F16;F16-$B$8*F16)</v>
      </c>
    </row>
    <row r="18" spans="1:7" x14ac:dyDescent="0.25">
      <c r="A18" s="27" t="s">
        <v>222</v>
      </c>
      <c r="B18" s="15" t="s">
        <v>223</v>
      </c>
      <c r="E18" s="25">
        <v>14</v>
      </c>
      <c r="F18" s="3">
        <f t="shared" si="1"/>
        <v>1.4845765423261674</v>
      </c>
      <c r="G18" t="str">
        <f t="shared" ca="1" si="0"/>
        <v>=IF(E18&lt;$B$6;F17+$B$7*F17;F17-$B$8*F17)</v>
      </c>
    </row>
    <row r="19" spans="1:7" x14ac:dyDescent="0.25">
      <c r="A19" s="27">
        <v>1</v>
      </c>
      <c r="B19" s="28">
        <v>30000</v>
      </c>
      <c r="E19" s="25">
        <v>15</v>
      </c>
      <c r="F19" s="3">
        <f t="shared" si="1"/>
        <v>1.4103477152098591</v>
      </c>
      <c r="G19" t="str">
        <f t="shared" ca="1" si="0"/>
        <v>=IF(E19&lt;$B$6;F18+$B$7*F18;F18-$B$8*F18)</v>
      </c>
    </row>
    <row r="20" spans="1:7" x14ac:dyDescent="0.25">
      <c r="A20" s="27">
        <v>2</v>
      </c>
      <c r="B20" s="28">
        <v>65000</v>
      </c>
      <c r="E20" s="25">
        <v>16</v>
      </c>
      <c r="F20" s="3">
        <f t="shared" si="1"/>
        <v>1.3398303294493661</v>
      </c>
      <c r="G20" t="str">
        <f t="shared" ca="1" si="0"/>
        <v>=IF(E20&lt;$B$6;F19+$B$7*F19;F19-$B$8*F19)</v>
      </c>
    </row>
    <row r="21" spans="1:7" x14ac:dyDescent="0.25">
      <c r="A21" s="27">
        <v>3</v>
      </c>
      <c r="B21" s="28">
        <v>80000</v>
      </c>
      <c r="E21" s="25">
        <v>17</v>
      </c>
      <c r="F21" s="3">
        <f t="shared" si="1"/>
        <v>1.2728388129768977</v>
      </c>
      <c r="G21" t="str">
        <f t="shared" ca="1" si="0"/>
        <v>=IF(E21&lt;$B$6;F20+$B$7*F20;F20-$B$8*F20)</v>
      </c>
    </row>
    <row r="22" spans="1:7" x14ac:dyDescent="0.25">
      <c r="A22" s="27">
        <v>4</v>
      </c>
      <c r="B22" s="28">
        <v>75000</v>
      </c>
      <c r="E22" s="25">
        <v>18</v>
      </c>
      <c r="F22" s="3">
        <f t="shared" si="1"/>
        <v>1.2091968723280528</v>
      </c>
      <c r="G22" t="str">
        <f t="shared" ca="1" si="0"/>
        <v>=IF(E22&lt;$B$6;F21+$B$7*F21;F21-$B$8*F21)</v>
      </c>
    </row>
    <row r="23" spans="1:7" x14ac:dyDescent="0.25">
      <c r="A23" s="27">
        <v>5</v>
      </c>
      <c r="B23" s="28">
        <v>55000</v>
      </c>
      <c r="E23" s="25">
        <v>19</v>
      </c>
      <c r="F23" s="3">
        <f t="shared" si="1"/>
        <v>1.1487370287116503</v>
      </c>
      <c r="G23" t="str">
        <f t="shared" ca="1" si="0"/>
        <v>=IF(E23&lt;$B$6;F22+$B$7*F22;F22-$B$8*F22)</v>
      </c>
    </row>
    <row r="24" spans="1:7" x14ac:dyDescent="0.25">
      <c r="E24" s="25">
        <v>20</v>
      </c>
      <c r="F24" s="3">
        <f t="shared" si="1"/>
        <v>1.0913001772760678</v>
      </c>
      <c r="G24" t="str">
        <f t="shared" ca="1" si="0"/>
        <v>=IF(E24&lt;$B$6;F23+$B$7*F23;F23-$B$8*F23)</v>
      </c>
    </row>
    <row r="25" spans="1:7" x14ac:dyDescent="0.25">
      <c r="A25" t="s">
        <v>224</v>
      </c>
      <c r="B25" s="49">
        <v>150000</v>
      </c>
    </row>
    <row r="26" spans="1:7" x14ac:dyDescent="0.25">
      <c r="A26" t="s">
        <v>209</v>
      </c>
      <c r="B26" s="58">
        <v>0.15</v>
      </c>
    </row>
    <row r="28" spans="1:7" x14ac:dyDescent="0.25">
      <c r="A28" t="s">
        <v>225</v>
      </c>
      <c r="B28" s="67">
        <f>NPV(B26,B19:B23)</f>
        <v>198063.80735147279</v>
      </c>
      <c r="C28" t="str">
        <f ca="1">_xlfn.FORMULATEXT(B28)</f>
        <v>=NPV(B26;B19:B23)</v>
      </c>
    </row>
    <row r="29" spans="1:7" x14ac:dyDescent="0.25">
      <c r="A29" t="s">
        <v>226</v>
      </c>
      <c r="B29" s="67">
        <f>B28-B25</f>
        <v>48063.807351472788</v>
      </c>
      <c r="C29" t="str">
        <f ca="1">_xlfn.FORMULATEXT(B29)</f>
        <v>=B28-B25</v>
      </c>
    </row>
  </sheetData>
  <mergeCells count="2">
    <mergeCell ref="A1:C1"/>
    <mergeCell ref="E3:F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BE5A-922D-4E68-BA92-7225823B0C09}">
  <dimension ref="A1:J30"/>
  <sheetViews>
    <sheetView topLeftCell="A28" workbookViewId="0">
      <selection activeCell="J42" sqref="J42"/>
    </sheetView>
  </sheetViews>
  <sheetFormatPr defaultRowHeight="15" x14ac:dyDescent="0.25"/>
  <cols>
    <col min="1" max="1" width="10.140625" style="25" bestFit="1" customWidth="1"/>
    <col min="2" max="2" width="32" style="75" customWidth="1"/>
    <col min="3" max="3" width="3.140625" customWidth="1"/>
    <col min="5" max="5" width="8.5703125" customWidth="1"/>
    <col min="6" max="6" width="34.7109375" bestFit="1" customWidth="1"/>
    <col min="7" max="7" width="16.7109375" customWidth="1"/>
    <col min="8" max="8" width="33.85546875" customWidth="1"/>
    <col min="9" max="9" width="19.85546875" customWidth="1"/>
    <col min="10" max="10" width="14" bestFit="1" customWidth="1"/>
  </cols>
  <sheetData>
    <row r="1" spans="1:9" x14ac:dyDescent="0.25">
      <c r="A1" s="70" t="s">
        <v>29</v>
      </c>
      <c r="B1" s="71" t="s">
        <v>227</v>
      </c>
      <c r="E1" s="70" t="s">
        <v>29</v>
      </c>
      <c r="F1" s="72" t="s">
        <v>227</v>
      </c>
      <c r="G1" s="73" t="s">
        <v>228</v>
      </c>
      <c r="H1" s="74" t="s">
        <v>229</v>
      </c>
      <c r="I1" s="73" t="s">
        <v>230</v>
      </c>
    </row>
    <row r="2" spans="1:9" x14ac:dyDescent="0.25">
      <c r="A2" s="48">
        <v>1992</v>
      </c>
      <c r="B2" s="75">
        <v>150781.16666666666</v>
      </c>
      <c r="C2" s="170" t="s">
        <v>231</v>
      </c>
      <c r="E2" s="25">
        <v>1</v>
      </c>
      <c r="F2" s="75">
        <v>150781.16666666666</v>
      </c>
      <c r="G2" s="76">
        <v>0</v>
      </c>
      <c r="H2" s="77">
        <f t="shared" ref="H2:H21" si="0">$H$29*EXP($H$30*E2)</f>
        <v>165143.66740010298</v>
      </c>
      <c r="I2" s="78">
        <f t="shared" ref="I2:I21" si="1">ABS(H2-F2)/F2</f>
        <v>9.5253943519270107E-2</v>
      </c>
    </row>
    <row r="3" spans="1:9" x14ac:dyDescent="0.25">
      <c r="A3" s="25">
        <v>1993</v>
      </c>
      <c r="B3" s="75">
        <v>161696.25</v>
      </c>
      <c r="C3" s="170"/>
      <c r="E3" s="25">
        <v>2</v>
      </c>
      <c r="F3" s="75">
        <v>161696.25</v>
      </c>
      <c r="G3" s="79">
        <f t="shared" ref="G3:G21" si="2">(F3-F2)/F2</f>
        <v>7.2390229991146179E-2</v>
      </c>
      <c r="H3" s="77">
        <f t="shared" si="0"/>
        <v>172399.73249357322</v>
      </c>
      <c r="I3" s="78">
        <f t="shared" si="1"/>
        <v>6.6194995205969331E-2</v>
      </c>
    </row>
    <row r="4" spans="1:9" x14ac:dyDescent="0.25">
      <c r="A4" s="25">
        <v>1994</v>
      </c>
      <c r="B4" s="75">
        <v>175688.83333333334</v>
      </c>
      <c r="C4" s="170"/>
      <c r="E4" s="25">
        <v>3</v>
      </c>
      <c r="F4" s="75">
        <v>175688.83333333334</v>
      </c>
      <c r="G4" s="79">
        <f t="shared" si="2"/>
        <v>8.6536226618325052E-2</v>
      </c>
      <c r="H4" s="77">
        <f t="shared" si="0"/>
        <v>179974.61381214956</v>
      </c>
      <c r="I4" s="78">
        <f t="shared" si="1"/>
        <v>2.4394154127512661E-2</v>
      </c>
    </row>
    <row r="5" spans="1:9" x14ac:dyDescent="0.25">
      <c r="A5" s="25">
        <v>1995</v>
      </c>
      <c r="B5" s="75">
        <v>185437.25</v>
      </c>
      <c r="C5" s="170"/>
      <c r="E5" s="25">
        <v>4</v>
      </c>
      <c r="F5" s="75">
        <v>185437.25</v>
      </c>
      <c r="G5" s="79">
        <f t="shared" si="2"/>
        <v>5.5486831358092327E-2</v>
      </c>
      <c r="H5" s="77">
        <f t="shared" si="0"/>
        <v>187882.31946960744</v>
      </c>
      <c r="I5" s="78">
        <f t="shared" si="1"/>
        <v>1.3185427790842644E-2</v>
      </c>
    </row>
    <row r="6" spans="1:9" x14ac:dyDescent="0.25">
      <c r="A6" s="25">
        <v>1996</v>
      </c>
      <c r="B6" s="75">
        <v>196728.16666666666</v>
      </c>
      <c r="C6" s="170"/>
      <c r="D6" t="s">
        <v>27</v>
      </c>
      <c r="E6" s="25">
        <v>5</v>
      </c>
      <c r="F6" s="75">
        <v>196728.16666666666</v>
      </c>
      <c r="G6" s="79">
        <f t="shared" si="2"/>
        <v>6.0888072200524203E-2</v>
      </c>
      <c r="H6" s="77">
        <f t="shared" si="0"/>
        <v>196137.47306675219</v>
      </c>
      <c r="I6" s="78">
        <f t="shared" si="1"/>
        <v>3.0025878343863449E-3</v>
      </c>
    </row>
    <row r="7" spans="1:9" x14ac:dyDescent="0.25">
      <c r="A7" s="25">
        <v>1997</v>
      </c>
      <c r="B7" s="75">
        <v>206334.08333333334</v>
      </c>
      <c r="C7" s="170"/>
      <c r="E7" s="25">
        <v>6</v>
      </c>
      <c r="F7" s="75">
        <v>206334.08333333334</v>
      </c>
      <c r="G7" s="79">
        <f t="shared" si="2"/>
        <v>4.8828374855659648E-2</v>
      </c>
      <c r="H7" s="77">
        <f t="shared" si="0"/>
        <v>204755.34073462404</v>
      </c>
      <c r="I7" s="78">
        <f t="shared" si="1"/>
        <v>7.6513902754439152E-3</v>
      </c>
    </row>
    <row r="8" spans="1:9" x14ac:dyDescent="0.25">
      <c r="A8" s="25">
        <v>1998</v>
      </c>
      <c r="B8" s="75">
        <v>215657.66666666666</v>
      </c>
      <c r="C8" s="170"/>
      <c r="E8" s="25">
        <v>7</v>
      </c>
      <c r="F8" s="75">
        <v>215657.66666666666</v>
      </c>
      <c r="G8" s="79">
        <f t="shared" si="2"/>
        <v>4.5186830904087892E-2</v>
      </c>
      <c r="H8" s="77">
        <f t="shared" si="0"/>
        <v>213751.8593659233</v>
      </c>
      <c r="I8" s="78">
        <f t="shared" si="1"/>
        <v>8.8371877995373337E-3</v>
      </c>
    </row>
    <row r="9" spans="1:9" x14ac:dyDescent="0.25">
      <c r="A9" s="25">
        <v>1999</v>
      </c>
      <c r="B9" s="75">
        <v>233872</v>
      </c>
      <c r="C9" s="170"/>
      <c r="E9" s="25">
        <v>8</v>
      </c>
      <c r="F9" s="75">
        <v>233872</v>
      </c>
      <c r="G9" s="79">
        <f t="shared" si="2"/>
        <v>8.4459475124927977E-2</v>
      </c>
      <c r="H9" s="77">
        <f t="shared" si="0"/>
        <v>223143.66608686617</v>
      </c>
      <c r="I9" s="78">
        <f t="shared" si="1"/>
        <v>4.5872673569875101E-2</v>
      </c>
    </row>
    <row r="10" spans="1:9" x14ac:dyDescent="0.25">
      <c r="A10" s="25">
        <v>2000</v>
      </c>
      <c r="B10" s="75">
        <v>248748.25</v>
      </c>
      <c r="C10" s="170"/>
      <c r="E10" s="25">
        <v>9</v>
      </c>
      <c r="F10" s="75">
        <v>248748.25</v>
      </c>
      <c r="G10" s="79">
        <f t="shared" si="2"/>
        <v>6.3608512348635154E-2</v>
      </c>
      <c r="H10" s="77">
        <f t="shared" si="0"/>
        <v>232948.12902397109</v>
      </c>
      <c r="I10" s="78">
        <f t="shared" si="1"/>
        <v>6.3518521139460909E-2</v>
      </c>
    </row>
    <row r="11" spans="1:9" x14ac:dyDescent="0.25">
      <c r="A11" s="25">
        <v>2001</v>
      </c>
      <c r="B11" s="75">
        <v>255663.75</v>
      </c>
      <c r="E11" s="25">
        <v>10</v>
      </c>
      <c r="F11" s="75">
        <v>255663.75</v>
      </c>
      <c r="G11" s="79">
        <f t="shared" si="2"/>
        <v>2.7801200611461588E-2</v>
      </c>
      <c r="H11" s="77">
        <f t="shared" si="0"/>
        <v>243183.37942267326</v>
      </c>
      <c r="I11" s="78">
        <f t="shared" si="1"/>
        <v>4.88155656690741E-2</v>
      </c>
    </row>
    <row r="12" spans="1:9" x14ac:dyDescent="0.25">
      <c r="A12" s="25">
        <v>2002</v>
      </c>
      <c r="B12" s="75">
        <v>261272.41666666666</v>
      </c>
      <c r="E12" s="25">
        <v>11</v>
      </c>
      <c r="F12" s="75">
        <v>261272.41666666666</v>
      </c>
      <c r="G12" s="79">
        <f t="shared" si="2"/>
        <v>2.1937668780445632E-2</v>
      </c>
      <c r="H12" s="77">
        <f t="shared" si="0"/>
        <v>253868.34517716331</v>
      </c>
      <c r="I12" s="78">
        <f t="shared" si="1"/>
        <v>2.833851190250028E-2</v>
      </c>
    </row>
    <row r="13" spans="1:9" x14ac:dyDescent="0.25">
      <c r="A13" s="25">
        <v>2003</v>
      </c>
      <c r="B13" s="75">
        <v>272232.5</v>
      </c>
      <c r="E13" s="25">
        <v>12</v>
      </c>
      <c r="F13" s="75">
        <v>272232.5</v>
      </c>
      <c r="G13" s="79">
        <f t="shared" si="2"/>
        <v>4.1948872648567039E-2</v>
      </c>
      <c r="H13" s="77">
        <f t="shared" si="0"/>
        <v>265022.78583345655</v>
      </c>
      <c r="I13" s="78">
        <f t="shared" si="1"/>
        <v>2.6483664391810113E-2</v>
      </c>
    </row>
    <row r="14" spans="1:9" x14ac:dyDescent="0.25">
      <c r="A14" s="25">
        <v>2004</v>
      </c>
      <c r="B14" s="75">
        <v>288987.5</v>
      </c>
      <c r="C14" t="s">
        <v>27</v>
      </c>
      <c r="E14" s="25">
        <v>13</v>
      </c>
      <c r="F14" s="75">
        <v>288987.5</v>
      </c>
      <c r="G14" s="79">
        <f t="shared" si="2"/>
        <v>6.154665589156328E-2</v>
      </c>
      <c r="H14" s="77">
        <f t="shared" si="0"/>
        <v>276667.32913042337</v>
      </c>
      <c r="I14" s="78">
        <f t="shared" si="1"/>
        <v>4.2632192982660591E-2</v>
      </c>
    </row>
    <row r="15" spans="1:9" x14ac:dyDescent="0.25">
      <c r="A15" s="25">
        <v>2005</v>
      </c>
      <c r="B15" s="75">
        <v>307826.08333333331</v>
      </c>
      <c r="E15" s="25">
        <v>14</v>
      </c>
      <c r="F15" s="75">
        <v>307826.08333333331</v>
      </c>
      <c r="G15" s="79">
        <f t="shared" si="2"/>
        <v>6.5188229017979368E-2</v>
      </c>
      <c r="H15" s="77">
        <f t="shared" si="0"/>
        <v>288823.50914635573</v>
      </c>
      <c r="I15" s="78">
        <f t="shared" si="1"/>
        <v>6.1731527040222924E-2</v>
      </c>
    </row>
    <row r="16" spans="1:9" x14ac:dyDescent="0.25">
      <c r="A16" s="25">
        <v>2006</v>
      </c>
      <c r="B16" s="75">
        <v>323823.08333333331</v>
      </c>
      <c r="E16" s="25">
        <v>15</v>
      </c>
      <c r="F16" s="75">
        <v>323823.08333333331</v>
      </c>
      <c r="G16" s="79">
        <f t="shared" si="2"/>
        <v>5.1967655978903675E-2</v>
      </c>
      <c r="H16" s="77">
        <f t="shared" si="0"/>
        <v>301513.80612161325</v>
      </c>
      <c r="I16" s="78">
        <f t="shared" si="1"/>
        <v>6.8893412359845876E-2</v>
      </c>
    </row>
    <row r="17" spans="1:10" x14ac:dyDescent="0.25">
      <c r="A17" s="25">
        <v>2007</v>
      </c>
      <c r="B17" s="75">
        <v>334008</v>
      </c>
      <c r="E17" s="25">
        <v>16</v>
      </c>
      <c r="F17" s="75">
        <v>334008</v>
      </c>
      <c r="G17" s="79">
        <f t="shared" si="2"/>
        <v>3.1452102060873323E-2</v>
      </c>
      <c r="H17" s="77">
        <f t="shared" si="0"/>
        <v>314761.68803099269</v>
      </c>
      <c r="I17" s="78">
        <f t="shared" si="1"/>
        <v>5.7622308354911583E-2</v>
      </c>
    </row>
    <row r="18" spans="1:10" x14ac:dyDescent="0.25">
      <c r="A18" s="25">
        <v>2008</v>
      </c>
      <c r="B18" s="75">
        <v>328780.33333333331</v>
      </c>
      <c r="E18" s="25">
        <v>17</v>
      </c>
      <c r="F18" s="75">
        <v>328780.33333333331</v>
      </c>
      <c r="G18" s="79">
        <f t="shared" si="2"/>
        <v>-1.5651321724829005E-2</v>
      </c>
      <c r="H18" s="77">
        <f t="shared" si="0"/>
        <v>328591.65398269973</v>
      </c>
      <c r="I18" s="78">
        <f t="shared" si="1"/>
        <v>5.7387663282855005E-4</v>
      </c>
    </row>
    <row r="19" spans="1:10" x14ac:dyDescent="0.25">
      <c r="A19" s="25">
        <v>2009</v>
      </c>
      <c r="B19" s="75">
        <v>303288.91666666669</v>
      </c>
      <c r="E19" s="25">
        <v>18</v>
      </c>
      <c r="F19" s="75">
        <v>303288.91666666669</v>
      </c>
      <c r="G19" s="79">
        <f t="shared" si="2"/>
        <v>-7.7533277030965853E-2</v>
      </c>
      <c r="H19" s="77">
        <f t="shared" si="0"/>
        <v>343029.27952418046</v>
      </c>
      <c r="I19" s="78">
        <f t="shared" si="1"/>
        <v>0.13103137198116241</v>
      </c>
    </row>
    <row r="20" spans="1:10" x14ac:dyDescent="0.25">
      <c r="A20" s="25">
        <v>2010</v>
      </c>
      <c r="B20" s="75">
        <v>323964.16666666669</v>
      </c>
      <c r="E20" s="25">
        <v>19</v>
      </c>
      <c r="F20" s="75">
        <v>323964.16666666669</v>
      </c>
      <c r="G20" s="79">
        <f t="shared" si="2"/>
        <v>6.8170146892388359E-2</v>
      </c>
      <c r="H20" s="77">
        <f t="shared" si="0"/>
        <v>358101.26393859531</v>
      </c>
      <c r="I20" s="78">
        <f t="shared" si="1"/>
        <v>0.10537306524722216</v>
      </c>
    </row>
    <row r="21" spans="1:10" x14ac:dyDescent="0.25">
      <c r="A21" s="25">
        <v>2011</v>
      </c>
      <c r="B21" s="75">
        <v>349717.75</v>
      </c>
      <c r="E21" s="25">
        <v>20</v>
      </c>
      <c r="F21" s="75">
        <v>349717.75</v>
      </c>
      <c r="G21" s="79">
        <f t="shared" si="2"/>
        <v>7.949516021576454E-2</v>
      </c>
      <c r="H21" s="77">
        <f t="shared" si="0"/>
        <v>373835.47961940081</v>
      </c>
      <c r="I21" s="78">
        <f t="shared" si="1"/>
        <v>6.8963412979183375E-2</v>
      </c>
    </row>
    <row r="22" spans="1:10" x14ac:dyDescent="0.25">
      <c r="G22" s="25"/>
      <c r="I22" s="80"/>
    </row>
    <row r="23" spans="1:10" x14ac:dyDescent="0.25">
      <c r="F23" s="81" t="s">
        <v>232</v>
      </c>
      <c r="G23" s="82">
        <f>AVERAGE(G3:G21)</f>
        <v>4.5984612986502658E-2</v>
      </c>
      <c r="H23" s="81" t="s">
        <v>193</v>
      </c>
      <c r="I23" s="83">
        <f>AVERAGE(I2:I21)</f>
        <v>4.8418489540186016E-2</v>
      </c>
    </row>
    <row r="24" spans="1:10" x14ac:dyDescent="0.25">
      <c r="H24" s="80"/>
    </row>
    <row r="26" spans="1:10" x14ac:dyDescent="0.25">
      <c r="G26" s="171" t="s">
        <v>233</v>
      </c>
      <c r="H26" s="171"/>
      <c r="I26" s="84" t="s">
        <v>234</v>
      </c>
      <c r="J26" s="3">
        <f>H29*EXP(H30*34)</f>
        <v>682536.36423284397</v>
      </c>
    </row>
    <row r="27" spans="1:10" x14ac:dyDescent="0.25">
      <c r="I27" s="84" t="s">
        <v>235</v>
      </c>
      <c r="J27" s="3">
        <f>H29*EXP(H30*59)</f>
        <v>1999826.7015583178</v>
      </c>
    </row>
    <row r="28" spans="1:10" x14ac:dyDescent="0.25">
      <c r="G28" s="15" t="s">
        <v>156</v>
      </c>
      <c r="H28" s="15"/>
    </row>
    <row r="29" spans="1:10" x14ac:dyDescent="0.25">
      <c r="G29" s="15" t="s">
        <v>151</v>
      </c>
      <c r="H29" s="15">
        <v>158193</v>
      </c>
      <c r="I29" s="84"/>
      <c r="J29" s="85"/>
    </row>
    <row r="30" spans="1:10" x14ac:dyDescent="0.25">
      <c r="G30" s="15" t="s">
        <v>236</v>
      </c>
      <c r="H30" s="15">
        <v>4.2999999999999997E-2</v>
      </c>
    </row>
  </sheetData>
  <mergeCells count="2">
    <mergeCell ref="C2:C10"/>
    <mergeCell ref="G26:H2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20F4-1462-46B1-A207-1555427435FB}">
  <dimension ref="A1:N24"/>
  <sheetViews>
    <sheetView workbookViewId="0">
      <selection activeCell="N6" sqref="N6"/>
    </sheetView>
  </sheetViews>
  <sheetFormatPr defaultRowHeight="15" x14ac:dyDescent="0.25"/>
  <cols>
    <col min="1" max="1" width="22.42578125" customWidth="1"/>
    <col min="2" max="2" width="15.140625" bestFit="1" customWidth="1"/>
    <col min="8" max="9" width="14" bestFit="1" customWidth="1"/>
    <col min="10" max="10" width="12.28515625" bestFit="1" customWidth="1"/>
    <col min="11" max="12" width="14" bestFit="1" customWidth="1"/>
    <col min="14" max="14" width="11" bestFit="1" customWidth="1"/>
  </cols>
  <sheetData>
    <row r="1" spans="1:14" x14ac:dyDescent="0.25">
      <c r="A1" t="s">
        <v>237</v>
      </c>
    </row>
    <row r="3" spans="1:14" x14ac:dyDescent="0.25">
      <c r="A3" t="s">
        <v>215</v>
      </c>
      <c r="B3" s="49">
        <v>4000000</v>
      </c>
      <c r="F3" s="160" t="s">
        <v>211</v>
      </c>
      <c r="G3" s="160"/>
      <c r="H3" s="160"/>
      <c r="I3" s="160"/>
      <c r="J3" s="160"/>
      <c r="K3" s="160"/>
      <c r="L3" s="160"/>
    </row>
    <row r="4" spans="1:14" x14ac:dyDescent="0.25">
      <c r="A4" t="s">
        <v>238</v>
      </c>
      <c r="B4" s="25">
        <v>80000</v>
      </c>
      <c r="C4" t="s">
        <v>239</v>
      </c>
      <c r="F4" s="15"/>
      <c r="G4" s="15"/>
      <c r="H4" s="15"/>
      <c r="I4" s="15"/>
      <c r="J4" s="15"/>
      <c r="K4" s="15"/>
      <c r="L4" s="15"/>
    </row>
    <row r="5" spans="1:14" x14ac:dyDescent="0.25">
      <c r="A5" t="s">
        <v>246</v>
      </c>
      <c r="B5" s="86">
        <v>0.02</v>
      </c>
      <c r="F5" s="27" t="s">
        <v>29</v>
      </c>
      <c r="G5" s="27" t="s">
        <v>240</v>
      </c>
      <c r="H5" s="15" t="s">
        <v>241</v>
      </c>
      <c r="I5" s="15" t="s">
        <v>242</v>
      </c>
      <c r="J5" s="15" t="s">
        <v>243</v>
      </c>
      <c r="K5" s="15" t="s">
        <v>244</v>
      </c>
      <c r="L5" s="15" t="s">
        <v>245</v>
      </c>
    </row>
    <row r="6" spans="1:14" x14ac:dyDescent="0.25">
      <c r="A6" t="s">
        <v>247</v>
      </c>
      <c r="B6" s="87">
        <v>25</v>
      </c>
      <c r="C6" t="s">
        <v>248</v>
      </c>
      <c r="F6" s="27">
        <v>1</v>
      </c>
      <c r="G6" s="43">
        <f>B4</f>
        <v>80000</v>
      </c>
      <c r="H6" s="12">
        <f>G6*B6</f>
        <v>2000000</v>
      </c>
      <c r="I6" s="12">
        <f>H6*$B$7</f>
        <v>1000000</v>
      </c>
      <c r="J6" s="12">
        <f>B8*H6</f>
        <v>800000</v>
      </c>
      <c r="K6" s="28">
        <f>I6+J6</f>
        <v>1800000</v>
      </c>
      <c r="L6" s="12">
        <f>H6-K6</f>
        <v>200000</v>
      </c>
    </row>
    <row r="7" spans="1:14" x14ac:dyDescent="0.25">
      <c r="A7" t="s">
        <v>249</v>
      </c>
      <c r="B7" s="25">
        <v>0.5</v>
      </c>
      <c r="F7" s="27">
        <v>2</v>
      </c>
      <c r="G7" s="43">
        <f>G6*(1+$B$5)</f>
        <v>81600</v>
      </c>
      <c r="H7" s="28">
        <f>G7*$B$6</f>
        <v>2040000</v>
      </c>
      <c r="I7" s="12">
        <f t="shared" ref="I7:I10" si="0">H7*$B$7</f>
        <v>1020000</v>
      </c>
      <c r="J7" s="28">
        <f>($B$8-(F7-$F$6)*$B$9)*H7</f>
        <v>775200</v>
      </c>
      <c r="K7" s="28">
        <f t="shared" ref="K7:K10" si="1">I7+J7</f>
        <v>1795200</v>
      </c>
      <c r="L7" s="12">
        <f t="shared" ref="L7:L10" si="2">H7-K7</f>
        <v>244800</v>
      </c>
    </row>
    <row r="8" spans="1:14" x14ac:dyDescent="0.25">
      <c r="A8" t="s">
        <v>250</v>
      </c>
      <c r="B8" s="76">
        <v>0.4</v>
      </c>
      <c r="F8" s="27">
        <v>3</v>
      </c>
      <c r="G8" s="43">
        <f t="shared" ref="G8:G9" si="3">G7*(1+$B$5)</f>
        <v>83232</v>
      </c>
      <c r="H8" s="28">
        <f t="shared" ref="H8:H10" si="4">G8*$B$6</f>
        <v>2080800</v>
      </c>
      <c r="I8" s="12">
        <f t="shared" si="0"/>
        <v>1040400</v>
      </c>
      <c r="J8" s="28">
        <f>($B$8-(F8-$F$6)*$B$9)*H8</f>
        <v>749088.00000000012</v>
      </c>
      <c r="K8" s="28">
        <f t="shared" si="1"/>
        <v>1789488</v>
      </c>
      <c r="L8" s="12">
        <f t="shared" si="2"/>
        <v>291312</v>
      </c>
      <c r="N8" s="3"/>
    </row>
    <row r="9" spans="1:14" x14ac:dyDescent="0.25">
      <c r="A9" t="s">
        <v>251</v>
      </c>
      <c r="B9" s="76">
        <v>0.02</v>
      </c>
      <c r="F9" s="27">
        <v>4</v>
      </c>
      <c r="G9" s="43">
        <f t="shared" si="3"/>
        <v>84896.639999999999</v>
      </c>
      <c r="H9" s="28">
        <f t="shared" si="4"/>
        <v>2122416</v>
      </c>
      <c r="I9" s="12">
        <f t="shared" si="0"/>
        <v>1061208</v>
      </c>
      <c r="J9" s="28">
        <f t="shared" ref="J9:J10" si="5">($B$8-(F9-$F$6)*$B$9)*H9</f>
        <v>721621.44000000006</v>
      </c>
      <c r="K9" s="28">
        <f t="shared" si="1"/>
        <v>1782829.44</v>
      </c>
      <c r="L9" s="12">
        <f t="shared" si="2"/>
        <v>339586.56000000006</v>
      </c>
    </row>
    <row r="10" spans="1:14" x14ac:dyDescent="0.25">
      <c r="F10" s="27">
        <v>5</v>
      </c>
      <c r="G10" s="43">
        <f>G9*(1+$B$5)</f>
        <v>86594.572799999994</v>
      </c>
      <c r="H10" s="28">
        <f t="shared" si="4"/>
        <v>2164864.3199999998</v>
      </c>
      <c r="I10" s="12">
        <f t="shared" si="0"/>
        <v>1082432.1599999999</v>
      </c>
      <c r="J10" s="28">
        <f t="shared" si="5"/>
        <v>692756.58239999996</v>
      </c>
      <c r="K10" s="28">
        <f t="shared" si="1"/>
        <v>1775188.7423999999</v>
      </c>
      <c r="L10" s="12">
        <f t="shared" si="2"/>
        <v>389675.57759999996</v>
      </c>
    </row>
    <row r="11" spans="1:14" x14ac:dyDescent="0.25">
      <c r="A11" t="s">
        <v>252</v>
      </c>
      <c r="B11" s="58">
        <v>0.05</v>
      </c>
    </row>
    <row r="12" spans="1:14" x14ac:dyDescent="0.25">
      <c r="K12" t="s">
        <v>253</v>
      </c>
      <c r="L12" s="3">
        <f>SUM(L6:L10)</f>
        <v>1465374.1376</v>
      </c>
    </row>
    <row r="13" spans="1:14" x14ac:dyDescent="0.25">
      <c r="A13" t="s">
        <v>225</v>
      </c>
      <c r="B13" s="88">
        <f>NPV(B11,L6:L10)</f>
        <v>1248862.9801074949</v>
      </c>
    </row>
    <row r="14" spans="1:14" x14ac:dyDescent="0.25">
      <c r="H14" t="s">
        <v>136</v>
      </c>
      <c r="I14" t="s">
        <v>254</v>
      </c>
    </row>
    <row r="15" spans="1:14" x14ac:dyDescent="0.25">
      <c r="A15" t="s">
        <v>255</v>
      </c>
      <c r="B15" s="88">
        <f>B13-B3</f>
        <v>-2751137.0198925054</v>
      </c>
    </row>
    <row r="16" spans="1:14" x14ac:dyDescent="0.25">
      <c r="I16" t="s">
        <v>256</v>
      </c>
      <c r="J16" t="s">
        <v>257</v>
      </c>
    </row>
    <row r="18" spans="5:9" x14ac:dyDescent="0.25">
      <c r="E18" t="s">
        <v>27</v>
      </c>
      <c r="I18" t="s">
        <v>258</v>
      </c>
    </row>
    <row r="20" spans="5:9" x14ac:dyDescent="0.25">
      <c r="H20" t="s">
        <v>138</v>
      </c>
    </row>
    <row r="24" spans="5:9" x14ac:dyDescent="0.25">
      <c r="I24" t="s">
        <v>259</v>
      </c>
    </row>
  </sheetData>
  <mergeCells count="1">
    <mergeCell ref="F3:L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B5A7-F9D6-4AF1-8C12-5385640433EC}">
  <dimension ref="A1:Q54"/>
  <sheetViews>
    <sheetView workbookViewId="0">
      <selection activeCell="L15" sqref="L15"/>
    </sheetView>
  </sheetViews>
  <sheetFormatPr defaultRowHeight="15" x14ac:dyDescent="0.25"/>
  <cols>
    <col min="1" max="1" width="14.140625" customWidth="1"/>
    <col min="2" max="2" width="19.7109375" customWidth="1"/>
    <col min="3" max="3" width="20.5703125" bestFit="1" customWidth="1"/>
    <col min="4" max="4" width="13" customWidth="1"/>
    <col min="5" max="6" width="11.5703125" bestFit="1" customWidth="1"/>
    <col min="7" max="7" width="13.140625" customWidth="1"/>
    <col min="9" max="9" width="34.85546875" customWidth="1"/>
    <col min="10" max="10" width="11.28515625" bestFit="1" customWidth="1"/>
    <col min="13" max="13" width="10" customWidth="1"/>
    <col min="14" max="16" width="10.28515625" bestFit="1" customWidth="1"/>
    <col min="17" max="17" width="10.85546875" customWidth="1"/>
  </cols>
  <sheetData>
    <row r="1" spans="1:10" ht="15.75" thickBot="1" x14ac:dyDescent="0.3">
      <c r="A1" s="172" t="s">
        <v>260</v>
      </c>
      <c r="B1" s="173"/>
      <c r="C1" s="173"/>
      <c r="D1" s="173"/>
      <c r="E1" s="173"/>
      <c r="F1" s="173"/>
      <c r="G1" s="174"/>
      <c r="I1" s="160" t="s">
        <v>261</v>
      </c>
      <c r="J1" s="160"/>
    </row>
    <row r="2" spans="1:10" ht="15.75" thickBot="1" x14ac:dyDescent="0.3">
      <c r="A2" s="89" t="s">
        <v>262</v>
      </c>
      <c r="B2" s="90" t="s">
        <v>263</v>
      </c>
      <c r="C2" s="90" t="s">
        <v>264</v>
      </c>
      <c r="D2" s="90" t="s">
        <v>265</v>
      </c>
      <c r="E2" s="90" t="s">
        <v>266</v>
      </c>
      <c r="F2" s="90" t="s">
        <v>267</v>
      </c>
      <c r="G2" s="91" t="s">
        <v>268</v>
      </c>
      <c r="I2" s="92" t="s">
        <v>269</v>
      </c>
      <c r="J2" s="28">
        <v>50000</v>
      </c>
    </row>
    <row r="3" spans="1:10" ht="15.75" thickTop="1" x14ac:dyDescent="0.25">
      <c r="A3" s="93">
        <v>1</v>
      </c>
      <c r="B3" s="94" t="s">
        <v>270</v>
      </c>
      <c r="C3" s="95">
        <v>1</v>
      </c>
      <c r="D3" s="94">
        <v>250</v>
      </c>
      <c r="E3" s="94">
        <v>100</v>
      </c>
      <c r="F3" s="94">
        <v>100</v>
      </c>
      <c r="G3" s="96">
        <v>60</v>
      </c>
      <c r="I3" s="97" t="s">
        <v>271</v>
      </c>
      <c r="J3" s="98">
        <v>10000</v>
      </c>
    </row>
    <row r="4" spans="1:10" x14ac:dyDescent="0.25">
      <c r="A4" s="99">
        <v>2</v>
      </c>
      <c r="B4" s="100" t="s">
        <v>270</v>
      </c>
      <c r="C4" s="101">
        <v>0.33</v>
      </c>
      <c r="D4" s="100">
        <v>500</v>
      </c>
      <c r="E4" s="100">
        <v>300</v>
      </c>
      <c r="F4" s="100">
        <v>300</v>
      </c>
      <c r="G4" s="102">
        <v>180</v>
      </c>
      <c r="I4" s="97" t="s">
        <v>272</v>
      </c>
      <c r="J4" s="98">
        <v>4000</v>
      </c>
    </row>
    <row r="5" spans="1:10" x14ac:dyDescent="0.25">
      <c r="A5" s="99">
        <v>3</v>
      </c>
      <c r="B5" s="100" t="s">
        <v>270</v>
      </c>
      <c r="C5" s="101">
        <v>0.5</v>
      </c>
      <c r="D5" s="100">
        <v>100</v>
      </c>
      <c r="E5" s="100">
        <v>200</v>
      </c>
      <c r="F5" s="100">
        <v>400</v>
      </c>
      <c r="G5" s="102">
        <v>80</v>
      </c>
      <c r="I5" s="97" t="s">
        <v>273</v>
      </c>
      <c r="J5" s="103">
        <v>0.12</v>
      </c>
    </row>
    <row r="6" spans="1:10" x14ac:dyDescent="0.25">
      <c r="A6" s="99">
        <v>4</v>
      </c>
      <c r="B6" s="100" t="s">
        <v>270</v>
      </c>
      <c r="C6" s="101">
        <v>1</v>
      </c>
      <c r="D6" s="100">
        <v>750</v>
      </c>
      <c r="E6" s="100">
        <v>500</v>
      </c>
      <c r="F6" s="100">
        <v>300</v>
      </c>
      <c r="G6" s="102">
        <v>310</v>
      </c>
    </row>
    <row r="7" spans="1:10" x14ac:dyDescent="0.25">
      <c r="A7" s="99">
        <v>5</v>
      </c>
      <c r="B7" s="100" t="s">
        <v>270</v>
      </c>
      <c r="C7" s="101">
        <v>0.75</v>
      </c>
      <c r="D7" s="100">
        <v>200</v>
      </c>
      <c r="E7" s="100">
        <v>400</v>
      </c>
      <c r="F7" s="100">
        <v>800</v>
      </c>
      <c r="G7" s="102">
        <v>220</v>
      </c>
      <c r="I7" s="175" t="s">
        <v>274</v>
      </c>
      <c r="J7" s="175"/>
    </row>
    <row r="8" spans="1:10" x14ac:dyDescent="0.25">
      <c r="A8" s="104">
        <v>6</v>
      </c>
      <c r="B8" s="105" t="s">
        <v>275</v>
      </c>
      <c r="C8" s="106">
        <v>0.5</v>
      </c>
      <c r="D8" s="105">
        <v>1000</v>
      </c>
      <c r="E8" s="105">
        <v>300</v>
      </c>
      <c r="F8" s="105">
        <v>300</v>
      </c>
      <c r="G8" s="107">
        <v>180</v>
      </c>
      <c r="I8" s="97" t="s">
        <v>276</v>
      </c>
      <c r="J8" s="27">
        <f>IF(D43&lt;J4,1,0)</f>
        <v>1</v>
      </c>
    </row>
    <row r="9" spans="1:10" x14ac:dyDescent="0.25">
      <c r="A9" s="104">
        <v>7</v>
      </c>
      <c r="B9" s="105" t="s">
        <v>275</v>
      </c>
      <c r="C9" s="106">
        <v>1</v>
      </c>
      <c r="D9" s="105">
        <v>750</v>
      </c>
      <c r="E9" s="105">
        <v>750</v>
      </c>
      <c r="F9" s="105">
        <v>300</v>
      </c>
      <c r="G9" s="107">
        <v>410</v>
      </c>
      <c r="I9" s="97" t="s">
        <v>277</v>
      </c>
      <c r="J9" s="27">
        <f>IF(E43&lt;J4,1,0)</f>
        <v>1</v>
      </c>
    </row>
    <row r="10" spans="1:10" x14ac:dyDescent="0.25">
      <c r="A10" s="104">
        <v>8</v>
      </c>
      <c r="B10" s="105" t="s">
        <v>275</v>
      </c>
      <c r="C10" s="106">
        <v>1</v>
      </c>
      <c r="D10" s="105">
        <v>800</v>
      </c>
      <c r="E10" s="105">
        <v>700</v>
      </c>
      <c r="F10" s="105">
        <v>600</v>
      </c>
      <c r="G10" s="107">
        <v>280</v>
      </c>
      <c r="I10" s="97" t="s">
        <v>278</v>
      </c>
      <c r="J10" s="27">
        <f>IF(F43&lt;J4,1,0)</f>
        <v>1</v>
      </c>
    </row>
    <row r="11" spans="1:10" x14ac:dyDescent="0.25">
      <c r="A11" s="104">
        <v>9</v>
      </c>
      <c r="B11" s="105" t="s">
        <v>275</v>
      </c>
      <c r="C11" s="106">
        <v>0.67</v>
      </c>
      <c r="D11" s="105">
        <v>400</v>
      </c>
      <c r="E11" s="105">
        <v>600</v>
      </c>
      <c r="F11" s="105">
        <v>800</v>
      </c>
      <c r="G11" s="107">
        <v>380</v>
      </c>
      <c r="I11" s="97" t="s">
        <v>279</v>
      </c>
      <c r="J11" s="27">
        <f>IF(G43&lt;J3,1,0)</f>
        <v>1</v>
      </c>
    </row>
    <row r="12" spans="1:10" x14ac:dyDescent="0.25">
      <c r="A12" s="108">
        <v>10</v>
      </c>
      <c r="B12" s="109" t="s">
        <v>280</v>
      </c>
      <c r="C12" s="110">
        <v>1</v>
      </c>
      <c r="D12" s="109">
        <v>100</v>
      </c>
      <c r="E12" s="109">
        <v>200</v>
      </c>
      <c r="F12" s="109">
        <v>400</v>
      </c>
      <c r="G12" s="111">
        <v>100</v>
      </c>
      <c r="I12" s="97" t="s">
        <v>281</v>
      </c>
      <c r="J12" s="27">
        <f>IF(AND(J13&gt;=1,J14&gt;=1,J15&gt;=1),1,0)</f>
        <v>1</v>
      </c>
    </row>
    <row r="13" spans="1:10" x14ac:dyDescent="0.25">
      <c r="A13" s="108">
        <v>11</v>
      </c>
      <c r="B13" s="109" t="s">
        <v>280</v>
      </c>
      <c r="C13" s="110">
        <v>0.5</v>
      </c>
      <c r="D13" s="109">
        <v>700</v>
      </c>
      <c r="E13" s="109">
        <v>500</v>
      </c>
      <c r="F13" s="109">
        <v>300</v>
      </c>
      <c r="G13" s="111">
        <v>260</v>
      </c>
      <c r="I13" s="97" t="s">
        <v>282</v>
      </c>
      <c r="J13" s="27">
        <f>SUM(K22:K26)</f>
        <v>4</v>
      </c>
    </row>
    <row r="14" spans="1:10" ht="15.75" thickBot="1" x14ac:dyDescent="0.3">
      <c r="A14" s="112">
        <v>12</v>
      </c>
      <c r="B14" s="113" t="s">
        <v>280</v>
      </c>
      <c r="C14" s="114">
        <v>1</v>
      </c>
      <c r="D14" s="113">
        <v>1500</v>
      </c>
      <c r="E14" s="113">
        <v>400</v>
      </c>
      <c r="F14" s="113">
        <v>400</v>
      </c>
      <c r="G14" s="115">
        <v>340</v>
      </c>
      <c r="I14" s="97" t="s">
        <v>283</v>
      </c>
      <c r="J14" s="27">
        <f>SUM(K30:K33)</f>
        <v>3</v>
      </c>
    </row>
    <row r="15" spans="1:10" x14ac:dyDescent="0.25">
      <c r="I15" s="97" t="s">
        <v>284</v>
      </c>
      <c r="J15" s="27">
        <f>SUM(K37:K39)</f>
        <v>2</v>
      </c>
    </row>
    <row r="16" spans="1:10" x14ac:dyDescent="0.25">
      <c r="I16" s="97" t="s">
        <v>285</v>
      </c>
      <c r="J16" s="27">
        <f>SUM(J13:J15)</f>
        <v>9</v>
      </c>
    </row>
    <row r="17" spans="1:17" x14ac:dyDescent="0.25">
      <c r="I17" s="2"/>
      <c r="J17" s="25"/>
    </row>
    <row r="18" spans="1:17" x14ac:dyDescent="0.25">
      <c r="I18" s="97" t="s">
        <v>286</v>
      </c>
      <c r="J18" s="27">
        <f>IF(SUM(J8:J12)=5,1,0)</f>
        <v>1</v>
      </c>
    </row>
    <row r="19" spans="1:17" x14ac:dyDescent="0.25">
      <c r="B19" s="69" t="s">
        <v>287</v>
      </c>
      <c r="L19" t="s">
        <v>27</v>
      </c>
    </row>
    <row r="21" spans="1:17" ht="15.75" thickBot="1" x14ac:dyDescent="0.3">
      <c r="A21" s="116" t="s">
        <v>262</v>
      </c>
      <c r="B21" s="117" t="s">
        <v>263</v>
      </c>
      <c r="C21" s="116" t="s">
        <v>264</v>
      </c>
      <c r="D21" s="116" t="s">
        <v>265</v>
      </c>
      <c r="E21" s="116" t="s">
        <v>266</v>
      </c>
      <c r="F21" s="116" t="s">
        <v>267</v>
      </c>
      <c r="G21" s="116" t="s">
        <v>288</v>
      </c>
      <c r="H21" s="116" t="s">
        <v>268</v>
      </c>
      <c r="I21" s="116" t="s">
        <v>289</v>
      </c>
      <c r="J21" s="116" t="s">
        <v>290</v>
      </c>
      <c r="K21" s="118" t="s">
        <v>291</v>
      </c>
    </row>
    <row r="22" spans="1:17" ht="15.75" thickTop="1" x14ac:dyDescent="0.25">
      <c r="A22" s="119">
        <v>1</v>
      </c>
      <c r="B22" s="94" t="s">
        <v>270</v>
      </c>
      <c r="C22" s="120">
        <v>1</v>
      </c>
      <c r="D22" s="121">
        <f>C22*D3</f>
        <v>250</v>
      </c>
      <c r="E22" s="121">
        <f>C22*E3</f>
        <v>100</v>
      </c>
      <c r="F22" s="121">
        <f>C22*F3</f>
        <v>100</v>
      </c>
      <c r="G22" s="121">
        <f>SUM(D22:F22)</f>
        <v>450</v>
      </c>
      <c r="H22" s="121">
        <v>60</v>
      </c>
      <c r="I22" s="122">
        <f>H22*(1-$J$5)</f>
        <v>52.8</v>
      </c>
      <c r="J22" s="123">
        <f>IF(K22=0,"",I22/SUM(D3:F3))</f>
        <v>0.11733333333333333</v>
      </c>
      <c r="K22" s="124">
        <v>1</v>
      </c>
    </row>
    <row r="23" spans="1:17" x14ac:dyDescent="0.25">
      <c r="A23" s="125">
        <v>2</v>
      </c>
      <c r="B23" s="100" t="s">
        <v>270</v>
      </c>
      <c r="C23" s="126">
        <v>0.33</v>
      </c>
      <c r="D23" s="127">
        <f>C23*D4</f>
        <v>165</v>
      </c>
      <c r="E23" s="127">
        <f>C23*E4</f>
        <v>99</v>
      </c>
      <c r="F23" s="127">
        <f>C23*F4</f>
        <v>99</v>
      </c>
      <c r="G23" s="127">
        <f t="shared" ref="G23:G26" si="0">SUM(D23:F23)</f>
        <v>363</v>
      </c>
      <c r="H23" s="127">
        <v>180</v>
      </c>
      <c r="I23" s="128">
        <f t="shared" ref="I23:I26" si="1">H23*(1-$J$5)</f>
        <v>158.4</v>
      </c>
      <c r="J23" s="129">
        <f>IF(K23=0,"",I23/SUM(D4:F4))</f>
        <v>0.14400000000000002</v>
      </c>
      <c r="K23" s="130">
        <v>1</v>
      </c>
    </row>
    <row r="24" spans="1:17" x14ac:dyDescent="0.25">
      <c r="A24" s="125">
        <v>3</v>
      </c>
      <c r="B24" s="100" t="s">
        <v>270</v>
      </c>
      <c r="C24" s="126">
        <v>0.5</v>
      </c>
      <c r="D24" s="127">
        <f>C24*D5</f>
        <v>50</v>
      </c>
      <c r="E24" s="127">
        <f>C24*E5</f>
        <v>100</v>
      </c>
      <c r="F24" s="127">
        <f>C24*F5</f>
        <v>200</v>
      </c>
      <c r="G24" s="127">
        <f t="shared" si="0"/>
        <v>350</v>
      </c>
      <c r="H24" s="127">
        <v>80</v>
      </c>
      <c r="I24" s="128">
        <f t="shared" si="1"/>
        <v>70.400000000000006</v>
      </c>
      <c r="J24" s="129">
        <f>IF(K24=0,"",I24/SUM(D5:F5))</f>
        <v>0.10057142857142858</v>
      </c>
      <c r="K24" s="130">
        <v>1</v>
      </c>
    </row>
    <row r="25" spans="1:17" x14ac:dyDescent="0.25">
      <c r="A25" s="125">
        <v>4</v>
      </c>
      <c r="B25" s="100" t="s">
        <v>270</v>
      </c>
      <c r="C25" s="126">
        <v>1</v>
      </c>
      <c r="D25" s="127">
        <f>C25*D6</f>
        <v>750</v>
      </c>
      <c r="E25" s="127">
        <f>C25*E6</f>
        <v>500</v>
      </c>
      <c r="F25" s="127">
        <f>C25*F6</f>
        <v>300</v>
      </c>
      <c r="G25" s="127">
        <f t="shared" si="0"/>
        <v>1550</v>
      </c>
      <c r="H25" s="127">
        <v>310</v>
      </c>
      <c r="I25" s="128">
        <f t="shared" si="1"/>
        <v>272.8</v>
      </c>
      <c r="J25" s="129" t="str">
        <f>IF(K25=0,"",I25/SUM(D6:F6))</f>
        <v/>
      </c>
      <c r="K25" s="130">
        <v>0</v>
      </c>
    </row>
    <row r="26" spans="1:17" x14ac:dyDescent="0.25">
      <c r="A26" s="125">
        <v>5</v>
      </c>
      <c r="B26" s="100" t="s">
        <v>270</v>
      </c>
      <c r="C26" s="126">
        <v>0.75</v>
      </c>
      <c r="D26" s="127">
        <f>C26*D7</f>
        <v>150</v>
      </c>
      <c r="E26" s="127">
        <f>C26*E7</f>
        <v>300</v>
      </c>
      <c r="F26" s="127">
        <f>C26*F7</f>
        <v>600</v>
      </c>
      <c r="G26" s="127">
        <f t="shared" si="0"/>
        <v>1050</v>
      </c>
      <c r="H26" s="127">
        <v>220</v>
      </c>
      <c r="I26" s="128">
        <f t="shared" si="1"/>
        <v>193.6</v>
      </c>
      <c r="J26" s="129">
        <f>IF(K26=0,"",I26/SUM(D7:F7))</f>
        <v>0.13828571428571429</v>
      </c>
      <c r="K26" s="130">
        <v>1</v>
      </c>
    </row>
    <row r="27" spans="1:17" ht="15.75" thickBot="1" x14ac:dyDescent="0.3">
      <c r="B27" s="131" t="s">
        <v>292</v>
      </c>
      <c r="C27" s="132"/>
      <c r="D27" s="133">
        <f>SUMPRODUCT(D22:D26,$K$22:$K$26)</f>
        <v>615</v>
      </c>
      <c r="E27" s="133">
        <f t="shared" ref="E27:F27" si="2">SUMPRODUCT(E22:E26,$K$22:$K$26)</f>
        <v>599</v>
      </c>
      <c r="F27" s="133">
        <f t="shared" si="2"/>
        <v>999</v>
      </c>
      <c r="G27" s="133">
        <f>SUMPRODUCT(G22:G26,$K$22:$K$26)</f>
        <v>2213</v>
      </c>
    </row>
    <row r="28" spans="1:17" ht="15.75" thickTop="1" x14ac:dyDescent="0.25">
      <c r="I28" t="s">
        <v>27</v>
      </c>
      <c r="N28" t="s">
        <v>27</v>
      </c>
    </row>
    <row r="29" spans="1:17" x14ac:dyDescent="0.25">
      <c r="A29" s="134" t="s">
        <v>262</v>
      </c>
      <c r="B29" s="135" t="s">
        <v>263</v>
      </c>
      <c r="C29" s="134" t="s">
        <v>264</v>
      </c>
      <c r="D29" s="134" t="s">
        <v>265</v>
      </c>
      <c r="E29" s="134" t="s">
        <v>266</v>
      </c>
      <c r="F29" s="134" t="s">
        <v>267</v>
      </c>
      <c r="G29" s="134" t="s">
        <v>288</v>
      </c>
      <c r="H29" s="134" t="s">
        <v>268</v>
      </c>
      <c r="I29" s="134" t="s">
        <v>289</v>
      </c>
      <c r="J29" s="134" t="s">
        <v>290</v>
      </c>
      <c r="K29" s="136" t="s">
        <v>291</v>
      </c>
      <c r="O29" s="27" t="s">
        <v>293</v>
      </c>
      <c r="P29" s="27" t="s">
        <v>294</v>
      </c>
      <c r="Q29" s="27" t="s">
        <v>295</v>
      </c>
    </row>
    <row r="30" spans="1:17" x14ac:dyDescent="0.25">
      <c r="A30" s="125">
        <v>6</v>
      </c>
      <c r="B30" s="105" t="s">
        <v>275</v>
      </c>
      <c r="C30" s="126">
        <v>0.5</v>
      </c>
      <c r="D30" s="127">
        <f>C30*D8</f>
        <v>500</v>
      </c>
      <c r="E30" s="127">
        <f>C30*E8</f>
        <v>150</v>
      </c>
      <c r="F30" s="127">
        <f>C30*F8</f>
        <v>150</v>
      </c>
      <c r="G30" s="127">
        <f>SUM(D30:F30)</f>
        <v>800</v>
      </c>
      <c r="H30" s="127">
        <v>180</v>
      </c>
      <c r="I30" s="137">
        <f>H30*(1-$J$5)</f>
        <v>158.4</v>
      </c>
      <c r="J30" s="44">
        <f>IF(K30=0," ",I30/SUM(D8:F8))</f>
        <v>9.9000000000000005E-2</v>
      </c>
      <c r="K30" s="130">
        <v>1</v>
      </c>
      <c r="M30" s="167" t="s">
        <v>296</v>
      </c>
      <c r="N30" s="27" t="s">
        <v>297</v>
      </c>
      <c r="O30" s="12">
        <f>D27</f>
        <v>615</v>
      </c>
      <c r="P30" s="12">
        <f>E27</f>
        <v>599</v>
      </c>
      <c r="Q30" s="12">
        <f>F27</f>
        <v>999</v>
      </c>
    </row>
    <row r="31" spans="1:17" x14ac:dyDescent="0.25">
      <c r="A31" s="125">
        <v>7</v>
      </c>
      <c r="B31" s="105" t="s">
        <v>275</v>
      </c>
      <c r="C31" s="126">
        <v>1</v>
      </c>
      <c r="D31" s="127">
        <f>C31*D9</f>
        <v>750</v>
      </c>
      <c r="E31" s="127">
        <f>C31*E9</f>
        <v>750</v>
      </c>
      <c r="F31" s="127">
        <f>C31*F9</f>
        <v>300</v>
      </c>
      <c r="G31" s="127">
        <f t="shared" ref="G31:G33" si="3">SUM(D31:F31)</f>
        <v>1800</v>
      </c>
      <c r="H31" s="127">
        <v>410</v>
      </c>
      <c r="I31" s="137">
        <f t="shared" ref="I31:I33" si="4">H31*(1-$J$5)</f>
        <v>360.8</v>
      </c>
      <c r="J31" s="44">
        <f>IF(K31=0," ",I31/SUM(D9:F9))</f>
        <v>0.20044444444444445</v>
      </c>
      <c r="K31" s="130">
        <v>1</v>
      </c>
      <c r="M31" s="167"/>
      <c r="N31" s="27" t="s">
        <v>298</v>
      </c>
      <c r="O31" s="12">
        <f>D34</f>
        <v>1518</v>
      </c>
      <c r="P31" s="12">
        <f>E34</f>
        <v>1302</v>
      </c>
      <c r="Q31" s="12">
        <f>F34</f>
        <v>986</v>
      </c>
    </row>
    <row r="32" spans="1:17" x14ac:dyDescent="0.25">
      <c r="A32" s="125">
        <v>8</v>
      </c>
      <c r="B32" s="105" t="s">
        <v>275</v>
      </c>
      <c r="C32" s="126">
        <v>1</v>
      </c>
      <c r="D32" s="127">
        <f>C32*D10</f>
        <v>800</v>
      </c>
      <c r="E32" s="127">
        <f>C32*E10</f>
        <v>700</v>
      </c>
      <c r="F32" s="127">
        <f>C32*F10</f>
        <v>600</v>
      </c>
      <c r="G32" s="127">
        <f t="shared" si="3"/>
        <v>2100</v>
      </c>
      <c r="H32" s="127">
        <v>280</v>
      </c>
      <c r="I32" s="137">
        <f t="shared" si="4"/>
        <v>246.4</v>
      </c>
      <c r="J32" s="44" t="str">
        <f>IF(K32=0," ",I32/SUM(D10:F10))</f>
        <v xml:space="preserve"> </v>
      </c>
      <c r="K32" s="130">
        <v>0</v>
      </c>
      <c r="M32" s="167"/>
      <c r="N32" s="27" t="s">
        <v>299</v>
      </c>
      <c r="O32" s="12">
        <f>D40</f>
        <v>1850</v>
      </c>
      <c r="P32" s="12">
        <f>E40</f>
        <v>650</v>
      </c>
      <c r="Q32" s="12">
        <f>F40</f>
        <v>550</v>
      </c>
    </row>
    <row r="33" spans="1:11" x14ac:dyDescent="0.25">
      <c r="A33" s="125">
        <v>9</v>
      </c>
      <c r="B33" s="105" t="s">
        <v>275</v>
      </c>
      <c r="C33" s="126">
        <v>0.67</v>
      </c>
      <c r="D33" s="127">
        <f>C33*D11</f>
        <v>268</v>
      </c>
      <c r="E33" s="127">
        <f>C33*E11</f>
        <v>402</v>
      </c>
      <c r="F33" s="127">
        <f>C33*F11</f>
        <v>536</v>
      </c>
      <c r="G33" s="127">
        <f t="shared" si="3"/>
        <v>1206</v>
      </c>
      <c r="H33" s="127">
        <v>380</v>
      </c>
      <c r="I33" s="137">
        <f t="shared" si="4"/>
        <v>334.4</v>
      </c>
      <c r="J33" s="44">
        <f>IF(K33=0," ",I33/SUM(D11:F11))</f>
        <v>0.18577777777777776</v>
      </c>
      <c r="K33" s="130">
        <v>1</v>
      </c>
    </row>
    <row r="34" spans="1:11" ht="15.75" thickBot="1" x14ac:dyDescent="0.3">
      <c r="B34" s="131" t="s">
        <v>300</v>
      </c>
      <c r="C34" s="132"/>
      <c r="D34" s="138">
        <f>SUMPRODUCT(D30:D33,$K$30:$K$33)</f>
        <v>1518</v>
      </c>
      <c r="E34" s="138">
        <f t="shared" ref="E34:G34" si="5">SUMPRODUCT(E30:E33,$K$30:$K$33)</f>
        <v>1302</v>
      </c>
      <c r="F34" s="138">
        <f t="shared" si="5"/>
        <v>986</v>
      </c>
      <c r="G34" s="138">
        <f t="shared" si="5"/>
        <v>3806</v>
      </c>
    </row>
    <row r="35" spans="1:11" ht="15.75" thickTop="1" x14ac:dyDescent="0.25"/>
    <row r="36" spans="1:11" ht="15.75" thickBot="1" x14ac:dyDescent="0.3">
      <c r="A36" s="116" t="s">
        <v>262</v>
      </c>
      <c r="B36" s="139" t="s">
        <v>263</v>
      </c>
      <c r="C36" s="116" t="s">
        <v>264</v>
      </c>
      <c r="D36" s="116" t="s">
        <v>265</v>
      </c>
      <c r="E36" s="116" t="s">
        <v>266</v>
      </c>
      <c r="F36" s="116" t="s">
        <v>267</v>
      </c>
      <c r="G36" s="116" t="s">
        <v>288</v>
      </c>
      <c r="H36" s="116" t="s">
        <v>268</v>
      </c>
      <c r="I36" s="116" t="s">
        <v>289</v>
      </c>
      <c r="J36" s="116" t="s">
        <v>290</v>
      </c>
      <c r="K36" s="140" t="s">
        <v>291</v>
      </c>
    </row>
    <row r="37" spans="1:11" ht="15.75" thickTop="1" x14ac:dyDescent="0.25">
      <c r="A37" s="119">
        <v>10</v>
      </c>
      <c r="B37" s="141" t="s">
        <v>280</v>
      </c>
      <c r="C37" s="120">
        <v>1</v>
      </c>
      <c r="D37" s="121">
        <f>C37*D12</f>
        <v>100</v>
      </c>
      <c r="E37" s="121">
        <f>C37*E12</f>
        <v>200</v>
      </c>
      <c r="F37" s="121">
        <f>C37*F12</f>
        <v>400</v>
      </c>
      <c r="G37" s="142">
        <f>SUM(D37:F37)</f>
        <v>700</v>
      </c>
      <c r="H37" s="121">
        <v>100</v>
      </c>
      <c r="I37" s="142">
        <f>H37*(1-$J$5)</f>
        <v>88</v>
      </c>
      <c r="J37" s="143" t="str">
        <f>IF(K37=0," ", I37/SUM(D12:F12))</f>
        <v xml:space="preserve"> </v>
      </c>
      <c r="K37" s="144">
        <v>0</v>
      </c>
    </row>
    <row r="38" spans="1:11" x14ac:dyDescent="0.25">
      <c r="A38" s="125">
        <v>11</v>
      </c>
      <c r="B38" s="109" t="s">
        <v>280</v>
      </c>
      <c r="C38" s="126">
        <v>0.5</v>
      </c>
      <c r="D38" s="127">
        <f>C38*D13</f>
        <v>350</v>
      </c>
      <c r="E38" s="127">
        <f>C38*E13</f>
        <v>250</v>
      </c>
      <c r="F38" s="127">
        <f>C38*F13</f>
        <v>150</v>
      </c>
      <c r="G38" s="12">
        <f t="shared" ref="G38:G39" si="6">SUM(D38:F38)</f>
        <v>750</v>
      </c>
      <c r="H38" s="127">
        <v>260</v>
      </c>
      <c r="I38" s="12">
        <f t="shared" ref="I38:I39" si="7">H38*(1-$J$5)</f>
        <v>228.8</v>
      </c>
      <c r="J38" s="44">
        <f>IF(K38=0," ", I38/SUM(D13:F13))</f>
        <v>0.15253333333333335</v>
      </c>
      <c r="K38" s="145">
        <v>1</v>
      </c>
    </row>
    <row r="39" spans="1:11" x14ac:dyDescent="0.25">
      <c r="A39" s="125">
        <v>12</v>
      </c>
      <c r="B39" s="109" t="s">
        <v>280</v>
      </c>
      <c r="C39" s="126">
        <v>1</v>
      </c>
      <c r="D39" s="127">
        <f>C39*D14</f>
        <v>1500</v>
      </c>
      <c r="E39" s="127">
        <f>C39*E14</f>
        <v>400</v>
      </c>
      <c r="F39" s="127">
        <f>C39*F14</f>
        <v>400</v>
      </c>
      <c r="G39" s="12">
        <f t="shared" si="6"/>
        <v>2300</v>
      </c>
      <c r="H39" s="127">
        <v>340</v>
      </c>
      <c r="I39" s="12">
        <f t="shared" si="7"/>
        <v>299.2</v>
      </c>
      <c r="J39" s="44">
        <f>IF(K39=0," ", I39/SUM(D14:F14))</f>
        <v>0.13008695652173913</v>
      </c>
      <c r="K39" s="145">
        <v>1</v>
      </c>
    </row>
    <row r="40" spans="1:11" ht="15.75" thickBot="1" x14ac:dyDescent="0.3">
      <c r="B40" s="131" t="s">
        <v>301</v>
      </c>
      <c r="C40" s="132"/>
      <c r="D40" s="138">
        <f>SUMPRODUCT(D37:D39,$K$37:$K$39)</f>
        <v>1850</v>
      </c>
      <c r="E40" s="138">
        <f t="shared" ref="E40:G40" si="8">SUMPRODUCT(E37:E39,$K$37:$K$39)</f>
        <v>650</v>
      </c>
      <c r="F40" s="138">
        <f t="shared" si="8"/>
        <v>550</v>
      </c>
      <c r="G40" s="138">
        <f t="shared" si="8"/>
        <v>3050</v>
      </c>
    </row>
    <row r="41" spans="1:11" ht="15.75" thickTop="1" x14ac:dyDescent="0.25"/>
    <row r="42" spans="1:11" ht="15.75" thickBot="1" x14ac:dyDescent="0.3">
      <c r="B42" s="169" t="s">
        <v>302</v>
      </c>
      <c r="C42" s="176"/>
      <c r="D42" s="146" t="s">
        <v>303</v>
      </c>
      <c r="E42" s="146" t="s">
        <v>304</v>
      </c>
      <c r="F42" s="146" t="s">
        <v>305</v>
      </c>
      <c r="G42" s="146" t="s">
        <v>288</v>
      </c>
      <c r="I42" s="146" t="s">
        <v>306</v>
      </c>
    </row>
    <row r="43" spans="1:11" ht="15.75" thickTop="1" x14ac:dyDescent="0.25">
      <c r="D43" s="142">
        <f>D27+D34+D40</f>
        <v>3983</v>
      </c>
      <c r="E43" s="142">
        <f>E27+E34+E40</f>
        <v>2551</v>
      </c>
      <c r="F43" s="142">
        <f>F27+F34+F40</f>
        <v>2535</v>
      </c>
      <c r="G43" s="142">
        <f>G27+G34+G40</f>
        <v>9069</v>
      </c>
      <c r="I43" s="148">
        <f>SUMPRODUCT(I22:I39,K22:K39)</f>
        <v>1856.8000000000002</v>
      </c>
    </row>
    <row r="45" spans="1:11" x14ac:dyDescent="0.25">
      <c r="C45" s="160" t="s">
        <v>290</v>
      </c>
      <c r="D45" s="160"/>
      <c r="E45" s="160"/>
    </row>
    <row r="46" spans="1:11" x14ac:dyDescent="0.25">
      <c r="B46" s="27" t="s">
        <v>307</v>
      </c>
      <c r="C46" s="27" t="s">
        <v>308</v>
      </c>
      <c r="D46" s="27" t="s">
        <v>309</v>
      </c>
      <c r="E46" s="27" t="s">
        <v>310</v>
      </c>
    </row>
    <row r="47" spans="1:11" x14ac:dyDescent="0.25">
      <c r="B47" s="27"/>
      <c r="C47" s="147">
        <f>AVERAGE(J22:J39)</f>
        <v>0.14089255425197456</v>
      </c>
      <c r="D47" s="147">
        <f>MIN(J22:J39)</f>
        <v>9.9000000000000005E-2</v>
      </c>
      <c r="E47" s="147">
        <f>MAX(J22:J39)</f>
        <v>0.20044444444444445</v>
      </c>
    </row>
    <row r="48" spans="1:11" x14ac:dyDescent="0.25">
      <c r="B48" s="38">
        <v>0</v>
      </c>
      <c r="C48" s="44">
        <v>0.16010517528633472</v>
      </c>
      <c r="D48" s="44">
        <v>0.1125</v>
      </c>
      <c r="E48" s="44">
        <v>0.22777777777777777</v>
      </c>
    </row>
    <row r="49" spans="2:5" x14ac:dyDescent="0.25">
      <c r="B49" s="38">
        <v>0.05</v>
      </c>
      <c r="C49" s="44">
        <v>0.15209991652201796</v>
      </c>
      <c r="D49" s="44">
        <v>0.106875</v>
      </c>
      <c r="E49" s="44">
        <v>0.21638888888888888</v>
      </c>
    </row>
    <row r="50" spans="2:5" x14ac:dyDescent="0.25">
      <c r="B50" s="38">
        <v>0.1</v>
      </c>
      <c r="C50" s="44">
        <v>0.14409465775770125</v>
      </c>
      <c r="D50" s="44">
        <v>0.10125000000000001</v>
      </c>
      <c r="E50" s="44">
        <v>0.20499999999999999</v>
      </c>
    </row>
    <row r="51" spans="2:5" x14ac:dyDescent="0.25">
      <c r="B51" s="38">
        <v>0.15</v>
      </c>
      <c r="C51" s="44">
        <v>0.13608939899338451</v>
      </c>
      <c r="D51" s="44">
        <v>9.5625000000000002E-2</v>
      </c>
      <c r="E51" s="44">
        <v>0.19361111111111112</v>
      </c>
    </row>
    <row r="52" spans="2:5" x14ac:dyDescent="0.25">
      <c r="B52" s="38">
        <v>0.2</v>
      </c>
      <c r="C52" s="44">
        <v>0.12808414022906778</v>
      </c>
      <c r="D52" s="44">
        <v>0.09</v>
      </c>
      <c r="E52" s="44">
        <v>0.18222222222222223</v>
      </c>
    </row>
    <row r="53" spans="2:5" x14ac:dyDescent="0.25">
      <c r="B53" s="38">
        <v>0.25</v>
      </c>
      <c r="C53" s="44">
        <v>0.12007888146475103</v>
      </c>
      <c r="D53" s="44">
        <v>8.4375000000000006E-2</v>
      </c>
      <c r="E53" s="44">
        <v>0.17083333333333334</v>
      </c>
    </row>
    <row r="54" spans="2:5" x14ac:dyDescent="0.25">
      <c r="B54" s="38">
        <v>0.3</v>
      </c>
      <c r="C54" s="44">
        <v>0.11207362270043429</v>
      </c>
      <c r="D54" s="44">
        <v>7.8749999999999987E-2</v>
      </c>
      <c r="E54" s="44">
        <v>0.15944444444444444</v>
      </c>
    </row>
  </sheetData>
  <mergeCells count="6">
    <mergeCell ref="C45:E45"/>
    <mergeCell ref="A1:G1"/>
    <mergeCell ref="I1:J1"/>
    <mergeCell ref="I7:J7"/>
    <mergeCell ref="M30:M32"/>
    <mergeCell ref="B42:C42"/>
  </mergeCells>
  <conditionalFormatting sqref="D43:F43">
    <cfRule type="cellIs" dxfId="7" priority="6" operator="lessThan">
      <formula>4000</formula>
    </cfRule>
    <cfRule type="cellIs" dxfId="6" priority="7" operator="greaterThan">
      <formula>4000</formula>
    </cfRule>
  </conditionalFormatting>
  <conditionalFormatting sqref="G43">
    <cfRule type="cellIs" dxfId="5" priority="5" operator="lessThan">
      <formula>10000</formula>
    </cfRule>
    <cfRule type="cellIs" dxfId="4" priority="9" operator="greaterThan">
      <formula>10000</formula>
    </cfRule>
  </conditionalFormatting>
  <conditionalFormatting sqref="J8:J12">
    <cfRule type="cellIs" dxfId="3" priority="3" operator="equal">
      <formula>1</formula>
    </cfRule>
    <cfRule type="cellIs" dxfId="2" priority="4" operator="equal">
      <formula>0</formula>
    </cfRule>
    <cfRule type="colorScale" priority="8">
      <colorScale>
        <cfvo type="num" val="0"/>
        <cfvo type="num" val="1"/>
        <color rgb="FFFF0000"/>
        <color rgb="FF99FF66"/>
      </colorScale>
    </cfRule>
  </conditionalFormatting>
  <conditionalFormatting sqref="J18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ignoredErrors>
    <ignoredError sqref="J22:J26 J30:J33 J37:J39" formulaRange="1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EC41-7B47-486C-91E5-BC1F06FE32E2}">
  <dimension ref="A1:H48"/>
  <sheetViews>
    <sheetView showGridLines="0" tabSelected="1" topLeftCell="A29" workbookViewId="0">
      <selection activeCell="B44" sqref="B44"/>
    </sheetView>
  </sheetViews>
  <sheetFormatPr defaultRowHeight="15" x14ac:dyDescent="0.25"/>
  <cols>
    <col min="1" max="1" width="18.5703125" customWidth="1"/>
    <col min="2" max="2" width="16" bestFit="1" customWidth="1"/>
    <col min="3" max="3" width="15.85546875" bestFit="1" customWidth="1"/>
    <col min="4" max="4" width="10.28515625" bestFit="1" customWidth="1"/>
    <col min="6" max="6" width="11.28515625" bestFit="1" customWidth="1"/>
  </cols>
  <sheetData>
    <row r="1" spans="1:8" ht="20.25" thickBot="1" x14ac:dyDescent="0.35">
      <c r="A1" s="23" t="s">
        <v>311</v>
      </c>
    </row>
    <row r="2" spans="1:8" ht="15.75" thickTop="1" x14ac:dyDescent="0.25"/>
    <row r="3" spans="1:8" x14ac:dyDescent="0.25">
      <c r="A3" t="s">
        <v>3</v>
      </c>
      <c r="B3" s="25" t="s">
        <v>312</v>
      </c>
      <c r="C3" s="25" t="s">
        <v>313</v>
      </c>
    </row>
    <row r="4" spans="1:8" x14ac:dyDescent="0.25">
      <c r="B4" s="26">
        <v>175</v>
      </c>
      <c r="C4" s="26">
        <v>10</v>
      </c>
    </row>
    <row r="6" spans="1:8" x14ac:dyDescent="0.25">
      <c r="B6" s="25">
        <v>3000</v>
      </c>
      <c r="C6" s="25">
        <v>7000</v>
      </c>
      <c r="D6" t="s">
        <v>314</v>
      </c>
    </row>
    <row r="7" spans="1:8" x14ac:dyDescent="0.25">
      <c r="A7" t="s">
        <v>315</v>
      </c>
      <c r="B7" s="25">
        <f>SUMPRODUCT(B4:C4,B6:C6)</f>
        <v>595000</v>
      </c>
    </row>
    <row r="9" spans="1:8" x14ac:dyDescent="0.25">
      <c r="A9" s="177" t="s">
        <v>322</v>
      </c>
      <c r="B9" s="177"/>
      <c r="C9" s="177"/>
      <c r="D9" s="27" t="s">
        <v>317</v>
      </c>
      <c r="E9" s="27" t="s">
        <v>318</v>
      </c>
      <c r="F9" s="27" t="s">
        <v>319</v>
      </c>
    </row>
    <row r="10" spans="1:8" x14ac:dyDescent="0.25">
      <c r="A10" s="27" t="s">
        <v>316</v>
      </c>
      <c r="B10" s="27">
        <v>200</v>
      </c>
      <c r="C10" s="27">
        <v>500</v>
      </c>
      <c r="D10" s="27">
        <f>SUMPRODUCT(B4:C4,B10:C10)</f>
        <v>40000</v>
      </c>
      <c r="E10" s="27" t="s">
        <v>323</v>
      </c>
      <c r="F10" s="27">
        <v>40000</v>
      </c>
      <c r="H10" t="str">
        <f ca="1">_xlfn.FORMULATEXT(D10)</f>
        <v>=SUMPRODUCT(B4:C4;B10:C10)</v>
      </c>
    </row>
    <row r="11" spans="1:8" x14ac:dyDescent="0.25">
      <c r="A11" s="27" t="s">
        <v>324</v>
      </c>
      <c r="B11" s="27">
        <v>1</v>
      </c>
      <c r="C11" s="27"/>
      <c r="D11" s="27">
        <f>SUMPRODUCT(B4:C4,B11:C11)</f>
        <v>175</v>
      </c>
      <c r="E11" s="27" t="s">
        <v>326</v>
      </c>
      <c r="F11" s="27">
        <v>10</v>
      </c>
      <c r="H11" t="str">
        <f t="shared" ref="H11:H13" ca="1" si="0">_xlfn.FORMULATEXT(D11)</f>
        <v>=SUMPRODUCT(B4:C4;B11:C11)</v>
      </c>
    </row>
    <row r="12" spans="1:8" x14ac:dyDescent="0.25">
      <c r="A12" s="27" t="s">
        <v>325</v>
      </c>
      <c r="B12" s="27"/>
      <c r="C12" s="27">
        <v>1</v>
      </c>
      <c r="D12" s="27">
        <f>SUMPRODUCT(B4:C4,B12:C12)</f>
        <v>10</v>
      </c>
      <c r="E12" s="27" t="s">
        <v>326</v>
      </c>
      <c r="F12" s="27">
        <v>10</v>
      </c>
      <c r="H12" t="str">
        <f t="shared" ca="1" si="0"/>
        <v>=SUMPRODUCT(B4:C4;B12:C12)</v>
      </c>
    </row>
    <row r="13" spans="1:8" x14ac:dyDescent="0.25">
      <c r="A13" s="27" t="s">
        <v>327</v>
      </c>
      <c r="B13" s="15">
        <v>1</v>
      </c>
      <c r="C13" s="15">
        <v>-1</v>
      </c>
      <c r="D13" s="27">
        <f>SUMPRODUCT(B4:C4,B13:C13)</f>
        <v>165</v>
      </c>
      <c r="E13" s="27" t="s">
        <v>326</v>
      </c>
      <c r="F13" s="27">
        <v>0</v>
      </c>
      <c r="H13" t="str">
        <f t="shared" ca="1" si="0"/>
        <v>=SUMPRODUCT(B4:C4;B13:C13)</v>
      </c>
    </row>
    <row r="15" spans="1:8" x14ac:dyDescent="0.25">
      <c r="C15" t="s">
        <v>320</v>
      </c>
    </row>
    <row r="16" spans="1:8" x14ac:dyDescent="0.25">
      <c r="C16" t="s">
        <v>321</v>
      </c>
    </row>
    <row r="18" spans="1:6" x14ac:dyDescent="0.25">
      <c r="A18" t="s">
        <v>328</v>
      </c>
    </row>
    <row r="20" spans="1:6" x14ac:dyDescent="0.25">
      <c r="A20" t="s">
        <v>329</v>
      </c>
    </row>
    <row r="22" spans="1:6" ht="20.25" thickBot="1" x14ac:dyDescent="0.35">
      <c r="A22" s="23" t="s">
        <v>330</v>
      </c>
    </row>
    <row r="23" spans="1:6" ht="15.75" thickTop="1" x14ac:dyDescent="0.25"/>
    <row r="24" spans="1:6" x14ac:dyDescent="0.25">
      <c r="B24" s="25" t="s">
        <v>331</v>
      </c>
      <c r="C24" s="25" t="s">
        <v>332</v>
      </c>
    </row>
    <row r="25" spans="1:6" x14ac:dyDescent="0.25">
      <c r="A25" t="s">
        <v>3</v>
      </c>
      <c r="B25" s="26">
        <v>30</v>
      </c>
      <c r="C25" s="26">
        <v>60</v>
      </c>
    </row>
    <row r="27" spans="1:6" x14ac:dyDescent="0.25">
      <c r="B27" s="25">
        <v>5</v>
      </c>
      <c r="C27" s="25">
        <v>6</v>
      </c>
    </row>
    <row r="28" spans="1:6" x14ac:dyDescent="0.25">
      <c r="A28" t="s">
        <v>315</v>
      </c>
      <c r="B28" s="149">
        <f>SUMPRODUCT(B25:C25,B27:C27)</f>
        <v>510</v>
      </c>
    </row>
    <row r="30" spans="1:6" x14ac:dyDescent="0.25">
      <c r="A30" s="42" t="s">
        <v>333</v>
      </c>
      <c r="B30" s="27"/>
      <c r="C30" s="27"/>
      <c r="D30" s="27" t="s">
        <v>317</v>
      </c>
      <c r="E30" s="27" t="s">
        <v>318</v>
      </c>
      <c r="F30" s="27" t="s">
        <v>319</v>
      </c>
    </row>
    <row r="31" spans="1:6" x14ac:dyDescent="0.25">
      <c r="A31" s="27" t="s">
        <v>334</v>
      </c>
      <c r="B31" s="27">
        <v>2</v>
      </c>
      <c r="C31" s="27">
        <v>1</v>
      </c>
      <c r="D31" s="27">
        <f>SUMPRODUCT(B25:C25,B31:C31)</f>
        <v>120</v>
      </c>
      <c r="E31" s="27" t="s">
        <v>323</v>
      </c>
      <c r="F31" s="27">
        <v>120</v>
      </c>
    </row>
    <row r="32" spans="1:6" x14ac:dyDescent="0.25">
      <c r="A32" s="27" t="s">
        <v>335</v>
      </c>
      <c r="B32" s="27">
        <v>2</v>
      </c>
      <c r="C32" s="27">
        <v>3</v>
      </c>
      <c r="D32" s="27">
        <f>SUMPRODUCT(B25:C25,B32:C32)</f>
        <v>240</v>
      </c>
      <c r="E32" s="27" t="s">
        <v>323</v>
      </c>
      <c r="F32" s="27">
        <v>240</v>
      </c>
    </row>
    <row r="34" spans="1:6" x14ac:dyDescent="0.25">
      <c r="A34" t="s">
        <v>336</v>
      </c>
    </row>
    <row r="36" spans="1:6" x14ac:dyDescent="0.25">
      <c r="A36" t="s">
        <v>337</v>
      </c>
    </row>
    <row r="38" spans="1:6" ht="18" thickBot="1" x14ac:dyDescent="0.35">
      <c r="A38" s="21" t="s">
        <v>450</v>
      </c>
    </row>
    <row r="39" spans="1:6" ht="15.75" thickTop="1" x14ac:dyDescent="0.25"/>
    <row r="40" spans="1:6" x14ac:dyDescent="0.25">
      <c r="B40" s="25" t="s">
        <v>451</v>
      </c>
      <c r="C40" s="25" t="s">
        <v>452</v>
      </c>
    </row>
    <row r="41" spans="1:6" x14ac:dyDescent="0.25">
      <c r="A41" t="s">
        <v>339</v>
      </c>
      <c r="B41" s="26">
        <v>4</v>
      </c>
      <c r="C41" s="26">
        <v>12</v>
      </c>
    </row>
    <row r="43" spans="1:6" x14ac:dyDescent="0.25">
      <c r="B43" s="87">
        <v>20</v>
      </c>
      <c r="C43" s="87">
        <v>10</v>
      </c>
    </row>
    <row r="44" spans="1:6" x14ac:dyDescent="0.25">
      <c r="A44" t="s">
        <v>453</v>
      </c>
      <c r="B44" s="150">
        <f>SUMPRODUCT(B43:C43,B41:C41)</f>
        <v>200</v>
      </c>
      <c r="C44" s="1" t="s">
        <v>454</v>
      </c>
    </row>
    <row r="46" spans="1:6" x14ac:dyDescent="0.25">
      <c r="A46" s="15" t="s">
        <v>455</v>
      </c>
      <c r="B46" s="27"/>
      <c r="C46" s="27"/>
      <c r="D46" s="27" t="s">
        <v>317</v>
      </c>
      <c r="E46" s="27" t="s">
        <v>318</v>
      </c>
      <c r="F46" s="27" t="s">
        <v>319</v>
      </c>
    </row>
    <row r="47" spans="1:6" x14ac:dyDescent="0.25">
      <c r="A47" s="15" t="s">
        <v>456</v>
      </c>
      <c r="B47" s="27">
        <v>1.5</v>
      </c>
      <c r="C47" s="27">
        <v>3</v>
      </c>
      <c r="D47" s="27">
        <f>SUMPRODUCT(B47:C47,B41:C41)</f>
        <v>42</v>
      </c>
      <c r="E47" s="27" t="s">
        <v>323</v>
      </c>
      <c r="F47" s="27">
        <v>42</v>
      </c>
    </row>
    <row r="48" spans="1:6" x14ac:dyDescent="0.25">
      <c r="A48" s="15" t="s">
        <v>457</v>
      </c>
      <c r="B48" s="27">
        <v>3</v>
      </c>
      <c r="C48" s="27">
        <v>1</v>
      </c>
      <c r="D48" s="27">
        <f>SUMPRODUCT(B48:C48,B41:C41)</f>
        <v>24</v>
      </c>
      <c r="E48" s="27" t="s">
        <v>323</v>
      </c>
      <c r="F48" s="27">
        <v>24</v>
      </c>
    </row>
  </sheetData>
  <mergeCells count="1">
    <mergeCell ref="A9:C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73F3-1D6D-436F-B7DC-70309D15662E}">
  <dimension ref="A1:F40"/>
  <sheetViews>
    <sheetView showGridLines="0" topLeftCell="A20" workbookViewId="0">
      <selection activeCell="P20" sqref="P20"/>
    </sheetView>
  </sheetViews>
  <sheetFormatPr defaultRowHeight="15" x14ac:dyDescent="0.25"/>
  <cols>
    <col min="1" max="1" width="19.7109375" customWidth="1"/>
    <col min="2" max="2" width="15" customWidth="1"/>
    <col min="3" max="3" width="11.42578125" customWidth="1"/>
    <col min="4" max="4" width="10.28515625" bestFit="1" customWidth="1"/>
    <col min="6" max="6" width="11.140625" customWidth="1"/>
  </cols>
  <sheetData>
    <row r="1" spans="1:6" ht="16.5" thickBot="1" x14ac:dyDescent="0.3">
      <c r="A1" s="178" t="s">
        <v>338</v>
      </c>
      <c r="B1" s="178"/>
      <c r="C1" s="178"/>
      <c r="D1" s="178"/>
    </row>
    <row r="2" spans="1:6" ht="15.75" thickTop="1" x14ac:dyDescent="0.25"/>
    <row r="3" spans="1:6" x14ac:dyDescent="0.25">
      <c r="B3" s="25" t="s">
        <v>341</v>
      </c>
      <c r="C3" s="25" t="s">
        <v>340</v>
      </c>
    </row>
    <row r="4" spans="1:6" x14ac:dyDescent="0.25">
      <c r="A4" t="s">
        <v>339</v>
      </c>
      <c r="B4" s="26">
        <v>560</v>
      </c>
      <c r="C4" s="26">
        <v>1200</v>
      </c>
    </row>
    <row r="6" spans="1:6" x14ac:dyDescent="0.25">
      <c r="A6" s="15" t="s">
        <v>342</v>
      </c>
      <c r="B6" s="15"/>
      <c r="C6" s="15"/>
      <c r="D6" s="27" t="s">
        <v>343</v>
      </c>
    </row>
    <row r="7" spans="1:6" x14ac:dyDescent="0.25">
      <c r="A7" s="15"/>
      <c r="B7" s="15"/>
      <c r="C7" s="15"/>
      <c r="D7" s="15"/>
    </row>
    <row r="8" spans="1:6" x14ac:dyDescent="0.25">
      <c r="A8" s="151" t="s">
        <v>6</v>
      </c>
      <c r="B8" s="28">
        <v>300</v>
      </c>
      <c r="C8" s="28">
        <v>450</v>
      </c>
      <c r="D8" s="28">
        <f>SUMPRODUCT(B4:C4,B8:C8)</f>
        <v>708000</v>
      </c>
    </row>
    <row r="9" spans="1:6" x14ac:dyDescent="0.25">
      <c r="A9" s="151" t="s">
        <v>2</v>
      </c>
      <c r="B9" s="15"/>
      <c r="C9" s="15"/>
      <c r="D9" s="15"/>
    </row>
    <row r="10" spans="1:6" x14ac:dyDescent="0.25">
      <c r="A10" s="152" t="s">
        <v>344</v>
      </c>
      <c r="B10" s="28">
        <v>150</v>
      </c>
      <c r="C10" s="28">
        <v>225</v>
      </c>
      <c r="D10" s="28">
        <f>SUMPRODUCT(B10:C10,B4:C4)</f>
        <v>354000</v>
      </c>
      <c r="F10" t="s">
        <v>348</v>
      </c>
    </row>
    <row r="11" spans="1:6" x14ac:dyDescent="0.25">
      <c r="A11" s="152" t="s">
        <v>345</v>
      </c>
      <c r="B11" s="27">
        <v>5</v>
      </c>
      <c r="C11" s="27">
        <v>6</v>
      </c>
      <c r="D11" s="28">
        <f>SUMPRODUCT(B11:C11,B4:C4)*F11</f>
        <v>110000</v>
      </c>
      <c r="F11" s="49">
        <v>11</v>
      </c>
    </row>
    <row r="12" spans="1:6" x14ac:dyDescent="0.25">
      <c r="A12" s="152" t="s">
        <v>346</v>
      </c>
      <c r="B12" s="27">
        <v>1</v>
      </c>
      <c r="C12" s="27">
        <v>2</v>
      </c>
      <c r="D12" s="28">
        <f>SUMPRODUCT(B12:C12,B4:C4)*F12</f>
        <v>44400</v>
      </c>
      <c r="F12" s="49">
        <v>15</v>
      </c>
    </row>
    <row r="13" spans="1:6" x14ac:dyDescent="0.25">
      <c r="A13" s="152" t="s">
        <v>347</v>
      </c>
      <c r="B13" s="15"/>
      <c r="C13" s="15"/>
      <c r="D13" s="153">
        <f>D8-D10-D11-D12</f>
        <v>199600</v>
      </c>
    </row>
    <row r="15" spans="1:6" x14ac:dyDescent="0.25">
      <c r="A15" s="177" t="s">
        <v>349</v>
      </c>
      <c r="B15" s="177"/>
      <c r="C15" s="177"/>
      <c r="D15" s="27" t="s">
        <v>317</v>
      </c>
      <c r="E15" s="27" t="s">
        <v>318</v>
      </c>
      <c r="F15" s="27" t="s">
        <v>319</v>
      </c>
    </row>
    <row r="16" spans="1:6" x14ac:dyDescent="0.25">
      <c r="A16" s="42" t="s">
        <v>350</v>
      </c>
      <c r="B16" s="27">
        <v>1</v>
      </c>
      <c r="C16" s="27"/>
      <c r="D16" s="27">
        <f>SUMPRODUCT(B16:C16,B4:C4)</f>
        <v>560</v>
      </c>
      <c r="E16" s="27" t="s">
        <v>323</v>
      </c>
      <c r="F16" s="27">
        <v>600</v>
      </c>
    </row>
    <row r="17" spans="1:6" x14ac:dyDescent="0.25">
      <c r="A17" s="15" t="s">
        <v>351</v>
      </c>
      <c r="B17" s="27"/>
      <c r="C17" s="27">
        <v>1</v>
      </c>
      <c r="D17" s="27">
        <f>SUMPRODUCT(B17:C17,B4:C4)</f>
        <v>1200</v>
      </c>
      <c r="E17" s="27" t="s">
        <v>323</v>
      </c>
      <c r="F17" s="27">
        <v>1200</v>
      </c>
    </row>
    <row r="18" spans="1:6" x14ac:dyDescent="0.25">
      <c r="A18" s="15" t="s">
        <v>352</v>
      </c>
      <c r="B18" s="27">
        <v>5</v>
      </c>
      <c r="C18" s="27">
        <v>6</v>
      </c>
      <c r="D18" s="27">
        <f>SUMPRODUCT(B18:C18,B4:C4)</f>
        <v>10000</v>
      </c>
      <c r="E18" s="27" t="s">
        <v>323</v>
      </c>
      <c r="F18" s="27">
        <v>10000</v>
      </c>
    </row>
    <row r="19" spans="1:6" x14ac:dyDescent="0.25">
      <c r="A19" s="15" t="s">
        <v>353</v>
      </c>
      <c r="B19" s="27">
        <v>1</v>
      </c>
      <c r="C19" s="27">
        <v>2</v>
      </c>
      <c r="D19" s="27">
        <f>SUMPRODUCT(B19:C19,B4:C4)</f>
        <v>2960</v>
      </c>
      <c r="E19" s="27" t="s">
        <v>354</v>
      </c>
      <c r="F19" s="27">
        <v>3000</v>
      </c>
    </row>
    <row r="21" spans="1:6" x14ac:dyDescent="0.25">
      <c r="A21" t="s">
        <v>355</v>
      </c>
    </row>
    <row r="23" spans="1:6" x14ac:dyDescent="0.25">
      <c r="A23" t="s">
        <v>356</v>
      </c>
    </row>
    <row r="25" spans="1:6" ht="20.25" thickBot="1" x14ac:dyDescent="0.35">
      <c r="A25" s="23" t="s">
        <v>357</v>
      </c>
    </row>
    <row r="26" spans="1:6" ht="15.75" thickTop="1" x14ac:dyDescent="0.25"/>
    <row r="27" spans="1:6" x14ac:dyDescent="0.25">
      <c r="B27" t="s">
        <v>358</v>
      </c>
      <c r="C27" t="s">
        <v>359</v>
      </c>
    </row>
    <row r="28" spans="1:6" x14ac:dyDescent="0.25">
      <c r="A28" t="s">
        <v>3</v>
      </c>
      <c r="B28" s="26">
        <v>260</v>
      </c>
      <c r="C28" s="26">
        <v>35</v>
      </c>
    </row>
    <row r="30" spans="1:6" x14ac:dyDescent="0.25">
      <c r="A30" t="s">
        <v>342</v>
      </c>
    </row>
    <row r="31" spans="1:6" x14ac:dyDescent="0.25">
      <c r="B31" s="49">
        <v>12</v>
      </c>
      <c r="C31" s="49">
        <v>20</v>
      </c>
    </row>
    <row r="32" spans="1:6" x14ac:dyDescent="0.25">
      <c r="A32" s="1" t="s">
        <v>130</v>
      </c>
      <c r="B32" s="150">
        <f>SUMPRODUCT(B31:C31,B28:C28)</f>
        <v>3820</v>
      </c>
    </row>
    <row r="34" spans="1:6" x14ac:dyDescent="0.25">
      <c r="A34" s="15" t="s">
        <v>360</v>
      </c>
      <c r="B34" s="15"/>
      <c r="C34" s="15"/>
      <c r="D34" s="27" t="s">
        <v>361</v>
      </c>
      <c r="E34" s="27" t="s">
        <v>362</v>
      </c>
      <c r="F34" s="27" t="s">
        <v>319</v>
      </c>
    </row>
    <row r="35" spans="1:6" x14ac:dyDescent="0.25">
      <c r="A35" s="15" t="s">
        <v>363</v>
      </c>
      <c r="B35" s="27">
        <v>4</v>
      </c>
      <c r="C35" s="27">
        <v>6</v>
      </c>
      <c r="D35" s="27">
        <f>SUMPRODUCT(B35:C35,B28:C28)</f>
        <v>1250</v>
      </c>
      <c r="E35" s="27" t="s">
        <v>323</v>
      </c>
      <c r="F35" s="27">
        <v>1250</v>
      </c>
    </row>
    <row r="36" spans="1:6" x14ac:dyDescent="0.25">
      <c r="A36" s="15" t="s">
        <v>364</v>
      </c>
      <c r="B36" s="27">
        <v>9</v>
      </c>
      <c r="C36" s="27">
        <v>36</v>
      </c>
      <c r="D36" s="27">
        <f>SUMPRODUCT(B36:C36,B28:C28)</f>
        <v>3600</v>
      </c>
      <c r="E36" s="27" t="s">
        <v>323</v>
      </c>
      <c r="F36" s="27">
        <v>3600</v>
      </c>
    </row>
    <row r="38" spans="1:6" x14ac:dyDescent="0.25">
      <c r="A38" t="s">
        <v>365</v>
      </c>
    </row>
    <row r="40" spans="1:6" x14ac:dyDescent="0.25">
      <c r="A40" t="s">
        <v>366</v>
      </c>
    </row>
  </sheetData>
  <mergeCells count="2">
    <mergeCell ref="A1:D1"/>
    <mergeCell ref="A15:C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FF2C-EA00-4D56-8A2B-E8D8CFBA9CC9}">
  <dimension ref="A1:K33"/>
  <sheetViews>
    <sheetView topLeftCell="A14" workbookViewId="0">
      <selection activeCell="I16" sqref="I16"/>
    </sheetView>
  </sheetViews>
  <sheetFormatPr defaultRowHeight="15" x14ac:dyDescent="0.25"/>
  <cols>
    <col min="1" max="1" width="23.5703125" customWidth="1"/>
    <col min="2" max="2" width="11.5703125" bestFit="1" customWidth="1"/>
    <col min="3" max="3" width="14" bestFit="1" customWidth="1"/>
    <col min="4" max="4" width="15.28515625" bestFit="1" customWidth="1"/>
    <col min="5" max="5" width="9.7109375" bestFit="1" customWidth="1"/>
    <col min="6" max="6" width="8.7109375" bestFit="1" customWidth="1"/>
  </cols>
  <sheetData>
    <row r="1" spans="1:11" ht="17.25" x14ac:dyDescent="0.3">
      <c r="A1" s="179" t="s">
        <v>389</v>
      </c>
      <c r="B1" s="179"/>
      <c r="C1" s="179"/>
      <c r="D1" s="179"/>
      <c r="E1" s="179"/>
      <c r="F1" s="179"/>
    </row>
    <row r="3" spans="1:11" x14ac:dyDescent="0.25">
      <c r="B3" s="25" t="s">
        <v>367</v>
      </c>
      <c r="C3" s="25" t="s">
        <v>368</v>
      </c>
      <c r="D3" s="25" t="s">
        <v>369</v>
      </c>
      <c r="E3" s="25" t="s">
        <v>370</v>
      </c>
      <c r="F3" s="25" t="s">
        <v>371</v>
      </c>
    </row>
    <row r="4" spans="1:11" x14ac:dyDescent="0.25">
      <c r="A4" t="s">
        <v>3</v>
      </c>
      <c r="B4" s="155">
        <v>50000</v>
      </c>
      <c r="C4" s="155">
        <v>0</v>
      </c>
      <c r="D4" s="155">
        <v>0</v>
      </c>
      <c r="E4" s="155">
        <v>175000</v>
      </c>
      <c r="F4" s="155">
        <v>25000</v>
      </c>
    </row>
    <row r="6" spans="1:11" x14ac:dyDescent="0.25">
      <c r="B6" s="82">
        <v>5.2999999999999999E-2</v>
      </c>
      <c r="C6" s="82">
        <v>6.8000000000000005E-2</v>
      </c>
      <c r="D6" s="82">
        <v>4.9000000000000002E-2</v>
      </c>
      <c r="E6" s="82">
        <v>8.4000000000000005E-2</v>
      </c>
      <c r="F6" s="82">
        <v>0.11800000000000001</v>
      </c>
      <c r="G6" t="s">
        <v>372</v>
      </c>
    </row>
    <row r="7" spans="1:11" x14ac:dyDescent="0.25">
      <c r="A7" t="s">
        <v>342</v>
      </c>
      <c r="B7" s="150">
        <f>SUMPRODUCT(B6:F6,B4:F4)</f>
        <v>20300</v>
      </c>
    </row>
    <row r="9" spans="1:11" x14ac:dyDescent="0.25">
      <c r="A9" s="15" t="s">
        <v>349</v>
      </c>
      <c r="B9" s="27"/>
      <c r="C9" s="27"/>
      <c r="D9" s="27"/>
      <c r="E9" s="27"/>
      <c r="F9" s="27"/>
      <c r="G9" s="27" t="s">
        <v>317</v>
      </c>
      <c r="H9" s="27" t="s">
        <v>318</v>
      </c>
      <c r="I9" s="27" t="s">
        <v>319</v>
      </c>
    </row>
    <row r="10" spans="1:11" x14ac:dyDescent="0.25">
      <c r="A10" s="15" t="s">
        <v>316</v>
      </c>
      <c r="B10" s="27">
        <v>1</v>
      </c>
      <c r="C10" s="27">
        <v>1</v>
      </c>
      <c r="D10" s="27">
        <v>1</v>
      </c>
      <c r="E10" s="27">
        <v>1</v>
      </c>
      <c r="F10" s="27">
        <v>1</v>
      </c>
      <c r="G10" s="27">
        <f>SUMPRODUCT(B10:F10,B4:F4)</f>
        <v>250000</v>
      </c>
      <c r="H10" s="27" t="s">
        <v>323</v>
      </c>
      <c r="I10" s="27">
        <v>250000</v>
      </c>
    </row>
    <row r="11" spans="1:11" x14ac:dyDescent="0.25">
      <c r="A11" s="15" t="s">
        <v>373</v>
      </c>
      <c r="B11" s="15">
        <v>1</v>
      </c>
      <c r="C11" s="15"/>
      <c r="D11" s="15"/>
      <c r="E11" s="15"/>
      <c r="F11" s="15"/>
      <c r="G11" s="27">
        <f>SUMPRODUCT(B11:F11,B4:F4)</f>
        <v>50000</v>
      </c>
      <c r="H11" s="27" t="s">
        <v>326</v>
      </c>
      <c r="I11" s="27">
        <f>20%*I10</f>
        <v>50000</v>
      </c>
      <c r="K11" t="s">
        <v>367</v>
      </c>
    </row>
    <row r="12" spans="1:11" x14ac:dyDescent="0.25">
      <c r="A12" s="15" t="s">
        <v>374</v>
      </c>
      <c r="B12" s="15"/>
      <c r="C12" s="15">
        <v>1</v>
      </c>
      <c r="D12" s="15">
        <v>1</v>
      </c>
      <c r="E12" s="15">
        <v>1</v>
      </c>
      <c r="F12" s="15"/>
      <c r="G12" s="27">
        <f>SUMPRODUCT(B12:F12,B4:F4)</f>
        <v>175000</v>
      </c>
      <c r="H12" s="27" t="s">
        <v>326</v>
      </c>
      <c r="I12" s="27">
        <f>40%*I10</f>
        <v>100000</v>
      </c>
      <c r="K12" t="s">
        <v>368</v>
      </c>
    </row>
    <row r="13" spans="1:11" x14ac:dyDescent="0.25">
      <c r="A13" s="15" t="s">
        <v>375</v>
      </c>
      <c r="B13" s="38">
        <v>-0.5</v>
      </c>
      <c r="C13" s="15"/>
      <c r="D13" s="15"/>
      <c r="E13" s="15"/>
      <c r="F13" s="15">
        <v>1</v>
      </c>
      <c r="G13" s="27">
        <f>SUMPRODUCT(B13:F13,B4:F4)</f>
        <v>0</v>
      </c>
      <c r="H13" s="27" t="s">
        <v>354</v>
      </c>
      <c r="I13" s="27">
        <v>0</v>
      </c>
      <c r="K13" t="s">
        <v>369</v>
      </c>
    </row>
    <row r="14" spans="1:11" x14ac:dyDescent="0.25">
      <c r="K14" t="s">
        <v>370</v>
      </c>
    </row>
    <row r="15" spans="1:11" x14ac:dyDescent="0.25">
      <c r="A15" t="s">
        <v>376</v>
      </c>
      <c r="K15" t="s">
        <v>371</v>
      </c>
    </row>
    <row r="17" spans="1:7" x14ac:dyDescent="0.25">
      <c r="A17" t="s">
        <v>377</v>
      </c>
    </row>
    <row r="19" spans="1:7" ht="18" thickBot="1" x14ac:dyDescent="0.35">
      <c r="A19" s="21" t="s">
        <v>330</v>
      </c>
    </row>
    <row r="20" spans="1:7" ht="15.75" thickTop="1" x14ac:dyDescent="0.25"/>
    <row r="21" spans="1:7" x14ac:dyDescent="0.25">
      <c r="B21" t="s">
        <v>378</v>
      </c>
      <c r="C21" t="s">
        <v>379</v>
      </c>
      <c r="D21" t="s">
        <v>380</v>
      </c>
    </row>
    <row r="22" spans="1:7" x14ac:dyDescent="0.25">
      <c r="A22" t="s">
        <v>339</v>
      </c>
      <c r="B22" s="26">
        <v>0.25</v>
      </c>
      <c r="C22" s="26">
        <v>4.4999999999999991</v>
      </c>
      <c r="D22" s="26">
        <v>0</v>
      </c>
      <c r="E22" t="s">
        <v>381</v>
      </c>
    </row>
    <row r="24" spans="1:7" x14ac:dyDescent="0.25">
      <c r="B24" s="156">
        <v>0.09</v>
      </c>
      <c r="C24" s="156">
        <v>0.12</v>
      </c>
      <c r="D24" s="156">
        <v>0.18</v>
      </c>
    </row>
    <row r="25" spans="1:7" x14ac:dyDescent="0.25">
      <c r="A25" t="s">
        <v>382</v>
      </c>
      <c r="B25" s="154">
        <f>SUMPRODUCT(B24:D24,B22:D22)</f>
        <v>0.56249999999999989</v>
      </c>
    </row>
    <row r="27" spans="1:7" x14ac:dyDescent="0.25">
      <c r="A27" s="15" t="s">
        <v>333</v>
      </c>
      <c r="B27" s="27"/>
      <c r="C27" s="27"/>
      <c r="D27" s="27"/>
      <c r="E27" s="27" t="s">
        <v>317</v>
      </c>
      <c r="F27" s="27" t="s">
        <v>318</v>
      </c>
      <c r="G27" s="27" t="s">
        <v>319</v>
      </c>
    </row>
    <row r="28" spans="1:7" x14ac:dyDescent="0.25">
      <c r="A28" s="15" t="s">
        <v>383</v>
      </c>
      <c r="B28" s="27">
        <v>1</v>
      </c>
      <c r="C28" s="27">
        <v>1</v>
      </c>
      <c r="D28" s="27">
        <v>1</v>
      </c>
      <c r="E28" s="27">
        <f>SUMPRODUCT(B28:D28,B22:D22)</f>
        <v>4.7499999999999991</v>
      </c>
      <c r="F28" s="27" t="s">
        <v>354</v>
      </c>
      <c r="G28" s="27">
        <v>6</v>
      </c>
    </row>
    <row r="29" spans="1:7" x14ac:dyDescent="0.25">
      <c r="A29" s="15" t="s">
        <v>384</v>
      </c>
      <c r="B29" s="27">
        <v>3</v>
      </c>
      <c r="C29" s="27">
        <v>4</v>
      </c>
      <c r="D29" s="27">
        <v>2</v>
      </c>
      <c r="E29" s="27">
        <f>SUMPRODUCT(B29:D29,B22:D22)</f>
        <v>18.749999999999996</v>
      </c>
      <c r="F29" s="27" t="s">
        <v>326</v>
      </c>
      <c r="G29" s="27">
        <v>5</v>
      </c>
    </row>
    <row r="30" spans="1:7" x14ac:dyDescent="0.25">
      <c r="A30" s="15" t="s">
        <v>385</v>
      </c>
      <c r="B30" s="27">
        <v>0.5</v>
      </c>
      <c r="C30" s="27">
        <v>1</v>
      </c>
      <c r="D30" s="27">
        <v>1</v>
      </c>
      <c r="E30" s="27">
        <f>SUMPRODUCT(B30:D30,B22:D22)</f>
        <v>4.6249999999999991</v>
      </c>
      <c r="F30" s="27" t="s">
        <v>326</v>
      </c>
      <c r="G30" s="27">
        <v>2</v>
      </c>
    </row>
    <row r="31" spans="1:7" x14ac:dyDescent="0.25">
      <c r="A31" s="15" t="s">
        <v>386</v>
      </c>
      <c r="B31" s="27">
        <v>4</v>
      </c>
      <c r="C31" s="27">
        <v>2</v>
      </c>
      <c r="D31" s="27">
        <v>6</v>
      </c>
      <c r="E31" s="27">
        <f>SUMPRODUCT(B31:D31,B22:D22)</f>
        <v>9.9999999999999982</v>
      </c>
      <c r="F31" s="27" t="s">
        <v>326</v>
      </c>
      <c r="G31" s="27">
        <v>10</v>
      </c>
    </row>
    <row r="32" spans="1:7" x14ac:dyDescent="0.25">
      <c r="A32" s="15" t="s">
        <v>387</v>
      </c>
      <c r="B32" s="27">
        <v>1</v>
      </c>
      <c r="C32" s="27">
        <v>1.5</v>
      </c>
      <c r="D32" s="27">
        <v>2</v>
      </c>
      <c r="E32" s="27">
        <f>SUMPRODUCT(B32:D32,B22:D22)</f>
        <v>6.9999999999999982</v>
      </c>
      <c r="F32" s="27" t="s">
        <v>326</v>
      </c>
      <c r="G32" s="27">
        <v>7</v>
      </c>
    </row>
    <row r="33" spans="1:7" x14ac:dyDescent="0.25">
      <c r="A33" s="15" t="s">
        <v>388</v>
      </c>
      <c r="B33" s="27">
        <v>0.5</v>
      </c>
      <c r="C33" s="27">
        <v>1.5</v>
      </c>
      <c r="D33" s="27">
        <v>0.5</v>
      </c>
      <c r="E33" s="27">
        <f>SUMPRODUCT(B33:D33,B22:D22)</f>
        <v>6.8749999999999982</v>
      </c>
      <c r="F33" s="27" t="s">
        <v>326</v>
      </c>
      <c r="G33" s="27">
        <v>6</v>
      </c>
    </row>
  </sheetData>
  <mergeCells count="1">
    <mergeCell ref="A1:F1"/>
  </mergeCells>
  <phoneticPr fontId="10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FD6D-79D5-4A06-B269-302B5C47B429}">
  <dimension ref="A1:S55"/>
  <sheetViews>
    <sheetView topLeftCell="A25" workbookViewId="0">
      <selection activeCell="P34" sqref="P34"/>
    </sheetView>
  </sheetViews>
  <sheetFormatPr defaultRowHeight="15" x14ac:dyDescent="0.25"/>
  <cols>
    <col min="1" max="1" width="27.28515625" customWidth="1"/>
    <col min="2" max="2" width="12.140625" customWidth="1"/>
    <col min="3" max="16" width="7.140625" customWidth="1"/>
  </cols>
  <sheetData>
    <row r="1" spans="1:19" ht="18" thickBot="1" x14ac:dyDescent="0.35">
      <c r="A1" s="180" t="s">
        <v>390</v>
      </c>
      <c r="B1" s="180"/>
      <c r="C1" s="180"/>
      <c r="D1" s="180"/>
      <c r="E1" s="180"/>
    </row>
    <row r="2" spans="1:19" ht="15.75" thickTop="1" x14ac:dyDescent="0.25"/>
    <row r="4" spans="1:19" x14ac:dyDescent="0.25">
      <c r="B4" s="169" t="s">
        <v>418</v>
      </c>
      <c r="C4" s="169"/>
      <c r="D4" s="169"/>
      <c r="E4" s="169"/>
      <c r="F4" s="169"/>
      <c r="G4" s="169"/>
      <c r="H4" s="169"/>
    </row>
    <row r="5" spans="1:19" x14ac:dyDescent="0.25">
      <c r="B5" s="25" t="s">
        <v>391</v>
      </c>
      <c r="C5" s="25" t="s">
        <v>392</v>
      </c>
      <c r="D5" s="25" t="s">
        <v>393</v>
      </c>
      <c r="E5" s="25" t="s">
        <v>394</v>
      </c>
      <c r="F5" s="25" t="s">
        <v>395</v>
      </c>
      <c r="G5" s="25" t="s">
        <v>396</v>
      </c>
      <c r="H5" s="25" t="s">
        <v>397</v>
      </c>
      <c r="I5" s="25" t="s">
        <v>398</v>
      </c>
      <c r="J5" s="25" t="s">
        <v>399</v>
      </c>
      <c r="K5" s="25" t="s">
        <v>400</v>
      </c>
      <c r="L5" s="25" t="s">
        <v>401</v>
      </c>
      <c r="M5" s="25" t="s">
        <v>402</v>
      </c>
      <c r="N5" s="25" t="s">
        <v>403</v>
      </c>
      <c r="O5" s="25" t="s">
        <v>404</v>
      </c>
      <c r="P5" s="25" t="s">
        <v>405</v>
      </c>
    </row>
    <row r="6" spans="1:19" x14ac:dyDescent="0.25">
      <c r="A6" t="s">
        <v>339</v>
      </c>
      <c r="B6" s="26">
        <v>400</v>
      </c>
      <c r="C6" s="26">
        <v>0</v>
      </c>
      <c r="D6" s="26">
        <v>300</v>
      </c>
      <c r="E6" s="26">
        <v>500</v>
      </c>
      <c r="F6" s="26">
        <v>0</v>
      </c>
      <c r="G6" s="26">
        <v>0</v>
      </c>
      <c r="H6" s="26">
        <v>0</v>
      </c>
      <c r="I6" s="26">
        <v>100</v>
      </c>
      <c r="J6" s="26">
        <v>0</v>
      </c>
      <c r="K6" s="26">
        <v>0</v>
      </c>
      <c r="L6" s="26">
        <v>800</v>
      </c>
      <c r="M6" s="26">
        <v>0</v>
      </c>
      <c r="N6" s="26">
        <v>0</v>
      </c>
      <c r="O6" s="26">
        <v>0</v>
      </c>
      <c r="P6" s="26">
        <v>400</v>
      </c>
    </row>
    <row r="8" spans="1:19" x14ac:dyDescent="0.25">
      <c r="B8" s="25">
        <v>5</v>
      </c>
      <c r="C8" s="25">
        <v>8</v>
      </c>
      <c r="D8" s="25">
        <v>6</v>
      </c>
      <c r="E8" s="25">
        <v>0</v>
      </c>
      <c r="F8" s="25">
        <v>4</v>
      </c>
      <c r="G8" s="25">
        <v>12</v>
      </c>
      <c r="H8" s="25">
        <v>4</v>
      </c>
      <c r="I8" s="25">
        <v>0</v>
      </c>
      <c r="J8" s="25">
        <v>7</v>
      </c>
      <c r="K8" s="25">
        <v>7</v>
      </c>
      <c r="L8" s="25">
        <v>2</v>
      </c>
      <c r="M8" s="25">
        <v>5</v>
      </c>
      <c r="N8" s="25">
        <v>12</v>
      </c>
      <c r="O8" s="25">
        <v>7</v>
      </c>
      <c r="P8" s="25">
        <v>0</v>
      </c>
    </row>
    <row r="9" spans="1:19" x14ac:dyDescent="0.25">
      <c r="A9" t="s">
        <v>406</v>
      </c>
    </row>
    <row r="10" spans="1:19" x14ac:dyDescent="0.25">
      <c r="A10" s="1" t="s">
        <v>407</v>
      </c>
      <c r="B10" s="149">
        <f>SUMPRODUCT(B6:P6,B8:P8)</f>
        <v>5400</v>
      </c>
    </row>
    <row r="12" spans="1:19" x14ac:dyDescent="0.25">
      <c r="A12" s="42" t="s">
        <v>408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 t="s">
        <v>317</v>
      </c>
      <c r="R12" s="27" t="s">
        <v>318</v>
      </c>
      <c r="S12" s="27" t="s">
        <v>319</v>
      </c>
    </row>
    <row r="13" spans="1:19" x14ac:dyDescent="0.25">
      <c r="A13" s="42" t="s">
        <v>409</v>
      </c>
      <c r="B13" s="27">
        <v>1</v>
      </c>
      <c r="C13" s="27"/>
      <c r="D13" s="27"/>
      <c r="E13" s="27">
        <v>1</v>
      </c>
      <c r="F13" s="27"/>
      <c r="G13" s="27"/>
      <c r="H13" s="27">
        <v>1</v>
      </c>
      <c r="I13" s="27"/>
      <c r="J13" s="27"/>
      <c r="K13" s="27">
        <v>1</v>
      </c>
      <c r="L13" s="27"/>
      <c r="M13" s="27"/>
      <c r="N13" s="27">
        <v>1</v>
      </c>
      <c r="O13" s="27"/>
      <c r="P13" s="27"/>
      <c r="Q13" s="27">
        <f>SUMPRODUCT(B13:P13,B6:P6)</f>
        <v>900</v>
      </c>
      <c r="R13" s="27" t="s">
        <v>354</v>
      </c>
      <c r="S13" s="27">
        <v>900</v>
      </c>
    </row>
    <row r="14" spans="1:19" x14ac:dyDescent="0.25">
      <c r="A14" s="42" t="s">
        <v>410</v>
      </c>
      <c r="B14" s="27"/>
      <c r="C14" s="27">
        <v>1</v>
      </c>
      <c r="D14" s="27"/>
      <c r="E14" s="27"/>
      <c r="F14" s="27">
        <v>1</v>
      </c>
      <c r="G14" s="27"/>
      <c r="H14" s="27"/>
      <c r="I14" s="27">
        <v>1</v>
      </c>
      <c r="J14" s="27"/>
      <c r="K14" s="27"/>
      <c r="L14" s="27">
        <v>1</v>
      </c>
      <c r="M14" s="27"/>
      <c r="N14" s="27"/>
      <c r="O14" s="27">
        <v>1</v>
      </c>
      <c r="P14" s="27"/>
      <c r="Q14" s="27">
        <f>SUMPRODUCT(B14:P14,B6:P6)</f>
        <v>900</v>
      </c>
      <c r="R14" s="27" t="s">
        <v>323</v>
      </c>
      <c r="S14" s="27">
        <v>900</v>
      </c>
    </row>
    <row r="15" spans="1:19" x14ac:dyDescent="0.25">
      <c r="A15" s="42" t="s">
        <v>411</v>
      </c>
      <c r="B15" s="27"/>
      <c r="C15" s="27"/>
      <c r="D15" s="27">
        <v>1</v>
      </c>
      <c r="E15" s="27"/>
      <c r="F15" s="27"/>
      <c r="G15" s="27">
        <v>1</v>
      </c>
      <c r="H15" s="27"/>
      <c r="I15" s="27"/>
      <c r="J15" s="27">
        <v>1</v>
      </c>
      <c r="K15" s="27"/>
      <c r="L15" s="27"/>
      <c r="M15" s="27">
        <v>1</v>
      </c>
      <c r="N15" s="27"/>
      <c r="O15" s="27"/>
      <c r="P15" s="27">
        <v>1</v>
      </c>
      <c r="Q15" s="27">
        <f>SUMPRODUCT(B15:P15,B6:P6)</f>
        <v>700</v>
      </c>
      <c r="R15" s="27" t="s">
        <v>323</v>
      </c>
      <c r="S15" s="27">
        <v>900</v>
      </c>
    </row>
    <row r="16" spans="1:19" x14ac:dyDescent="0.25">
      <c r="A16" s="42" t="s">
        <v>412</v>
      </c>
      <c r="B16" s="27">
        <v>1</v>
      </c>
      <c r="C16" s="27">
        <v>1</v>
      </c>
      <c r="D16" s="27">
        <v>1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>
        <f>SUMPRODUCT(B16:P16,B6:P6)</f>
        <v>700</v>
      </c>
      <c r="R16" s="158" t="s">
        <v>413</v>
      </c>
      <c r="S16" s="27">
        <v>700</v>
      </c>
    </row>
    <row r="17" spans="1:19" x14ac:dyDescent="0.25">
      <c r="A17" s="42" t="s">
        <v>414</v>
      </c>
      <c r="B17" s="27"/>
      <c r="C17" s="27"/>
      <c r="D17" s="27"/>
      <c r="E17" s="27">
        <v>1</v>
      </c>
      <c r="F17" s="27">
        <v>1</v>
      </c>
      <c r="G17" s="27">
        <v>1</v>
      </c>
      <c r="H17" s="27"/>
      <c r="I17" s="27"/>
      <c r="J17" s="27"/>
      <c r="K17" s="27"/>
      <c r="L17" s="27"/>
      <c r="M17" s="27"/>
      <c r="N17" s="27"/>
      <c r="O17" s="27"/>
      <c r="P17" s="27"/>
      <c r="Q17" s="27">
        <f>SUMPRODUCT(B17:P17,B6:P6)</f>
        <v>500</v>
      </c>
      <c r="R17" s="158" t="s">
        <v>413</v>
      </c>
      <c r="S17" s="27">
        <v>500</v>
      </c>
    </row>
    <row r="18" spans="1:19" x14ac:dyDescent="0.25">
      <c r="A18" s="42" t="s">
        <v>415</v>
      </c>
      <c r="B18" s="27"/>
      <c r="C18" s="27"/>
      <c r="D18" s="27"/>
      <c r="E18" s="27"/>
      <c r="F18" s="27"/>
      <c r="G18" s="27"/>
      <c r="H18" s="27">
        <v>1</v>
      </c>
      <c r="I18" s="27">
        <v>1</v>
      </c>
      <c r="J18" s="27">
        <v>1</v>
      </c>
      <c r="K18" s="27"/>
      <c r="L18" s="27"/>
      <c r="M18" s="27"/>
      <c r="N18" s="27"/>
      <c r="O18" s="27"/>
      <c r="P18" s="27"/>
      <c r="Q18" s="27">
        <f>SUMPRODUCT(B18:P18,B6:P6)</f>
        <v>100</v>
      </c>
      <c r="R18" s="158" t="s">
        <v>413</v>
      </c>
      <c r="S18" s="27">
        <v>100</v>
      </c>
    </row>
    <row r="19" spans="1:19" x14ac:dyDescent="0.25">
      <c r="A19" s="42" t="s">
        <v>416</v>
      </c>
      <c r="B19" s="27"/>
      <c r="C19" s="27"/>
      <c r="D19" s="27"/>
      <c r="E19" s="27"/>
      <c r="F19" s="27"/>
      <c r="G19" s="27"/>
      <c r="H19" s="27"/>
      <c r="I19" s="27"/>
      <c r="J19" s="27"/>
      <c r="K19" s="27">
        <v>1</v>
      </c>
      <c r="L19" s="27">
        <v>1</v>
      </c>
      <c r="M19" s="27">
        <v>1</v>
      </c>
      <c r="N19" s="27"/>
      <c r="O19" s="27"/>
      <c r="P19" s="27"/>
      <c r="Q19" s="27">
        <f>SUMPRODUCT(B19:P19,B6:P6)</f>
        <v>800</v>
      </c>
      <c r="R19" s="158" t="s">
        <v>413</v>
      </c>
      <c r="S19" s="27">
        <v>800</v>
      </c>
    </row>
    <row r="20" spans="1:19" x14ac:dyDescent="0.25">
      <c r="A20" s="42" t="s">
        <v>417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>
        <v>1</v>
      </c>
      <c r="O20" s="27">
        <v>1</v>
      </c>
      <c r="P20" s="27">
        <v>1</v>
      </c>
      <c r="Q20" s="27">
        <f>SUMPRODUCT(B20:P20,B6:P6)</f>
        <v>400</v>
      </c>
      <c r="R20" s="158" t="s">
        <v>413</v>
      </c>
      <c r="S20" s="27">
        <v>400</v>
      </c>
    </row>
    <row r="22" spans="1:19" x14ac:dyDescent="0.25">
      <c r="A22" s="157" t="s">
        <v>355</v>
      </c>
    </row>
    <row r="24" spans="1:19" x14ac:dyDescent="0.25">
      <c r="A24" s="157" t="s">
        <v>419</v>
      </c>
    </row>
    <row r="26" spans="1:19" ht="18" thickBot="1" x14ac:dyDescent="0.35">
      <c r="A26" s="21" t="s">
        <v>330</v>
      </c>
    </row>
    <row r="27" spans="1:19" ht="15.75" thickTop="1" x14ac:dyDescent="0.25">
      <c r="B27" s="169" t="s">
        <v>449</v>
      </c>
      <c r="C27" s="169"/>
      <c r="D27" s="169"/>
      <c r="E27" s="169"/>
      <c r="F27" s="169"/>
      <c r="G27" s="169"/>
      <c r="H27" s="169"/>
      <c r="I27" s="169"/>
      <c r="J27" s="169"/>
      <c r="K27" s="169"/>
    </row>
    <row r="28" spans="1:19" x14ac:dyDescent="0.25">
      <c r="B28" s="25" t="s">
        <v>439</v>
      </c>
      <c r="C28" s="25" t="s">
        <v>441</v>
      </c>
      <c r="D28" s="25" t="s">
        <v>442</v>
      </c>
      <c r="E28" s="25" t="s">
        <v>440</v>
      </c>
      <c r="F28" s="25" t="s">
        <v>443</v>
      </c>
      <c r="G28" s="25" t="s">
        <v>444</v>
      </c>
      <c r="H28" s="25" t="s">
        <v>445</v>
      </c>
      <c r="I28" s="25" t="s">
        <v>446</v>
      </c>
      <c r="J28" s="25" t="s">
        <v>447</v>
      </c>
      <c r="K28" s="25" t="s">
        <v>448</v>
      </c>
    </row>
    <row r="29" spans="1:19" x14ac:dyDescent="0.25">
      <c r="A29" t="s">
        <v>339</v>
      </c>
      <c r="B29" s="26">
        <v>10</v>
      </c>
      <c r="C29" s="26">
        <v>0</v>
      </c>
      <c r="D29" s="26">
        <v>10</v>
      </c>
      <c r="E29" s="26">
        <v>0</v>
      </c>
      <c r="F29" s="26">
        <v>0</v>
      </c>
      <c r="G29" s="26">
        <v>20</v>
      </c>
      <c r="H29" s="26">
        <v>15</v>
      </c>
      <c r="I29" s="26">
        <v>0</v>
      </c>
      <c r="J29" s="26">
        <v>10</v>
      </c>
      <c r="K29" s="26">
        <v>0</v>
      </c>
    </row>
    <row r="31" spans="1:19" x14ac:dyDescent="0.25">
      <c r="A31" t="s">
        <v>382</v>
      </c>
      <c r="B31">
        <v>4000</v>
      </c>
      <c r="C31">
        <v>2000</v>
      </c>
      <c r="D31">
        <v>4000</v>
      </c>
      <c r="E31">
        <v>2000</v>
      </c>
      <c r="F31">
        <v>4000</v>
      </c>
      <c r="G31">
        <v>2000</v>
      </c>
      <c r="H31">
        <v>4000</v>
      </c>
      <c r="I31">
        <v>2000</v>
      </c>
      <c r="J31">
        <v>4000</v>
      </c>
      <c r="K31">
        <v>2000</v>
      </c>
    </row>
    <row r="33" spans="1:9" x14ac:dyDescent="0.25">
      <c r="A33" s="31" t="s">
        <v>420</v>
      </c>
      <c r="B33" s="49">
        <v>4000</v>
      </c>
    </row>
    <row r="34" spans="1:9" x14ac:dyDescent="0.25">
      <c r="A34" s="31" t="s">
        <v>421</v>
      </c>
      <c r="B34" s="49">
        <v>2000</v>
      </c>
    </row>
    <row r="35" spans="1:9" x14ac:dyDescent="0.25">
      <c r="A35" s="31" t="s">
        <v>422</v>
      </c>
      <c r="B35" s="49">
        <v>10000</v>
      </c>
    </row>
    <row r="37" spans="1:9" x14ac:dyDescent="0.25">
      <c r="A37" s="31" t="s">
        <v>423</v>
      </c>
      <c r="B37" s="49">
        <f>SUMPRODUCT(B31:K31,B29:K29)</f>
        <v>220000</v>
      </c>
      <c r="F37" t="s">
        <v>424</v>
      </c>
      <c r="I37">
        <v>50</v>
      </c>
    </row>
    <row r="39" spans="1:9" x14ac:dyDescent="0.25">
      <c r="A39" s="31" t="s">
        <v>425</v>
      </c>
      <c r="B39" s="25">
        <f>I37+B29-C29</f>
        <v>60</v>
      </c>
      <c r="C39" t="str">
        <f ca="1">_xlfn.FORMULATEXT(B39)</f>
        <v>=I37+B29-C29</v>
      </c>
    </row>
    <row r="40" spans="1:9" x14ac:dyDescent="0.25">
      <c r="A40" s="31" t="s">
        <v>426</v>
      </c>
      <c r="B40" s="25">
        <f>B39+D29-E29</f>
        <v>70</v>
      </c>
      <c r="C40" t="str">
        <f t="shared" ref="C40:C43" ca="1" si="0">_xlfn.FORMULATEXT(B40)</f>
        <v>=B39+D29-E29</v>
      </c>
    </row>
    <row r="41" spans="1:9" x14ac:dyDescent="0.25">
      <c r="A41" s="31" t="s">
        <v>427</v>
      </c>
      <c r="B41" s="25">
        <f>B40+F29-G29</f>
        <v>50</v>
      </c>
      <c r="C41" t="str">
        <f t="shared" ca="1" si="0"/>
        <v>=B40+F29-G29</v>
      </c>
    </row>
    <row r="42" spans="1:9" x14ac:dyDescent="0.25">
      <c r="A42" s="31" t="s">
        <v>428</v>
      </c>
      <c r="B42" s="25">
        <f>B41+H29-I29</f>
        <v>65</v>
      </c>
      <c r="C42" t="str">
        <f t="shared" ca="1" si="0"/>
        <v>=B41+H29-I29</v>
      </c>
    </row>
    <row r="43" spans="1:9" x14ac:dyDescent="0.25">
      <c r="A43" s="31" t="s">
        <v>429</v>
      </c>
      <c r="B43" s="25">
        <f>B42+J29-K29</f>
        <v>75</v>
      </c>
      <c r="C43" t="str">
        <f t="shared" ca="1" si="0"/>
        <v>=B42+J29-K29</v>
      </c>
    </row>
    <row r="45" spans="1:9" x14ac:dyDescent="0.25">
      <c r="A45" s="31" t="s">
        <v>430</v>
      </c>
      <c r="B45" s="25">
        <f>SUM(B39:B43)</f>
        <v>320</v>
      </c>
    </row>
    <row r="46" spans="1:9" x14ac:dyDescent="0.25">
      <c r="A46" s="31" t="s">
        <v>431</v>
      </c>
      <c r="B46" s="49">
        <f>B45*B35</f>
        <v>3200000</v>
      </c>
    </row>
    <row r="48" spans="1:9" x14ac:dyDescent="0.25">
      <c r="A48" s="157" t="s">
        <v>432</v>
      </c>
      <c r="B48" s="150">
        <f>B37+B46</f>
        <v>3420000</v>
      </c>
      <c r="C48" t="str">
        <f ca="1">_xlfn.FORMULATEXT(B48)</f>
        <v>=B37+B46</v>
      </c>
    </row>
    <row r="50" spans="1:14" x14ac:dyDescent="0.25">
      <c r="A50" s="15" t="s">
        <v>433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 t="s">
        <v>317</v>
      </c>
      <c r="M50" s="27" t="s">
        <v>318</v>
      </c>
      <c r="N50" s="27" t="s">
        <v>319</v>
      </c>
    </row>
    <row r="51" spans="1:14" x14ac:dyDescent="0.25">
      <c r="A51" s="15" t="s">
        <v>434</v>
      </c>
      <c r="B51" s="27">
        <v>1</v>
      </c>
      <c r="C51" s="27">
        <v>-1</v>
      </c>
      <c r="D51" s="27"/>
      <c r="E51" s="27"/>
      <c r="F51" s="27"/>
      <c r="G51" s="27"/>
      <c r="H51" s="27"/>
      <c r="I51" s="27"/>
      <c r="J51" s="27"/>
      <c r="K51" s="27"/>
      <c r="L51" s="27">
        <f>SUMPRODUCT(B51:K51,B29:K29)</f>
        <v>10</v>
      </c>
      <c r="M51" s="158" t="s">
        <v>413</v>
      </c>
      <c r="N51" s="27">
        <f>60-I37</f>
        <v>10</v>
      </c>
    </row>
    <row r="52" spans="1:14" x14ac:dyDescent="0.25">
      <c r="A52" s="15" t="s">
        <v>435</v>
      </c>
      <c r="B52" s="27">
        <v>1</v>
      </c>
      <c r="C52" s="27">
        <v>-1</v>
      </c>
      <c r="D52" s="27">
        <v>1</v>
      </c>
      <c r="E52" s="27">
        <v>-1</v>
      </c>
      <c r="F52" s="27"/>
      <c r="G52" s="27"/>
      <c r="H52" s="27"/>
      <c r="I52" s="27"/>
      <c r="J52" s="27"/>
      <c r="K52" s="27"/>
      <c r="L52" s="27">
        <f>SUMPRODUCT(B52:K52,B29:K29)</f>
        <v>20</v>
      </c>
      <c r="M52" s="158" t="s">
        <v>413</v>
      </c>
      <c r="N52" s="27">
        <f>70-I37</f>
        <v>20</v>
      </c>
    </row>
    <row r="53" spans="1:14" x14ac:dyDescent="0.25">
      <c r="A53" s="15" t="s">
        <v>436</v>
      </c>
      <c r="B53" s="27">
        <v>1</v>
      </c>
      <c r="C53" s="27">
        <v>-1</v>
      </c>
      <c r="D53" s="27">
        <v>1</v>
      </c>
      <c r="E53" s="27">
        <v>-1</v>
      </c>
      <c r="F53" s="27">
        <v>1</v>
      </c>
      <c r="G53" s="27">
        <v>-1</v>
      </c>
      <c r="H53" s="27"/>
      <c r="I53" s="27"/>
      <c r="J53" s="27"/>
      <c r="K53" s="27"/>
      <c r="L53" s="27">
        <f>SUMPRODUCT(B53:K53,B29:K29)</f>
        <v>0</v>
      </c>
      <c r="M53" s="158" t="s">
        <v>413</v>
      </c>
      <c r="N53" s="27">
        <f>50-I37</f>
        <v>0</v>
      </c>
    </row>
    <row r="54" spans="1:14" x14ac:dyDescent="0.25">
      <c r="A54" s="15" t="s">
        <v>437</v>
      </c>
      <c r="B54" s="27">
        <v>1</v>
      </c>
      <c r="C54" s="27">
        <v>-1</v>
      </c>
      <c r="D54" s="27">
        <v>1</v>
      </c>
      <c r="E54" s="27">
        <v>-1</v>
      </c>
      <c r="F54" s="27">
        <v>1</v>
      </c>
      <c r="G54" s="27">
        <v>-1</v>
      </c>
      <c r="H54" s="27">
        <v>1</v>
      </c>
      <c r="I54" s="27">
        <v>-1</v>
      </c>
      <c r="J54" s="27"/>
      <c r="K54" s="27"/>
      <c r="L54" s="27">
        <f>SUMPRODUCT(B54:K54,B29:K29)</f>
        <v>15</v>
      </c>
      <c r="M54" s="158" t="s">
        <v>413</v>
      </c>
      <c r="N54" s="27">
        <f>65-I37</f>
        <v>15</v>
      </c>
    </row>
    <row r="55" spans="1:14" x14ac:dyDescent="0.25">
      <c r="A55" s="15" t="s">
        <v>438</v>
      </c>
      <c r="B55" s="27">
        <v>1</v>
      </c>
      <c r="C55" s="27">
        <v>-1</v>
      </c>
      <c r="D55" s="27">
        <v>1</v>
      </c>
      <c r="E55" s="27">
        <v>-1</v>
      </c>
      <c r="F55" s="27">
        <v>1</v>
      </c>
      <c r="G55" s="27">
        <v>-1</v>
      </c>
      <c r="H55" s="27">
        <v>1</v>
      </c>
      <c r="I55" s="27">
        <v>-1</v>
      </c>
      <c r="J55" s="27">
        <v>1</v>
      </c>
      <c r="K55" s="27">
        <v>-1</v>
      </c>
      <c r="L55" s="27">
        <f>SUMPRODUCT(B55:K55,B29:K29)</f>
        <v>25</v>
      </c>
      <c r="M55" s="158" t="s">
        <v>413</v>
      </c>
      <c r="N55" s="27">
        <f>75-I37</f>
        <v>25</v>
      </c>
    </row>
  </sheetData>
  <mergeCells count="3">
    <mergeCell ref="A1:E1"/>
    <mergeCell ref="B4:H4"/>
    <mergeCell ref="B27:K27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Goal Seek</vt:lpstr>
      <vt:lpstr>What if analysis</vt:lpstr>
      <vt:lpstr>What if analysis Quis</vt:lpstr>
      <vt:lpstr>Regression</vt:lpstr>
      <vt:lpstr>NPV</vt:lpstr>
      <vt:lpstr>Regression Quis</vt:lpstr>
      <vt:lpstr>NPV Quis</vt:lpstr>
      <vt:lpstr>Project Model</vt:lpstr>
      <vt:lpstr>LP</vt:lpstr>
      <vt:lpstr>LP &amp; Net Profit</vt:lpstr>
      <vt:lpstr>LP &amp; Investment Allocation</vt:lpstr>
      <vt:lpstr>LP&amp;Transportation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Riri Aroma Nori</cp:lastModifiedBy>
  <dcterms:created xsi:type="dcterms:W3CDTF">2023-08-16T15:06:57Z</dcterms:created>
  <dcterms:modified xsi:type="dcterms:W3CDTF">2024-01-05T10:50:31Z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2023-12-24T15:13:04Z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6b43356a-0d38-47ec-9569-8be1f26fdd87</vt:lpwstr>
  </property>
  <property fmtid="{D5CDD505-2E9C-101B-9397-08002B2CF9AE}" pid="8" name="MSIP_Label_38b525e5-f3da-4501-8f1e-526b6769fc56_ContentBits">
    <vt:lpwstr>0</vt:lpwstr>
  </property>
</Properties>
</file>