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codeName="ThisWorkbook" defaultThemeVersion="124226"/>
  <mc:AlternateContent xmlns:mc="http://schemas.openxmlformats.org/markup-compatibility/2006">
    <mc:Choice Requires="x15">
      <x15ac:absPath xmlns:x15ac="http://schemas.microsoft.com/office/spreadsheetml/2010/11/ac" url="https://nxp1-my.sharepoint.com/personal/jan_spurek_nxp_com/Documents/Tasks/Tasks 2022/[mScale_RPA] Q4 updates/new/8mp/"/>
    </mc:Choice>
  </mc:AlternateContent>
  <xr:revisionPtr revIDLastSave="10" documentId="13_ncr:1_{055F9F1C-1A19-4335-97B3-955B0EAA91FC}" xr6:coauthVersionLast="46" xr6:coauthVersionMax="47" xr10:uidLastSave="{1B7F7008-0ABD-403B-865B-45BD87E8A1E0}"/>
  <bookViews>
    <workbookView xWindow="-120" yWindow="-120" windowWidth="29040" windowHeight="15840" activeTab="2" xr2:uid="{00000000-000D-0000-FFFF-FFFF00000000}"/>
  </bookViews>
  <sheets>
    <sheet name="How To Use" sheetId="4" r:id="rId1"/>
    <sheet name="Revision History" sheetId="7" r:id="rId2"/>
    <sheet name="Register Configuration" sheetId="1" r:id="rId3"/>
    <sheet name="BoardDataBusConfig" sheetId="11" r:id="rId4"/>
    <sheet name="ECC_Config_BinaryAligned" sheetId="12" r:id="rId5"/>
    <sheet name="ECC_Config_nonBinaryAligned" sheetId="14" r:id="rId6"/>
    <sheet name="DDR stress test file" sheetId="10" r:id="rId7"/>
  </sheets>
  <definedNames>
    <definedName name="_xlnm._FilterDatabase" localSheetId="2" hidden="1">'Register Configuration'!#REF!</definedName>
    <definedName name="BusWidth">'Register Configuration'!$AC$4:$AC$5</definedName>
    <definedName name="DDRTypes">'Register Configuration'!$AA$4:$AA$6</definedName>
    <definedName name="_xlnm.Print_Area" localSheetId="2">'Register Configuration'!$B$47:$F$630</definedName>
    <definedName name="RowBankInterleavingOption">'Register Configuration'!$AA$9:$AA$10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626" i="1" l="1"/>
  <c r="D626" i="1" s="1"/>
  <c r="D495" i="1"/>
  <c r="C495" i="1"/>
  <c r="D534" i="1" l="1"/>
  <c r="C534" i="1"/>
  <c r="D403" i="1"/>
  <c r="C403" i="1"/>
  <c r="D159" i="1"/>
  <c r="C159" i="1"/>
  <c r="H69" i="1" l="1"/>
  <c r="B103" i="10" s="1"/>
  <c r="D69" i="1"/>
  <c r="D70" i="1"/>
  <c r="E70" i="1" s="1"/>
  <c r="D72" i="1"/>
  <c r="E72" i="1" s="1"/>
  <c r="E69" i="1" l="1"/>
  <c r="D77" i="1" l="1"/>
  <c r="D80" i="1"/>
  <c r="E80" i="1" s="1"/>
  <c r="I80" i="1" s="1"/>
  <c r="C540" i="1" l="1"/>
  <c r="C409" i="1"/>
  <c r="C165" i="1"/>
  <c r="D231" i="1"/>
  <c r="C106" i="1" l="1"/>
  <c r="D65" i="14" l="1"/>
  <c r="A341" i="10" l="1"/>
  <c r="A340" i="10"/>
  <c r="A339" i="10"/>
  <c r="A338" i="10"/>
  <c r="A337" i="10"/>
  <c r="A336" i="10"/>
  <c r="A335" i="10"/>
  <c r="A334" i="10"/>
  <c r="A333" i="10"/>
  <c r="A332" i="10"/>
  <c r="A331" i="10"/>
  <c r="A330" i="10"/>
  <c r="A328" i="10"/>
  <c r="A327" i="10"/>
  <c r="A326" i="10"/>
  <c r="A325" i="10"/>
  <c r="A324" i="10"/>
  <c r="A323" i="10"/>
  <c r="A322" i="10"/>
  <c r="A321" i="10"/>
  <c r="A320" i="10"/>
  <c r="A319" i="10"/>
  <c r="A318" i="10"/>
  <c r="A317" i="10"/>
  <c r="A294" i="10"/>
  <c r="A293" i="10"/>
  <c r="A176" i="10"/>
  <c r="A149" i="10"/>
  <c r="D25" i="10"/>
  <c r="C133" i="1" l="1"/>
  <c r="A266" i="10" l="1"/>
  <c r="A265" i="10"/>
  <c r="A264" i="10"/>
  <c r="A263" i="10"/>
  <c r="A262" i="10"/>
  <c r="A261" i="10"/>
  <c r="A260" i="10"/>
  <c r="A259" i="10"/>
  <c r="A258" i="10"/>
  <c r="D258" i="10"/>
  <c r="D259" i="10" s="1"/>
  <c r="E550" i="1"/>
  <c r="E549" i="1"/>
  <c r="E419" i="1"/>
  <c r="E418" i="1"/>
  <c r="H325" i="1" l="1"/>
  <c r="B113" i="10" s="1"/>
  <c r="H323" i="1"/>
  <c r="E326" i="1"/>
  <c r="E325" i="1"/>
  <c r="E185" i="1"/>
  <c r="E186" i="1"/>
  <c r="I325" i="1" l="1"/>
  <c r="D113" i="10" s="1"/>
  <c r="D63" i="1"/>
  <c r="D89" i="1" l="1"/>
  <c r="D71" i="1" l="1"/>
  <c r="E71" i="1" s="1"/>
  <c r="I69" i="1" s="1"/>
  <c r="D103" i="10" s="1"/>
  <c r="D76" i="1"/>
  <c r="A37" i="14"/>
  <c r="A38" i="14"/>
  <c r="A39" i="14"/>
  <c r="A40" i="14"/>
  <c r="A41" i="14"/>
  <c r="A42" i="14"/>
  <c r="A43" i="14"/>
  <c r="D48" i="14"/>
  <c r="D49" i="14"/>
  <c r="D28" i="14" s="1"/>
  <c r="D22" i="14" s="1"/>
  <c r="D50" i="14"/>
  <c r="D29" i="14" s="1"/>
  <c r="D51" i="14"/>
  <c r="D41" i="14" s="1"/>
  <c r="D52" i="14"/>
  <c r="D40" i="14" s="1"/>
  <c r="D53" i="14"/>
  <c r="D39" i="14" s="1"/>
  <c r="D54" i="14"/>
  <c r="D33" i="14" s="1"/>
  <c r="B137" i="14" s="1"/>
  <c r="C137" i="14" s="1"/>
  <c r="D55" i="14"/>
  <c r="D37" i="14" s="1"/>
  <c r="A69" i="14"/>
  <c r="D30" i="14"/>
  <c r="B134" i="14" s="1"/>
  <c r="C134" i="14" s="1"/>
  <c r="D64" i="14"/>
  <c r="A64" i="14"/>
  <c r="D63" i="14"/>
  <c r="A63" i="14"/>
  <c r="D62" i="14"/>
  <c r="A62" i="14"/>
  <c r="D61" i="14"/>
  <c r="A61" i="14"/>
  <c r="D60" i="14"/>
  <c r="A60" i="14"/>
  <c r="D59" i="14"/>
  <c r="A59" i="14"/>
  <c r="D58" i="14"/>
  <c r="A58" i="14"/>
  <c r="A56" i="14"/>
  <c r="A35" i="14"/>
  <c r="B92" i="14"/>
  <c r="B129" i="14"/>
  <c r="A27" i="14"/>
  <c r="A23" i="14"/>
  <c r="A22" i="14"/>
  <c r="A21" i="14"/>
  <c r="D20" i="14"/>
  <c r="A20" i="14"/>
  <c r="A19" i="14"/>
  <c r="A18" i="14"/>
  <c r="A17" i="14"/>
  <c r="A16" i="14"/>
  <c r="D27" i="14" l="1"/>
  <c r="D23" i="14" s="1"/>
  <c r="D44" i="14"/>
  <c r="D43" i="14"/>
  <c r="D42" i="14"/>
  <c r="D32" i="14"/>
  <c r="C92" i="14"/>
  <c r="A65" i="14"/>
  <c r="B133" i="14"/>
  <c r="C133" i="14" s="1"/>
  <c r="D21" i="14"/>
  <c r="D38" i="14"/>
  <c r="D31" i="14"/>
  <c r="B132" i="14"/>
  <c r="C132" i="14" s="1"/>
  <c r="B76" i="14"/>
  <c r="D34" i="14"/>
  <c r="D17" i="14"/>
  <c r="B131" i="14" l="1"/>
  <c r="D18" i="14"/>
  <c r="B136" i="14"/>
  <c r="C136" i="14" s="1"/>
  <c r="B135" i="14"/>
  <c r="C135" i="14" s="1"/>
  <c r="D19" i="14"/>
  <c r="A48" i="14"/>
  <c r="A44" i="14"/>
  <c r="B138" i="14"/>
  <c r="D16" i="14"/>
  <c r="C138" i="14" l="1"/>
  <c r="B139" i="14"/>
  <c r="B140" i="14" l="1"/>
  <c r="D258" i="1" s="1"/>
  <c r="C139" i="14"/>
  <c r="A14" i="14" l="1"/>
  <c r="C140" i="14"/>
  <c r="D67" i="1" l="1"/>
  <c r="D87" i="1"/>
  <c r="D96" i="1" s="1"/>
  <c r="D91" i="1" l="1"/>
  <c r="D92" i="1"/>
  <c r="D90" i="1"/>
  <c r="D260" i="1" l="1"/>
  <c r="E260" i="1" s="1"/>
  <c r="D264" i="1"/>
  <c r="E264" i="1" s="1"/>
  <c r="E272" i="1"/>
  <c r="E271" i="1"/>
  <c r="E270" i="1"/>
  <c r="E269" i="1"/>
  <c r="E268" i="1"/>
  <c r="E267" i="1"/>
  <c r="E266" i="1"/>
  <c r="E263" i="1"/>
  <c r="E262" i="1"/>
  <c r="E261" i="1"/>
  <c r="E259" i="1"/>
  <c r="E257" i="1"/>
  <c r="B47" i="12"/>
  <c r="C47" i="12" s="1"/>
  <c r="I266" i="1" l="1"/>
  <c r="D62" i="10" s="1"/>
  <c r="B64" i="12"/>
  <c r="D254" i="1" l="1"/>
  <c r="E254" i="1" s="1"/>
  <c r="B73" i="12"/>
  <c r="C73" i="12" s="1"/>
  <c r="B72" i="12"/>
  <c r="C72" i="12" s="1"/>
  <c r="B71" i="12"/>
  <c r="C71" i="12" s="1"/>
  <c r="B70" i="12"/>
  <c r="C70" i="12" s="1"/>
  <c r="B69" i="12"/>
  <c r="C69" i="12" s="1"/>
  <c r="B68" i="12"/>
  <c r="C68" i="12" s="1"/>
  <c r="B67" i="12"/>
  <c r="C67" i="12" s="1"/>
  <c r="B66" i="12"/>
  <c r="B34" i="12"/>
  <c r="A27" i="12"/>
  <c r="D23" i="12"/>
  <c r="A23" i="12"/>
  <c r="D22" i="12"/>
  <c r="A22" i="12"/>
  <c r="D21" i="12"/>
  <c r="A21" i="12"/>
  <c r="D20" i="12"/>
  <c r="A20" i="12"/>
  <c r="D19" i="12"/>
  <c r="A19" i="12"/>
  <c r="D18" i="12"/>
  <c r="A18" i="12"/>
  <c r="D17" i="12"/>
  <c r="A17" i="12"/>
  <c r="D16" i="12"/>
  <c r="A16" i="12"/>
  <c r="D255" i="1" l="1"/>
  <c r="E255" i="1" s="1"/>
  <c r="B74" i="12"/>
  <c r="B75" i="12" s="1"/>
  <c r="E258" i="1" s="1"/>
  <c r="E360" i="1"/>
  <c r="C74" i="12" l="1"/>
  <c r="D222" i="1"/>
  <c r="A14" i="12" l="1"/>
  <c r="C75" i="12"/>
  <c r="D95" i="1"/>
  <c r="E95" i="1" s="1"/>
  <c r="H95" i="1"/>
  <c r="B109" i="10" s="1"/>
  <c r="D45" i="10" l="1"/>
  <c r="B25" i="10"/>
  <c r="B24" i="10"/>
  <c r="B23" i="10"/>
  <c r="B22" i="10"/>
  <c r="B21" i="10"/>
  <c r="D554" i="1" l="1"/>
  <c r="C455" i="1"/>
  <c r="D423" i="1" l="1"/>
  <c r="C586" i="1"/>
  <c r="D176" i="1" l="1"/>
  <c r="H626" i="1"/>
  <c r="B176" i="10" s="1"/>
  <c r="E628" i="1"/>
  <c r="D627" i="1"/>
  <c r="E627" i="1" s="1"/>
  <c r="E626" i="1"/>
  <c r="H495" i="1"/>
  <c r="B149" i="10" s="1"/>
  <c r="E497" i="1"/>
  <c r="D496" i="1"/>
  <c r="E496" i="1" s="1"/>
  <c r="E495" i="1"/>
  <c r="I495" i="1" l="1"/>
  <c r="D149" i="10" s="1"/>
  <c r="I626" i="1"/>
  <c r="D176" i="10" s="1"/>
  <c r="D26" i="10"/>
  <c r="E25" i="10"/>
  <c r="E24" i="10"/>
  <c r="E23" i="10"/>
  <c r="E22" i="10"/>
  <c r="E21" i="10"/>
  <c r="C512" i="1" l="1"/>
  <c r="C381" i="1"/>
  <c r="C124" i="1" l="1"/>
  <c r="H577" i="1" l="1"/>
  <c r="H540" i="1"/>
  <c r="H536" i="1"/>
  <c r="C21" i="1" l="1"/>
  <c r="C23" i="1" s="1"/>
  <c r="D341" i="10" l="1"/>
  <c r="D339" i="10"/>
  <c r="D338" i="10"/>
  <c r="D333" i="10"/>
  <c r="D328" i="10"/>
  <c r="D326" i="10"/>
  <c r="D325" i="10"/>
  <c r="D320" i="10"/>
  <c r="D609" i="1"/>
  <c r="D608" i="1"/>
  <c r="D478" i="1"/>
  <c r="D477" i="1"/>
  <c r="D602" i="1"/>
  <c r="D601" i="1"/>
  <c r="D470" i="1"/>
  <c r="D471" i="1"/>
  <c r="A1" i="10" l="1"/>
  <c r="E253" i="10"/>
  <c r="E252" i="10"/>
  <c r="E251" i="10"/>
  <c r="E250" i="10"/>
  <c r="E249" i="10"/>
  <c r="D253" i="10"/>
  <c r="D252" i="10"/>
  <c r="D251" i="10"/>
  <c r="D250" i="10"/>
  <c r="D249" i="10"/>
  <c r="H409" i="1" l="1"/>
  <c r="H405" i="1"/>
  <c r="N135" i="1" l="1"/>
  <c r="C379" i="1"/>
  <c r="D565" i="1"/>
  <c r="D434" i="1"/>
  <c r="AF6" i="1"/>
  <c r="A148" i="10"/>
  <c r="A147" i="10"/>
  <c r="A146" i="10"/>
  <c r="A145" i="10"/>
  <c r="A144" i="10"/>
  <c r="A143" i="10"/>
  <c r="A142" i="10"/>
  <c r="A141" i="10"/>
  <c r="A140" i="10"/>
  <c r="A139" i="10"/>
  <c r="A138" i="10"/>
  <c r="A137" i="10"/>
  <c r="A136" i="10"/>
  <c r="A135" i="10"/>
  <c r="A134" i="10"/>
  <c r="A133" i="10"/>
  <c r="A132" i="10"/>
  <c r="A131" i="10"/>
  <c r="A130" i="10"/>
  <c r="A129" i="10"/>
  <c r="A128" i="10"/>
  <c r="A127" i="10"/>
  <c r="A126" i="10"/>
  <c r="A125" i="10"/>
  <c r="A175" i="10"/>
  <c r="A174" i="10"/>
  <c r="A173" i="10"/>
  <c r="A172" i="10"/>
  <c r="A171" i="10"/>
  <c r="A170" i="10"/>
  <c r="A169" i="10"/>
  <c r="A168" i="10"/>
  <c r="A167" i="10"/>
  <c r="A166" i="10"/>
  <c r="A165" i="10"/>
  <c r="A164" i="10"/>
  <c r="A163" i="10"/>
  <c r="A162" i="10"/>
  <c r="A161" i="10"/>
  <c r="A160" i="10"/>
  <c r="A159" i="10"/>
  <c r="A158" i="10"/>
  <c r="A157" i="10"/>
  <c r="A156" i="10"/>
  <c r="A155" i="10"/>
  <c r="A154" i="10"/>
  <c r="A153" i="10"/>
  <c r="A152" i="10"/>
  <c r="D269" i="10"/>
  <c r="D270" i="10" s="1"/>
  <c r="B142" i="10"/>
  <c r="B141" i="10"/>
  <c r="E338" i="1"/>
  <c r="E339" i="1"/>
  <c r="E340" i="1"/>
  <c r="E341" i="1"/>
  <c r="E342" i="1"/>
  <c r="H338" i="1"/>
  <c r="B117" i="10" s="1"/>
  <c r="E343" i="1"/>
  <c r="H59" i="1"/>
  <c r="B178" i="10" s="1"/>
  <c r="E59" i="1"/>
  <c r="I59" i="1" s="1"/>
  <c r="D178" i="10" s="1"/>
  <c r="I338" i="1" l="1"/>
  <c r="D117" i="10" s="1"/>
  <c r="H563" i="1" l="1"/>
  <c r="B172" i="10" s="1"/>
  <c r="E581" i="1" l="1"/>
  <c r="E580" i="1"/>
  <c r="E578" i="1"/>
  <c r="B174" i="10"/>
  <c r="E577" i="1"/>
  <c r="D583" i="1"/>
  <c r="E583" i="1" s="1"/>
  <c r="H583" i="1"/>
  <c r="B175" i="10" s="1"/>
  <c r="D584" i="1"/>
  <c r="E584" i="1" s="1"/>
  <c r="E566" i="1"/>
  <c r="E565" i="1"/>
  <c r="E564" i="1"/>
  <c r="E563" i="1"/>
  <c r="H432" i="1"/>
  <c r="B145" i="10" s="1"/>
  <c r="C32" i="1"/>
  <c r="C30" i="1"/>
  <c r="E435" i="1"/>
  <c r="E434" i="1"/>
  <c r="E433" i="1"/>
  <c r="E432" i="1"/>
  <c r="H446" i="1"/>
  <c r="B147" i="10" s="1"/>
  <c r="E450" i="1"/>
  <c r="E449" i="1"/>
  <c r="E447" i="1"/>
  <c r="E446" i="1"/>
  <c r="D540" i="1"/>
  <c r="E540" i="1" s="1"/>
  <c r="D542" i="1"/>
  <c r="E542" i="1" s="1"/>
  <c r="D541" i="1"/>
  <c r="E541" i="1" s="1"/>
  <c r="B169" i="10"/>
  <c r="E538" i="1"/>
  <c r="B168" i="10"/>
  <c r="D411" i="1"/>
  <c r="E411" i="1" s="1"/>
  <c r="D410" i="1"/>
  <c r="E410" i="1" s="1"/>
  <c r="E407" i="1"/>
  <c r="H549" i="1"/>
  <c r="B152" i="10" s="1"/>
  <c r="E554" i="1"/>
  <c r="H418" i="1"/>
  <c r="B125" i="10" s="1"/>
  <c r="E423" i="1"/>
  <c r="A124" i="10"/>
  <c r="A277" i="10"/>
  <c r="A276" i="10"/>
  <c r="A275" i="10"/>
  <c r="A274" i="10"/>
  <c r="A273" i="10"/>
  <c r="A271" i="10"/>
  <c r="A272" i="10"/>
  <c r="A270" i="10"/>
  <c r="A269" i="10"/>
  <c r="D425" i="1" l="1"/>
  <c r="C390" i="1"/>
  <c r="C377" i="1"/>
  <c r="C391" i="1"/>
  <c r="C388" i="1"/>
  <c r="C373" i="1"/>
  <c r="C144" i="1"/>
  <c r="C145" i="1"/>
  <c r="C142" i="1"/>
  <c r="D192" i="1"/>
  <c r="C129" i="1"/>
  <c r="C125" i="1"/>
  <c r="D455" i="1"/>
  <c r="I583" i="1"/>
  <c r="I540" i="1"/>
  <c r="D169" i="10" s="1"/>
  <c r="A1" i="12" l="1"/>
  <c r="B41" i="12"/>
  <c r="B85" i="14"/>
  <c r="A1" i="14"/>
  <c r="D75" i="1"/>
  <c r="D74" i="1" s="1"/>
  <c r="D311" i="1"/>
  <c r="C77" i="14" l="1"/>
  <c r="B86" i="14"/>
  <c r="D85" i="14"/>
  <c r="B93" i="14"/>
  <c r="C85" i="14"/>
  <c r="B53" i="12"/>
  <c r="C35" i="12"/>
  <c r="B42" i="12"/>
  <c r="B43" i="12"/>
  <c r="B44" i="12" s="1"/>
  <c r="B50" i="12"/>
  <c r="C50" i="12" s="1"/>
  <c r="C24" i="12" s="1"/>
  <c r="C41" i="12"/>
  <c r="D41" i="12"/>
  <c r="D310" i="1"/>
  <c r="C678" i="1" l="1"/>
  <c r="E310" i="1"/>
  <c r="B27" i="12"/>
  <c r="B51" i="12"/>
  <c r="C51" i="12" s="1"/>
  <c r="C23" i="12" s="1"/>
  <c r="C44" i="12"/>
  <c r="C27" i="12" s="1"/>
  <c r="D44" i="12"/>
  <c r="D42" i="12"/>
  <c r="C42" i="12"/>
  <c r="B109" i="14"/>
  <c r="C93" i="14"/>
  <c r="B94" i="14"/>
  <c r="B55" i="14"/>
  <c r="B24" i="12"/>
  <c r="B54" i="12"/>
  <c r="B100" i="14"/>
  <c r="B97" i="14"/>
  <c r="C97" i="14" s="1"/>
  <c r="B88" i="14"/>
  <c r="B50" i="14" s="1"/>
  <c r="B87" i="14"/>
  <c r="C86" i="14"/>
  <c r="D86" i="14"/>
  <c r="B33" i="12"/>
  <c r="B32" i="12"/>
  <c r="B28" i="12"/>
  <c r="B29" i="12"/>
  <c r="B30" i="12"/>
  <c r="C43" i="12"/>
  <c r="B52" i="12"/>
  <c r="C52" i="12" s="1"/>
  <c r="B31" i="12"/>
  <c r="D43" i="12"/>
  <c r="D227" i="1"/>
  <c r="D228" i="1"/>
  <c r="C134" i="1" s="1"/>
  <c r="B51" i="14" l="1"/>
  <c r="B89" i="14"/>
  <c r="D89" i="14" s="1"/>
  <c r="B54" i="14"/>
  <c r="B52" i="14"/>
  <c r="B45" i="14"/>
  <c r="B110" i="14"/>
  <c r="C34" i="12"/>
  <c r="C28" i="12"/>
  <c r="C30" i="12"/>
  <c r="C33" i="12"/>
  <c r="C29" i="12"/>
  <c r="C32" i="12"/>
  <c r="C31" i="12"/>
  <c r="C87" i="14"/>
  <c r="D87" i="14"/>
  <c r="B53" i="14"/>
  <c r="B74" i="14"/>
  <c r="C88" i="14"/>
  <c r="D88" i="14"/>
  <c r="B99" i="14"/>
  <c r="C99" i="14" s="1"/>
  <c r="B70" i="14"/>
  <c r="B73" i="14"/>
  <c r="B75" i="14"/>
  <c r="B71" i="14"/>
  <c r="B72" i="14"/>
  <c r="B49" i="14"/>
  <c r="C66" i="14"/>
  <c r="C45" i="14" s="1"/>
  <c r="C24" i="14"/>
  <c r="B101" i="14"/>
  <c r="B65" i="14" s="1"/>
  <c r="B66" i="14"/>
  <c r="C22" i="12"/>
  <c r="C16" i="12"/>
  <c r="C19" i="12"/>
  <c r="C21" i="12"/>
  <c r="C18" i="12"/>
  <c r="C17" i="12"/>
  <c r="C20" i="12"/>
  <c r="B23" i="12"/>
  <c r="B55" i="12"/>
  <c r="C94" i="14"/>
  <c r="B30" i="14"/>
  <c r="B29" i="14"/>
  <c r="B28" i="14"/>
  <c r="B118" i="14"/>
  <c r="B34" i="14"/>
  <c r="B33" i="14"/>
  <c r="B32" i="14"/>
  <c r="B31" i="14"/>
  <c r="C380" i="1"/>
  <c r="D481" i="1"/>
  <c r="D612" i="1"/>
  <c r="D480" i="1"/>
  <c r="D611" i="1"/>
  <c r="B69" i="14" l="1"/>
  <c r="B48" i="14"/>
  <c r="B27" i="14"/>
  <c r="B98" i="14"/>
  <c r="B102" i="14" s="1"/>
  <c r="C89" i="14"/>
  <c r="C69" i="14" s="1"/>
  <c r="B119" i="14"/>
  <c r="B24" i="14"/>
  <c r="C20" i="14"/>
  <c r="C17" i="14"/>
  <c r="C64" i="14"/>
  <c r="C43" i="14" s="1"/>
  <c r="C16" i="14"/>
  <c r="C18" i="14"/>
  <c r="C63" i="14"/>
  <c r="C42" i="14" s="1"/>
  <c r="C62" i="14"/>
  <c r="C41" i="14" s="1"/>
  <c r="C59" i="14"/>
  <c r="C38" i="14" s="1"/>
  <c r="C61" i="14"/>
  <c r="C40" i="14" s="1"/>
  <c r="C60" i="14"/>
  <c r="C39" i="14" s="1"/>
  <c r="C19" i="14"/>
  <c r="C21" i="14"/>
  <c r="C22" i="14"/>
  <c r="C58" i="14"/>
  <c r="C37" i="14" s="1"/>
  <c r="C55" i="14"/>
  <c r="C52" i="14"/>
  <c r="C29" i="14"/>
  <c r="C72" i="14"/>
  <c r="C51" i="14"/>
  <c r="C34" i="14"/>
  <c r="C75" i="14"/>
  <c r="C71" i="14"/>
  <c r="C70" i="14"/>
  <c r="C28" i="14"/>
  <c r="C33" i="14"/>
  <c r="C76" i="14"/>
  <c r="C30" i="14"/>
  <c r="C73" i="14"/>
  <c r="C32" i="14"/>
  <c r="C50" i="14"/>
  <c r="C74" i="14"/>
  <c r="C54" i="14"/>
  <c r="C53" i="14"/>
  <c r="C49" i="14"/>
  <c r="C31" i="14"/>
  <c r="B44" i="14"/>
  <c r="B111" i="14"/>
  <c r="B22" i="12"/>
  <c r="B56" i="12"/>
  <c r="D278" i="1"/>
  <c r="C98" i="14" l="1"/>
  <c r="C23" i="14" s="1"/>
  <c r="C27" i="14"/>
  <c r="C48" i="14"/>
  <c r="B43" i="14"/>
  <c r="B112" i="14"/>
  <c r="B21" i="12"/>
  <c r="B57" i="12"/>
  <c r="B64" i="14"/>
  <c r="B103" i="14"/>
  <c r="B120" i="14"/>
  <c r="B23" i="14"/>
  <c r="D490" i="1"/>
  <c r="D621" i="1"/>
  <c r="C692" i="1"/>
  <c r="C65" i="14" l="1"/>
  <c r="C44" i="14" s="1"/>
  <c r="B20" i="12"/>
  <c r="B58" i="12"/>
  <c r="B42" i="14"/>
  <c r="B113" i="14"/>
  <c r="B121" i="14"/>
  <c r="B22" i="14"/>
  <c r="B63" i="14"/>
  <c r="B104" i="14"/>
  <c r="D243" i="10"/>
  <c r="B105" i="14" l="1"/>
  <c r="B62" i="14"/>
  <c r="B21" i="14"/>
  <c r="B122" i="14"/>
  <c r="B41" i="14"/>
  <c r="B114" i="14"/>
  <c r="B19" i="12"/>
  <c r="B59" i="12"/>
  <c r="H365" i="1"/>
  <c r="B122" i="10" s="1"/>
  <c r="E365" i="1"/>
  <c r="I365" i="1" s="1"/>
  <c r="D122" i="10" s="1"/>
  <c r="E361" i="1"/>
  <c r="E362" i="1"/>
  <c r="E363" i="1"/>
  <c r="H360" i="1"/>
  <c r="B121" i="10" s="1"/>
  <c r="E357" i="1"/>
  <c r="E358" i="1"/>
  <c r="H357" i="1"/>
  <c r="B120" i="10" s="1"/>
  <c r="E351" i="1"/>
  <c r="E352" i="1"/>
  <c r="E353" i="1"/>
  <c r="E354" i="1"/>
  <c r="E355" i="1"/>
  <c r="H351" i="1"/>
  <c r="B119" i="10" s="1"/>
  <c r="H346" i="1"/>
  <c r="B118" i="10" s="1"/>
  <c r="E346" i="1"/>
  <c r="E347" i="1"/>
  <c r="E348" i="1"/>
  <c r="E349" i="1"/>
  <c r="E334" i="1"/>
  <c r="E335" i="1"/>
  <c r="E336" i="1"/>
  <c r="H334" i="1"/>
  <c r="B116" i="10" s="1"/>
  <c r="H331" i="1"/>
  <c r="B115" i="10" s="1"/>
  <c r="E332" i="1"/>
  <c r="E331" i="1"/>
  <c r="E328" i="1"/>
  <c r="E329" i="1"/>
  <c r="H328" i="1"/>
  <c r="B114" i="10" s="1"/>
  <c r="B112" i="10"/>
  <c r="E323" i="1"/>
  <c r="I323" i="1" s="1"/>
  <c r="D112" i="10" s="1"/>
  <c r="H316" i="1"/>
  <c r="B111" i="10" s="1"/>
  <c r="E316" i="1"/>
  <c r="E317" i="1"/>
  <c r="E318" i="1"/>
  <c r="E319" i="1"/>
  <c r="E320" i="1"/>
  <c r="E321" i="1"/>
  <c r="I360" i="1" l="1"/>
  <c r="D121" i="10" s="1"/>
  <c r="B123" i="14"/>
  <c r="B20" i="14"/>
  <c r="B40" i="14"/>
  <c r="B115" i="14"/>
  <c r="B18" i="12"/>
  <c r="B60" i="12"/>
  <c r="B61" i="14"/>
  <c r="B106" i="14"/>
  <c r="I331" i="1"/>
  <c r="D115" i="10" s="1"/>
  <c r="I334" i="1"/>
  <c r="D116" i="10" s="1"/>
  <c r="I357" i="1"/>
  <c r="D120" i="10" s="1"/>
  <c r="I351" i="1"/>
  <c r="D119" i="10" s="1"/>
  <c r="I346" i="1"/>
  <c r="D118" i="10" s="1"/>
  <c r="I328" i="1"/>
  <c r="D114" i="10" s="1"/>
  <c r="I316" i="1"/>
  <c r="D111" i="10" s="1"/>
  <c r="B39" i="14" l="1"/>
  <c r="B116" i="14"/>
  <c r="B107" i="14"/>
  <c r="B60" i="14"/>
  <c r="B17" i="12"/>
  <c r="B61" i="12"/>
  <c r="B16" i="12" s="1"/>
  <c r="B124" i="14"/>
  <c r="B19" i="14"/>
  <c r="C694" i="1"/>
  <c r="D232" i="10" s="1"/>
  <c r="B59" i="14" l="1"/>
  <c r="B108" i="14"/>
  <c r="B58" i="14" s="1"/>
  <c r="B38" i="14"/>
  <c r="B117" i="14"/>
  <c r="B37" i="14" s="1"/>
  <c r="B125" i="14"/>
  <c r="B18" i="14"/>
  <c r="D240" i="10"/>
  <c r="D238" i="10"/>
  <c r="B126" i="14" l="1"/>
  <c r="B16" i="14" s="1"/>
  <c r="B17" i="14"/>
  <c r="H611" i="1"/>
  <c r="B157" i="10" s="1"/>
  <c r="H604" i="1"/>
  <c r="B159" i="10" s="1"/>
  <c r="H599" i="1"/>
  <c r="B158" i="10" s="1"/>
  <c r="E624" i="1"/>
  <c r="E623" i="1"/>
  <c r="E622" i="1"/>
  <c r="E621" i="1"/>
  <c r="E620" i="1"/>
  <c r="E619" i="1"/>
  <c r="E618" i="1"/>
  <c r="E617" i="1"/>
  <c r="E616" i="1"/>
  <c r="E615" i="1"/>
  <c r="E614" i="1"/>
  <c r="E613" i="1"/>
  <c r="E612" i="1"/>
  <c r="E611" i="1"/>
  <c r="E609" i="1"/>
  <c r="E608" i="1"/>
  <c r="E607" i="1"/>
  <c r="E606" i="1"/>
  <c r="E605" i="1"/>
  <c r="E604" i="1"/>
  <c r="E602" i="1"/>
  <c r="E601" i="1"/>
  <c r="E600" i="1"/>
  <c r="E599" i="1"/>
  <c r="H589" i="1"/>
  <c r="B156" i="10" s="1"/>
  <c r="H586" i="1"/>
  <c r="B155" i="10" s="1"/>
  <c r="H570" i="1"/>
  <c r="B173" i="10" s="1"/>
  <c r="H558" i="1"/>
  <c r="B154" i="10" s="1"/>
  <c r="H556" i="1"/>
  <c r="B153" i="10" s="1"/>
  <c r="D596" i="1"/>
  <c r="D597" i="1" s="1"/>
  <c r="E597" i="1" s="1"/>
  <c r="E595" i="1"/>
  <c r="E594" i="1"/>
  <c r="E593" i="1"/>
  <c r="E592" i="1"/>
  <c r="E591" i="1"/>
  <c r="E589" i="1"/>
  <c r="D575" i="1"/>
  <c r="E575" i="1" s="1"/>
  <c r="E574" i="1"/>
  <c r="E573" i="1"/>
  <c r="D572" i="1"/>
  <c r="E572" i="1" s="1"/>
  <c r="E571" i="1"/>
  <c r="E570" i="1"/>
  <c r="E561" i="1"/>
  <c r="E560" i="1"/>
  <c r="E559" i="1"/>
  <c r="E558" i="1"/>
  <c r="H546" i="1"/>
  <c r="B171" i="10" s="1"/>
  <c r="H544" i="1"/>
  <c r="B170" i="10" s="1"/>
  <c r="H533" i="1"/>
  <c r="B167" i="10" s="1"/>
  <c r="H529" i="1"/>
  <c r="B166" i="10" s="1"/>
  <c r="H524" i="1"/>
  <c r="B165" i="10" s="1"/>
  <c r="H519" i="1"/>
  <c r="B164" i="10" s="1"/>
  <c r="H515" i="1"/>
  <c r="B163" i="10" s="1"/>
  <c r="D530" i="1"/>
  <c r="E530" i="1" s="1"/>
  <c r="D529" i="1"/>
  <c r="E529" i="1" s="1"/>
  <c r="D520" i="1"/>
  <c r="E520" i="1" s="1"/>
  <c r="D517" i="1"/>
  <c r="E517" i="1" s="1"/>
  <c r="C664" i="1" l="1"/>
  <c r="D334" i="10" s="1"/>
  <c r="C670" i="1"/>
  <c r="D340" i="10" s="1"/>
  <c r="C667" i="1"/>
  <c r="D337" i="10" s="1"/>
  <c r="C662" i="1"/>
  <c r="D332" i="10" s="1"/>
  <c r="C665" i="1"/>
  <c r="D335" i="10" s="1"/>
  <c r="C666" i="1"/>
  <c r="D336" i="10" s="1"/>
  <c r="I599" i="1"/>
  <c r="D158" i="10" s="1"/>
  <c r="D175" i="10"/>
  <c r="I604" i="1"/>
  <c r="D159" i="10" s="1"/>
  <c r="I558" i="1"/>
  <c r="D154" i="10" s="1"/>
  <c r="E596" i="1"/>
  <c r="C661" i="1" s="1"/>
  <c r="D331" i="10" s="1"/>
  <c r="I611" i="1"/>
  <c r="D157" i="10" s="1"/>
  <c r="D590" i="1"/>
  <c r="E590" i="1" s="1"/>
  <c r="I570" i="1"/>
  <c r="D173" i="10" s="1"/>
  <c r="H510" i="1"/>
  <c r="B162" i="10" s="1"/>
  <c r="H506" i="1"/>
  <c r="B161" i="10" s="1"/>
  <c r="H501" i="1"/>
  <c r="B160" i="10" s="1"/>
  <c r="H480" i="1"/>
  <c r="B130" i="10" s="1"/>
  <c r="C502" i="1"/>
  <c r="D511" i="1"/>
  <c r="E511" i="1" s="1"/>
  <c r="D510" i="1"/>
  <c r="E510" i="1" s="1"/>
  <c r="D389" i="1"/>
  <c r="I589" i="1" l="1"/>
  <c r="D156" i="10" s="1"/>
  <c r="C660" i="1"/>
  <c r="D330" i="10" s="1"/>
  <c r="H473" i="1"/>
  <c r="B132" i="10" s="1"/>
  <c r="H468" i="1"/>
  <c r="B131" i="10" s="1"/>
  <c r="H458" i="1"/>
  <c r="B129" i="10" s="1"/>
  <c r="H455" i="1"/>
  <c r="B128" i="10" s="1"/>
  <c r="H452" i="1"/>
  <c r="B148" i="10" s="1"/>
  <c r="H439" i="1"/>
  <c r="B146" i="10" s="1"/>
  <c r="H427" i="1"/>
  <c r="B127" i="10" s="1"/>
  <c r="H425" i="1"/>
  <c r="B126" i="10" s="1"/>
  <c r="H415" i="1"/>
  <c r="B144" i="10" s="1"/>
  <c r="H413" i="1"/>
  <c r="B143" i="10" s="1"/>
  <c r="H402" i="1"/>
  <c r="B140" i="10" s="1"/>
  <c r="H398" i="1"/>
  <c r="B139" i="10" s="1"/>
  <c r="H393" i="1"/>
  <c r="B138" i="10" s="1"/>
  <c r="H388" i="1"/>
  <c r="B137" i="10" s="1"/>
  <c r="H384" i="1"/>
  <c r="B136" i="10" s="1"/>
  <c r="H379" i="1"/>
  <c r="B135" i="10" s="1"/>
  <c r="H375" i="1"/>
  <c r="B134" i="10" s="1"/>
  <c r="E493" i="1"/>
  <c r="E492" i="1"/>
  <c r="E491" i="1"/>
  <c r="E490" i="1"/>
  <c r="E489" i="1"/>
  <c r="E488" i="1"/>
  <c r="E487" i="1"/>
  <c r="E486" i="1"/>
  <c r="E485" i="1"/>
  <c r="E484" i="1"/>
  <c r="E483" i="1"/>
  <c r="E482" i="1"/>
  <c r="E481" i="1"/>
  <c r="E480" i="1"/>
  <c r="E478" i="1"/>
  <c r="E477" i="1"/>
  <c r="E476" i="1"/>
  <c r="E475" i="1"/>
  <c r="E474" i="1"/>
  <c r="E473" i="1"/>
  <c r="E471" i="1"/>
  <c r="E470" i="1"/>
  <c r="E469" i="1"/>
  <c r="E468" i="1"/>
  <c r="D465" i="1"/>
  <c r="E465" i="1" s="1"/>
  <c r="E464" i="1"/>
  <c r="E463" i="1"/>
  <c r="E462" i="1"/>
  <c r="E461" i="1"/>
  <c r="E460" i="1"/>
  <c r="E458" i="1"/>
  <c r="D452" i="1"/>
  <c r="E452" i="1" s="1"/>
  <c r="D453" i="1"/>
  <c r="E453" i="1" s="1"/>
  <c r="D444" i="1"/>
  <c r="E444" i="1" s="1"/>
  <c r="D441" i="1"/>
  <c r="E441" i="1" s="1"/>
  <c r="E443" i="1"/>
  <c r="E442" i="1"/>
  <c r="E440" i="1"/>
  <c r="E439" i="1"/>
  <c r="E430" i="1"/>
  <c r="E429" i="1"/>
  <c r="E428" i="1"/>
  <c r="E427" i="1"/>
  <c r="H192" i="1"/>
  <c r="B58" i="10" s="1"/>
  <c r="H185" i="1"/>
  <c r="B57" i="10" s="1"/>
  <c r="E190" i="1"/>
  <c r="C657" i="1" l="1"/>
  <c r="D327" i="10" s="1"/>
  <c r="C651" i="1"/>
  <c r="D321" i="10" s="1"/>
  <c r="C653" i="1"/>
  <c r="D323" i="10" s="1"/>
  <c r="C649" i="1"/>
  <c r="D319" i="10" s="1"/>
  <c r="C654" i="1"/>
  <c r="D324" i="10" s="1"/>
  <c r="C652" i="1"/>
  <c r="D322" i="10" s="1"/>
  <c r="D459" i="1"/>
  <c r="E459" i="1" s="1"/>
  <c r="C647" i="1" s="1"/>
  <c r="D317" i="10" s="1"/>
  <c r="D466" i="1"/>
  <c r="E466" i="1" s="1"/>
  <c r="I480" i="1"/>
  <c r="D130" i="10" s="1"/>
  <c r="I473" i="1"/>
  <c r="D132" i="10" s="1"/>
  <c r="I468" i="1"/>
  <c r="D131" i="10" s="1"/>
  <c r="I452" i="1"/>
  <c r="D148" i="10" s="1"/>
  <c r="I439" i="1"/>
  <c r="D146" i="10" s="1"/>
  <c r="I427" i="1"/>
  <c r="D127" i="10" s="1"/>
  <c r="I458" i="1" l="1"/>
  <c r="D129" i="10" s="1"/>
  <c r="C648" i="1"/>
  <c r="D318" i="10" s="1"/>
  <c r="E403" i="1"/>
  <c r="D399" i="1"/>
  <c r="E399" i="1" s="1"/>
  <c r="D398" i="1"/>
  <c r="E398" i="1" s="1"/>
  <c r="E389" i="1"/>
  <c r="D386" i="1"/>
  <c r="E386" i="1" s="1"/>
  <c r="D236" i="10" l="1"/>
  <c r="D234" i="10"/>
  <c r="D380" i="1" l="1"/>
  <c r="E380" i="1" s="1"/>
  <c r="C371" i="1"/>
  <c r="H370" i="1"/>
  <c r="B133" i="10" s="1"/>
  <c r="C34" i="1"/>
  <c r="D556" i="1" l="1"/>
  <c r="E534" i="1"/>
  <c r="C522" i="1"/>
  <c r="C521" i="1"/>
  <c r="C508" i="1"/>
  <c r="C504" i="1"/>
  <c r="C519" i="1"/>
  <c r="D519" i="1" s="1"/>
  <c r="E519" i="1" s="1"/>
  <c r="D586" i="1"/>
  <c r="E586" i="1" s="1"/>
  <c r="D567" i="1"/>
  <c r="E567" i="1" s="1"/>
  <c r="C568" i="1"/>
  <c r="D568" i="1" s="1"/>
  <c r="E568" i="1" s="1"/>
  <c r="C437" i="1"/>
  <c r="D437" i="1" s="1"/>
  <c r="E437" i="1" s="1"/>
  <c r="D436" i="1"/>
  <c r="E436" i="1" s="1"/>
  <c r="C536" i="1"/>
  <c r="D536" i="1" s="1"/>
  <c r="E536" i="1" s="1"/>
  <c r="C537" i="1"/>
  <c r="D537" i="1" s="1"/>
  <c r="E537" i="1" s="1"/>
  <c r="D409" i="1"/>
  <c r="E409" i="1" s="1"/>
  <c r="I409" i="1" s="1"/>
  <c r="D142" i="10" s="1"/>
  <c r="C405" i="1"/>
  <c r="D405" i="1" s="1"/>
  <c r="E405" i="1" s="1"/>
  <c r="C406" i="1"/>
  <c r="D406" i="1" s="1"/>
  <c r="E406" i="1" s="1"/>
  <c r="C501" i="1"/>
  <c r="D553" i="1"/>
  <c r="E553" i="1" s="1"/>
  <c r="D551" i="1"/>
  <c r="E551" i="1" s="1"/>
  <c r="C370" i="1"/>
  <c r="D422" i="1"/>
  <c r="E422" i="1" s="1"/>
  <c r="D420" i="1"/>
  <c r="E420" i="1" s="1"/>
  <c r="C526" i="1"/>
  <c r="D526" i="1" s="1"/>
  <c r="E526" i="1" s="1"/>
  <c r="C525" i="1"/>
  <c r="D525" i="1" s="1"/>
  <c r="E525" i="1" s="1"/>
  <c r="D522" i="1"/>
  <c r="E522" i="1" s="1"/>
  <c r="C516" i="1"/>
  <c r="D516" i="1" s="1"/>
  <c r="E516" i="1" s="1"/>
  <c r="D547" i="1"/>
  <c r="E547" i="1" s="1"/>
  <c r="C533" i="1"/>
  <c r="D533" i="1" s="1"/>
  <c r="E533" i="1" s="1"/>
  <c r="C524" i="1"/>
  <c r="D524" i="1" s="1"/>
  <c r="E524" i="1" s="1"/>
  <c r="D521" i="1"/>
  <c r="E521" i="1" s="1"/>
  <c r="C515" i="1"/>
  <c r="D515" i="1" s="1"/>
  <c r="E515" i="1" s="1"/>
  <c r="E556" i="1"/>
  <c r="I556" i="1" s="1"/>
  <c r="D153" i="10" s="1"/>
  <c r="D546" i="1"/>
  <c r="E546" i="1" s="1"/>
  <c r="C527" i="1"/>
  <c r="D527" i="1" s="1"/>
  <c r="E527" i="1" s="1"/>
  <c r="C513" i="1"/>
  <c r="C507" i="1"/>
  <c r="D507" i="1" s="1"/>
  <c r="E507" i="1" s="1"/>
  <c r="D504" i="1"/>
  <c r="E504" i="1" s="1"/>
  <c r="C506" i="1"/>
  <c r="D502" i="1"/>
  <c r="E502" i="1" s="1"/>
  <c r="D415" i="1"/>
  <c r="E415" i="1" s="1"/>
  <c r="C396" i="1"/>
  <c r="D396" i="1" s="1"/>
  <c r="E396" i="1" s="1"/>
  <c r="D391" i="1"/>
  <c r="E391" i="1" s="1"/>
  <c r="D388" i="1"/>
  <c r="E388" i="1" s="1"/>
  <c r="C385" i="1"/>
  <c r="D385" i="1" s="1"/>
  <c r="E385" i="1" s="1"/>
  <c r="C402" i="1"/>
  <c r="D402" i="1" s="1"/>
  <c r="E402" i="1" s="1"/>
  <c r="I402" i="1" s="1"/>
  <c r="D140" i="10" s="1"/>
  <c r="C393" i="1"/>
  <c r="D393" i="1" s="1"/>
  <c r="E393" i="1" s="1"/>
  <c r="D390" i="1"/>
  <c r="E390" i="1" s="1"/>
  <c r="C382" i="1"/>
  <c r="D416" i="1"/>
  <c r="E416" i="1" s="1"/>
  <c r="C394" i="1"/>
  <c r="D394" i="1" s="1"/>
  <c r="E394" i="1" s="1"/>
  <c r="C384" i="1"/>
  <c r="D384" i="1" s="1"/>
  <c r="E384" i="1" s="1"/>
  <c r="C395" i="1"/>
  <c r="D395" i="1" s="1"/>
  <c r="E395" i="1" s="1"/>
  <c r="C375" i="1"/>
  <c r="C376" i="1"/>
  <c r="D376" i="1" s="1"/>
  <c r="E376" i="1" s="1"/>
  <c r="D373" i="1"/>
  <c r="E373" i="1" s="1"/>
  <c r="E425" i="1"/>
  <c r="I425" i="1" s="1"/>
  <c r="D126" i="10" s="1"/>
  <c r="E455" i="1"/>
  <c r="D371" i="1"/>
  <c r="E371" i="1" s="1"/>
  <c r="I533" i="1" l="1"/>
  <c r="D167" i="10" s="1"/>
  <c r="I432" i="1"/>
  <c r="D145" i="10" s="1"/>
  <c r="I563" i="1"/>
  <c r="D172" i="10" s="1"/>
  <c r="I536" i="1"/>
  <c r="D168" i="10" s="1"/>
  <c r="I405" i="1"/>
  <c r="D141" i="10" s="1"/>
  <c r="I515" i="1"/>
  <c r="D163" i="10" s="1"/>
  <c r="I519" i="1"/>
  <c r="D164" i="10" s="1"/>
  <c r="I415" i="1"/>
  <c r="D144" i="10" s="1"/>
  <c r="D377" i="1"/>
  <c r="E377" i="1" s="1"/>
  <c r="D508" i="1"/>
  <c r="E508" i="1" s="1"/>
  <c r="I546" i="1"/>
  <c r="D171" i="10" s="1"/>
  <c r="I393" i="1"/>
  <c r="D138" i="10" s="1"/>
  <c r="I524" i="1"/>
  <c r="D165" i="10" s="1"/>
  <c r="D400" i="1"/>
  <c r="D375" i="1"/>
  <c r="E375" i="1" s="1"/>
  <c r="D506" i="1"/>
  <c r="E506" i="1" s="1"/>
  <c r="D531" i="1"/>
  <c r="E531" i="1" s="1"/>
  <c r="I529" i="1" s="1"/>
  <c r="D166" i="10" s="1"/>
  <c r="I384" i="1"/>
  <c r="D136" i="10" s="1"/>
  <c r="I388" i="1"/>
  <c r="D137" i="10" s="1"/>
  <c r="D379" i="1"/>
  <c r="E379" i="1" s="1"/>
  <c r="I375" i="1" l="1"/>
  <c r="D134" i="10" s="1"/>
  <c r="I506" i="1"/>
  <c r="D161" i="10" s="1"/>
  <c r="E203" i="1"/>
  <c r="E202" i="1"/>
  <c r="E201" i="1"/>
  <c r="E200" i="1"/>
  <c r="E205" i="1"/>
  <c r="E206" i="1"/>
  <c r="E207" i="1"/>
  <c r="E204" i="1"/>
  <c r="E208" i="1"/>
  <c r="H200" i="1"/>
  <c r="B185" i="10" s="1"/>
  <c r="D358" i="10"/>
  <c r="D357" i="10"/>
  <c r="D349" i="10"/>
  <c r="D348" i="10"/>
  <c r="D347" i="10"/>
  <c r="D355" i="10"/>
  <c r="D354" i="10"/>
  <c r="D353" i="10"/>
  <c r="D352" i="10"/>
  <c r="D350" i="10"/>
  <c r="D345" i="10"/>
  <c r="D344" i="10"/>
  <c r="D343" i="10"/>
  <c r="D315" i="10"/>
  <c r="D313" i="10"/>
  <c r="D312" i="10"/>
  <c r="D307" i="10"/>
  <c r="I200" i="1" l="1"/>
  <c r="D185" i="10" s="1"/>
  <c r="AA10" i="11" l="1"/>
  <c r="D188" i="1" s="1"/>
  <c r="S10" i="11"/>
  <c r="K10" i="11"/>
  <c r="C10" i="11"/>
  <c r="D552" i="1" l="1"/>
  <c r="E552" i="1" s="1"/>
  <c r="D421" i="1"/>
  <c r="E421" i="1" s="1"/>
  <c r="E188" i="1"/>
  <c r="H11" i="11"/>
  <c r="F42" i="11" s="1"/>
  <c r="C47" i="11"/>
  <c r="C46" i="11"/>
  <c r="C45" i="11"/>
  <c r="B45" i="11"/>
  <c r="B44" i="11"/>
  <c r="B43" i="11"/>
  <c r="B42" i="11"/>
  <c r="B41" i="11"/>
  <c r="B40" i="11"/>
  <c r="B47" i="11"/>
  <c r="B46" i="11"/>
  <c r="C44" i="11"/>
  <c r="C43" i="11"/>
  <c r="C42" i="11"/>
  <c r="C41" i="11"/>
  <c r="C40" i="11"/>
  <c r="P11" i="11"/>
  <c r="F34" i="11" s="1"/>
  <c r="C37" i="11"/>
  <c r="B37" i="11"/>
  <c r="C36" i="11"/>
  <c r="B36" i="11"/>
  <c r="C35" i="11"/>
  <c r="B35" i="11"/>
  <c r="C34" i="11"/>
  <c r="B34" i="11"/>
  <c r="C33" i="11"/>
  <c r="B33" i="11"/>
  <c r="C32" i="11"/>
  <c r="B32" i="11"/>
  <c r="C39" i="11"/>
  <c r="B39" i="11"/>
  <c r="C38" i="11"/>
  <c r="B38" i="11"/>
  <c r="X11" i="11"/>
  <c r="F26" i="11" s="1"/>
  <c r="C29" i="11"/>
  <c r="B29" i="11"/>
  <c r="C28" i="11"/>
  <c r="B28" i="11"/>
  <c r="C27" i="11"/>
  <c r="B27" i="11"/>
  <c r="C26" i="11"/>
  <c r="B26" i="11"/>
  <c r="C25" i="11"/>
  <c r="B25" i="11"/>
  <c r="C24" i="11"/>
  <c r="B24" i="11"/>
  <c r="C31" i="11"/>
  <c r="B31" i="11"/>
  <c r="C30" i="11"/>
  <c r="B30" i="11"/>
  <c r="AF11" i="11"/>
  <c r="F18" i="11" s="1"/>
  <c r="C21" i="11"/>
  <c r="B19" i="11"/>
  <c r="C20" i="11"/>
  <c r="B18" i="11"/>
  <c r="C19" i="11"/>
  <c r="C17" i="11"/>
  <c r="C18" i="11"/>
  <c r="B17" i="11"/>
  <c r="B23" i="11"/>
  <c r="C16" i="11"/>
  <c r="B22" i="11"/>
  <c r="B16" i="11"/>
  <c r="C23" i="11"/>
  <c r="B21" i="11"/>
  <c r="C22" i="11"/>
  <c r="B20" i="11"/>
  <c r="AG11" i="11"/>
  <c r="F17" i="11" s="1"/>
  <c r="AE11" i="11"/>
  <c r="F19" i="11" s="1"/>
  <c r="AA11" i="11"/>
  <c r="F23" i="11" s="1"/>
  <c r="AC11" i="11"/>
  <c r="F21" i="11" s="1"/>
  <c r="M11" i="11"/>
  <c r="F37" i="11" s="1"/>
  <c r="O11" i="11"/>
  <c r="F35" i="11" s="1"/>
  <c r="Q11" i="11"/>
  <c r="F33" i="11" s="1"/>
  <c r="K11" i="11"/>
  <c r="F39" i="11" s="1"/>
  <c r="E11" i="11"/>
  <c r="F45" i="11" s="1"/>
  <c r="I11" i="11"/>
  <c r="F41" i="11" s="1"/>
  <c r="U11" i="11"/>
  <c r="F29" i="11" s="1"/>
  <c r="Y11" i="11"/>
  <c r="F25" i="11" s="1"/>
  <c r="F11" i="11"/>
  <c r="F44" i="11" s="1"/>
  <c r="J11" i="11"/>
  <c r="F40" i="11" s="1"/>
  <c r="N11" i="11"/>
  <c r="F36" i="11" s="1"/>
  <c r="R11" i="11"/>
  <c r="F32" i="11" s="1"/>
  <c r="V11" i="11"/>
  <c r="F28" i="11" s="1"/>
  <c r="Z11" i="11"/>
  <c r="F24" i="11" s="1"/>
  <c r="AD11" i="11"/>
  <c r="F20" i="11" s="1"/>
  <c r="AH11" i="11"/>
  <c r="F16" i="11" s="1"/>
  <c r="C11" i="11"/>
  <c r="G11" i="11"/>
  <c r="F43" i="11" s="1"/>
  <c r="S11" i="11"/>
  <c r="W11" i="11"/>
  <c r="F27" i="11" s="1"/>
  <c r="D11" i="11"/>
  <c r="F46" i="11" s="1"/>
  <c r="L11" i="11"/>
  <c r="F38" i="11" s="1"/>
  <c r="T11" i="11"/>
  <c r="F30" i="11" s="1"/>
  <c r="AB11" i="11"/>
  <c r="F22" i="11" s="1"/>
  <c r="I549" i="1" l="1"/>
  <c r="D152" i="10" s="1"/>
  <c r="I418" i="1"/>
  <c r="D125" i="10" s="1"/>
  <c r="D223" i="10"/>
  <c r="D215" i="10"/>
  <c r="D207" i="10"/>
  <c r="D216" i="10"/>
  <c r="D193" i="10"/>
  <c r="D217" i="10"/>
  <c r="D209" i="10"/>
  <c r="D201" i="10"/>
  <c r="D194" i="10"/>
  <c r="D196" i="10"/>
  <c r="D204" i="10"/>
  <c r="D218" i="10"/>
  <c r="D210" i="10"/>
  <c r="D202" i="10"/>
  <c r="D195" i="10"/>
  <c r="D203" i="10"/>
  <c r="D198" i="10"/>
  <c r="D219" i="10"/>
  <c r="D211" i="10"/>
  <c r="D220" i="10"/>
  <c r="D212" i="10"/>
  <c r="D221" i="10"/>
  <c r="D213" i="10"/>
  <c r="D205" i="10"/>
  <c r="D222" i="10"/>
  <c r="D214" i="10"/>
  <c r="D206" i="10"/>
  <c r="D199" i="10"/>
  <c r="D208" i="10"/>
  <c r="D197" i="10"/>
  <c r="F31" i="11"/>
  <c r="D224" i="10" s="1"/>
  <c r="C12" i="11"/>
  <c r="F47" i="11"/>
  <c r="D200" i="10" s="1"/>
  <c r="H171" i="1" l="1"/>
  <c r="B81" i="10" s="1"/>
  <c r="E301" i="1" l="1"/>
  <c r="E314" i="1"/>
  <c r="I314" i="1" s="1"/>
  <c r="D96" i="10" s="1"/>
  <c r="H314" i="1"/>
  <c r="B96" i="10" s="1"/>
  <c r="E248" i="1" l="1"/>
  <c r="E247" i="1"/>
  <c r="E249" i="1"/>
  <c r="E250" i="1"/>
  <c r="E251" i="1"/>
  <c r="E252" i="1"/>
  <c r="H247" i="1"/>
  <c r="B69" i="10" s="1"/>
  <c r="E244" i="1"/>
  <c r="E245" i="1"/>
  <c r="E243" i="1"/>
  <c r="E242" i="1"/>
  <c r="E294" i="1"/>
  <c r="D154" i="1"/>
  <c r="D153" i="1"/>
  <c r="H242" i="1"/>
  <c r="B68" i="10" s="1"/>
  <c r="D280" i="1" l="1"/>
  <c r="C641" i="1"/>
  <c r="D311" i="10" s="1"/>
  <c r="C638" i="1"/>
  <c r="D308" i="10" s="1"/>
  <c r="C639" i="1"/>
  <c r="D309" i="10" s="1"/>
  <c r="C644" i="1"/>
  <c r="D314" i="10" s="1"/>
  <c r="I242" i="1"/>
  <c r="D68" i="10" s="1"/>
  <c r="I247" i="1"/>
  <c r="D69" i="10" s="1"/>
  <c r="D291" i="1"/>
  <c r="E77" i="1" l="1"/>
  <c r="E76" i="1"/>
  <c r="E75" i="1"/>
  <c r="H74" i="1"/>
  <c r="B104" i="10" s="1"/>
  <c r="E74" i="1"/>
  <c r="E89" i="1"/>
  <c r="D47" i="1"/>
  <c r="D292" i="1" l="1"/>
  <c r="D283" i="1"/>
  <c r="I74" i="1"/>
  <c r="D104" i="10" s="1"/>
  <c r="H169" i="1" l="1"/>
  <c r="B80" i="10" s="1"/>
  <c r="C544" i="1" l="1"/>
  <c r="D544" i="1" s="1"/>
  <c r="E544" i="1" s="1"/>
  <c r="I544" i="1" s="1"/>
  <c r="D170" i="10" s="1"/>
  <c r="C587" i="1"/>
  <c r="D587" i="1" s="1"/>
  <c r="E587" i="1" s="1"/>
  <c r="I586" i="1" s="1"/>
  <c r="D155" i="10" s="1"/>
  <c r="C456" i="1"/>
  <c r="D456" i="1" s="1"/>
  <c r="E456" i="1" s="1"/>
  <c r="I455" i="1" s="1"/>
  <c r="D128" i="10" s="1"/>
  <c r="C413" i="1"/>
  <c r="D413" i="1" s="1"/>
  <c r="E413" i="1" s="1"/>
  <c r="I413" i="1" s="1"/>
  <c r="D143" i="10" s="1"/>
  <c r="H310" i="1" l="1"/>
  <c r="B95" i="10" s="1"/>
  <c r="E312" i="1"/>
  <c r="E311" i="1"/>
  <c r="I310" i="1" l="1"/>
  <c r="D95" i="10" s="1"/>
  <c r="D216" i="1"/>
  <c r="D223" i="1" l="1"/>
  <c r="D82" i="1" l="1"/>
  <c r="D81" i="1"/>
  <c r="D65" i="1" l="1"/>
  <c r="D140" i="1" l="1"/>
  <c r="E140" i="1" s="1"/>
  <c r="D119" i="1"/>
  <c r="E103" i="1" l="1"/>
  <c r="E102" i="1"/>
  <c r="E101" i="1"/>
  <c r="E100" i="1"/>
  <c r="H100" i="1"/>
  <c r="I100" i="1" l="1"/>
  <c r="E297" i="1" l="1"/>
  <c r="E296" i="1"/>
  <c r="E295" i="1"/>
  <c r="H294" i="1"/>
  <c r="B93" i="10" s="1"/>
  <c r="H291" i="1"/>
  <c r="B89" i="10" s="1"/>
  <c r="E292" i="1"/>
  <c r="I294" i="1" l="1"/>
  <c r="D93" i="10" s="1"/>
  <c r="E177" i="1" l="1"/>
  <c r="D167" i="1"/>
  <c r="E167" i="1" s="1"/>
  <c r="D166" i="1"/>
  <c r="E166" i="1" s="1"/>
  <c r="D165" i="1"/>
  <c r="E165" i="1" s="1"/>
  <c r="H165" i="1"/>
  <c r="B79" i="10" s="1"/>
  <c r="H161" i="1"/>
  <c r="B78" i="10" s="1"/>
  <c r="E163" i="1"/>
  <c r="E240" i="1"/>
  <c r="E239" i="1"/>
  <c r="E238" i="1"/>
  <c r="E237" i="1"/>
  <c r="E236" i="1"/>
  <c r="E235" i="1"/>
  <c r="E234" i="1"/>
  <c r="E233" i="1"/>
  <c r="E227" i="1"/>
  <c r="E228" i="1"/>
  <c r="E229" i="1"/>
  <c r="E230" i="1"/>
  <c r="E231" i="1"/>
  <c r="E232" i="1"/>
  <c r="E223" i="1"/>
  <c r="E222" i="1"/>
  <c r="E221" i="1"/>
  <c r="E220" i="1"/>
  <c r="E219" i="1"/>
  <c r="E218" i="1"/>
  <c r="E217" i="1"/>
  <c r="E216" i="1"/>
  <c r="E215" i="1"/>
  <c r="D48" i="1"/>
  <c r="D54" i="1"/>
  <c r="E54" i="1" s="1"/>
  <c r="D53" i="1"/>
  <c r="E53" i="1" s="1"/>
  <c r="E46" i="1"/>
  <c r="E45" i="1"/>
  <c r="C118" i="1" l="1"/>
  <c r="D118" i="1" s="1"/>
  <c r="D135" i="1"/>
  <c r="D579" i="1"/>
  <c r="E579" i="1" s="1"/>
  <c r="I577" i="1" s="1"/>
  <c r="D174" i="10" s="1"/>
  <c r="D448" i="1"/>
  <c r="E448" i="1" s="1"/>
  <c r="I446" i="1" s="1"/>
  <c r="D147" i="10" s="1"/>
  <c r="D287" i="1"/>
  <c r="D381" i="1"/>
  <c r="E381" i="1" s="1"/>
  <c r="D512" i="1"/>
  <c r="E512" i="1" s="1"/>
  <c r="D501" i="1"/>
  <c r="E501" i="1" s="1"/>
  <c r="D382" i="1"/>
  <c r="E382" i="1" s="1"/>
  <c r="D513" i="1"/>
  <c r="E513" i="1" s="1"/>
  <c r="D370" i="1"/>
  <c r="E370" i="1" s="1"/>
  <c r="C372" i="1"/>
  <c r="C503" i="1"/>
  <c r="D503" i="1" s="1"/>
  <c r="E503" i="1" s="1"/>
  <c r="I227" i="1"/>
  <c r="D67" i="10" s="1"/>
  <c r="C636" i="1"/>
  <c r="D306" i="10" s="1"/>
  <c r="C640" i="1"/>
  <c r="D310" i="10" s="1"/>
  <c r="C635" i="1"/>
  <c r="D305" i="10" s="1"/>
  <c r="C634" i="1"/>
  <c r="D304" i="10" s="1"/>
  <c r="I215" i="1"/>
  <c r="I165" i="1"/>
  <c r="E400" i="1" l="1"/>
  <c r="I398" i="1" s="1"/>
  <c r="D139" i="10" s="1"/>
  <c r="D372" i="1"/>
  <c r="E372" i="1" s="1"/>
  <c r="I370" i="1" s="1"/>
  <c r="D133" i="10" s="1"/>
  <c r="I501" i="1"/>
  <c r="D160" i="10" s="1"/>
  <c r="I510" i="1"/>
  <c r="D162" i="10" s="1"/>
  <c r="I379" i="1"/>
  <c r="D135" i="10" s="1"/>
  <c r="D79" i="10"/>
  <c r="D66" i="10"/>
  <c r="D143" i="1"/>
  <c r="D50" i="1" l="1"/>
  <c r="D256" i="1" s="1"/>
  <c r="E256" i="1" s="1"/>
  <c r="I254" i="1" s="1"/>
  <c r="D61" i="10" s="1"/>
  <c r="D133" i="1" l="1"/>
  <c r="D134" i="1"/>
  <c r="H45" i="1" l="1"/>
  <c r="B56" i="10" s="1"/>
  <c r="D66" i="1"/>
  <c r="C27" i="1"/>
  <c r="D85" i="1"/>
  <c r="E91" i="1" l="1"/>
  <c r="D84" i="1"/>
  <c r="E84" i="1" s="1"/>
  <c r="D93" i="1"/>
  <c r="E93" i="1" s="1"/>
  <c r="E65" i="1"/>
  <c r="D86" i="1"/>
  <c r="E86" i="1" s="1"/>
  <c r="E92" i="1"/>
  <c r="E133" i="1"/>
  <c r="E81" i="1"/>
  <c r="H182" i="1"/>
  <c r="B84" i="10" s="1"/>
  <c r="E82" i="1"/>
  <c r="H80" i="1"/>
  <c r="B105" i="10" s="1"/>
  <c r="E159" i="1"/>
  <c r="E154" i="1"/>
  <c r="E153" i="1"/>
  <c r="H153" i="1"/>
  <c r="B76" i="10" s="1"/>
  <c r="H158" i="1"/>
  <c r="B77" i="10" s="1"/>
  <c r="H118" i="1"/>
  <c r="B99" i="10" s="1"/>
  <c r="H195" i="1"/>
  <c r="H89" i="1"/>
  <c r="B108" i="10" s="1"/>
  <c r="H84" i="1"/>
  <c r="B107" i="10" s="1"/>
  <c r="H65" i="1"/>
  <c r="B106" i="10" s="1"/>
  <c r="H62" i="1"/>
  <c r="B102" i="10" s="1"/>
  <c r="H308" i="1"/>
  <c r="B92" i="10" s="1"/>
  <c r="H305" i="1"/>
  <c r="B91" i="10" s="1"/>
  <c r="H299" i="1"/>
  <c r="B90" i="10" s="1"/>
  <c r="H285" i="1"/>
  <c r="B88" i="10" s="1"/>
  <c r="H278" i="1"/>
  <c r="B87" i="10" s="1"/>
  <c r="H174" i="1"/>
  <c r="B83" i="10" s="1"/>
  <c r="H147" i="1"/>
  <c r="B75" i="10" s="1"/>
  <c r="H142" i="1"/>
  <c r="B74" i="10" s="1"/>
  <c r="H138" i="1"/>
  <c r="B73" i="10" s="1"/>
  <c r="H133" i="1"/>
  <c r="B100" i="10" s="1"/>
  <c r="H127" i="1"/>
  <c r="B72" i="10" s="1"/>
  <c r="H122" i="1"/>
  <c r="B71" i="10" s="1"/>
  <c r="E118" i="1"/>
  <c r="E120" i="1"/>
  <c r="E119" i="1"/>
  <c r="H227" i="1"/>
  <c r="B67" i="10" s="1"/>
  <c r="H215" i="1"/>
  <c r="B66" i="10" s="1"/>
  <c r="E109" i="1"/>
  <c r="H109" i="1"/>
  <c r="B64" i="10" s="1"/>
  <c r="H113" i="1"/>
  <c r="B65" i="10" s="1"/>
  <c r="E114" i="1"/>
  <c r="H105" i="1"/>
  <c r="B59" i="10" s="1"/>
  <c r="D57" i="1"/>
  <c r="E57" i="1" s="1"/>
  <c r="D56" i="1"/>
  <c r="E56" i="1" s="1"/>
  <c r="D55" i="1"/>
  <c r="E55" i="1" s="1"/>
  <c r="E52" i="1"/>
  <c r="E51" i="1"/>
  <c r="E50" i="1"/>
  <c r="E49" i="1"/>
  <c r="E48" i="1"/>
  <c r="E47" i="1"/>
  <c r="D124" i="1"/>
  <c r="E195" i="1"/>
  <c r="E90" i="1"/>
  <c r="E63" i="1"/>
  <c r="E300" i="1"/>
  <c r="E282" i="1"/>
  <c r="E176" i="1"/>
  <c r="E197" i="1"/>
  <c r="E66" i="1"/>
  <c r="E303" i="1"/>
  <c r="E285" i="1"/>
  <c r="E62" i="1"/>
  <c r="E299" i="1"/>
  <c r="E281" i="1"/>
  <c r="E175" i="1"/>
  <c r="E85" i="1"/>
  <c r="E288" i="1"/>
  <c r="E308" i="1"/>
  <c r="I308" i="1" s="1"/>
  <c r="D92" i="10" s="1"/>
  <c r="E278" i="1"/>
  <c r="E306" i="1"/>
  <c r="E283" i="1"/>
  <c r="E289" i="1"/>
  <c r="E174" i="1"/>
  <c r="E279" i="1"/>
  <c r="E305" i="1"/>
  <c r="E287" i="1"/>
  <c r="E198" i="1"/>
  <c r="E67" i="1"/>
  <c r="E286" i="1"/>
  <c r="E196" i="1"/>
  <c r="E302" i="1"/>
  <c r="E87" i="1"/>
  <c r="E143" i="1"/>
  <c r="E134" i="1"/>
  <c r="C138" i="1" l="1"/>
  <c r="D138" i="1" s="1"/>
  <c r="E138" i="1" s="1"/>
  <c r="C122" i="1"/>
  <c r="D113" i="1"/>
  <c r="D111" i="1"/>
  <c r="E111" i="1" s="1"/>
  <c r="E135" i="1"/>
  <c r="E192" i="1"/>
  <c r="I192" i="1" s="1"/>
  <c r="D58" i="10" s="1"/>
  <c r="C179" i="1"/>
  <c r="D179" i="1" s="1"/>
  <c r="E179" i="1" s="1"/>
  <c r="C161" i="1"/>
  <c r="D161" i="1" s="1"/>
  <c r="E161" i="1" s="1"/>
  <c r="C150" i="1"/>
  <c r="D150" i="1" s="1"/>
  <c r="E150" i="1" s="1"/>
  <c r="C162" i="1"/>
  <c r="D162" i="1" s="1"/>
  <c r="E162" i="1" s="1"/>
  <c r="C149" i="1"/>
  <c r="D149" i="1" s="1"/>
  <c r="E149" i="1" s="1"/>
  <c r="C182" i="1"/>
  <c r="D182" i="1" s="1"/>
  <c r="E182" i="1" s="1"/>
  <c r="C158" i="1"/>
  <c r="D158" i="1" s="1"/>
  <c r="E158" i="1" s="1"/>
  <c r="D145" i="1"/>
  <c r="D142" i="1"/>
  <c r="E142" i="1" s="1"/>
  <c r="C128" i="1"/>
  <c r="C148" i="1"/>
  <c r="D148" i="1" s="1"/>
  <c r="E148" i="1" s="1"/>
  <c r="C136" i="1"/>
  <c r="C127" i="1"/>
  <c r="D125" i="1"/>
  <c r="C147" i="1"/>
  <c r="D147" i="1" s="1"/>
  <c r="E147" i="1" s="1"/>
  <c r="D144" i="1"/>
  <c r="E144" i="1" s="1"/>
  <c r="C139" i="1"/>
  <c r="D139" i="1" s="1"/>
  <c r="E139" i="1" s="1"/>
  <c r="C169" i="1"/>
  <c r="D169" i="1" s="1"/>
  <c r="E169" i="1" s="1"/>
  <c r="D122" i="1"/>
  <c r="E122" i="1" s="1"/>
  <c r="D189" i="1"/>
  <c r="E189" i="1" s="1"/>
  <c r="D187" i="1"/>
  <c r="E187" i="1" s="1"/>
  <c r="I185" i="1" s="1"/>
  <c r="D172" i="1"/>
  <c r="E172" i="1" s="1"/>
  <c r="D171" i="1"/>
  <c r="E171" i="1" s="1"/>
  <c r="I299" i="1"/>
  <c r="D90" i="10" s="1"/>
  <c r="D110" i="1"/>
  <c r="E110" i="1" s="1"/>
  <c r="D105" i="1"/>
  <c r="E105" i="1" s="1"/>
  <c r="D183" i="1"/>
  <c r="E183" i="1" s="1"/>
  <c r="D123" i="1"/>
  <c r="E123" i="1" s="1"/>
  <c r="E124" i="1"/>
  <c r="I45" i="1"/>
  <c r="D178" i="1"/>
  <c r="E178" i="1" s="1"/>
  <c r="D106" i="1"/>
  <c r="E106" i="1" s="1"/>
  <c r="D105" i="10"/>
  <c r="I195" i="1"/>
  <c r="I285" i="1"/>
  <c r="D88" i="10" s="1"/>
  <c r="I305" i="1"/>
  <c r="D91" i="10" s="1"/>
  <c r="I118" i="1"/>
  <c r="D99" i="10" s="1"/>
  <c r="I84" i="1"/>
  <c r="D107" i="10" s="1"/>
  <c r="I62" i="1"/>
  <c r="I65" i="1"/>
  <c r="I89" i="1"/>
  <c r="D128" i="1" l="1"/>
  <c r="E128" i="1" s="1"/>
  <c r="D136" i="1"/>
  <c r="E136" i="1" s="1"/>
  <c r="I133" i="1" s="1"/>
  <c r="D100" i="10" s="1"/>
  <c r="D129" i="1"/>
  <c r="E129" i="1" s="1"/>
  <c r="D155" i="1"/>
  <c r="E155" i="1" s="1"/>
  <c r="I153" i="1" s="1"/>
  <c r="D76" i="10" s="1"/>
  <c r="D127" i="1"/>
  <c r="E127" i="1" s="1"/>
  <c r="D57" i="10"/>
  <c r="I171" i="1"/>
  <c r="D81" i="10" s="1"/>
  <c r="D56" i="10"/>
  <c r="I158" i="1"/>
  <c r="I161" i="1"/>
  <c r="D106" i="10"/>
  <c r="D102" i="10"/>
  <c r="D108" i="10"/>
  <c r="I182" i="1"/>
  <c r="E145" i="1"/>
  <c r="E125" i="1"/>
  <c r="I147" i="1"/>
  <c r="I174" i="1"/>
  <c r="I138" i="1"/>
  <c r="I109" i="1"/>
  <c r="I105" i="1"/>
  <c r="I127" i="1" l="1"/>
  <c r="D72" i="10" s="1"/>
  <c r="D77" i="10"/>
  <c r="D78" i="10"/>
  <c r="D84" i="10"/>
  <c r="D83" i="10"/>
  <c r="D73" i="10"/>
  <c r="D64" i="10"/>
  <c r="D75" i="10"/>
  <c r="D59" i="10"/>
  <c r="I169" i="1"/>
  <c r="E291" i="1"/>
  <c r="I291" i="1" s="1"/>
  <c r="E280" i="1"/>
  <c r="I278" i="1" s="1"/>
  <c r="I142" i="1"/>
  <c r="I122" i="1"/>
  <c r="D89" i="10" l="1"/>
  <c r="D87" i="10"/>
  <c r="D74" i="10"/>
  <c r="D71" i="10"/>
  <c r="D80" i="10"/>
  <c r="E113" i="1"/>
  <c r="I113" i="1" s="1"/>
  <c r="D65" i="10" s="1"/>
  <c r="E96" i="1"/>
  <c r="I95" i="1" s="1"/>
  <c r="D109" i="10" s="1"/>
</calcChain>
</file>

<file path=xl/sharedStrings.xml><?xml version="1.0" encoding="utf-8"?>
<sst xmlns="http://schemas.openxmlformats.org/spreadsheetml/2006/main" count="2425" uniqueCount="1255">
  <si>
    <t>-</t>
  </si>
  <si>
    <t>Notes</t>
  </si>
  <si>
    <t>value from DDR data sheet (ns)</t>
  </si>
  <si>
    <t>Register name</t>
  </si>
  <si>
    <t>Register value (HEX)</t>
  </si>
  <si>
    <t>N/A</t>
  </si>
  <si>
    <t>bit setting within register</t>
  </si>
  <si>
    <t>control bit setting (decimal)</t>
  </si>
  <si>
    <t>Memory type:</t>
  </si>
  <si>
    <t>Memory part number:</t>
  </si>
  <si>
    <t>Device Information</t>
  </si>
  <si>
    <t>Clock Cycle Time (ns)</t>
  </si>
  <si>
    <t>Instructions</t>
  </si>
  <si>
    <t>LPDDR2</t>
  </si>
  <si>
    <t>Manufacturer:</t>
  </si>
  <si>
    <t xml:space="preserve">Shaded cells may require updating per the DRAM memory data sheet parameters. Certain registers should not need to be modified by the user. If a register is not provided then it is assumed this parameter is not to be changed per the provided initialization script.Certain registers are provided though they may be noted as recommended to not change. </t>
  </si>
  <si>
    <t>Legend</t>
  </si>
  <si>
    <t>On other tabs, this color indicates the cells that are affected by changes on the Register Configuration tab.</t>
  </si>
  <si>
    <t>On Register Configuration Tab, this color indicates the bitfields that would commonly require updating.</t>
  </si>
  <si>
    <t>Clock Cycle or Binary Setting</t>
  </si>
  <si>
    <t>Revision History</t>
  </si>
  <si>
    <t>On Register Configuration Tab, this color indicates the bitfields that may be updated, but should typically not require it.</t>
  </si>
  <si>
    <t>Automatically Updated Setting</t>
  </si>
  <si>
    <t>On Register Configuration Tab, this color indicates the bitfields that are updated automatically from setting provided in the "Device Information" table or other cells, and should not be changed manually</t>
  </si>
  <si>
    <t>2. Important, these fields need to be filled out correctly as these values are used later in this tool for register settings.</t>
  </si>
  <si>
    <r>
      <t>Number of Chip Selects used</t>
    </r>
    <r>
      <rPr>
        <vertAlign val="superscript"/>
        <sz val="10"/>
        <rFont val="Arial"/>
        <family val="2"/>
      </rPr>
      <t>2</t>
    </r>
  </si>
  <si>
    <r>
      <t>Number of ROW Addresses</t>
    </r>
    <r>
      <rPr>
        <vertAlign val="superscript"/>
        <sz val="10"/>
        <rFont val="Arial"/>
        <family val="2"/>
      </rPr>
      <t>2</t>
    </r>
  </si>
  <si>
    <r>
      <t>Number of COLUMN Addresses</t>
    </r>
    <r>
      <rPr>
        <vertAlign val="superscript"/>
        <sz val="10"/>
        <rFont val="Arial"/>
        <family val="2"/>
      </rPr>
      <t>2</t>
    </r>
  </si>
  <si>
    <r>
      <t>Number of BANKS</t>
    </r>
    <r>
      <rPr>
        <vertAlign val="superscript"/>
        <sz val="10"/>
        <rFont val="Arial"/>
        <family val="2"/>
      </rPr>
      <t>2</t>
    </r>
  </si>
  <si>
    <t>On Register Configuration Tab, an unshaded cell means that the value should remain as is and should not be modified. In these cases, the settings are provided for completeness.</t>
  </si>
  <si>
    <t>How to use the DRAM register programming aid outline</t>
  </si>
  <si>
    <t>Step 1. Obtain the desired DRAM data sheet from the DRAM vendor</t>
  </si>
  <si>
    <t xml:space="preserve">Step 2. Update the Device Information table to include the DRAM information and system usage </t>
  </si>
  <si>
    <t>Step 3. Go through the various shaded cells in the spread sheet to update with data from the DRAM sheet (take special note of the “Legend” table to ascertain the meaning of different shaded cells; in many cases, the cells may not need to be updated).</t>
  </si>
  <si>
    <t>Total DRAM density (Gb)</t>
  </si>
  <si>
    <t>LPDDR3</t>
  </si>
  <si>
    <t>DDRC_MSTR</t>
  </si>
  <si>
    <t>Description: Set to 1 when the uMCTL2 and DRAM has to be put in DLL-off mode for low frequency operation.
Set to 0 to put uMCTL2 and DRAM in DLL-on mode for normal frequency operation.
Value After Reset: 0x0</t>
  </si>
  <si>
    <t>DDRC_RFSHTMG</t>
  </si>
  <si>
    <t>Description: Wait period before driving the OCD complete command to SDRAM.
Unit: Counts of a global timer that pulses every 32 clock cycles.
There is no known specific requirement for this; it may be set to zero.
Value After Reset: 0x0</t>
  </si>
  <si>
    <t>DDRC_INIT1</t>
  </si>
  <si>
    <t>DDRC_INIT0</t>
  </si>
  <si>
    <t>DDRC_INIT4</t>
  </si>
  <si>
    <t>DDRC_INIT3</t>
  </si>
  <si>
    <t>DDRC_RANKCTL</t>
  </si>
  <si>
    <t>DDRC_DRAMTMG0</t>
  </si>
  <si>
    <t>DDRC_DRAMTMG1</t>
  </si>
  <si>
    <t>DDRC_DRAMTMG2</t>
  </si>
  <si>
    <t>DDRC_DRAMTMG3</t>
  </si>
  <si>
    <t>DDRC_DRAMTMG4</t>
  </si>
  <si>
    <t>DDRC_DRAMTMG5</t>
  </si>
  <si>
    <t>DDRC_ZQCTL0</t>
  </si>
  <si>
    <t>DDRC_DFITMG0</t>
  </si>
  <si>
    <t>DDRC_DFITMG1</t>
  </si>
  <si>
    <t>DDRC_DFIUPD0</t>
  </si>
  <si>
    <t>DDRC_DFIUPD1</t>
  </si>
  <si>
    <t>DDRC_DFIUPD2</t>
  </si>
  <si>
    <t>DDRC_ADDRMAP0</t>
  </si>
  <si>
    <t>DDRC_ADDRMAP1</t>
  </si>
  <si>
    <t>DDRC_ADDRMAP5</t>
  </si>
  <si>
    <t>DDRC_ODTMAP</t>
  </si>
  <si>
    <t>Description: Indicates which remote ODTs must be turned on during a write to rank 0.
Each rank has a remote ODT (in the SDRAM) which can be turned on by setting the appropriate bit here.
Rank 0 is controlled by the LSB; rank 1 is controlled by bit next to the LSB and so on.
For each rank, set its bit to 1 to enable its ODT.
Value After Reset: 0x1</t>
  </si>
  <si>
    <t>Description: Indicates which remote ODTs must be turned on during a read from rank 0.
Each rank has a remote ODT (in the SDRAM) which can be turned on by setting the appropriate bit here.
Rank 0 is controlled by the LSB; rank 1 is controlled by bit next to the LSB and so on.
For each rank, set its bit to 1 to enable its ODT.
Value After Reset: 0x1</t>
  </si>
  <si>
    <t>Description: Indicates which remote ODTs must be turned on during a read from rank 1.
Each rank has a remote ODT (in the SDRAM) which can be turned on by setting the appropriate bit here.
Rank 0 is controlled by the LSB; rank 1 is controlled by bit next to the LSB and so on.
For each rank, set its bit to 1 to enable its ODT.
Value After Reset: 0x2</t>
  </si>
  <si>
    <t>Description: Indicates which remote ODTs must be turned on during a write to rank 1.
Each rank has a remote ODT (in the SDRAM) which can be turned on by setting the appropriate bit here.
Rank 0 is controlled by the LSB; rank 1 is controlled by bit next to the LSB and so on.
For each rank, set its bit to 1 to enable its ODT.
Value After Reset: 0x2</t>
  </si>
  <si>
    <t>Description: Enables the support for acknowledging PHY-initiated updates:
■ 0 - Disabled
■ 1 - Enabled
Value After Reset: 0x1</t>
  </si>
  <si>
    <t>Description: This is the minimum amount of time between uMCTL2 initiated DFI update requests (which is executed whenever the uMCTL2 is idle).
Set this number higher to reduce the frequency of update requests, which can have a small impact on the latency of the first read request when the uMCTL2 is idle.
Unit: 1024 clocks
Value After Reset: 0x0</t>
  </si>
  <si>
    <t>Description: Specifies the maximum number of clock cycles that the dfi_ctrlupd_req signal can assert.
Lowest value to assign to this variable is 0x40.
Unit: Clocks
Value After Reset: 0x40</t>
  </si>
  <si>
    <t>Description: Specifies the minimum number of clock cycles that the dfi_ctrlupd_req signal must be asserted.
The uMCTL2 expects the PHY to respond within this time. If the PHY does not respond, the uMCTL2 de-asserts dfi_ctrlupd_req after dfi_t_ctrlup_min + 2 cycles.
Lowest value to assign to this variable is 0x3.
Unit: Clocks
Value After Reset: 0x3</t>
  </si>
  <si>
    <t>Description: Disable the automatic dfi_ctrlupd_req generation by the uMCTL2 following a self-refresh exit.
■ 1 - Disable the automatic dfi_ctrlupd_req generation by the uMCTL2 following a self-refresh exit. The core must issue the dfi_ctrlupd_req signal using register reg_ddrc_ctrlupd. .
■ 0 - uMCTL2 issues a dfi_ctrlupd_req after exiting self-refresh.
This register field is changeable on the fly.
Value After Reset: 0x0</t>
  </si>
  <si>
    <t>Description: Disable the automatic dfi_ctrlupd_req generation by the uMCTL2.
■ 1 - Disable the automatic dfi_ctrlupd_req generation by the uMCTL2. The core must issue the dfi_ctrlupd_req signal using register reg_ddrc_ctrlupd.
■ 0 - uMCTL2 issues dfi_ctrlupd_req periodically.
This register field is changeable on the fly.
Value After Reset: 0x0</t>
  </si>
  <si>
    <t>Description: Specifies the number of clock cycles between when dfi_wrdata_en is asserted to when the associated write data is driven on the dfi_wrdata signal.
This corresponds to the DFI timing parameter tphy_wrdata.
Refer to PHY specification for correct value.
Note, max supported value is 8.
Unit: Clocks
Value After Reset: 0x0</t>
  </si>
  <si>
    <t>Description: Disable Automatic ZQ Calibration
■ 1 - Disables uMCTL2 generation of ZQCS command. Register DBGCMD.zq_calib_short can be used instead to issue ZQ calibration request from APB module.
■ 0 - Internally generate ZQCS commands based on ZQCTL1.t_zq_short_interval_x1024.
Value After Reset: 0x0</t>
  </si>
  <si>
    <t>Description: Disable ZQCL command at Self-Refresh exit.
■ 1 - Disable issuing of ZQCL command at Self-Refresh exit.
■ 0 - Enable issuing of ZQCL command at Self-Refresh exit.
Value After Reset: 0x0</t>
  </si>
  <si>
    <t>Description: Shared ZQ resistor between ranks.
■ 1 - Denotes that ZQ resistor is shared between ranks. Means ZQinit/ZQCL/ZQCS commands are sent to one rank at a time with tZQinit/tZQCL/tZQCS timing met between commands so that commands to different ranks do not overlap.
■ 0 - ZQ resistor is not shared.
Value After Reset: 0x0</t>
  </si>
  <si>
    <t>DDRC timing parameter (DDR device timing parameter)</t>
  </si>
  <si>
    <t>DDRC Control Parameter</t>
  </si>
  <si>
    <t>Description: Selects the HIF address bit used as rank address bit 0.
Valid Range: 0 to 27, and 31
Internal Base: 6
The selected HIF address bit is determined by adding the internal base to the value of this field.
If set to 31, rank address bit 0 is set to 0.
Value After Reset: 0x0</t>
  </si>
  <si>
    <t>Description: Selects the HIF address bit used as bank address bit 2.
Valid Range: 0 to 29 and 31
Internal Base: 4
The selected HIF address bit is determined by adding the internal base to the value of this field.
If set to 31, bank address bit 2 is set to 0.
Value After Reset: 0x0</t>
  </si>
  <si>
    <t>Description: Selects the HIF address bits used as bank address bit 1.
Valid Range: 0 to 30
Internal Base: 3
The selected HIF address bit for each of the bank address bits is determined by adding the internal base to the value of this field.
Value After Reset: 0x0</t>
  </si>
  <si>
    <t>Description: Selects the HIF address bits used as bank address bit 0.
Valid Range: 0 to 30
Internal Base: 2
The selected HIF address bit for each of the bank address bits is determined by adding the internal base to the value of this field.
Value After Reset: 0x0</t>
  </si>
  <si>
    <t>Description: Selects the HIF address bit used as row address bit 11.
Valid Range: 0 to 11, and 15
Internal Base: 17
The selected HIF address bit is determined by adding the internal base to the value of this field.
If set to 15, row address bit 11 is set to 0.
Value After Reset: 0x0</t>
  </si>
  <si>
    <t>Description: Selects the HIF address bits used as row address bits 2 to 10.
Valid Range: 0 to 11
Internal Base: 8 (for row address bit 2), 9 (for row address bit 3), 10 (for row address bit 4) and so on, increasing to 16 (for row address bit 10)
The selected HIF address bit for each of the row address bits is determined by adding the internal base to the value of this field.
Value After Reset: 0x0</t>
  </si>
  <si>
    <t>Description: Selects the HIF address bits used as row address bit 1.
Valid Range: 0 to 11
Internal Base: 7
The selected HIF address bit for each of the row address bits is determined by adding the internal base to the value of this field.
Value After Reset: 0x0</t>
  </si>
  <si>
    <t>Description: Selects the HIF address bits used as row address bit 0.
Valid Range: 0 to 11
Internal Base: 6
The selected HIF address bit for each of the row address bits is determined by adding the internal base to the value of this field.
Value After Reset: 0x0</t>
  </si>
  <si>
    <t>Description: Selects the HIF address bit used as row address bit 15.
Valid Range: 0 to 11, and 15
Internal Base: 21
The selected HIF address bit is determined by adding the internal base to the value of this field.
If set to 15, row address bit 15 is set to 0.
Value After Reset: 0x0</t>
  </si>
  <si>
    <t>Description: Selects the HIF address bit used as row address bit 14.
Valid Range: 0 to 11, and 15
Internal Base: 20
The selected HIF address bit is determined by adding the internal base to the value of this field.
If set to 15, row address bit 14 is set to 0.
Value After Reset: 0x0</t>
  </si>
  <si>
    <t>Description: Selects the HIF address bit used as row address bit 13.
Valid Range: 0 to 11, and 15
Internal Base: 19
The selected HIF address bit is determined by adding the internal base to the value of this field.
If set to 15, row address bit 13 is set to 0.
Value After Reset: 0x0</t>
  </si>
  <si>
    <t>Description: Selects the HIF address bit used as row address bit 12.
Valid Range: 0 to 11, and 15
Internal Base: 18
The selected HIF address bit is determined by adding the internal base to the value of this field.
If set to 15, row address bit 12 is set to 0.
Value After Reset: 0x0</t>
  </si>
  <si>
    <t>Description: If lower bit is enabled the SDRAM initialization routine is skipped. The upper bit decides what state the controller starts up in when reset is removed
■ 00 - SDRAM Initialization routine is run after power-up
■ 01 - SDRAM Initialization routine is skipped after power-up. Controller starts up in Normal Mode
■ 11 - SDRAM Initialization routine is skipped after power-up. Controller starts up in Self-refresh Mode
■ 10 - SDRAM Initialization routine is run after power-up.
Value After Reset: 0x0</t>
  </si>
  <si>
    <t>Description: Only present for multi-rank configurations.
Background: Reads to the same rank can be performed back-to-back. Reads to different ranks require additional gap dictated by the register RANKCTL.diff_rank_rd_gap. This is to avoid possible data bus contention as well as to give PHY enough time to switch the delay when changing ranks. The uMCTL2 arbitrates for bus access on a cycle-by-cycle basis; therefore after a read is scheduled, there are few clock cycles (determined by the value on RANKCTL.diff_rank_rd_gap register) in which only reads from the same rank are eligible to be scheduled. This prevents reads from other ranks from having fair access to the data bus.
This parameter represents the maximum number of reads that can be scheduled consecutively to the same rank. After this number is reached, a delay equal to RANKCTL.diff_rank_rd_gap is inserted by the scheduler to allow all ranks a fair opportunity to be scheduled. Higher numbers increase bandwidth utilization, lower numbers increase fairness.
This feature can be DISABLED by setting this register to 0. When set to 0, the Controller stays on the same rank as long as commands are available for it.
Minimum programmable value is 0 (feature disabled) and maximum programmable value is 0xF.
FOR PERFORMANCE ONLY. Recommend leave as default.
Value After Reset: 0xf</t>
  </si>
  <si>
    <t>DDRC_DRAMTMG7</t>
  </si>
  <si>
    <t>DDRC_DRAMTMG6</t>
  </si>
  <si>
    <t>DDRC_ADDRMAP4</t>
  </si>
  <si>
    <t>DDRC_ZQCTL1</t>
  </si>
  <si>
    <r>
      <t>Number of BANK addresses</t>
    </r>
    <r>
      <rPr>
        <vertAlign val="superscript"/>
        <sz val="10"/>
        <rFont val="Arial"/>
        <family val="2"/>
      </rPr>
      <t>2</t>
    </r>
  </si>
  <si>
    <t>Reserved for future use. Set to zero as these bits are not write-able in this design.
Value After Reset: 0x0</t>
  </si>
  <si>
    <t>SKIP_DRAM_INIT</t>
  </si>
  <si>
    <t>POST_CKE_X1024</t>
  </si>
  <si>
    <t>PRE_CKE_X1024</t>
  </si>
  <si>
    <t>Number of DDRC Clock Cycles</t>
  </si>
  <si>
    <t>Number of DDR Clock Cycles or time (ns)</t>
  </si>
  <si>
    <t>WR2RD</t>
  </si>
  <si>
    <t>RD2WR</t>
  </si>
  <si>
    <t>WRITE_LATENCY</t>
  </si>
  <si>
    <t>READ_LATENCY</t>
  </si>
  <si>
    <t>T_XP</t>
  </si>
  <si>
    <t>RD2PRE</t>
  </si>
  <si>
    <t>T_MRW</t>
  </si>
  <si>
    <t>T_MRD</t>
  </si>
  <si>
    <t>T_MOD</t>
  </si>
  <si>
    <t>ACTIVE_RANKS</t>
  </si>
  <si>
    <t>BURST_RDWR</t>
  </si>
  <si>
    <t>DLL_OFF_MODE</t>
  </si>
  <si>
    <t>DATA_BUS_WIDTH</t>
  </si>
  <si>
    <t>BURSTCHOP</t>
  </si>
  <si>
    <t>BURST_MODE</t>
  </si>
  <si>
    <t>DDR3</t>
  </si>
  <si>
    <r>
      <rPr>
        <b/>
        <sz val="10"/>
        <color theme="1"/>
        <rFont val="Arial"/>
        <family val="2"/>
      </rPr>
      <t>Note, this information is automatically obtained from the Device Information table above.</t>
    </r>
    <r>
      <rPr>
        <sz val="10"/>
        <color theme="1"/>
        <rFont val="Arial"/>
        <family val="2"/>
      </rPr>
      <t xml:space="preserve">
Description: Select LPDDR3 SDRAM
■1 - LPDDR3 SDRAM device in use.
■0 - non-LPDDR3 device in use
Present only in designs configured to support LPDDR3.
Value After Reset: 0x0</t>
    </r>
  </si>
  <si>
    <r>
      <rPr>
        <b/>
        <sz val="10"/>
        <color theme="1"/>
        <rFont val="Arial"/>
        <family val="2"/>
      </rPr>
      <t>Note, this information is automatically obtained from the Device Information table above</t>
    </r>
    <r>
      <rPr>
        <sz val="10"/>
        <color theme="1"/>
        <rFont val="Arial"/>
        <family val="2"/>
      </rPr>
      <t>.
Description: Select LPDDR2 SDRAM
■1 - LPDDR2 SDRAM device in use.
■0 - non-LPDDR2 device in use
Present only in designs configured to support LPDDR2.
Value After Reset: 0x0</t>
    </r>
  </si>
  <si>
    <r>
      <rPr>
        <b/>
        <sz val="10"/>
        <color theme="1"/>
        <rFont val="Arial"/>
        <family val="2"/>
      </rPr>
      <t>Note, this information is automatically obtained from the Device Information table above.</t>
    </r>
    <r>
      <rPr>
        <sz val="10"/>
        <color theme="1"/>
        <rFont val="Arial"/>
        <family val="2"/>
      </rPr>
      <t xml:space="preserve">
Description: Select DDR3 SDRAM
■1 - DDR3 SDRAM device in use
■0 - non-DDR3 SDRAM device in use
Only present in designs that support DDR3.
Value After Reset: (MEMC_DDR3==1) ? 0x1 : 0x0</t>
    </r>
  </si>
  <si>
    <t>T_RCD</t>
  </si>
  <si>
    <t>T_CCD</t>
  </si>
  <si>
    <t>T_RRD</t>
  </si>
  <si>
    <t>T_RP</t>
  </si>
  <si>
    <t>T_CKSRX</t>
  </si>
  <si>
    <t>T_CKSRE</t>
  </si>
  <si>
    <t>T_CKCSX</t>
  </si>
  <si>
    <t>T_CKDPDX</t>
  </si>
  <si>
    <t>T_CKDPDE</t>
  </si>
  <si>
    <t>T_CKPDE</t>
  </si>
  <si>
    <t>T_CKPDX</t>
  </si>
  <si>
    <t>DRAM_RSTN_X1024</t>
  </si>
  <si>
    <t>PRE_OCD_X32</t>
  </si>
  <si>
    <t>T_RFC_NOM_X32</t>
  </si>
  <si>
    <t>T_RFC_MIN</t>
  </si>
  <si>
    <t>DIS_AUTO_ZQ</t>
  </si>
  <si>
    <t>DIS_SRX_ZQCL</t>
  </si>
  <si>
    <t>ZQ_RESISTOR_SHARED</t>
  </si>
  <si>
    <t>T_ZQ_LONG_NOP</t>
  </si>
  <si>
    <t>T_ZQ_SHORT_NOP</t>
  </si>
  <si>
    <t>T_ZQ_RESET_NOP</t>
  </si>
  <si>
    <t>T_ZQ_SHORT_INTERVAL_X1024</t>
  </si>
  <si>
    <t>DFI_T_CTRL_DELAY</t>
  </si>
  <si>
    <t>DFI_RDDATA_USE_SDR</t>
  </si>
  <si>
    <t>DFI_T_RDDDATA_EN</t>
  </si>
  <si>
    <t>DFI_WRDATA_USE_SDR</t>
  </si>
  <si>
    <t>DFI_TPHY_WRDATA</t>
  </si>
  <si>
    <t>DFI_TPHY_WRLAT</t>
  </si>
  <si>
    <t>DFI_T_WRDATA_DELAY</t>
  </si>
  <si>
    <t>DFI_T_DRAM_CLK_DISABLE</t>
  </si>
  <si>
    <t>DFI_T_DRAM_CLK_ENABLE</t>
  </si>
  <si>
    <t>DIS_AUTO_CTRLUPD</t>
  </si>
  <si>
    <t>DIS_AUTO_CTRLUPD_SRX</t>
  </si>
  <si>
    <t>DFI_T_CTRLUP_MAX</t>
  </si>
  <si>
    <t>DFI_T_CTRLUP_MIN</t>
  </si>
  <si>
    <t>DFI_T_CTRLUPD_INTERVAL_MIN_X1024</t>
  </si>
  <si>
    <t>DFI_T_CTRLUPD_INTERVAL_MAX_X1024</t>
  </si>
  <si>
    <t>DFI_PHYUPD_EN</t>
  </si>
  <si>
    <t>Description: Indicates burst mode.
0 - Sequential burst mode
1 - Interleaved burst mode (not supported in current design)
Value After Reset: 0x0</t>
  </si>
  <si>
    <t>The following ADDRMAP registers are automatically updated from the Device Information table above and should NOT be manually changed.</t>
  </si>
  <si>
    <t>ADDRMAP_CS_BIT1</t>
  </si>
  <si>
    <t>ADDRMAP_CS_BIT0</t>
  </si>
  <si>
    <t>ADDRMAP_BANK_B2</t>
  </si>
  <si>
    <t>ADDRMAP_BANK_B1</t>
  </si>
  <si>
    <t>ADDRMAP_BANK_B0</t>
  </si>
  <si>
    <t>ADDRMAP_COL_B11</t>
  </si>
  <si>
    <t>ADDRMAP_COL_B10</t>
  </si>
  <si>
    <t>ADDRMAP_ROW_B11</t>
  </si>
  <si>
    <t>ADDRMAP_ROW_B2_10</t>
  </si>
  <si>
    <t>ADDRMAP_ROW_B1</t>
  </si>
  <si>
    <t>ADDRMAP_ROW_B0</t>
  </si>
  <si>
    <t>ADDRMAP_ROW_B15</t>
  </si>
  <si>
    <t>ADDRMAP_ROW_B14</t>
  </si>
  <si>
    <t>ADDRMAP_ROW_B13</t>
  </si>
  <si>
    <t>ADDRMAP_ROW_B12</t>
  </si>
  <si>
    <t>The following registers are not recommended to be changed by the user</t>
  </si>
  <si>
    <t>The following register is not recommended to be changed by the user</t>
  </si>
  <si>
    <t>DIFF_RANK_WR_GAP</t>
  </si>
  <si>
    <t>DIFF_RANK_RD_GAP</t>
  </si>
  <si>
    <t>MAX_RANK_RD</t>
  </si>
  <si>
    <t>WR2PRE</t>
  </si>
  <si>
    <t>T_FAW</t>
  </si>
  <si>
    <t>T_RAS_MAX</t>
  </si>
  <si>
    <t>T_RAS_MIN</t>
  </si>
  <si>
    <t>(Automatically Calculated) Number of DDRC Clock Cycles</t>
  </si>
  <si>
    <t>RANK1_RD_ODT</t>
  </si>
  <si>
    <t>RANK1_WR_ODT</t>
  </si>
  <si>
    <t>RANK0_RD_ODT</t>
  </si>
  <si>
    <t>RANK0_WR_ODT</t>
  </si>
  <si>
    <t>Mode register programming - CONFIGURABLE BASED ON DRAM TYPE</t>
  </si>
  <si>
    <t>Mode Register Settings are the same for all Chip Selects. 
Look for the supported memory type and fill in the parameters for that memory type.</t>
  </si>
  <si>
    <t>Details:</t>
  </si>
  <si>
    <t>Version number
(Highest to Lowest)</t>
  </si>
  <si>
    <t>Latest Version Number</t>
  </si>
  <si>
    <t>The following register is automatically updated from the Device Information table above and should NOT be manually changed.</t>
  </si>
  <si>
    <r>
      <t>The following are to be completed in the "</t>
    </r>
    <r>
      <rPr>
        <i/>
        <sz val="11"/>
        <rFont val="Calibri"/>
        <family val="2"/>
      </rPr>
      <t>Register Configuration"</t>
    </r>
    <r>
      <rPr>
        <sz val="11"/>
        <rFont val="Calibri"/>
        <family val="2"/>
      </rPr>
      <t xml:space="preserve"> Worksheet tab.</t>
    </r>
  </si>
  <si>
    <t>This tool is configured to work with (enter board name):</t>
  </si>
  <si>
    <t>ENABLED</t>
  </si>
  <si>
    <t>DISABLED</t>
  </si>
  <si>
    <t>Description: Selects proportion of DQ bus width that is used by the SDRAM
■00 - Full DQ bus width to SDRAM 
■01 - Half DQ bus width to SDRAM
(The following bit settings are not implmented in this design)
■10 - Quarter DQ bus width to SDRAM
■11 - Reserved.
Value After Reset: 0x0</t>
  </si>
  <si>
    <t>DDRC_DRAMTMG14</t>
  </si>
  <si>
    <t>T_XSR</t>
  </si>
  <si>
    <t>LPDDR4</t>
  </si>
  <si>
    <t>DDR4</t>
  </si>
  <si>
    <t xml:space="preserve">Bus Width </t>
  </si>
  <si>
    <t>DEVICE_CONFIG</t>
  </si>
  <si>
    <r>
      <rPr>
        <b/>
        <sz val="10"/>
        <color theme="1"/>
        <rFont val="Arial"/>
        <family val="2"/>
      </rPr>
      <t>Note, this information is automatically obtained from the Device Information table above.</t>
    </r>
    <r>
      <rPr>
        <sz val="10"/>
        <color theme="1"/>
        <rFont val="Arial"/>
        <family val="2"/>
      </rPr>
      <t xml:space="preserve">
Description: Maps the Chip Selects in use.
Only the following bit configurations are legal:
■ 01 - for one rank (CS0 populated)
■ 11 - for two ranks (CS1 and CS0 populated)
Value After Reset: 0x3</t>
    </r>
  </si>
  <si>
    <t>FREQUENCY_MODE</t>
  </si>
  <si>
    <t>Description: When set, enable burst-chop in DDR3/DDR4. This is only supported in AXI bus configurations (UMCTL2_INCL_ARB not set) using full bus width mode (MSTR.data_bus_width = 00).
■ 0 - Disabled.
■ 1 - Burst-Chop enabled.
Value After Reset: 0x0</t>
  </si>
  <si>
    <r>
      <rPr>
        <b/>
        <sz val="10"/>
        <color theme="1"/>
        <rFont val="Arial"/>
        <family val="2"/>
      </rPr>
      <t>Note, this information is automatically obtained from the Device Information table above.</t>
    </r>
    <r>
      <rPr>
        <sz val="10"/>
        <color theme="1"/>
        <rFont val="Arial"/>
        <family val="2"/>
      </rPr>
      <t xml:space="preserve">
Description: Select LPDDR4 SDRAM
■1 - LPDDR4 SDRAM device in use.
■0 - non-LPDDR4 device in use
Present only in designs configured to support LPDDR4.
Value After Reset: 0x0</t>
    </r>
  </si>
  <si>
    <r>
      <rPr>
        <b/>
        <sz val="10"/>
        <color theme="1"/>
        <rFont val="Arial"/>
        <family val="2"/>
      </rPr>
      <t>Note, this information is automatically obtained from the Device Information table above.</t>
    </r>
    <r>
      <rPr>
        <sz val="10"/>
        <color theme="1"/>
        <rFont val="Arial"/>
        <family val="2"/>
      </rPr>
      <t xml:space="preserve">
Description: Select DDR4 SDRAM
■1 - DDR4 SDRAM device in use.
■0 - non-DDR4 device in use
Present only in designs configured to support DDR4.
Value After Reset: 0x0</t>
    </r>
  </si>
  <si>
    <r>
      <t xml:space="preserve">Description: SDRAM burst length used:
■0001 - Reserved.
</t>
    </r>
    <r>
      <rPr>
        <b/>
        <sz val="10"/>
        <color theme="1"/>
        <rFont val="Arial"/>
        <family val="2"/>
      </rPr>
      <t>■0010 - Burst length of 4 (recommended for LPDDR2)</t>
    </r>
    <r>
      <rPr>
        <sz val="10"/>
        <color theme="1"/>
        <rFont val="Arial"/>
        <family val="2"/>
      </rPr>
      <t xml:space="preserve">
■</t>
    </r>
    <r>
      <rPr>
        <b/>
        <sz val="10"/>
        <color theme="1"/>
        <rFont val="Arial"/>
        <family val="2"/>
      </rPr>
      <t>0100 - Burst length of 8 (recommended for DDR4/DDR3/LPDDR3)</t>
    </r>
    <r>
      <rPr>
        <sz val="10"/>
        <color theme="1"/>
        <rFont val="Arial"/>
        <family val="2"/>
      </rPr>
      <t xml:space="preserve">
■</t>
    </r>
    <r>
      <rPr>
        <b/>
        <sz val="10"/>
        <color theme="1"/>
        <rFont val="Arial"/>
        <family val="2"/>
      </rPr>
      <t>1000 - Burst length of 16 (recommended for LPDDR4)</t>
    </r>
    <r>
      <rPr>
        <sz val="10"/>
        <color theme="1"/>
        <rFont val="Arial"/>
        <family val="2"/>
      </rPr>
      <t xml:space="preserve">
All other values are reserved.
This controls the burst size used to access the SDRAM. This must match the burst length mode register setting in the SDRAM. 
Value After Reset: 0x4</t>
    </r>
  </si>
  <si>
    <t>DDRC_INIT1 is used only for DDR3/LPDDR4 configurations and can be left as is for LPDDR3/LPDDR2. In either case, it is not recommended to change these settings.</t>
  </si>
  <si>
    <r>
      <rPr>
        <b/>
        <sz val="10"/>
        <rFont val="Arial"/>
        <family val="2"/>
      </rPr>
      <t>LPDDR4 MR1:</t>
    </r>
    <r>
      <rPr>
        <sz val="10"/>
        <rFont val="Arial"/>
        <family val="2"/>
      </rPr>
      <t xml:space="preserve">
Read Pre-amble Type
0B: RD Pre-amble = Static (default)
1B: RD Pre-amble = Toggle</t>
    </r>
  </si>
  <si>
    <r>
      <rPr>
        <b/>
        <sz val="10"/>
        <rFont val="Arial"/>
        <family val="2"/>
      </rPr>
      <t>LPDDR4 MR1:</t>
    </r>
    <r>
      <rPr>
        <sz val="10"/>
        <rFont val="Arial"/>
        <family val="2"/>
      </rPr>
      <t xml:space="preserve">
Write Pre-amble Length
0B: Reserved
1B: WR Pre-amble = 2*tCK</t>
    </r>
  </si>
  <si>
    <r>
      <rPr>
        <b/>
        <sz val="10"/>
        <rFont val="Arial"/>
        <family val="2"/>
      </rPr>
      <t>LPDDR4 MR1:</t>
    </r>
    <r>
      <rPr>
        <sz val="10"/>
        <rFont val="Arial"/>
        <family val="2"/>
      </rPr>
      <t xml:space="preserve">
Burst Length
00B: BL=16 Sequential (default)
01B: BL=32 Sequential
10B: BL=16 or 32 Sequential (on-the-fly)
All Others: Reserved</t>
    </r>
  </si>
  <si>
    <r>
      <rPr>
        <b/>
        <sz val="10"/>
        <rFont val="Arial"/>
        <family val="2"/>
      </rPr>
      <t>LPDDR4 MR2:</t>
    </r>
    <r>
      <rPr>
        <sz val="10"/>
        <rFont val="Arial"/>
        <family val="2"/>
      </rPr>
      <t xml:space="preserve">
Enable write leveling
0B: Disabled (default)
1B: Enabled</t>
    </r>
  </si>
  <si>
    <r>
      <rPr>
        <b/>
        <sz val="10"/>
        <rFont val="Arial"/>
        <family val="2"/>
      </rPr>
      <t>LPDDR4 MR2:</t>
    </r>
    <r>
      <rPr>
        <sz val="10"/>
        <rFont val="Arial"/>
        <family val="2"/>
      </rPr>
      <t xml:space="preserve">
Write latency set: MR2 OP[6] setting
0B: WL set "A" (default)
1B: WL set "B"</t>
    </r>
  </si>
  <si>
    <r>
      <t xml:space="preserve">LPDDR4 MR3:
</t>
    </r>
    <r>
      <rPr>
        <sz val="10"/>
        <rFont val="Arial"/>
        <family val="2"/>
      </rPr>
      <t>DBI-WR</t>
    </r>
    <r>
      <rPr>
        <b/>
        <sz val="10"/>
        <rFont val="Arial"/>
        <family val="2"/>
      </rPr>
      <t xml:space="preserve">
</t>
    </r>
    <r>
      <rPr>
        <sz val="10"/>
        <rFont val="Arial"/>
        <family val="2"/>
      </rPr>
      <t>0B: Disabled (default)
1B: Enabled</t>
    </r>
  </si>
  <si>
    <r>
      <t xml:space="preserve">LPDDR4 MR3:
</t>
    </r>
    <r>
      <rPr>
        <sz val="10"/>
        <rFont val="Arial"/>
        <family val="2"/>
      </rPr>
      <t>DBI-RD</t>
    </r>
    <r>
      <rPr>
        <b/>
        <sz val="10"/>
        <rFont val="Arial"/>
        <family val="2"/>
      </rPr>
      <t xml:space="preserve">
</t>
    </r>
    <r>
      <rPr>
        <sz val="10"/>
        <rFont val="Arial"/>
        <family val="2"/>
      </rPr>
      <t>0B: Disabled (default)
1B: Enabled</t>
    </r>
  </si>
  <si>
    <r>
      <t xml:space="preserve">LPDDR4 MR3:
</t>
    </r>
    <r>
      <rPr>
        <sz val="10"/>
        <rFont val="Arial"/>
        <family val="2"/>
      </rPr>
      <t>PDDS</t>
    </r>
    <r>
      <rPr>
        <b/>
        <sz val="10"/>
        <rFont val="Arial"/>
        <family val="2"/>
      </rPr>
      <t xml:space="preserve">
</t>
    </r>
    <r>
      <rPr>
        <sz val="10"/>
        <rFont val="Arial"/>
        <family val="2"/>
      </rPr>
      <t>000B: RFU
001B: RZQ/1
010B: RZQ/2
011B: RZQ/3
100B: RZQ/4
101B: RZQ/5
110B: RZQ/6 (default)
111B: Reserved</t>
    </r>
  </si>
  <si>
    <r>
      <t xml:space="preserve">LPDDR4 MR3:
</t>
    </r>
    <r>
      <rPr>
        <sz val="10"/>
        <rFont val="Arial"/>
        <family val="2"/>
      </rPr>
      <t>PPRP
0B: PPR protection disabled (default)
1B: PPR protection enabled</t>
    </r>
  </si>
  <si>
    <r>
      <t xml:space="preserve">LPDDR4 MR3:
</t>
    </r>
    <r>
      <rPr>
        <sz val="10"/>
        <rFont val="Arial"/>
        <family val="2"/>
      </rPr>
      <t>WR PST
0B: WR Post-amble = 0.5*tCK (default)
1B: WR Post-amble = 1.5*tCK(Vendor specific
function)</t>
    </r>
  </si>
  <si>
    <r>
      <t xml:space="preserve">LPDDR4 MR3:
</t>
    </r>
    <r>
      <rPr>
        <sz val="10"/>
        <rFont val="Arial"/>
        <family val="2"/>
      </rPr>
      <t>PU-CAL
0B: VDDQ/2.5
1B: VDDQ/3 (default)</t>
    </r>
  </si>
  <si>
    <r>
      <t xml:space="preserve">LPDDR4 MR13:
</t>
    </r>
    <r>
      <rPr>
        <sz val="10"/>
        <rFont val="Arial"/>
        <family val="2"/>
      </rPr>
      <t>FSP-OP
0B: Frequency-Set-Point[0] (default)
1B: Frequency-Set-Point [1]</t>
    </r>
  </si>
  <si>
    <r>
      <t xml:space="preserve">LPDDR4 MR13:
</t>
    </r>
    <r>
      <rPr>
        <sz val="10"/>
        <rFont val="Arial"/>
        <family val="2"/>
      </rPr>
      <t>FSP-WR</t>
    </r>
    <r>
      <rPr>
        <b/>
        <sz val="10"/>
        <rFont val="Arial"/>
        <family val="2"/>
      </rPr>
      <t xml:space="preserve">
</t>
    </r>
    <r>
      <rPr>
        <sz val="10"/>
        <rFont val="Arial"/>
        <family val="2"/>
      </rPr>
      <t>0B: Frequency-Set-Point[0] (default)
1B: Frequency-Set-Point [1]</t>
    </r>
  </si>
  <si>
    <r>
      <t xml:space="preserve">LPDDR4 MR13:
</t>
    </r>
    <r>
      <rPr>
        <sz val="10"/>
        <rFont val="Arial"/>
        <family val="2"/>
      </rPr>
      <t>DMD</t>
    </r>
    <r>
      <rPr>
        <b/>
        <sz val="10"/>
        <rFont val="Arial"/>
        <family val="2"/>
      </rPr>
      <t xml:space="preserve">
</t>
    </r>
    <r>
      <rPr>
        <sz val="10"/>
        <rFont val="Arial"/>
        <family val="2"/>
      </rPr>
      <t>0B: Data Mask Operation Enabled (default)
1B: Data Mask Operation Disabled</t>
    </r>
  </si>
  <si>
    <r>
      <t xml:space="preserve">LPDDR4 MR13:
</t>
    </r>
    <r>
      <rPr>
        <sz val="10"/>
        <rFont val="Arial"/>
        <family val="2"/>
      </rPr>
      <t>RRO</t>
    </r>
    <r>
      <rPr>
        <b/>
        <sz val="10"/>
        <rFont val="Arial"/>
        <family val="2"/>
      </rPr>
      <t xml:space="preserve">
</t>
    </r>
    <r>
      <rPr>
        <sz val="10"/>
        <rFont val="Arial"/>
        <family val="2"/>
      </rPr>
      <t>0B: Disable codes 001 and 010 in MR4 OP[2:0]
1B: Enable all codes in MR4 OP[2:0]</t>
    </r>
  </si>
  <si>
    <r>
      <t xml:space="preserve">LPDDR4 MR13:
</t>
    </r>
    <r>
      <rPr>
        <sz val="10"/>
        <rFont val="Arial"/>
        <family val="2"/>
      </rPr>
      <t>VRO</t>
    </r>
    <r>
      <rPr>
        <b/>
        <sz val="10"/>
        <rFont val="Arial"/>
        <family val="2"/>
      </rPr>
      <t xml:space="preserve">
</t>
    </r>
    <r>
      <rPr>
        <sz val="10"/>
        <rFont val="Arial"/>
        <family val="2"/>
      </rPr>
      <t>0B: Normal operation (default)
1B: Output the VREF(ca) and VREF(dq) values on DQ bits</t>
    </r>
  </si>
  <si>
    <r>
      <t xml:space="preserve">LPDDR4 MR13:
</t>
    </r>
    <r>
      <rPr>
        <sz val="10"/>
        <rFont val="Arial"/>
        <family val="2"/>
      </rPr>
      <t>RPT</t>
    </r>
    <r>
      <rPr>
        <b/>
        <sz val="10"/>
        <rFont val="Arial"/>
        <family val="2"/>
      </rPr>
      <t xml:space="preserve">
</t>
    </r>
    <r>
      <rPr>
        <sz val="10"/>
        <rFont val="Arial"/>
        <family val="2"/>
      </rPr>
      <t>0B : Disable (default)
1B : Enable</t>
    </r>
  </si>
  <si>
    <r>
      <t xml:space="preserve">LPDDR4 MR13:
</t>
    </r>
    <r>
      <rPr>
        <sz val="10"/>
        <rFont val="Arial"/>
        <family val="2"/>
      </rPr>
      <t>CBT
0B: Normal Operation (default)
1B: Command Bus Training Mode Enabled</t>
    </r>
  </si>
  <si>
    <t>DDRC_DRAMTMG6 is used only for LPDDR4/LPDDR3/LPDDR2 configurations and can be left as is for other memory types In either case, it is not recommended to change these settings.</t>
  </si>
  <si>
    <t>DDRC_DRAMTMG7 is used only for LPDDR4/LPDDR3/LPDDR2 configurations and can be left as is for other memory types. In either case, it is not recommended to change these settings.</t>
  </si>
  <si>
    <t>T_CMDCKE</t>
  </si>
  <si>
    <t>T_MRD_PDA</t>
  </si>
  <si>
    <t>DDRC_DRAMTMG12</t>
  </si>
  <si>
    <t>ODTLOFF</t>
  </si>
  <si>
    <t>T_CCD_MW</t>
  </si>
  <si>
    <t>T_PPD</t>
  </si>
  <si>
    <t>DDRC_DRAMTMG13</t>
  </si>
  <si>
    <t>DIS_MPSMX_ZQCL</t>
  </si>
  <si>
    <t>Description:
■1 - Disable issuing of ZQCL command at Maximum Power Saving Mode exit. Only applicable when run in DDR4 mode.
■0 - Enable issuing of ZQCL command at Maximum Power Saving Mode exit. Only applicable when run in DDR4 mode.
This is only present for designs supporting DDR4 devices.</t>
  </si>
  <si>
    <t>DFI_T_CMD_LAT</t>
  </si>
  <si>
    <t>Description: Specifies the number of DFI PHY clocks between when the dfi_cs signal is asserted and when the associated command is driven. This field is used for CAL mode, should be set to '0' or the value which matches the CAL mode register setting in the DRAM.
If the PHY can add the latency for CAL mode, this should be set to '0'.
Valid Range: 0, 3, 4, 5, 6, and 8
Value After Reset: 0x0</t>
  </si>
  <si>
    <t>DFI_T_PARIN_LAT</t>
  </si>
  <si>
    <t>Description: Specifies the number of DFI PHY clocks between when the dfi_cs signal is asserted and when the associated dfi_parity_in signal is driven.
Value After Reset: 0x0</t>
  </si>
  <si>
    <t>DDRC_DFITMG2</t>
  </si>
  <si>
    <t>DFI_TPHY_RDCSLAT</t>
  </si>
  <si>
    <t>DFI_TPHY_WRCSLAT</t>
  </si>
  <si>
    <t>DDRC_DFIMISC</t>
  </si>
  <si>
    <t>DFI_DATA_CS_POLARITY</t>
  </si>
  <si>
    <t>PHY_DBI_MODE</t>
  </si>
  <si>
    <t>DFI_INIT_COMPLETE_EN</t>
  </si>
  <si>
    <t>Description: Defines polarity of dfi_wrdata_cs and dfi_rddata_cs signals.
■0: Signals are active low
■1: Signals are active high
Value After Reset: 0x0</t>
  </si>
  <si>
    <t>Description: DBI implemented in DDRC or PHY.
■0 - DDRC implements DBI functionality.
■1 - PHY implements DBI functionality. Present only in designs configured to support DDR4 and LPDDR4.
Value After Reset: 0x0</t>
  </si>
  <si>
    <t>Description: PHY initialization complete enable signal.
When asserted the dfi_init_complete signal can be used to trigger SDRAM initialization
Value After Reset: 0x1</t>
  </si>
  <si>
    <t>Description: This is the maximum amount of time between uMCTL2 initiated DFI update requests.
This timer resets with each update request; when the timer expires dfi_ctrlupd_req is sent and traffic is blocked until the dfi_ctrlupd_ackx is received. PHY can use this idle time to recalibrate the delay lines to the DLLs. The DFI controller update is also used to reset PHY FIFO pointers in case of data capture errors. Updates are required to maintain calibration over PVT, but frequent updates may impact performance.
Note: Value programmed for DFIUPD1.dfi_t_ctrlupd_interval_max_x1024 must be greater than DFIUPD1.dfi_t_ctrlupd_interval_min_x1024.
Unit: 1024 clocks
Value After Reset: 0x0</t>
  </si>
  <si>
    <t>DDRC MR and EMR:
LPDDR4/LPDDR3/LPDDR2 MR1 and MR2 Register Settings
or
DDR3 MR0 and MR1 Register Settings</t>
  </si>
  <si>
    <t>DDRC EMR and EMR3:
LPDDR4/LPDDR3/LPDDR2 MR3 Register Settings 
or
DDR3 MR2 and MR3 Register Settings</t>
  </si>
  <si>
    <r>
      <rPr>
        <b/>
        <sz val="10"/>
        <rFont val="Arial"/>
        <family val="2"/>
      </rPr>
      <t>MR</t>
    </r>
    <r>
      <rPr>
        <sz val="10"/>
        <rFont val="Arial"/>
        <family val="2"/>
      </rPr>
      <t xml:space="preserve">
LPDDR4 </t>
    </r>
    <r>
      <rPr>
        <b/>
        <sz val="10"/>
        <rFont val="Arial"/>
        <family val="2"/>
      </rPr>
      <t>MR1:</t>
    </r>
    <r>
      <rPr>
        <sz val="10"/>
        <rFont val="Arial"/>
        <family val="2"/>
      </rPr>
      <t xml:space="preserve"> RPST (RD Post-Amble Length)</t>
    </r>
  </si>
  <si>
    <r>
      <rPr>
        <b/>
        <sz val="10"/>
        <rFont val="Arial"/>
        <family val="2"/>
      </rPr>
      <t>MR</t>
    </r>
    <r>
      <rPr>
        <sz val="10"/>
        <rFont val="Arial"/>
        <family val="2"/>
      </rPr>
      <t xml:space="preserve">
LPDDR4 </t>
    </r>
    <r>
      <rPr>
        <b/>
        <sz val="10"/>
        <rFont val="Arial"/>
        <family val="2"/>
      </rPr>
      <t>MR1:</t>
    </r>
    <r>
      <rPr>
        <sz val="10"/>
        <rFont val="Arial"/>
        <family val="2"/>
      </rPr>
      <t xml:space="preserve"> nWR (Write-Recovery for Auto-Pre-charge commands)</t>
    </r>
  </si>
  <si>
    <r>
      <rPr>
        <b/>
        <sz val="10"/>
        <rFont val="Arial"/>
        <family val="2"/>
      </rPr>
      <t>MR</t>
    </r>
    <r>
      <rPr>
        <sz val="10"/>
        <rFont val="Arial"/>
        <family val="2"/>
      </rPr>
      <t xml:space="preserve">
LPDDR4 </t>
    </r>
    <r>
      <rPr>
        <b/>
        <sz val="10"/>
        <rFont val="Arial"/>
        <family val="2"/>
      </rPr>
      <t>MR1:</t>
    </r>
    <r>
      <rPr>
        <sz val="10"/>
        <rFont val="Arial"/>
        <family val="2"/>
      </rPr>
      <t xml:space="preserve"> RD-PRE (RD Pre-amble Type)</t>
    </r>
  </si>
  <si>
    <r>
      <rPr>
        <b/>
        <sz val="10"/>
        <rFont val="Arial"/>
        <family val="2"/>
      </rPr>
      <t>MR</t>
    </r>
    <r>
      <rPr>
        <sz val="10"/>
        <rFont val="Arial"/>
        <family val="2"/>
      </rPr>
      <t xml:space="preserve">
LPDDR4 </t>
    </r>
    <r>
      <rPr>
        <b/>
        <sz val="10"/>
        <rFont val="Arial"/>
        <family val="2"/>
      </rPr>
      <t>MR1:</t>
    </r>
    <r>
      <rPr>
        <sz val="10"/>
        <rFont val="Arial"/>
        <family val="2"/>
      </rPr>
      <t xml:space="preserve"> WR-PRE (WR Pre-amble Length)</t>
    </r>
  </si>
  <si>
    <r>
      <rPr>
        <b/>
        <sz val="10"/>
        <rFont val="Arial"/>
        <family val="2"/>
      </rPr>
      <t>MR</t>
    </r>
    <r>
      <rPr>
        <sz val="10"/>
        <rFont val="Arial"/>
        <family val="2"/>
      </rPr>
      <t xml:space="preserve">
LPDDR4 </t>
    </r>
    <r>
      <rPr>
        <b/>
        <sz val="10"/>
        <rFont val="Arial"/>
        <family val="2"/>
      </rPr>
      <t>MR1:</t>
    </r>
    <r>
      <rPr>
        <sz val="10"/>
        <rFont val="Arial"/>
        <family val="2"/>
      </rPr>
      <t xml:space="preserve"> BL (Burst Length)</t>
    </r>
  </si>
  <si>
    <r>
      <rPr>
        <b/>
        <sz val="10"/>
        <rFont val="Arial"/>
        <family val="2"/>
      </rPr>
      <t>EMR</t>
    </r>
    <r>
      <rPr>
        <sz val="10"/>
        <rFont val="Arial"/>
        <family val="2"/>
      </rPr>
      <t xml:space="preserve">
LPDDR4 </t>
    </r>
    <r>
      <rPr>
        <b/>
        <sz val="10"/>
        <rFont val="Arial"/>
        <family val="2"/>
      </rPr>
      <t>MR2:</t>
    </r>
    <r>
      <rPr>
        <sz val="10"/>
        <rFont val="Arial"/>
        <family val="2"/>
      </rPr>
      <t xml:space="preserve"> WR Lev (Write Leveling)</t>
    </r>
  </si>
  <si>
    <r>
      <rPr>
        <b/>
        <sz val="10"/>
        <rFont val="Arial"/>
        <family val="2"/>
      </rPr>
      <t>EMR</t>
    </r>
    <r>
      <rPr>
        <sz val="10"/>
        <rFont val="Arial"/>
        <family val="2"/>
      </rPr>
      <t xml:space="preserve">
LPDDR4 </t>
    </r>
    <r>
      <rPr>
        <b/>
        <sz val="10"/>
        <rFont val="Arial"/>
        <family val="2"/>
      </rPr>
      <t>MR2:</t>
    </r>
    <r>
      <rPr>
        <sz val="10"/>
        <rFont val="Arial"/>
        <family val="2"/>
      </rPr>
      <t xml:space="preserve"> WLS (Write Latency Set)</t>
    </r>
  </si>
  <si>
    <r>
      <rPr>
        <b/>
        <sz val="10"/>
        <rFont val="Arial"/>
        <family val="2"/>
      </rPr>
      <t>EMR</t>
    </r>
    <r>
      <rPr>
        <sz val="10"/>
        <rFont val="Arial"/>
        <family val="2"/>
      </rPr>
      <t xml:space="preserve">
LPDDR4 </t>
    </r>
    <r>
      <rPr>
        <b/>
        <sz val="10"/>
        <rFont val="Arial"/>
        <family val="2"/>
      </rPr>
      <t>MR2:</t>
    </r>
    <r>
      <rPr>
        <sz val="10"/>
        <rFont val="Arial"/>
        <family val="2"/>
      </rPr>
      <t xml:space="preserve"> WL (Write Latency)</t>
    </r>
  </si>
  <si>
    <r>
      <rPr>
        <b/>
        <sz val="10"/>
        <rFont val="Arial"/>
        <family val="2"/>
      </rPr>
      <t>EMR</t>
    </r>
    <r>
      <rPr>
        <sz val="10"/>
        <rFont val="Arial"/>
        <family val="2"/>
      </rPr>
      <t xml:space="preserve">
LPDDR4 </t>
    </r>
    <r>
      <rPr>
        <b/>
        <sz val="10"/>
        <rFont val="Arial"/>
        <family val="2"/>
      </rPr>
      <t>MR2:</t>
    </r>
    <r>
      <rPr>
        <sz val="10"/>
        <rFont val="Arial"/>
        <family val="2"/>
      </rPr>
      <t xml:space="preserve"> RL (Read Latency)</t>
    </r>
  </si>
  <si>
    <r>
      <rPr>
        <b/>
        <sz val="10"/>
        <rFont val="Arial"/>
        <family val="2"/>
      </rPr>
      <t>EMR2</t>
    </r>
    <r>
      <rPr>
        <sz val="10"/>
        <rFont val="Arial"/>
        <family val="2"/>
      </rPr>
      <t xml:space="preserve">
LPDDR4 </t>
    </r>
    <r>
      <rPr>
        <b/>
        <sz val="10"/>
        <rFont val="Arial"/>
        <family val="2"/>
      </rPr>
      <t>MR3:</t>
    </r>
    <r>
      <rPr>
        <sz val="10"/>
        <rFont val="Arial"/>
        <family val="2"/>
      </rPr>
      <t xml:space="preserve"> DBI-WR (DBI-WRITE Enable)</t>
    </r>
  </si>
  <si>
    <r>
      <rPr>
        <b/>
        <sz val="10"/>
        <rFont val="Arial"/>
        <family val="2"/>
      </rPr>
      <t>EMR2</t>
    </r>
    <r>
      <rPr>
        <sz val="10"/>
        <rFont val="Arial"/>
        <family val="2"/>
      </rPr>
      <t xml:space="preserve">
LPDDR4 </t>
    </r>
    <r>
      <rPr>
        <b/>
        <sz val="10"/>
        <rFont val="Arial"/>
        <family val="2"/>
      </rPr>
      <t>MR3:</t>
    </r>
    <r>
      <rPr>
        <sz val="10"/>
        <rFont val="Arial"/>
        <family val="2"/>
      </rPr>
      <t xml:space="preserve"> DBI-RD (DBI-READ Enable)</t>
    </r>
  </si>
  <si>
    <r>
      <rPr>
        <b/>
        <sz val="10"/>
        <rFont val="Arial"/>
        <family val="2"/>
      </rPr>
      <t>EMR2</t>
    </r>
    <r>
      <rPr>
        <sz val="10"/>
        <rFont val="Arial"/>
        <family val="2"/>
      </rPr>
      <t xml:space="preserve">
LPDDR4 </t>
    </r>
    <r>
      <rPr>
        <b/>
        <sz val="10"/>
        <rFont val="Arial"/>
        <family val="2"/>
      </rPr>
      <t>MR3:</t>
    </r>
    <r>
      <rPr>
        <sz val="10"/>
        <rFont val="Arial"/>
        <family val="2"/>
      </rPr>
      <t xml:space="preserve"> PDDS (Pull-Down Drive Strength)</t>
    </r>
  </si>
  <si>
    <r>
      <rPr>
        <b/>
        <sz val="10"/>
        <rFont val="Arial"/>
        <family val="2"/>
      </rPr>
      <t>EMR2</t>
    </r>
    <r>
      <rPr>
        <sz val="10"/>
        <rFont val="Arial"/>
        <family val="2"/>
      </rPr>
      <t xml:space="preserve">
LPDDR4 </t>
    </r>
    <r>
      <rPr>
        <b/>
        <sz val="10"/>
        <rFont val="Arial"/>
        <family val="2"/>
      </rPr>
      <t>MR3:</t>
    </r>
    <r>
      <rPr>
        <sz val="10"/>
        <rFont val="Arial"/>
        <family val="2"/>
      </rPr>
      <t xml:space="preserve"> Post Package Repair Protection</t>
    </r>
  </si>
  <si>
    <r>
      <rPr>
        <b/>
        <sz val="10"/>
        <rFont val="Arial"/>
        <family val="2"/>
      </rPr>
      <t>EMR2</t>
    </r>
    <r>
      <rPr>
        <sz val="10"/>
        <rFont val="Arial"/>
        <family val="2"/>
      </rPr>
      <t xml:space="preserve">
LPDDR4 </t>
    </r>
    <r>
      <rPr>
        <b/>
        <sz val="10"/>
        <rFont val="Arial"/>
        <family val="2"/>
      </rPr>
      <t>MR3:</t>
    </r>
    <r>
      <rPr>
        <sz val="10"/>
        <rFont val="Arial"/>
        <family val="2"/>
      </rPr>
      <t xml:space="preserve"> WR PST (WR Post-Amble Length)</t>
    </r>
  </si>
  <si>
    <r>
      <rPr>
        <b/>
        <sz val="10"/>
        <rFont val="Arial"/>
        <family val="2"/>
      </rPr>
      <t>EMR2</t>
    </r>
    <r>
      <rPr>
        <sz val="10"/>
        <rFont val="Arial"/>
        <family val="2"/>
      </rPr>
      <t xml:space="preserve">
LPDDR4 </t>
    </r>
    <r>
      <rPr>
        <b/>
        <sz val="10"/>
        <rFont val="Arial"/>
        <family val="2"/>
      </rPr>
      <t>MR3:</t>
    </r>
    <r>
      <rPr>
        <sz val="10"/>
        <rFont val="Arial"/>
        <family val="2"/>
      </rPr>
      <t xml:space="preserve"> PU-Cal (Pull-up Calibration Point)</t>
    </r>
  </si>
  <si>
    <r>
      <t xml:space="preserve">EMR3
</t>
    </r>
    <r>
      <rPr>
        <sz val="10"/>
        <rFont val="Arial"/>
        <family val="2"/>
      </rPr>
      <t xml:space="preserve">LPDDR4 </t>
    </r>
    <r>
      <rPr>
        <b/>
        <sz val="10"/>
        <rFont val="Arial"/>
        <family val="2"/>
      </rPr>
      <t>MR13:</t>
    </r>
    <r>
      <rPr>
        <sz val="10"/>
        <rFont val="Arial"/>
        <family val="2"/>
      </rPr>
      <t xml:space="preserve"> FSP-OP (Frequency Set Point Operation Mode)</t>
    </r>
  </si>
  <si>
    <r>
      <t xml:space="preserve">EMR3
</t>
    </r>
    <r>
      <rPr>
        <sz val="10"/>
        <rFont val="Arial"/>
        <family val="2"/>
      </rPr>
      <t xml:space="preserve">LPDDR4 </t>
    </r>
    <r>
      <rPr>
        <b/>
        <sz val="10"/>
        <rFont val="Arial"/>
        <family val="2"/>
      </rPr>
      <t>MR13:</t>
    </r>
    <r>
      <rPr>
        <sz val="10"/>
        <rFont val="Arial"/>
        <family val="2"/>
      </rPr>
      <t xml:space="preserve"> FSP-WR (Frequency Set Point Write Enable)</t>
    </r>
  </si>
  <si>
    <r>
      <t xml:space="preserve">EMR3
</t>
    </r>
    <r>
      <rPr>
        <sz val="10"/>
        <rFont val="Arial"/>
        <family val="2"/>
      </rPr>
      <t xml:space="preserve">LPDDR4 </t>
    </r>
    <r>
      <rPr>
        <b/>
        <sz val="10"/>
        <rFont val="Arial"/>
        <family val="2"/>
      </rPr>
      <t>MR13:</t>
    </r>
    <r>
      <rPr>
        <sz val="10"/>
        <rFont val="Arial"/>
        <family val="2"/>
      </rPr>
      <t xml:space="preserve"> DMD (Data Mask Disable)</t>
    </r>
  </si>
  <si>
    <r>
      <t xml:space="preserve">EMR3
</t>
    </r>
    <r>
      <rPr>
        <sz val="10"/>
        <rFont val="Arial"/>
        <family val="2"/>
      </rPr>
      <t xml:space="preserve">LPDDR4 </t>
    </r>
    <r>
      <rPr>
        <b/>
        <sz val="10"/>
        <rFont val="Arial"/>
        <family val="2"/>
      </rPr>
      <t>MR13:</t>
    </r>
    <r>
      <rPr>
        <sz val="10"/>
        <rFont val="Arial"/>
        <family val="2"/>
      </rPr>
      <t xml:space="preserve"> RRO Refresh rate option</t>
    </r>
  </si>
  <si>
    <r>
      <t xml:space="preserve">EMR3
</t>
    </r>
    <r>
      <rPr>
        <sz val="10"/>
        <rFont val="Arial"/>
        <family val="2"/>
      </rPr>
      <t xml:space="preserve">LPDDR4 </t>
    </r>
    <r>
      <rPr>
        <b/>
        <sz val="10"/>
        <rFont val="Arial"/>
        <family val="2"/>
      </rPr>
      <t>MR13:</t>
    </r>
    <r>
      <rPr>
        <sz val="10"/>
        <rFont val="Arial"/>
        <family val="2"/>
      </rPr>
      <t xml:space="preserve"> VRCG (VREF Current Generator)</t>
    </r>
  </si>
  <si>
    <r>
      <t xml:space="preserve">EMR3
</t>
    </r>
    <r>
      <rPr>
        <sz val="10"/>
        <rFont val="Arial"/>
        <family val="2"/>
      </rPr>
      <t xml:space="preserve">LPDDR4 </t>
    </r>
    <r>
      <rPr>
        <b/>
        <sz val="10"/>
        <rFont val="Arial"/>
        <family val="2"/>
      </rPr>
      <t>MR13:</t>
    </r>
    <r>
      <rPr>
        <sz val="10"/>
        <rFont val="Arial"/>
        <family val="2"/>
      </rPr>
      <t xml:space="preserve"> VRO (VREF Output)</t>
    </r>
  </si>
  <si>
    <r>
      <t xml:space="preserve">EMR3
</t>
    </r>
    <r>
      <rPr>
        <sz val="10"/>
        <rFont val="Arial"/>
        <family val="2"/>
      </rPr>
      <t xml:space="preserve">LPDDR4 </t>
    </r>
    <r>
      <rPr>
        <b/>
        <sz val="10"/>
        <rFont val="Arial"/>
        <family val="2"/>
      </rPr>
      <t>MR13:</t>
    </r>
    <r>
      <rPr>
        <sz val="10"/>
        <rFont val="Arial"/>
        <family val="2"/>
      </rPr>
      <t xml:space="preserve"> RPT (Read Preamble Training Mode)</t>
    </r>
  </si>
  <si>
    <r>
      <t xml:space="preserve">EMR3
</t>
    </r>
    <r>
      <rPr>
        <sz val="10"/>
        <rFont val="Arial"/>
        <family val="2"/>
      </rPr>
      <t xml:space="preserve">LPDDR4 </t>
    </r>
    <r>
      <rPr>
        <b/>
        <sz val="10"/>
        <rFont val="Arial"/>
        <family val="2"/>
      </rPr>
      <t>MR13:</t>
    </r>
    <r>
      <rPr>
        <sz val="10"/>
        <rFont val="Arial"/>
        <family val="2"/>
      </rPr>
      <t xml:space="preserve"> CBT (Command Bus Training)</t>
    </r>
  </si>
  <si>
    <t>DDRC0 Base Address (do not modify)</t>
  </si>
  <si>
    <t>DDRC0 Register address</t>
  </si>
  <si>
    <t>DDRC0 Register address (HEX)</t>
  </si>
  <si>
    <t>DDRC_RFSHCTL0</t>
  </si>
  <si>
    <t>refresh_margin</t>
  </si>
  <si>
    <t>Threshold value in number of DFI clock cycles before the critical refresh or page timer expires. A critical refresh is to be issued before this threshold is reached. It is recommended that this not be changed from the default value, currently shown as 0x2. It must always be less than internally used t_rfc_nom_x32. Note that, in LPDDR2/LPDDR3/LPDDR4, internally used t_rfc_nom_x32 may be equal to RFSHTMG.t_rfc_nom_x32&gt;&gt;2 if derating is enabled (DERATEEN.derate_enable=1). Otherwise, internally used t_rfc_nom_x32 will be equal to RFSHTMG.t_rfc_nom_x32.
Unit: Multiples of 32 DFI clocks.
Value After Reset: 0x2
Exists: Always</t>
  </si>
  <si>
    <t>refresh_to_x32</t>
  </si>
  <si>
    <t>If the refresh timer (tRFCnom, also known as tREFI) has expired at least once, but it has not expired (RFSHCTL0.refresh_burst+1) times yet, then a speculative refresh may be performed. A speculative refresh is a refresh performed at a time when refresh would be useful, but before it is absolutely required. When the SDRAM bus is idle for a period of time determined by this RFSHCTL0.refresh_to_x32 and the refresh timer has expired at least once since the last refresh, then a speculative refresh is performed. Speculative refreshes continues successively until there are no refreshes pending or until new reads or writes are issued to the uMCTL2.
FOR PERFORMANCE ONLY.
Unit: Multiples of 32 DFI clocks.
Value After Reset: 0x10
Exists: Always</t>
  </si>
  <si>
    <t>refresh_burst</t>
  </si>
  <si>
    <t>The programmed value + 1 is the number of refresh timeouts that is allowed to accumulate before traffic is blocked and the refreshes are forced to execute. Closing pages to perform a refresh is a one-time penalty that must be paid for each group of refreshes. Therefore, performing refreshes in a burst reduces the per-refresh penalty of these page closings. Higher numbers for RFSHCTL.refresh_burst slightly increases utilization; lower numbers decreases the worst-case latency associated with refreshes.
■0 - single refresh
■1 - burst-of-2 refresh
■7 - burst-of-8 refresh
For information on burst refresh feature refer to section 3.9 of DDR2 JEDEC specification - JESD79-2F.pdf.
For DDR2/3, the refresh is always per-rank and not per-bank. The rank refresh can be accumulated over 8*tREFI cycles using the burst refresh feature. In DDR4 mode, according to Fine Granularity feature, 8 refreshes can be postponed in 1X mode, 16 refreshes in 2X mode and 32 refreshes in 4X mode. If using PHY-initiated updates, care must be taken in the setting of RFSHCTL0.refresh_burst, to ensure that tRFCmax is not violated due to a PHY-initiated update occurring shortly before a refresh burst was due. In this situation, the refresh burst will be delayed until the PHY-initiated update is complete.
Value After Reset: 0x0
Exists: Always</t>
  </si>
  <si>
    <t>per_bank_refresh</t>
  </si>
  <si>
    <t>■1 - Per bank refresh;
■0 - All bank refresh.
Per bank refresh allows traffic to flow to other banks. Per bank refresh is not supported by all LPDDR2 devices but should be supported by all LPDDR3/LPDDR4 devices. Present only in designs configured to support LPDDR2/LPDDR3/LPDDR4
Value After Reset: 0x0
Exists: MEMC_LPDDR2==1</t>
  </si>
  <si>
    <t>T_RC</t>
  </si>
  <si>
    <t>tMOD: Parameter used only in DDR3 and DDR4. Cycles between load mode command and following non-load mode command.
If C/A parity for DDR4 is used, set to tMOD_PAR(tMOD+PL) instead.
Set to tMOD if controller is operating in 1:1 frequency ratio mode, or tMOD/2 (rounded up to next integer) if controller is operating in 1:2 frequency ratio mode. Note that if using RDIMM/LRDIMM, depending on the PHY, it may be necessary to adjust the value of this parameter to compensate for the extra cycle of latency applied to mode register writes by the RDIMM/LRDIMM chip.
Also note that if using LRDIMM, the minimum value of this register is tMRD_L2 if controller is operating in 1:1 frequency ratio mode, or tMRD_L2/2 (rounded up to next integer) if controller is operating in 1:2 frequency ratio mode.</t>
  </si>
  <si>
    <r>
      <rPr>
        <b/>
        <sz val="10"/>
        <color theme="1"/>
        <rFont val="Arial"/>
        <family val="2"/>
      </rPr>
      <t>Note, this field is updated automatically and it is not recommended to manually configure it.</t>
    </r>
    <r>
      <rPr>
        <sz val="10"/>
        <color theme="1"/>
        <rFont val="Arial"/>
        <family val="2"/>
      </rPr>
      <t xml:space="preserve">
Number of cycles to assert SDRAM reset signal during init sequence.
This is only present for designs supporting DDR3, DDR4 or LPDDR4 devices. For use with a Synopsys DDR PHY, this should be set to a minimum of 1.
When the controller is operating in 1:2 frequency ratio mode, program this to JEDEC spec value divided by 2, and round it up to the next integer value.
Unit: 1024 DFI clock cycles.
Value After Reset: 0x0</t>
    </r>
  </si>
  <si>
    <r>
      <t xml:space="preserve">Description: Selects the HIF address bit used as column address bit 11.
Valid Range: 0 to 7 and 15
Internal Base: 11
The selected HIF address bit is determined by adding the internal base to the value of this field.
If set to 15, column address bit 11 is set to 0.
Value After Reset: 0x0
</t>
    </r>
    <r>
      <rPr>
        <b/>
        <sz val="10"/>
        <color theme="1"/>
        <rFont val="Arial"/>
        <family val="2"/>
      </rPr>
      <t>NOTE, documentation may be wrong. Per designer, RTL says this is a 5-bit field and to disable, must set to 0x1F.</t>
    </r>
  </si>
  <si>
    <r>
      <t xml:space="preserve">Description: Selects the HIF address bit used as column address bit 10.
Valid Range: 0 to 7 and 15
Internal Base: 10
The selected HIF address bit is determined by adding the internal base to the value of this field.
If set to 15, bank column bit 10 is set to 0.
Value After Reset: 0x0
</t>
    </r>
    <r>
      <rPr>
        <b/>
        <sz val="10"/>
        <color theme="1"/>
        <rFont val="Arial"/>
        <family val="2"/>
      </rPr>
      <t>NOTE, documentation may be wrong. Per designer, RTL says this is a 5-bit field and to disable, must set to 0x1F.</t>
    </r>
  </si>
  <si>
    <r>
      <rPr>
        <b/>
        <sz val="10"/>
        <rFont val="Arial"/>
        <family val="2"/>
      </rPr>
      <t>LPDDR4 MR1:</t>
    </r>
    <r>
      <rPr>
        <sz val="10"/>
        <rFont val="Arial"/>
        <family val="2"/>
      </rPr>
      <t xml:space="preserve">
Write-Recovery for Auto-Pre-charge commands
000B: nWR = 6 (default)
001B: nWR = 10
010B: nWR = 16
011B: nWR = 20
100B: nWR = 24
101B: nWR = 30
110B: nWR = 34
111B: nWR = 40
Some LPDDR4 memory vendor data sheets contain a RL, WL, and nWR settings table for various frequency ranges.
This setting is automatically calculated.</t>
    </r>
  </si>
  <si>
    <t>DDRC_DBICTL</t>
  </si>
  <si>
    <t>RD_DBI_EN</t>
  </si>
  <si>
    <t>WR_DBI_EN</t>
  </si>
  <si>
    <t>DM_EN</t>
  </si>
  <si>
    <t>Read DBI enable signal in DDRC.
■0 - Read DBI is disabled.
■1 - Read DBI is enabled.
This signal must be set the same value as DRAM's mode register.
■DDR4: MR5 bit A12. When x4 devices are used, this signal must be set to 0.
■LPDDR4: MR3[6]
Value After Reset: 0x0</t>
  </si>
  <si>
    <t>Write DBI enable signal in DDRC.
■0 - Write DBI is disabled.
■1 - Write DBI is enabled.
This signal must be set the same value as DRAM's mode register.
■DDR4: MR5 bit A11. When x4 devices are used, this signal must be set to 0.
■LPDDR4: MR3[7]
Value After Reset: 0x0</t>
  </si>
  <si>
    <t>DM enable signal in DDRC.
■0 - DM is disabled.
■1 - DM is enabled.
This signal must be set the same logical value as DRAM's mode register.
■DDR4: Set this to same value as MR5 bit A10. When x4 devices are used, this signal must be set to 0.
■LPDDR4: Set this to inverted value of MR13[5] which is opposite polarity from this signal
Value After Reset: 0x1</t>
  </si>
  <si>
    <t>Micron</t>
  </si>
  <si>
    <t>This register configuration is included for future reference and may not be currently used.</t>
  </si>
  <si>
    <r>
      <rPr>
        <b/>
        <sz val="10"/>
        <color theme="1"/>
        <rFont val="Arial"/>
        <family val="2"/>
      </rPr>
      <t>Note, user must supply tREFI (in ns) from the DRAM data sheet, see description for more details.</t>
    </r>
    <r>
      <rPr>
        <sz val="10"/>
        <color theme="1"/>
        <rFont val="Arial"/>
        <family val="2"/>
      </rPr>
      <t xml:space="preserve">
tREFI: Average time interval between refreshes per rank (Specification: 7.8us for DDR2, DDR3 and DDR4. See JEDEC specification for mDDR, LPDDR2, LPDDR3 and LPDDR4).
For LPDDR2/LPDDR3/LPDDR4:
■if using all-bank refreshes (RFSHCTL0.per_bank_refresh = 0), this register should be set to tREFIab
■if using per-bank refreshes (RFSHCTL0.per_bank_refresh = 1), this register should be set to tREFIpb
When the controller is operating in 1:2 frequency ratio mode, program this to (tREFI/2), no rounding up.
In DDR4 mode, tREFI value is different depending on the refresh mode. The user should program the appropriate value from the spec based on the value programmed in the refresh mode register.
Note that RFSHTMG.t_rfc_nom_x32 * 32 must be greater than RFSHTMG.t_rfc_min, and RFSHTMG.t_rfc_nom_x32 must be greater than 0x1.
■Non-DDR4 or DDR4 Fixed 1x mode: RFSHTMG.t_rfc_nom_x32 must be less than or equal to 0xFFE.
■DDR4 Fixed 2x mode: RFSHTMG.t_rfc_nom_x32 must be less than or equal to 0x7FF.
■DDR4 Fixed 4x mode: RFSHTMG.t_rfc_nom_x32 must be less than or equal to 0x3FF.
Unit: Multiples of 32 clocks.
Value After Reset: 0x62</t>
    </r>
  </si>
  <si>
    <r>
      <rPr>
        <b/>
        <sz val="10"/>
        <color theme="1"/>
        <rFont val="Arial"/>
        <family val="2"/>
      </rPr>
      <t>Note, user must supply tRFC (min) (in ns) from the DRAM data sheet</t>
    </r>
    <r>
      <rPr>
        <sz val="10"/>
        <color theme="1"/>
        <rFont val="Arial"/>
        <family val="2"/>
      </rPr>
      <t xml:space="preserve">
tRFC (min): Minimum time from refresh to refresh or activate.
When the controller is operating in 1:1 mode, t_rfc_min should be set to RoundUp(tRFCmin/tCK).
When the controller is operating in 1:2 mode, t_rfc_min should be set to RoundUp(RoundUp(tRFCmin/tCK)/2).
In LPDDR2/LPDDR3/LPDDR4 mode:
■if using all-bank refreshes, the tRFCmin value in the above equations is equal to tRFCab
■if using per-bank refreshes, the tRFCmin value in the above equations is equal to tRFCpb
In DDR4 mode, the tRFCmin value in the above equations is different depending on the refresh mode (fixed 1X,2X,4X) and the device density. The user should program the appropriate value from the spec based on the 'refresh_mode' and the device density that is used.
Unit: Clocks.
Value After Reset: 0x8c</t>
    </r>
  </si>
  <si>
    <r>
      <rPr>
        <b/>
        <sz val="10"/>
        <color theme="1"/>
        <rFont val="Arial"/>
        <family val="2"/>
      </rPr>
      <t>Note, this field is updated automatically and it is not recommended to manually configure it.</t>
    </r>
    <r>
      <rPr>
        <sz val="10"/>
        <color theme="1"/>
        <rFont val="Arial"/>
        <family val="2"/>
      </rPr>
      <t xml:space="preserve">
Cycles to wait after reset before driving CKE high to start the SDRAM initialization sequence.
Unit: 1024 DFI clock cycles.
DDR2 specifications typically require this to be programmed for a delay of &gt;= 200 us.
LPDDR2/LPDDR3: tINIT1 of 100 ns (min)
LPDDR4: tINIT3 of 2 ms (min)
When the controller is operating in 1:2 frequency ratio mode, program this to JEDEC spec value divided by 2, and round it up to the next integer value.
For DDR3/DDR4 RDIMMs, this should include the time needed to satisfy tSTAB
Value After Reset: 0x4e</t>
    </r>
  </si>
  <si>
    <t>Only present for multi-rank configurations.
Indicates the number of clocks of gap in data responses when performing consecutive writes to different ranks.
This is used to switch the delays in the PHY to match the rank requirements. This value should consider both PHY requirement and ODT requirement.
■PHY requirement:
tphy_wrcsgap (see PHY databook for value of tphy_wrcsgap)
If CRC feature is enabled, should be increased by 1.
If write preamble is set to 2tCK(DDR4 only), should be increased by 1.
If write postamble is set to 1.5tCK(LPDDR4 only), should be increased by 1.
■ODT requirement:
The value programmed in this register takes care of the ODT switch off timing requirement when switching ranks during writes.
For LPDDR4, the requirement is ODTLoff - ODTLon - BL/2 + 1
When the controller is operating in 1:1 mode, program this to the larger of PHY requirement or ODT requirement.
When the controller is operating in 1:2 mode, program this to the larger value divided by two and round it up to the next integer.
Note that, if using DDR4-LRDIMM, refer to TWRWR timing requirements in JEDEC DDR4 Data Buffer (DDR4DB01) Specification.
Value After Reset: 0x6</t>
  </si>
  <si>
    <r>
      <rPr>
        <b/>
        <sz val="10"/>
        <color theme="1"/>
        <rFont val="Arial"/>
        <family val="2"/>
      </rPr>
      <t>Note, this field is updated automatically and it is not recommended to manually configure it.</t>
    </r>
    <r>
      <rPr>
        <sz val="10"/>
        <color theme="1"/>
        <rFont val="Arial"/>
        <family val="2"/>
      </rPr>
      <t xml:space="preserve">
tRAS(max): Maximum time between activate and precharge to same bank. This is the maximum time that a page can be kept open
Minimum value of this register is 1. Zero is invalid.
When the controller is operating in 1:2 frequency ratio mode, program this to (tRAS(max)-1)/2. No rounding up.
Unit: Multiples of 1024 clocks.
Value After Reset: 0x1b</t>
    </r>
  </si>
  <si>
    <t>T_CKESR</t>
  </si>
  <si>
    <t>T_CKE</t>
  </si>
  <si>
    <t>This is the time before Deep Power Down Exit that CK is maintained as a valid clock before issuing DPDX. Specifies the clock stable time before DPDX.
Recommended settings:
■mDDR: 1
■LPDDR2: 2
■LPDDR3: 2
When the controller is operating in 1:2 frequency ratio mode, program this to recommended value divided by two and round it up to next integer.
This is only present for designs supporting mDDR or LPDDR2 devices.
Value After Reset: 0x2</t>
  </si>
  <si>
    <t>This is the time after Deep Power Down Entry that CK is maintained as a valid clock. Specifies the clock disable delay after DPDE.
Recommended settings:
■mDDR: 0
■LPDDR2: 2
■LPDDR3: 2
When the controller is operating in 1:2 frequency ratio mode, program this to recommended value divided by two and round it up to next integer.
This is only present for designs supporting mDDR or LPDDR2/LPDDR3 devices.
Value After Reset: 0x2</t>
  </si>
  <si>
    <r>
      <t xml:space="preserve">Description: LPDDR4: tODTLoff: This is the latency from CAS-2 command to tODToff reference.
</t>
    </r>
    <r>
      <rPr>
        <b/>
        <sz val="10"/>
        <color theme="1"/>
        <rFont val="Arial"/>
        <family val="2"/>
      </rPr>
      <t>In the JEDEC spec and memory vendor data sheet, this value is found in table which provides latency values for various frequency ranges, input the desired ODTLoff latency setting in clock cycles.</t>
    </r>
    <r>
      <rPr>
        <sz val="10"/>
        <color theme="1"/>
        <rFont val="Arial"/>
        <family val="2"/>
      </rPr>
      <t xml:space="preserve">
When the controller is operating in 1:2 frequency ratio mode, program this to (tODTLoff/2) and round it up to the next integer value.
Unit: Clocks.
Value After Reset: 0x1c</t>
    </r>
  </si>
  <si>
    <r>
      <t xml:space="preserve">Description: LPDDR4: tCCDMW: This is the minimum time from write or masked write to masked write command for same bank.
</t>
    </r>
    <r>
      <rPr>
        <b/>
        <sz val="10"/>
        <color theme="1"/>
        <rFont val="Arial"/>
        <family val="2"/>
      </rPr>
      <t>In some memory vendor data sheets, this is listed as CAS-to-CAS delay masked write, input the value in clock cycles.</t>
    </r>
    <r>
      <rPr>
        <sz val="10"/>
        <color theme="1"/>
        <rFont val="Arial"/>
        <family val="2"/>
      </rPr>
      <t xml:space="preserve">
When the controller is operating in 1:2 frequency ratio mode, program this to (tCCDMW/2) and round it up to the next integer value.
Unit: Clocks.
Value After Reset: 0x20</t>
    </r>
  </si>
  <si>
    <t>Description: LPDDR4: tPPD: This is the minimum time from precharge to precharge command.
When the controller is operating in 1:2 frequency ratio mode, program this to (tPPD/2) and round it up to the next integer value.
Unit: Clocks.
Value After Reset: 0x4</t>
  </si>
  <si>
    <t>DDRC_ZQCTL1 is mainly used only for LPDDR4/LPDDR3/LPDDR2 configurations.</t>
  </si>
  <si>
    <r>
      <rPr>
        <b/>
        <sz val="10"/>
        <rFont val="Arial"/>
        <family val="2"/>
      </rPr>
      <t>LPDDR4 MR2:
IMPORTANT: Make sure to match WL setting with DDRC_DRAMTMG2[WRITE_LATENCY]
This setting is automatically calculated.</t>
    </r>
    <r>
      <rPr>
        <sz val="10"/>
        <rFont val="Arial"/>
        <family val="2"/>
      </rPr>
      <t xml:space="preserve">
</t>
    </r>
    <r>
      <rPr>
        <sz val="8"/>
        <rFont val="Arial"/>
        <family val="2"/>
      </rPr>
      <t>WL Set "A” (if Write Latency Set MR2 OP[6]=0B)
000B: WL=4 (Default)
001B: WL=6
010B: WL=8
011B: WL=10
100B: WL=12
101B: WL=14
110B: WL=16
111B: WL=18
WL Set "B" (if Write Latency Set MR2 OP[6]=1B)
000B: WL=4
001B: WL=8
010B: WL=12
011B: WL=18
100B: WL=22
101B: WL=26
110B: WL=30
111B: WL=34</t>
    </r>
  </si>
  <si>
    <r>
      <rPr>
        <b/>
        <sz val="10"/>
        <rFont val="Arial"/>
        <family val="2"/>
      </rPr>
      <t>LPDDR4 MR2:
IMPORTANT: Make sure to match RL setting with DDRC_DRAMTMG2[READ_LATENCY]
This setting is automatically calculated.</t>
    </r>
    <r>
      <rPr>
        <sz val="10"/>
        <rFont val="Arial"/>
        <family val="2"/>
      </rPr>
      <t xml:space="preserve">
</t>
    </r>
    <r>
      <rPr>
        <sz val="8"/>
        <rFont val="Arial"/>
        <family val="2"/>
      </rPr>
      <t>RL &amp; nRTP for DBI-RD Disabled (MR3 OP[6]=0B)
000B: RL=6, nRTP = 8 (Default)
001B: RL=10, nRTP = 8
010B: RL=14, nRTP = 8
011B: RL=20, nRTP = 8
100B: RL=24, nRTP = 10
101B: RL=28, nRTP = 12
110B: RL=32, nRTP = 14
111B: RL=36, nRTP = 16
RL &amp; nRTP for DBI-RD Enabled (MR3 OP[6]=1B)
000B: RL=6, nRTP = 8
001B: RL=12, nRTP = 8
010B: RL=16, nRTP = 8
011B: RL=22, nRTP = 8
100B: RL=28, nRTP = 10
101B: RL=32, nRTP = 12
110B: RL=36, nRTP = 14
111B: RL=40, nRTP = 16</t>
    </r>
  </si>
  <si>
    <t>Description: Defines whether dfi_rddata_en/dfi_rddata/dfi_rddata_valid is generated using HDR or SDR values Selects whether value in DFITMG0.dfi_t_rddata_en is in terms of SDR or HDR clock cycles:
■ 0 in terms of HDR clock cycles
■ 1 in terms of SDR clock cycles
Refer to PHY specification for correct value.
Value After Reset: 0x0
Note: Some documents may refer to this bit as dfi_rddata_use_dfi_phy_clk</t>
  </si>
  <si>
    <t>Description: Defines whether dfi_wrdata_en/dfi_wrdata/dfi_wrdata_mask is generated using HDR or SDR values Selects whether value in DFITMG0.dfi_tphy_wrlat is in terms of SDR or HDR clock cycles Selects whether value in DFITMG0.dfi_tphy_wrdata is in terms of SDR or HDR clock cycles
■ 0 in terms of HDR clock cycles
■ 1 in terms of SDR clock cycles
Refer to PHY specification for correct value.
Value After Reset: 0x0
Note: Some documents may refer to this bit as dfi_wrdata_use_dfi_phy_clk</t>
  </si>
  <si>
    <t>Instructions:</t>
  </si>
  <si>
    <t>DDR Controller/PHY Module 0</t>
  </si>
  <si>
    <t>Chan B</t>
  </si>
  <si>
    <t>Chan A</t>
  </si>
  <si>
    <t>DRAM data bus</t>
  </si>
  <si>
    <t>0x00000001</t>
  </si>
  <si>
    <t>0x00000000</t>
  </si>
  <si>
    <t>Margin added for refresh window.</t>
  </si>
  <si>
    <t>LPDDR4_6gb_12gb_24gb</t>
  </si>
  <si>
    <t>ADDRMAP_COL_B9</t>
  </si>
  <si>
    <t>DDRC_ADDRMAP3</t>
  </si>
  <si>
    <t>ADDRMAP_COL_B8</t>
  </si>
  <si>
    <t>ADDRMAP_COL_B7</t>
  </si>
  <si>
    <t>ADDRMAP_COL_B6</t>
  </si>
  <si>
    <t>Description:
• Full bus width mode: Selects the HIF address bit used as column address bit 6.
• Half bus width mode: Selects the HIF address bit used as column address bit 7.
• Quarter bus width mode: Selects the HIF address bit used as column address bit 8.
Valid Range: 0 to 7, and 15
Internal Base: 6
The selected HIF address bit is determined by adding the internal base to the value of this field. If set to
15, this column address bit is set to 0.
Value After Reset: 0x0</t>
  </si>
  <si>
    <t>3D400000</t>
  </si>
  <si>
    <t>i.MX8M sets this to 0x3</t>
  </si>
  <si>
    <t>T_CKEHCMD</t>
  </si>
  <si>
    <r>
      <rPr>
        <b/>
        <sz val="10"/>
        <color theme="1"/>
        <rFont val="Arial"/>
        <family val="2"/>
      </rPr>
      <t>Note, this field is updated automatically and it is not recommended to manually configure it.</t>
    </r>
    <r>
      <rPr>
        <sz val="10"/>
        <color theme="1"/>
        <rFont val="Arial"/>
        <family val="2"/>
      </rPr>
      <t xml:space="preserve">
Cycles to wait after driving CKE high to start the SDRAM initialization sequence.
Unit: 1024 DFI clock cycles.
DDR2 typically requires a 400 ns delay, requiring this value to be programmed to 2 at all clock speeds.
LPDDR2/LPDDR3 typically requires this to be programmed for a delay of 200 us.
LPDDR4 typically requires this to be programmed for a delay of 2 us.
When the controller is operating in 1:2 frequency ratio mode, program this to JEDEC spec value divided by 2, and round it up to the next integer value.
Each settings give a range as follows:
0: no delay
1: 1 to 1024 cycle delay
2: 1025 to 2048 cycle delay
3: 2048 to 3072 cycle delay
4: 3073 to 4096 cycle delay
5: 4097 to 5120 cycle delay
and so on.
Hence, we need to select a value that meets/exceeds the min value for each range, therefore, we add 1 to the value calculated.
Value After Reset: 0x2</t>
    </r>
  </si>
  <si>
    <r>
      <rPr>
        <b/>
        <sz val="10"/>
        <rFont val="Arial"/>
        <family val="2"/>
      </rPr>
      <t>LPDDR4 MR1:</t>
    </r>
    <r>
      <rPr>
        <sz val="10"/>
        <rFont val="Arial"/>
        <family val="2"/>
      </rPr>
      <t xml:space="preserve">
Read Post-amble length
0B: RD Post-amble = 0.5*tCK (default)
1B: RD Post-amble = 1.5*tCK
For m850, recommend to set to 1.5*tCK to account for restrictions in the PHY.</t>
    </r>
  </si>
  <si>
    <t>Indicates the configuration of the device used in the system.
■ 10 - x16 device 
■ 11 - x32 device
For LPDDR4, setting this to 10 or 11 has no affect, so set to 10 to align with validation setting.</t>
  </si>
  <si>
    <t>DDRC_INIT6</t>
  </si>
  <si>
    <r>
      <t xml:space="preserve">LPDDR4 </t>
    </r>
    <r>
      <rPr>
        <b/>
        <sz val="10"/>
        <rFont val="Arial"/>
        <family val="2"/>
      </rPr>
      <t>MR11</t>
    </r>
    <r>
      <rPr>
        <sz val="10"/>
        <rFont val="Arial"/>
        <family val="2"/>
      </rPr>
      <t>: CA ODT</t>
    </r>
  </si>
  <si>
    <r>
      <t xml:space="preserve">LPDDR4 </t>
    </r>
    <r>
      <rPr>
        <b/>
        <sz val="10"/>
        <rFont val="Arial"/>
        <family val="2"/>
      </rPr>
      <t>MR11</t>
    </r>
    <r>
      <rPr>
        <sz val="10"/>
        <rFont val="Arial"/>
        <family val="2"/>
      </rPr>
      <t>: DQ ODT</t>
    </r>
  </si>
  <si>
    <r>
      <t xml:space="preserve">LPDDR4 </t>
    </r>
    <r>
      <rPr>
        <b/>
        <sz val="10"/>
        <rFont val="Arial"/>
        <family val="2"/>
      </rPr>
      <t>MR12</t>
    </r>
    <r>
      <rPr>
        <sz val="10"/>
        <rFont val="Arial"/>
        <family val="2"/>
      </rPr>
      <t>: VRCA</t>
    </r>
  </si>
  <si>
    <r>
      <t xml:space="preserve">LPDDR4 </t>
    </r>
    <r>
      <rPr>
        <b/>
        <sz val="10"/>
        <rFont val="Arial"/>
        <family val="2"/>
      </rPr>
      <t>MR12</t>
    </r>
    <r>
      <rPr>
        <sz val="10"/>
        <rFont val="Arial"/>
        <family val="2"/>
      </rPr>
      <t>: VREF(CA)</t>
    </r>
  </si>
  <si>
    <r>
      <t xml:space="preserve">LPDDR4 MR11:
</t>
    </r>
    <r>
      <rPr>
        <sz val="10"/>
        <rFont val="Arial"/>
        <family val="2"/>
      </rPr>
      <t>CA ODT</t>
    </r>
    <r>
      <rPr>
        <b/>
        <sz val="10"/>
        <rFont val="Arial"/>
        <family val="2"/>
      </rPr>
      <t xml:space="preserve">
</t>
    </r>
    <r>
      <rPr>
        <sz val="10"/>
        <rFont val="Arial"/>
        <family val="2"/>
      </rPr>
      <t>000b: Disable (default)
001b: RZQ/1
010b: RZQ/2
011b: RZQ/3
100b: RZQ/4
101b: RZQ/5
110b: RZQ/6
111b: RFU</t>
    </r>
  </si>
  <si>
    <r>
      <rPr>
        <b/>
        <sz val="10"/>
        <color theme="1"/>
        <rFont val="Arial"/>
        <family val="2"/>
      </rPr>
      <t>Doesn't apply for LPDDR4, hence can leave this as default 16 (0x10) or set to 0</t>
    </r>
    <r>
      <rPr>
        <sz val="10"/>
        <color theme="1"/>
        <rFont val="Arial"/>
        <family val="2"/>
      </rPr>
      <t xml:space="preserve">
tMRD_PDA: This is the Mode Register Set command cycle time in PDA mode.
When the controller is operating in 1:2 frequency ratio mode, program this to (tMRD_PDA/2) and round it up to the next integer value.
Value After Reset: 0x10</t>
    </r>
  </si>
  <si>
    <t>Average interval to wait between automatically issuing ZQCS (ZQ calibration short)/MPC(ZQ calibration) commands to DDR3/DDR4/LPDDR2/LPDDR3/LPDDR4 devices.
Meaningless, if ZQCTL0.dis_auto_zq=1.
Unit: 1024 DFI clock cycles.
This is only present for designs supporting DDR3/DDR4 or LPDDR2/LPDDR3/LPDDR4 devices.
Value After Reset: 0x100
Recommend to set to 32ms to align with DRAM vendor's temperature sensor interval.</t>
  </si>
  <si>
    <r>
      <t xml:space="preserve">Description: Time from the assertion of a read command on the DFI interface to the assertion of the dfi_rddata_en signal.
Refer to PHY specification for correct value.
This corresponds to the DFI parameter trddata_en. Note that, depending on the PHY, if using RDIMM, it may be necessary to use the value (CL + 1) in the calculation of trddata_en. This is to compensate for the extra cycle of latency through the RDIMM.
Unit: Clocks
Value After Reset: 0x2
</t>
    </r>
    <r>
      <rPr>
        <b/>
        <sz val="10"/>
        <color theme="1"/>
        <rFont val="Arial"/>
        <family val="2"/>
      </rPr>
      <t>Per PUB databook, trddata_en = RL-5, where RL is RL (read latency)</t>
    </r>
  </si>
  <si>
    <t>Description: Specifies the number of DFI clock cycles after an assertion or de-assertion of the DFI control signals that the control signals at the PHY-DRAM interface reflect the assertion or de-assertion. If the DFI clock and the memory clock are not phase-aligned, this timing parameter should be rounded up to the next integer value. Note that if using RDIMM/LRDIMM, it is necessary to increment this parameter by RDIMM's/LRDIMM's extra cycle of latency in terms of DFI clock.
Value After Reset: 0x7</t>
  </si>
  <si>
    <t>Enables support of ctl_idle signal, which is non-DFI related pin specific to certain Synopsys PHYs. See signal description of ctl_idle signal for further details of ctl_idle functionality.
Value After Reset: 0x0
Per SNPS, this isn't used and has no affect, so leave set.</t>
  </si>
  <si>
    <t>Description: Number of clocks between when a read command is sent on the DFI control interface and when the associated dfi_rddata_cs signal is asserted. This corresponds to the DFI timing parameter tphy_rdcslat. Refer to PHY specification for correct value.
Value After Reset: 0x2</t>
  </si>
  <si>
    <t>Description: Number of clocks between when a write command is sent on the DFI control interface and when the associated dfi_wrdata_cs signal is asserted. This corresponds to the DFI timing parameter tphy_wrcslat.
Refer to PHY specification for correct value.
Value After Reset: 0x2
Per PUB: tphy_wrcslat = WL-5, where WL = WL+1</t>
  </si>
  <si>
    <t>Description: Write latency
Number of clocks from the write command to write data enable (dfi_wrdata_en). This corresponds to the DFI timing parameter tphy_wrlat.
Refer to PHY specification for correct value.
This field is automatically updated.
Value After Reset: 0x2
Per PUB databook, should be WL-5, where WL=WL+1</t>
  </si>
  <si>
    <r>
      <rPr>
        <b/>
        <sz val="10"/>
        <rFont val="Arial"/>
        <family val="2"/>
      </rPr>
      <t xml:space="preserve">LPDDR4 MR11:
</t>
    </r>
    <r>
      <rPr>
        <sz val="10"/>
        <rFont val="Arial"/>
        <family val="2"/>
      </rPr>
      <t>000b: Disable (default)
001b: RZQ/1
010b: RZQ/2
011b: RZQ/3
100b: RZQ/4
101b: RZQ/5
110b: RZQ/6
111b: RFU</t>
    </r>
  </si>
  <si>
    <r>
      <rPr>
        <b/>
        <sz val="10"/>
        <rFont val="Arial"/>
        <family val="2"/>
      </rPr>
      <t>LPDDR4 MR12:</t>
    </r>
    <r>
      <rPr>
        <sz val="10"/>
        <rFont val="Arial"/>
        <family val="2"/>
      </rPr>
      <t xml:space="preserve">
0b: VREF(CA) range[0] enabled
1b: VREF(CA) range[1] enabled (default)</t>
    </r>
  </si>
  <si>
    <t>DDRC_INIT7</t>
  </si>
  <si>
    <r>
      <t xml:space="preserve">LPDDR4 </t>
    </r>
    <r>
      <rPr>
        <b/>
        <sz val="10"/>
        <rFont val="Arial"/>
        <family val="2"/>
      </rPr>
      <t>MR22</t>
    </r>
    <r>
      <rPr>
        <sz val="10"/>
        <rFont val="Arial"/>
        <family val="2"/>
      </rPr>
      <t>: ODTD-CA</t>
    </r>
  </si>
  <si>
    <r>
      <t xml:space="preserve">LPDDR4 </t>
    </r>
    <r>
      <rPr>
        <b/>
        <sz val="10"/>
        <rFont val="Arial"/>
        <family val="2"/>
      </rPr>
      <t>MR22</t>
    </r>
    <r>
      <rPr>
        <sz val="10"/>
        <rFont val="Arial"/>
        <family val="2"/>
      </rPr>
      <t>: ODTE-CS</t>
    </r>
  </si>
  <si>
    <r>
      <t xml:space="preserve">LPDDR4 </t>
    </r>
    <r>
      <rPr>
        <b/>
        <sz val="10"/>
        <rFont val="Arial"/>
        <family val="2"/>
      </rPr>
      <t>MR22</t>
    </r>
    <r>
      <rPr>
        <sz val="10"/>
        <rFont val="Arial"/>
        <family val="2"/>
      </rPr>
      <t>: ODTE-CK</t>
    </r>
  </si>
  <si>
    <r>
      <t xml:space="preserve">LPDDR4 </t>
    </r>
    <r>
      <rPr>
        <b/>
        <sz val="10"/>
        <rFont val="Arial"/>
        <family val="2"/>
      </rPr>
      <t>MR22</t>
    </r>
    <r>
      <rPr>
        <sz val="10"/>
        <rFont val="Arial"/>
        <family val="2"/>
      </rPr>
      <t>: SOC ODT</t>
    </r>
  </si>
  <si>
    <r>
      <t xml:space="preserve">LPDDR4 </t>
    </r>
    <r>
      <rPr>
        <b/>
        <sz val="10"/>
        <rFont val="Arial"/>
        <family val="2"/>
      </rPr>
      <t>MR14</t>
    </r>
    <r>
      <rPr>
        <sz val="10"/>
        <rFont val="Arial"/>
        <family val="2"/>
      </rPr>
      <t>: VRDQ</t>
    </r>
  </si>
  <si>
    <r>
      <t xml:space="preserve">LPDDR4 </t>
    </r>
    <r>
      <rPr>
        <b/>
        <sz val="10"/>
        <rFont val="Arial"/>
        <family val="2"/>
      </rPr>
      <t>MR14</t>
    </r>
    <r>
      <rPr>
        <sz val="10"/>
        <rFont val="Arial"/>
        <family val="2"/>
      </rPr>
      <t>: VREF(DQ)</t>
    </r>
  </si>
  <si>
    <r>
      <rPr>
        <b/>
        <sz val="10"/>
        <rFont val="Arial"/>
        <family val="2"/>
      </rPr>
      <t>LPDDR4 MR14:</t>
    </r>
    <r>
      <rPr>
        <sz val="10"/>
        <rFont val="Arial"/>
        <family val="2"/>
      </rPr>
      <t xml:space="preserve">
0b: VREF(DQ) range[0] enabled
1b: VREF(DQ) range[1] enabled (default)</t>
    </r>
  </si>
  <si>
    <r>
      <rPr>
        <b/>
        <sz val="10"/>
        <rFont val="Arial"/>
        <family val="2"/>
      </rPr>
      <t>LPDDR4 MR14:</t>
    </r>
    <r>
      <rPr>
        <sz val="10"/>
        <rFont val="Arial"/>
        <family val="2"/>
      </rPr>
      <t xml:space="preserve">
000000b–110010b: See VREF Settings Table in DRAM vendor data sheet</t>
    </r>
  </si>
  <si>
    <r>
      <rPr>
        <b/>
        <sz val="10"/>
        <rFont val="Arial"/>
        <family val="2"/>
      </rPr>
      <t>LPDDR4 MR22:</t>
    </r>
    <r>
      <rPr>
        <sz val="10"/>
        <rFont val="Arial"/>
        <family val="2"/>
      </rPr>
      <t xml:space="preserve">
000b: Disable (default)
001b: RZQ/1
010b: RZQ/2
011b: RZQ/3
100b: RZQ/4
101b: RZQ/5
110b: RZQ/6
111b: RFU</t>
    </r>
  </si>
  <si>
    <r>
      <rPr>
        <b/>
        <sz val="10"/>
        <rFont val="Arial"/>
        <family val="2"/>
      </rPr>
      <t>LPDDR4 MR22:</t>
    </r>
    <r>
      <rPr>
        <sz val="10"/>
        <rFont val="Arial"/>
        <family val="2"/>
      </rPr>
      <t xml:space="preserve">
0b: ODT-CK override disabled (default)
1b: ODT-CK override enabled</t>
    </r>
  </si>
  <si>
    <r>
      <rPr>
        <b/>
        <sz val="10"/>
        <rFont val="Arial"/>
        <family val="2"/>
      </rPr>
      <t>LPDDR4 MR22:</t>
    </r>
    <r>
      <rPr>
        <sz val="10"/>
        <rFont val="Arial"/>
        <family val="2"/>
      </rPr>
      <t xml:space="preserve">
0b: ODT-CS override disabled (default) 
1b: ODT-CS override enabled</t>
    </r>
  </si>
  <si>
    <r>
      <rPr>
        <b/>
        <sz val="10"/>
        <rFont val="Arial"/>
        <family val="2"/>
      </rPr>
      <t>LPDDR4 MR22:</t>
    </r>
    <r>
      <rPr>
        <sz val="10"/>
        <rFont val="Arial"/>
        <family val="2"/>
      </rPr>
      <t xml:space="preserve">
0b: CA ODT obeys ODT_CA bond pad (default)
1b: CA ODT disabled</t>
    </r>
  </si>
  <si>
    <t>Only present for multi-rank configurations.
Indicates the number of clocks of gap in data responses when performing consecutive reads to different ranks.
This is used to switch the delays in the PHY to match the rank requirements.
This value should consider both PHY requirement and ODT requirement.
■PHY requirement:
tphy_rdcsgap (see PHY databook for value of tphy_rdcsgap)
If read preamble is set to 2tCK(DDR4 only), should be increased by 1.
If read postamble is set to 1.5tCK(LPDDR4 only), should be increased by 1.
■ODT requirement:
The value programmed in this register takes care of the ODT switch off timing requirement when switching ranks during reads.
When the controller is operating in 1:1 mode, program this to the larger of PHY requirement or ODT requirement.
When the controller is operating in 1:2 mode, program this to the larger value divided by two and round it up to the next integer.
Note that, if using DDR4-LRDIMM, refer to TRDRD timing requirements in JEDEC DDR4 Data Buffer (DDR4DB01) Specification.
Value After Reset: 0x6
Per PUB databook, tphy_rdcsgap = 2, then add 1 for read postamble, gives 3 clocks, divided by 2 yields 2. Add one to the final value to provide some margin.</t>
  </si>
  <si>
    <t>DDRC_DFIPHYMSTR</t>
  </si>
  <si>
    <t>DFI_PHYMSTR_EN</t>
  </si>
  <si>
    <t>CTL_IDLE_EN</t>
  </si>
  <si>
    <t>CTRLUPD_PRE_SRX</t>
  </si>
  <si>
    <t>Selects dfi_ctrlupd_req requirements at SRX:
■0 : send ctrlupd after SRX
■1 : send ctrlupd before SRX If DFIUPD0.dis_auto_ctrlupd_srx=1, this register has no impact, because no dfi_ctrlupd_req will be issued when SRX.
Value After Reset: 0x0</t>
  </si>
  <si>
    <t xml:space="preserve">memory set </t>
  </si>
  <si>
    <t>memory set</t>
  </si>
  <si>
    <t>################step2: DDRC configuration ################</t>
  </si>
  <si>
    <t>0x3d400304</t>
  </si>
  <si>
    <t>0x3d400030</t>
  </si>
  <si>
    <t>DDRC_DRAMTMG17</t>
  </si>
  <si>
    <t>T_VRCG_ENABLE</t>
  </si>
  <si>
    <t>T_VRCG_DISABLE</t>
  </si>
  <si>
    <t>LPDDR4: tVRCG_ENABLE: VREF high current mode enable time.
When the controller is operating in 1:2 frequency ratio mode, program this to (tVRCG_ENABLE/2) and round it up to the next integer value.
Unit: DFI clocks
Value After Reset: 0x0</t>
  </si>
  <si>
    <t>LPDDR4: tVRCG_ENABLE: VREF high current mode disable time.
When the controller is operating in 1:2 frequency ratio mode, program this to (tVRCG_DISABLE/2) and round it up to the next integer value.
Unit: DFI clocks
Value After Reset: 0x0</t>
  </si>
  <si>
    <t>#RESET DDRC</t>
  </si>
  <si>
    <t>0x80000000</t>
  </si>
  <si>
    <t>0x8F000004</t>
  </si>
  <si>
    <t>#SRC_DDRC_RCR_ADDR</t>
  </si>
  <si>
    <t>0x30391000</t>
  </si>
  <si>
    <t>0x8F000000</t>
  </si>
  <si>
    <t>#DDRC_DDR_SS_GPR0: LPDDR4 mode</t>
  </si>
  <si>
    <t>0x00000010</t>
  </si>
  <si>
    <t>#DDRC_DDR_DFIMISC:12:8]dfi_freq, [5]dfi_init_start, [4]ctl_idle_en</t>
  </si>
  <si>
    <t>#</t>
  </si>
  <si>
    <t>#      Note, though the extension of this file implies use with the DS5 debugger,</t>
  </si>
  <si>
    <t xml:space="preserve">#      the file is meant specifically for the DDR Stress Test GUI tool. </t>
  </si>
  <si>
    <t>#      It contains data commands which are not compatible with the DS5 debugger,</t>
  </si>
  <si>
    <t>#      trying to use this file with DS5 will result in errors.</t>
  </si>
  <si>
    <t>#      There are currently no plans to create a DS5 JTAG DRAM initialization script.</t>
  </si>
  <si>
    <t># DCD command:</t>
  </si>
  <si>
    <t># CMD_WRITE_DATA: memory set ADDR BITWIDTH VALUE                 : *ADDR = VALUE</t>
  </si>
  <si>
    <t># CMD_SET_BIT:    memory setbit ADDR BITWIDTH VALUE              : *ADDR = *ADDR | VALUE</t>
  </si>
  <si>
    <t># CMD_CLR_BIT:    memory clrbit ADDR BITWIDTH VALUE              : *ADDR = *ADDR &amp;~ VALUE</t>
  </si>
  <si>
    <t># CMD_CHECK_BIT_SET:  memory chkbit1 ADDR BITWIDTH VALUE         : while((*ADDR &amp; VALUE) != VALUE){}</t>
  </si>
  <si>
    <t># CMD_CHECK_BIT_CLR:  memory chkbit0 ADDR BITWIDTH VALUE         : while((*ADDR &amp; VALUE) != 0){}</t>
  </si>
  <si>
    <t>###########################################################################################################</t>
  </si>
  <si>
    <t>################step 1: DDR clock configuration################</t>
  </si>
  <si>
    <t>#disable the clock gating</t>
  </si>
  <si>
    <t>memory setbit</t>
  </si>
  <si>
    <t>#DRAM_PLL_CONFIG</t>
  </si>
  <si>
    <t>memory clrbit</t>
  </si>
  <si>
    <t>memory chkbit1</t>
  </si>
  <si>
    <t>0x3038A088</t>
  </si>
  <si>
    <t>0x07070000</t>
  </si>
  <si>
    <t>#CCM_TARGET_ROOT_CLR(DRAM_APB_CLK_ROOT)</t>
  </si>
  <si>
    <t>0x3038A084</t>
  </si>
  <si>
    <t>0x04030000</t>
  </si>
  <si>
    <t>#CCM_TARGET_ROOT_SET(DRAM_APB_CLK_ROOT):MUX=4(system_pll1_800M_clk), PRE_PODF=3 //DRAM_APB_CLK=800/4=200MHz</t>
  </si>
  <si>
    <t>0x0000FFFF</t>
  </si>
  <si>
    <t>#PGC_CPU_MAPPING</t>
  </si>
  <si>
    <t>0x303A00EC</t>
  </si>
  <si>
    <t>0x303A00F8</t>
  </si>
  <si>
    <t>0x20</t>
  </si>
  <si>
    <t>#GPC_PU_PGC_SW_PUP_REQ: DDR1_SW_PUP_REQ=1</t>
  </si>
  <si>
    <t>0x30391004</t>
  </si>
  <si>
    <t>0x10</t>
  </si>
  <si>
    <t>DDR_PHY_Dq[7:0]LnSel_[3:0] registers programming</t>
  </si>
  <si>
    <t>Address</t>
  </si>
  <si>
    <t>Value</t>
  </si>
  <si>
    <t>dram_type</t>
  </si>
  <si>
    <t>ddrparam set</t>
  </si>
  <si>
    <t># DDR parameter settings</t>
  </si>
  <si>
    <t>#########################</t>
  </si>
  <si>
    <t>#DDR4=0,DDR3=1,LPDDR4=2,LPDDR3=3,DDR5=4</t>
  </si>
  <si>
    <t>0x131f</t>
  </si>
  <si>
    <t>#TrainCtrl[0] = Run DevInit - Device/phy initialization. Should always be set.</t>
  </si>
  <si>
    <t>#TrainCtrl[1] = Run WrLvl - Write leveling</t>
  </si>
  <si>
    <t>#TrainCtrl[2] = Run RxEn - Read gate training</t>
  </si>
  <si>
    <t>#TrainCtrl[3] = Run RdDQS1D - 1d read dqs training</t>
  </si>
  <si>
    <t>#TrainCtrl[4] = Run WrDQ1D - 1d write dq training</t>
  </si>
  <si>
    <t>#TrainCtrl[5] = RFU, must be zero</t>
  </si>
  <si>
    <t>#TrainCtrl[6] = RFU, must be zero</t>
  </si>
  <si>
    <t>#TrainCtrl[7] = RFU, must be zero</t>
  </si>
  <si>
    <t>#TrainCtrl[8] = Run RdDeskew - Per lane read dq deskew training</t>
  </si>
  <si>
    <t>#TrainCtrl[9] = Run MxRdLat - Max read latency training</t>
  </si>
  <si>
    <t>#TrainCtrl[11-10] = RFU, must be zero</t>
  </si>
  <si>
    <t>#TrainCtrl[12]      = Run LPCA - CA Training</t>
  </si>
  <si>
    <t>#TrainCtrl[15-13] = RFU, must be zero</t>
  </si>
  <si>
    <t>TrainInfo</t>
  </si>
  <si>
    <t>0xC8</t>
  </si>
  <si>
    <t>#0x05 = Detailed debug (e.g. eys delays)</t>
  </si>
  <si>
    <t>#0x0A = Coarse debug info (e.g. rank information)</t>
  </si>
  <si>
    <t xml:space="preserve">#0xC8 = Stage completion </t>
  </si>
  <si>
    <t>#0xC9 = Assertion messages</t>
  </si>
  <si>
    <t>#0xFF = Firmware complete</t>
  </si>
  <si>
    <t>#others = reserved</t>
  </si>
  <si>
    <t xml:space="preserve">MR1 </t>
  </si>
  <si>
    <t xml:space="preserve">MR2 </t>
  </si>
  <si>
    <t xml:space="preserve">MR3 </t>
  </si>
  <si>
    <t xml:space="preserve">MR4 </t>
  </si>
  <si>
    <t>MR11</t>
  </si>
  <si>
    <t>MR12</t>
  </si>
  <si>
    <t>MR13</t>
  </si>
  <si>
    <t>MR14</t>
  </si>
  <si>
    <t>MR16</t>
  </si>
  <si>
    <t>MR17</t>
  </si>
  <si>
    <t>MR22</t>
  </si>
  <si>
    <t>MR24</t>
  </si>
  <si>
    <t>0x00</t>
  </si>
  <si>
    <t>ATxImpedance</t>
  </si>
  <si>
    <t>ODTImpedance</t>
  </si>
  <si>
    <t xml:space="preserve">TxImpedance </t>
  </si>
  <si>
    <t xml:space="preserve">lp4x_mode   </t>
  </si>
  <si>
    <t xml:space="preserve">read_dbi    </t>
  </si>
  <si>
    <t xml:space="preserve">extCalRes   </t>
  </si>
  <si>
    <t xml:space="preserve">WDQSExt     </t>
  </si>
  <si>
    <t xml:space="preserve">SlewRiseDQ  </t>
  </si>
  <si>
    <t xml:space="preserve">SlewFallDQ  </t>
  </si>
  <si>
    <t xml:space="preserve">SlewFallAC  </t>
  </si>
  <si>
    <t xml:space="preserve">SlewRiseAC  </t>
  </si>
  <si>
    <t>CaliInterval</t>
  </si>
  <si>
    <t xml:space="preserve">CaliOnce    </t>
  </si>
  <si>
    <t>0x0f</t>
  </si>
  <si>
    <t>0x09</t>
  </si>
  <si>
    <t>DDR Parameters</t>
  </si>
  <si>
    <t>MR1</t>
  </si>
  <si>
    <t>MR2</t>
  </si>
  <si>
    <t>MR3</t>
  </si>
  <si>
    <t>MR4</t>
  </si>
  <si>
    <t>Do not update this value directly as this value is automatically updated from the value provided in register DDRC_INIT3 above.</t>
  </si>
  <si>
    <t>Do not update this value directly as this value is automatically updated from the value provided in register DDRC_INIT4 above.</t>
  </si>
  <si>
    <t>Do not update this value directly as this value is automatically updated from the value provided in register DDRC_INIT6 above.</t>
  </si>
  <si>
    <t>Do not update this value directly as this value is automatically updated from the value provided in register DDRC_INIT7 above.</t>
  </si>
  <si>
    <t>read_dbi</t>
  </si>
  <si>
    <t>Enables (1) or disables (0) the read-DBI feature. Note, the user must ensure other registers have been updated to support read-DBI (DDRC_DBICTL and mode registers for the LPDDR4/DDR4 memory, along with updating read latency).</t>
  </si>
  <si>
    <t>Write Driver Impedance for DQ/DQS in ohm (Valid values for all DramType = 240, 120, 80, 60, 48, 40, 34)</t>
  </si>
  <si>
    <t>Write Driver Impedance for Address/Command (AC) bus in ohm (Valid values for all DramType = 120, 60, 40, 30, 24, 20)</t>
  </si>
  <si>
    <t>lp4x_mode</t>
  </si>
  <si>
    <t xml:space="preserve">Not a supported feature of this SoC and it is required to set this to 0. </t>
  </si>
  <si>
    <t xml:space="preserve">extCalRes     </t>
  </si>
  <si>
    <t>External pull-down resistor value in Ohm (recommend to set to 0 for normal operation)</t>
  </si>
  <si>
    <t xml:space="preserve">CaliOnce   </t>
  </si>
  <si>
    <t>Specifies the interval between successive calibrations, in mS (0= continuous,1= 0.01, 2=0.10, 3=1, 4=2, 5=3, 6=4, 7=8, 8=10, 9=20, other reserved). Recommend to set this to 0x9.</t>
  </si>
  <si>
    <t>This setting changes the behaviour of CSR CalRun (1: The 0-&gt;1 transition of CSR CalRun causes a single iteration of the calibration sequence to occur, 0: Calibration will proceed at the rate determined by CSR CaliInterval). Recommend to set this to 0.</t>
  </si>
  <si>
    <t>Pull-up slew rate control for DBYTE Tx. Value specified here will be applied directly to TxSlewRate. For optimal operation, recommend to set to 0x0f.</t>
  </si>
  <si>
    <t>Pull-down slew rate control for DBYTE Tx. Value specified here will be applied directly to TxSlewRate. For optimal operation, recommend to set to 0x0f.</t>
  </si>
  <si>
    <t>Pull-up slew rate control for ANIB Tx. Value specified here will be applied directly to ATxSlewRate. For optimal operation, recommend to set to 0x0f.</t>
  </si>
  <si>
    <t>Pull-down slew rate control for ANIB Tx. Value specified here will be applied directly to ATxSlewRate. For optimal operation, recommend to set to 0x0f.</t>
  </si>
  <si>
    <t>Configure this based on desired mode register setting (normally this should be 0).</t>
  </si>
  <si>
    <t># The following is to configure the recommended training, it is strongly recommended not to change this</t>
  </si>
  <si>
    <t># The following is for internal factory use, it is strongly recommended not to change this</t>
  </si>
  <si>
    <t>#DDRC_DBG1: dis_dq=1, indicates no reads or writes are issued to SDRAM</t>
  </si>
  <si>
    <t>#DDRC_PWRCTL: selfref_en=1, SDRAM enter self-refresh state</t>
  </si>
  <si>
    <t xml:space="preserve">#DDRC_MSTR   </t>
  </si>
  <si>
    <t>#DDRC_RFSHTMG</t>
  </si>
  <si>
    <t xml:space="preserve">#DDRC_INIT0  </t>
  </si>
  <si>
    <t xml:space="preserve">#DDRC_INIT1  </t>
  </si>
  <si>
    <t xml:space="preserve">#DDRC_INIT3  </t>
  </si>
  <si>
    <t xml:space="preserve">#DDRC_INIT4  </t>
  </si>
  <si>
    <t xml:space="preserve">#DDRC_INIT6  </t>
  </si>
  <si>
    <t xml:space="preserve">#DDRC_INIT7  </t>
  </si>
  <si>
    <t xml:space="preserve">#DDRC_DRAMTMG0 </t>
  </si>
  <si>
    <t xml:space="preserve">#DDRC_DRAMTMG1 </t>
  </si>
  <si>
    <t xml:space="preserve">#DDRC_DRAMTMG2 </t>
  </si>
  <si>
    <t xml:space="preserve">#DDRC_DRAMTMG3 </t>
  </si>
  <si>
    <t xml:space="preserve">#DDRC_DRAMTMG4 </t>
  </si>
  <si>
    <t xml:space="preserve">#DDRC_DRAMTMG5 </t>
  </si>
  <si>
    <t xml:space="preserve">#DDRC_DRAMTMG6 </t>
  </si>
  <si>
    <t xml:space="preserve">#DDRC_DRAMTMG7 </t>
  </si>
  <si>
    <t>#DDRC_DRAMTMG12</t>
  </si>
  <si>
    <t>#DDRC_DRAMTMG13</t>
  </si>
  <si>
    <t>#DDRC_DRAMTMG14</t>
  </si>
  <si>
    <t>#DDRC_DRAMTMG17</t>
  </si>
  <si>
    <t xml:space="preserve">#DDRC_ZQCTL0   </t>
  </si>
  <si>
    <t xml:space="preserve">#DDRC_ZQCTL1   </t>
  </si>
  <si>
    <t xml:space="preserve">#DDRC_DFITMG0  </t>
  </si>
  <si>
    <t xml:space="preserve">#DDRC_DFITMG1  </t>
  </si>
  <si>
    <t xml:space="preserve">#DDRC_DFIUPD0  </t>
  </si>
  <si>
    <t xml:space="preserve">#DDRC_DFIUPD1  </t>
  </si>
  <si>
    <t xml:space="preserve">#DDRC_DFIUPD2  </t>
  </si>
  <si>
    <t xml:space="preserve">#DDRC_DFIMISC  </t>
  </si>
  <si>
    <t xml:space="preserve">#DDRC_DFITMG2  </t>
  </si>
  <si>
    <t xml:space="preserve">#DDRC_DBICTL   </t>
  </si>
  <si>
    <t>#DDRC_DFI_PHYMSTR</t>
  </si>
  <si>
    <t xml:space="preserve">#DDRC_ADDRMAP0 </t>
  </si>
  <si>
    <t xml:space="preserve">#DDRC_ADDRMAP3 </t>
  </si>
  <si>
    <t xml:space="preserve">#DDRC_ADDRMAP4 </t>
  </si>
  <si>
    <t xml:space="preserve">#DDRC_ADDRMAP1 </t>
  </si>
  <si>
    <t xml:space="preserve">#DDRC_ADDRMAP5 </t>
  </si>
  <si>
    <t>#DDRC_DBG1</t>
  </si>
  <si>
    <t>#DDRC_PWRCTL</t>
  </si>
  <si>
    <t>#DDRC_SWCTL</t>
  </si>
  <si>
    <t>DDRC_PWRCTL</t>
  </si>
  <si>
    <t>lpddr4_sr_allowed</t>
  </si>
  <si>
    <t>dis_cam_drain_selfref</t>
  </si>
  <si>
    <t>stay_in_selfref</t>
  </si>
  <si>
    <t>selfref_sw</t>
  </si>
  <si>
    <t>mpsm_en</t>
  </si>
  <si>
    <t>en_dfi_dram_clk_disable</t>
  </si>
  <si>
    <t>deeppowerdown_en</t>
  </si>
  <si>
    <t>powerdown_en</t>
  </si>
  <si>
    <t>selfref_en</t>
  </si>
  <si>
    <t>If true then the uMCTL2 puts the SDRAM into Self Refresh after a programmable number of cycles "maximum idle clocks before Self Refresh (PWRTMG.selfref_to_x32)". This register bit may be re-programmed during the course of normal operation.
Value After Reset: 0x0</t>
  </si>
  <si>
    <t>If true then the uMCTL2 goes into power-down after a programmable number of cycles "maximum idle clocks before power down" (PWRTMG.powerdown_to_x32).
This register bit may be re-programmed during the course of normal operation.
Value After Reset: 0x0</t>
  </si>
  <si>
    <t>When this is 1, uMCTL2 puts the SDRAM into deep power-down mode when the transaction store is empty.
This register must be reset to '0' to bring uMCTL2 out of deep power-down mode. Controller performs automatic SDRAM initialization on deep power-down exit.
Present only in designs configured to support mDDR or LPDDR2 or LPDDR3. For non-mDDR/non-LPDDR2/non-LPDDR3, this register should not be set to 1.
FOR PERFORMANCE ONLY.
Value After Reset: 0x0</t>
  </si>
  <si>
    <t>Enable the assertion of dfi_dram_clk_disable whenever a clock is not required by the SDRAM.
If set to 0, dfi_dram_clk_disable is never asserted.
Assertion of dfi_dram_clk_disable is as follows:
In DDR2/DDR3, can only be asserted in Self Refresh.
In DDR4, can be asserted in following:
■in Self Refresh.
■in Maximum Power Saving Mode
In mDDR/LPDDR2/LPDDR3, can be asserted in following:
■in Self Refresh
■in Power Down
■in Deep Power Down
■during Normal operation (Clock Stop)
In LPDDR4, can be asserted in following:
■in Self Refresh Power Down
■in Power Down
■during Normal operation (Clock Stop)
Value After Reset: 0x0</t>
  </si>
  <si>
    <t>When this is 1, the uMCTL2 puts the SDRAM into maximum power saving mode when the transaction store is empty.
This register must be reset to '0' to bring uMCTL2 out of maximum power saving mode.
Present only in designs configured to support DDR4. For non-DDR4, this register should not be set to 1.
Note that MPSM is not supported when using a Synopsys DWC DDR PHY, if the PHY parameter DWC_AC_CS_USE is disabled, as the MPSM exit sequence requires the chip-select signal to toggle.
FOR PERFORMANCE ONLY.
Value After Reset: 0x0</t>
  </si>
  <si>
    <t>A value of 1 to this register causes system to move to Self Refresh state immediately, as long as it is not in INIT or DPD/MPSM operating_mode. This is referred to as Software Entry/Exit to Self Refresh.
■1 - Software Entry to Self Refresh
■0 - Software Exit from Self Refresh
Value After Reset: 0x0</t>
  </si>
  <si>
    <t>Self refresh state is an intermediate state to enter to Self refresh power down state or exit Self refresh power down state for LPDDR4.
This register controls transition from the Self refresh state.
■1 - Prohibit transition from Self refresh state
■0 - Allow transition from Self refresh state
Value After Reset: 0x0</t>
  </si>
  <si>
    <t>Indicates whether skipping CAM draining is allowed when entering Self-Refresh.
This register field cannot be modified while PWRCTL.selfref_sw==1.
■0 - CAMs must be empty before entering SR
■1 - CAMs are not emptied before entering SR
Value After Reset: 0x0</t>
  </si>
  <si>
    <t>Indicates whether transition from SR-PD to SR and back to SR-PD is allowed.
This register field cannot be modified while PWRCTL.selfref_sw==1.
■0 - SR-PD -&gt; SR -&gt; SR-PD not allowed
■1 - SR-PD -&gt; SR -&gt; SR-PD allowed
Value After Reset: 0x0</t>
  </si>
  <si>
    <t># DDR PHY DQ lane to memory mapping</t>
  </si>
  <si>
    <t>0x3C040280</t>
  </si>
  <si>
    <t>0x3C040284</t>
  </si>
  <si>
    <t>0x3C040288</t>
  </si>
  <si>
    <t>0x3C04028C</t>
  </si>
  <si>
    <t>0x3C040290</t>
  </si>
  <si>
    <t>0x3C040294</t>
  </si>
  <si>
    <t>0x3C040298</t>
  </si>
  <si>
    <t>0x3C04029C</t>
  </si>
  <si>
    <t>0x3C044280</t>
  </si>
  <si>
    <t>0x3C044284</t>
  </si>
  <si>
    <t>0x3C044288</t>
  </si>
  <si>
    <t>0x3C04428C</t>
  </si>
  <si>
    <t>0x3C044290</t>
  </si>
  <si>
    <t>0x3C044294</t>
  </si>
  <si>
    <t>0x3C044298</t>
  </si>
  <si>
    <t>0x3C04429C</t>
  </si>
  <si>
    <t>0x3C048280</t>
  </si>
  <si>
    <t>0x3C048284</t>
  </si>
  <si>
    <t>0x3C048288</t>
  </si>
  <si>
    <t>0x3C04828C</t>
  </si>
  <si>
    <t>0x3C048290</t>
  </si>
  <si>
    <t>0x3C048294</t>
  </si>
  <si>
    <t>0x3C048298</t>
  </si>
  <si>
    <t>0x3C04829C</t>
  </si>
  <si>
    <t>0x3C04C280</t>
  </si>
  <si>
    <t>0x3C04C284</t>
  </si>
  <si>
    <t>0x3C04C288</t>
  </si>
  <si>
    <t>0x3C04C28C</t>
  </si>
  <si>
    <t>0x3C04C290</t>
  </si>
  <si>
    <t>0x3C04C294</t>
  </si>
  <si>
    <t>0x3C04C298</t>
  </si>
  <si>
    <t>0x3C04C29C</t>
  </si>
  <si>
    <t>#DDR_PHY_Dq0LnSel_0</t>
  </si>
  <si>
    <t>#DDR_PHY_Dq1LnSel_0</t>
  </si>
  <si>
    <t>#DDR_PHY_Dq2LnSel_0</t>
  </si>
  <si>
    <t>#DDR_PHY_Dq3LnSel_0</t>
  </si>
  <si>
    <t>#DDR_PHY_Dq4LnSel_0</t>
  </si>
  <si>
    <t>#DDR_PHY_Dq5LnSel_0</t>
  </si>
  <si>
    <t>#DDR_PHY_Dq6LnSel_0</t>
  </si>
  <si>
    <t>#DDR_PHY_Dq7LnSel_0</t>
  </si>
  <si>
    <t>#DDR_PHY_Dq0LnSel_1</t>
  </si>
  <si>
    <t>#DDR_PHY_Dq1LnSel_1</t>
  </si>
  <si>
    <t>#DDR_PHY_Dq2LnSel_1</t>
  </si>
  <si>
    <t>#DDR_PHY_Dq3LnSel_1</t>
  </si>
  <si>
    <t>#DDR_PHY_Dq4LnSel_1</t>
  </si>
  <si>
    <t>#DDR_PHY_Dq5LnSel_1</t>
  </si>
  <si>
    <t>#DDR_PHY_Dq6LnSel_1</t>
  </si>
  <si>
    <t>#DDR_PHY_Dq7LnSel_1</t>
  </si>
  <si>
    <t>#DDR_PHY_Dq0LnSel_2</t>
  </si>
  <si>
    <t>#DDR_PHY_Dq1LnSel_2</t>
  </si>
  <si>
    <t>#DDR_PHY_Dq2LnSel_2</t>
  </si>
  <si>
    <t>#DDR_PHY_Dq3LnSel_2</t>
  </si>
  <si>
    <t>#DDR_PHY_Dq4LnSel_2</t>
  </si>
  <si>
    <t>#DDR_PHY_Dq5LnSel_2</t>
  </si>
  <si>
    <t>#DDR_PHY_Dq6LnSel_2</t>
  </si>
  <si>
    <t>#DDR_PHY_Dq7LnSel_2</t>
  </si>
  <si>
    <t>#DDR_PHY_Dq0LnSel_3</t>
  </si>
  <si>
    <t>#DDR_PHY_Dq1LnSel_3</t>
  </si>
  <si>
    <t>#DDR_PHY_Dq2LnSel_3</t>
  </si>
  <si>
    <t>#DDR_PHY_Dq3LnSel_3</t>
  </si>
  <si>
    <t>#DDR_PHY_Dq4LnSel_3</t>
  </si>
  <si>
    <t>#DDR_PHY_Dq5LnSel_3</t>
  </si>
  <si>
    <t>#DDR_PHY_Dq6LnSel_3</t>
  </si>
  <si>
    <t>#DDR_PHY_Dq7LnSel_3</t>
  </si>
  <si>
    <t>FREQ1 setpoint Clock Cycle Freq (MHz)</t>
  </si>
  <si>
    <t>FREQ2 setpoint Clock Cycle Freq (MHz)</t>
  </si>
  <si>
    <t>FREQ1 Clock Cycle Time (ns)</t>
  </si>
  <si>
    <t>FREQ2 Clock Cycle Time (ns)</t>
  </si>
  <si>
    <t>DDRC0 FREQ1 Base Address (do not modify)</t>
  </si>
  <si>
    <t>DDRC0 FREQ2 Base Address (do not modify)</t>
  </si>
  <si>
    <t>3D402000</t>
  </si>
  <si>
    <t>3D403000</t>
  </si>
  <si>
    <t>FREQ1 Setpoint Parameters (strongly recommended not to modify)</t>
  </si>
  <si>
    <t>DDRC_FREQ1_DRAMTMG0</t>
  </si>
  <si>
    <t>DDRC_FREQ1_DRAMTMG2</t>
  </si>
  <si>
    <t>num_pstat</t>
  </si>
  <si>
    <t># number of frequency setpoints for Hardware Fast Frequency Change</t>
  </si>
  <si>
    <t>train_2d</t>
  </si>
  <si>
    <t>#0=1D training only, 1=1D&amp;2D training</t>
  </si>
  <si>
    <r>
      <t xml:space="preserve">Enable/disable 2D training
</t>
    </r>
    <r>
      <rPr>
        <sz val="11"/>
        <rFont val="Calibri"/>
        <family val="2"/>
        <scheme val="minor"/>
      </rPr>
      <t>This setting allows user to enable (1) or disable (0) 2D training.</t>
    </r>
  </si>
  <si>
    <t>TrainCtrl0</t>
  </si>
  <si>
    <t>TrainCtrl1</t>
  </si>
  <si>
    <t>TrainCtrl2</t>
  </si>
  <si>
    <t>0x121f</t>
  </si>
  <si>
    <t>RX2D_trainOpt</t>
  </si>
  <si>
    <t>TX2D_trainOpt</t>
  </si>
  <si>
    <t>Share_2dVref</t>
  </si>
  <si>
    <t>Delay_weight2d</t>
  </si>
  <si>
    <t>Volt_weight2d</t>
  </si>
  <si>
    <t>#### DDR frequency point0 #####</t>
  </si>
  <si>
    <t>frequency0</t>
  </si>
  <si>
    <t>pllbypass0</t>
  </si>
  <si>
    <t xml:space="preserve">freq0 set    </t>
  </si>
  <si>
    <t xml:space="preserve">freq0 setbit </t>
  </si>
  <si>
    <t xml:space="preserve">freq0 clrbit </t>
  </si>
  <si>
    <t>freq0 chkbit1</t>
  </si>
  <si>
    <t>0x30389808</t>
  </si>
  <si>
    <t xml:space="preserve">0x20      </t>
  </si>
  <si>
    <t>0x01000000</t>
  </si>
  <si>
    <t>#PGC_CPU_MAPPING,disable the clock gating</t>
  </si>
  <si>
    <t>#CCM_TARGET_ROOT_CLR(DRAM_SEL): clear DRAM PLL bypass bit24</t>
  </si>
  <si>
    <t>#### DDR frequency point1 #####</t>
  </si>
  <si>
    <t>0x3038A008</t>
  </si>
  <si>
    <t>0x3038A004</t>
  </si>
  <si>
    <t>0x30389804</t>
  </si>
  <si>
    <t>0x02010000</t>
  </si>
  <si>
    <t>#CCM_TARGET_ROOT_CLR(DRAM_ALT_CLK_ROOT)</t>
  </si>
  <si>
    <t>#CCM_TARGET_ROOT_SET(DRAM_APB_CLK_ROOT):MUX=2(system_pll1_40m_clk),  PRE_PODF=2 //DRAM_APB_CLK=40/2=20MHz</t>
  </si>
  <si>
    <t>#CCM_TARGET_ROOT_CLR(DRAM_SEL): enable DRAM PLL bypass bit24</t>
  </si>
  <si>
    <t>#### DDR frequency point2 #####</t>
  </si>
  <si>
    <t>frequency1</t>
  </si>
  <si>
    <t>pllbypass1</t>
  </si>
  <si>
    <t>frequency2</t>
  </si>
  <si>
    <t>pllbypass2</t>
  </si>
  <si>
    <t>0x02000000</t>
  </si>
  <si>
    <t>#CCM_TARGET_ROOT_SET(DRAM_ALT_CLK_ROOT):MUX=2(system_pll1_100m_clk), PRE_PODF=1 //DRAM_ALT_CLK=100/1=100MHz</t>
  </si>
  <si>
    <t>#DDRC_FREQ1_DRAMTMG0</t>
  </si>
  <si>
    <t>#DDRC_FREQ1_DRAMTMG1</t>
  </si>
  <si>
    <t>#DDRC_FREQ1_DRAMTMG2</t>
  </si>
  <si>
    <t>#DDRC_FREQ1_DRAMTMG3</t>
  </si>
  <si>
    <t>#DDRC_FREQ1_DRAMTMG4</t>
  </si>
  <si>
    <t>#DDRC_FREQ1_DRAMTMG5</t>
  </si>
  <si>
    <t>#DDRC_FREQ1_DRAMTMG6</t>
  </si>
  <si>
    <t>#DDRC_FREQ1_DRAMTMG7</t>
  </si>
  <si>
    <t>#DDRC_FREQ1_DRAMTMG14</t>
  </si>
  <si>
    <t>#DDRC_FREQ1_DRAMTMG17</t>
  </si>
  <si>
    <t>#DDRC_FREQ1_DERATEINT</t>
  </si>
  <si>
    <t>#DDRC_FREQ1_RFSHCTL0</t>
  </si>
  <si>
    <t>#DDRC_FREQ1_DFITMG0</t>
  </si>
  <si>
    <t>#DDRC_FREQ1_DFITMG2</t>
  </si>
  <si>
    <t>#DDRC_FREQ1_RFSHTMG</t>
  </si>
  <si>
    <t>#DDRC_FREQ1_INIT3</t>
  </si>
  <si>
    <t>#DDRC_FREQ1_INIT6</t>
  </si>
  <si>
    <t>#DDRC_FREQ1_INIT7</t>
  </si>
  <si>
    <t>#DDRC_FREQ1_INIT4</t>
  </si>
  <si>
    <t># DDR-50MHz clock configuration</t>
  </si>
  <si>
    <t xml:space="preserve">#DDRC_FREQ2_DRAMTMG0 </t>
  </si>
  <si>
    <t xml:space="preserve">#DDRC_FREQ2_DRAMTMG1 </t>
  </si>
  <si>
    <t xml:space="preserve">#DDRC_FREQ2_DRAMTMG2 </t>
  </si>
  <si>
    <t xml:space="preserve">#DDRC_FREQ2_DRAMTMG3 </t>
  </si>
  <si>
    <t xml:space="preserve">#DDRC_FREQ2_DRAMTMG4 </t>
  </si>
  <si>
    <t xml:space="preserve">#DDRC_FREQ2_DRAMTMG5 </t>
  </si>
  <si>
    <t xml:space="preserve">#DDRC_FREQ2_DRAMTMG6 </t>
  </si>
  <si>
    <t xml:space="preserve">#DDRC_FREQ2_DRAMTMG7 </t>
  </si>
  <si>
    <t>#DDRC_FREQ2_DRAMTMG14</t>
  </si>
  <si>
    <t>#DDRC_FREQ2_DRAMTMG17</t>
  </si>
  <si>
    <t>#DDRC_FREQ2_DERATEINT</t>
  </si>
  <si>
    <t xml:space="preserve">#DDRC_FREQ2_RFSHCTL0 </t>
  </si>
  <si>
    <t xml:space="preserve">#DDRC_FREQ2_DFITMG0  </t>
  </si>
  <si>
    <t xml:space="preserve">#DDRC_FREQ2_DFITMG2  </t>
  </si>
  <si>
    <t xml:space="preserve">#DDRC_FREQ2_RFSHTMG  </t>
  </si>
  <si>
    <t xml:space="preserve">#DDRC_FREQ2_INIT3    </t>
  </si>
  <si>
    <t xml:space="preserve">#DDRC_FREQ2_INIT6    </t>
  </si>
  <si>
    <t xml:space="preserve">#DDRC_FREQ2_INIT7    </t>
  </si>
  <si>
    <t xml:space="preserve">#DDRC_FREQ2_INIT4    </t>
  </si>
  <si>
    <t>RC_DERATE_VALUE</t>
  </si>
  <si>
    <t>DDRC_DERATEEN</t>
  </si>
  <si>
    <t>DERATE_BYTE</t>
  </si>
  <si>
    <t>Indicates which byte of the MRR data is used for derating.
Note, this parameter is automatically configured based on the information provided in the BoardDataBusConfig tab. It is important for the user to correctly configure the BoardDataBusConfig worksheet tab.</t>
  </si>
  <si>
    <t>DERATE_VALUE</t>
  </si>
  <si>
    <t>Derate value
■0 - Derating uses +1.
■1 - Derating uses +2.
For LPDDR4, if the period of core_ddrc_core_clk is less than 1.875ns, this register field should be set to 1; otherwise it should be set to 0.
This value is automatically calculated.</t>
  </si>
  <si>
    <t>DERATE_ENABLE</t>
  </si>
  <si>
    <t>Enables derating
■0 - Timing parameter derating is disabled
■1 - Timing parameter derating is enabled using MR4 read value.
Present only in designs configured to support LPDDR4
This field must be set to '0' for non-LPDDR4 mode</t>
  </si>
  <si>
    <t>MR4_READ_INTERVAL</t>
  </si>
  <si>
    <t>Interval between two MR4 reads, used to derate the timing parameters.
Present only in designs configured to support LPDDR4. This register must not be set to zero.
Unit: DFI clock cycle.
The value used is the JEDEC recommended 32ms interval.</t>
  </si>
  <si>
    <t>DDRC_DERATEINT</t>
  </si>
  <si>
    <t>DDRC_FREQ1_DERATEINT</t>
  </si>
  <si>
    <t>DDRC_FREQ1_DFITMG0</t>
  </si>
  <si>
    <t>DDRC_FREQ1_DFITMG2</t>
  </si>
  <si>
    <t>DDRC_FREQ1_INIT6</t>
  </si>
  <si>
    <t>DDRC_FREQ1_INIT7</t>
  </si>
  <si>
    <t>DDRC_FREQ1_INIT4</t>
  </si>
  <si>
    <t>DDRC_FREQ1_RFSHTMG</t>
  </si>
  <si>
    <t>DDRC_FREQ1_INIT3</t>
  </si>
  <si>
    <t>DDRC_FREQ1_DRAMTMG17</t>
  </si>
  <si>
    <t>DDRC_FREQ1_DRAMTMG14</t>
  </si>
  <si>
    <t>DDRC_FREQ1_DRAMTMG7</t>
  </si>
  <si>
    <t>DDRC_FREQ1_DRAMTMG6</t>
  </si>
  <si>
    <t>DDRC_FREQ1_DRAMTMG5</t>
  </si>
  <si>
    <t>DDRC_FREQ1_DRAMTMG4</t>
  </si>
  <si>
    <t>DDRC_FREQ1_DRAMTMG3</t>
  </si>
  <si>
    <t>DDRC_FREQ1_DRAMTMG1</t>
  </si>
  <si>
    <t>Refer to this register's bit description previously described above</t>
  </si>
  <si>
    <t>tWR (automatically calculated based on JEDEC)
Minimum time between write and precharge to same bank.
Unit: Clocks
Specifications: WL + BL/2 + tWR = approximately 8 cycles + 15 ns = 14 clocks @400MHz and less for lower frequencies
where:
■WL = write latency
■BL = burst length. This must match the value programmed in the BL bit of the mode register to the SDRAM. BST (burst terminate) is not supported at present.
■tWR = Write recovery time. This comes directly from the SDRAM specification.
Add one extra cycle for LPDDR2/LPDDR3/LPDDR4 for this parameter.
When the controller is operating in 1:2 frequency ratio mode, 1T mode, divide the above value by 2. No rounding up.
When the controller is operating in 1:2 frequency ratio mode, 2T mode or LPDDR4 mode, divide the above value by 2 and round it up to the next integer value.
Note that, depending on the PHY, if using LRDIMM, it may be necessary to adjust the value of this parameter to compensate for the extra cycle of latency through the LRDIMM.
Value After Reset: 0xf</t>
  </si>
  <si>
    <t>tFAW (in ns) (automatically calculated based on JEDEC)
tFAW Valid only when 8 or more banks(or banks x bank groups) are present.
In 8-bank design, at most 4 banks must be activated in a rolling window of tFAW cycles.
When the controller is operating in 1:2 frequency ratio mode, program this to (tFAW/2) and round up to next integer value.
In a 4-bank design, set this register to 0x1 independent of the 1:1/1:2 frequency mode.
Unit: Clocks
Value After Reset: 0x10</t>
  </si>
  <si>
    <t>tRAS(min) (automatically calculated based on JEDEC)
tRAS(min): Minimum time between activate and precharge to the same bank.
When the controller is operating in 1:2 frequency mode, 1T mode, program this to tRAS(min)/2. No rounding up.
When the controller is operating in 1:2 frequency ratio mode, 2T mode or LPDDR4 mode, program this to (tRAS(min)/2) and round it up to the next integer value.
Unit: Clocks
Value After Reset: 0xf</t>
  </si>
  <si>
    <t>tXP (automatically calculated based on JEDEC)
tXP: Minimum time after power-down exit to any operation. For DDR3, this should be programmed to tXPDLL if slow powerdown exit is selected in MR0[12].
If C/A parity for DDR4 is used, set to (tXP+PL) instead.
If LPDDR4 is selected and its spec has tCKELPD parameter, set to the larger of tXP and tCKELPD instead.
When the controller is operating in 1:2 frequency ratio mode, program this to (tXP/2) and round it up to the next integer value.
Units: Clocks
Value After Reset: 0x8</t>
  </si>
  <si>
    <t>Set to WL (automatically calculated based on JEDEC)
Time from write command to write data on SDRAM interface. This must be set to WL.
For mDDR, it should normally be set to 1.
Note that, depending on the PHY, if using RDIMM/LRDIMM, it may be necessary to adjust the value of WL to compensate for the extra cycle of latency through the RDIMM/LRDIMM.
When the controller is operating in 1:2 frequency ratio mode, divide the value calculated using the above equation by 2, and round it up to next integer.
This register field is not required for DDR2 and DDR3 (except if MEMC_TRAINING is set), as the DFI read and write latencies defined in DFITMG0 and DFITMG1 are sufficient for those protocols
Unit: clocks
Value After Reset: 0x3</t>
  </si>
  <si>
    <t>Set to RL (automatically calculated based on JEDEC)
Time from read command to read data on SDRAM interface. This must be set to RL.
Note that, depending on the PHY, if using RDIMM/LRDIMM, it may be necessary to adjust the value of RL to compensate for the extra cycle of latency through the RDIMM/LRDIMM.
When the controller is operating in 1:2 frequency ratio mode, divide the value calculated using the above equation by 2, and round it up to next integer.
This register field is not required for DDR2 and DDR3 (except if MEMC_TRAINING is set), as the DFI read and write latencies defined in DFITMG0 and DFITMG1 are sufficient for those protocols
Unit: clocks
Value After Reset: 0x5</t>
  </si>
  <si>
    <t>Timing parameter automatically calculated based on JEDEC.
Description: Time to wait after a mode register write or read (MRW or MRR).
Present only in designs configured to support LPDDR2/LPDDR3/LPDDR4
LPDDR4: Set this to the larger of tMRW and tMRWCKEL in ns.
Value After Reset: 0x0</t>
  </si>
  <si>
    <t>tMRD (automatically calculated based on JEDEC).
tMRD: Cycles to wait after a mode register write or read. Depending on the connected SDRAM, tMRD represents:
DDR2/mDDR: Time from MRS to any command
DDR3/4: Time from MRS to MRS command
LPDDR2: not used
LPDDR3/4: Time from MRS to non-MRS command.
When the controller is operating in 1:2 frequency ratio mode, program this to (tMRD/2) and round it up to the next integer value.
If C/A parity for DDR4 is used, set to tMRD_PAR(tMOD+PL) instead.
Value After Reset: 0x4</t>
  </si>
  <si>
    <t>tCCD (automatically calculated based on JEDEC).
DDR4: tCCD_L: This is the minimum time between two reads or two writes for same bank group.
Others: tCCD: This is the minimum time between two reads or two writes.
When the controller is operating in 1:2 frequency ratio mode, program this to (tCCD_L/2 or tCCD/2) and round it up to the next integer value.
Unit: clocks.
Value After Reset: 0x4</t>
  </si>
  <si>
    <t>tRRD (automatically calculated based on JEDEC).
DDR4: tRRD_L: Minimum time between activates from bank "a" to bank "b" for same bank group.
Others: tRRD: Minimum time between activates from bank "a" to bank "b"
When the controller is operating in 1:2 frequency ratio mode, program this to (tRRD_L/2 or tRRD/2) and round it up to the next integer value.
Unit: Clocks.
Value After Reset: 0x4</t>
  </si>
  <si>
    <t>tRPpb (automatically calculated based on JEDEC).
tRP: Minimum time from precharge to activate of same bank.
When the controller is operating in 1:1 frequency ratio mode, t_rp should be set to RoundUp(tRP/tCK).
When the controller is operating in 1:2 frequency ratio mode, t_rp should be set to RoundDown(RoundUp(tRP/tCK)/2) + 1.
When the controller is operating in 1:2 frequency ratio mode in LPDDR4, t_rp should be set to RoundUp(RoundUp(tRP/tCK)/2).
Unit: Clocks.
Value After Reset: 0x5</t>
  </si>
  <si>
    <t>tCKCKEH (automatically calculated based on JEDEC).
This is the time before Self Refresh Exit that CK is maintained as a valid clock before issuing SRX. Specifies the clock stable time before SRX.
Recommended settings:
■mDDR: 1
■LPDDR2: 2
■LPDDR3: 2
■LPDDR4: tCKCKEH
■DDR2: 1
■DDR3: tCKSRX
■DDR4: tCKSRX
When the controller is operating in 1:2 frequency ratio mode, program this to recommended value divided by two and round it up to next integer.
Value After Reset: 0x5</t>
  </si>
  <si>
    <t>tCKELCK (automatically calculated based on JEDEC).
This is the time after Self Refresh Down Entry that CK is maintained as a valid clock. Specifies the clock disable delay after SRE.
Recommended settings:
■mDDR: 0
■LPDDR2: 2
■LPDDR3: 2
■LPDDR4: tCKELCK
■DDR2: 1
■DDR3: max (10 ns, 5 tCK)
■DDR4: max (10 ns, 5 tCK) (+ PL(parity latency)(*))
(*)Only if CRCPARCTL1.caparity_disable_before_sr=0, this register should be increased by PL.
When the controller is operating in 1:2 frequency ratio mode, program this to recommended value divided by two and round it up to next integer.
Value After Reset: 0x5</t>
  </si>
  <si>
    <t>max(tCKE, tSR) (automatically calculated based on JEDEC).
Minimum CKE low width for Self refresh or Self refresh power down entry to exit timing in memory clock cycles.
Recommended settings:
■mDDR: tRFC
■LPDDR2: tCKESR
■LPDDR3: tCKESR
■LPDDR4: max(tCKE, tSR)
tSR: max(15ns, 3tCK)
tCKE: max(7.5ns, 4tCK)
■DDR2: tCKE
■DDR3: tCKE + 1
■DDR4: tCKE + 1 (+ PL(parity latency)(*))
(*)Only if CRCPARCTL1.caparity_disable_before_sr=0, this register should be increased by PL.
When the controller is operating in 1:2 frequency ratio mode, program this to recommended value divided by two and round it up to next integer.
Value After Reset: 0x4</t>
  </si>
  <si>
    <t>max(tCKE, tSR) (automatically calculated based on JEDEC).
Minimum number of cycles of CKE HIGH/LOW during power-down and self refresh.
■LPDDR2/LPDDR3 mode: Set this to the larger of tCKE or tCKESR
■LPDDR4 mode: Set this to the larger of tCKE or tSR.
■Non-LPDDR2/non-LPDDR3/non-LPDDR4 designs: Set this to tCKE value.
When the controller is operating in 1:2 frequency ratio mode, program this to (value described above)/2 and round it up to the next integer value.
Unit: Clocks.
Value After Reset: 0x3</t>
  </si>
  <si>
    <r>
      <rPr>
        <b/>
        <sz val="10"/>
        <color theme="1"/>
        <rFont val="Arial"/>
        <family val="2"/>
      </rPr>
      <t>tXP + 2 (automatically calculated based on JEDEC)</t>
    </r>
    <r>
      <rPr>
        <sz val="10"/>
        <color theme="1"/>
        <rFont val="Arial"/>
        <family val="2"/>
      </rPr>
      <t xml:space="preserve">
This is the time before Clock Stop Exit that CK is maintained as a valid clock before issuing Clock Stop Exit. Specifies the clock stable time before next command after Clock Stop Exit.
Recommended settings:
■mDDR: 1
■LPDDR2: tXP + 2
■LPDDR3: tXP + 2
■LPDDR4: tXP + 2
When the controller is operating in 1:2 frequency ratio mode, program this to recommended value divided by two and round it up to next integer.
This is only present for designs supporting mDDR or LPDDR2/LPDDR3/LPDDR4 devices.
Value After Reset: 0x5</t>
    </r>
  </si>
  <si>
    <r>
      <rPr>
        <b/>
        <sz val="10"/>
        <color theme="1"/>
        <rFont val="Arial"/>
        <family val="2"/>
      </rPr>
      <t>tCKELCK (automatically calculated based on JEDEC)</t>
    </r>
    <r>
      <rPr>
        <sz val="10"/>
        <color theme="1"/>
        <rFont val="Arial"/>
        <family val="2"/>
      </rPr>
      <t xml:space="preserve">
This is the time after Power Down Entry that CK is maintained as a valid clock. Specifies the clock disable delay after PDE.
Recommended settings:
■mDDR: 0
■LPDDR2: 2
■LPDDR3: 2
■LPDDR4: tCKELCK
When using DDR2/3/4 SDRAM, this register should be set to the same value as DRAMTMG5.t_cksre. When the controller is operating in 1:2 frequency ratio mode, program this to recommended value divided by two and round it up to next integer.
This is only present for designs supporting mDDR or LPDDR2/LPDDR3/LPDDR4 devices.
Value After Reset: 0x2</t>
    </r>
  </si>
  <si>
    <r>
      <t xml:space="preserve">tCMDCKE: Delay from valid command to CKE input LOW.
</t>
    </r>
    <r>
      <rPr>
        <b/>
        <sz val="10"/>
        <color theme="1"/>
        <rFont val="Arial"/>
        <family val="2"/>
      </rPr>
      <t>Set this to the larger of tESCKE or tCMDCKE (automatically calculated based on JEDEC)
tESCKE: Max(1.75ns, 3nCK)
tCMDCKE: Max(1.75ns, 3tCK)</t>
    </r>
    <r>
      <rPr>
        <sz val="10"/>
        <color theme="1"/>
        <rFont val="Arial"/>
        <family val="2"/>
      </rPr>
      <t xml:space="preserve">
When the controller is operating in 1:2 frequency ratio mode, program this to (max(tESCKE, tCMDCKE)/2) and round it up to the next integer value.
Value After Reset: 0x2</t>
    </r>
  </si>
  <si>
    <r>
      <t>Description: tCKEHCMD: Valid command requirement after CKE input HIGH.</t>
    </r>
    <r>
      <rPr>
        <b/>
        <sz val="10"/>
        <color theme="1"/>
        <rFont val="Arial"/>
        <family val="2"/>
      </rPr>
      <t xml:space="preserve"> Input tCKEHCMD in ns. May also be referred to as tCKEHCS: Max(7.5ns,5tCK). (automatically calculated based on JEDEC)</t>
    </r>
    <r>
      <rPr>
        <sz val="10"/>
        <color theme="1"/>
        <rFont val="Arial"/>
        <family val="2"/>
      </rPr>
      <t xml:space="preserve">
When the controller is operating in 1:2 frequency ratio mode, program this to (tCKEHCMD/2) and round it up to next integer value.  (this is performed automatically)
Value After Reset: 0x6</t>
    </r>
  </si>
  <si>
    <r>
      <rPr>
        <b/>
        <sz val="10"/>
        <color theme="1"/>
        <rFont val="Arial"/>
        <family val="2"/>
      </rPr>
      <t>tXSR: Max (tRFCab + 7.5ns, 2tCK) (automatically calculated based on JEDEC)</t>
    </r>
    <r>
      <rPr>
        <sz val="10"/>
        <color theme="1"/>
        <rFont val="Arial"/>
        <family val="2"/>
      </rPr>
      <t xml:space="preserve">
tXSR: Exit Self Refresh to any command.
When the controller is operating in 1:2 frequency ratio mode, program this to the above value divided by 2 and round up to next integer value.
Note: Used only for mDDR/LPDDR2/LPDDR3/LPDDR4 mode.
Value After Reset: 0xa0</t>
    </r>
  </si>
  <si>
    <r>
      <rPr>
        <b/>
        <sz val="10"/>
        <color theme="1"/>
        <rFont val="Arial"/>
        <family val="2"/>
      </rPr>
      <t>tZQCAL: 1us (automatically calculated based on JEDEC)</t>
    </r>
    <r>
      <rPr>
        <sz val="10"/>
        <color theme="1"/>
        <rFont val="Arial"/>
        <family val="2"/>
      </rPr>
      <t xml:space="preserve">
tZQoper for DDR3/DDR4, tZQCL for LPDDR2/LPDDR3, tZQCAL for LPDDR4: Number of DFI clock cycles of NOP required after a ZQCL (ZQ calibration long)/MPC(ZQ Start) command is issued to SDRAM.
When the controller is operating in 1:2 frequency ratio mode:
DDR3/DDR4: program this to tZQoper/2 and round it up to the next integer value.
LPDDR2/LPDDR3: program this to tZQCL/2 and round it up to the next integer value.
LPDDR4: program this to tZQCAL/2 and round it up to the next integer value.
This is only present for designs supporting DDR3/DDR4 or LPDDR2/LPDDR3/LPDDR4 devices.
Value After Reset: 0x200</t>
    </r>
  </si>
  <si>
    <r>
      <rPr>
        <b/>
        <sz val="10"/>
        <color theme="1"/>
        <rFont val="Arial"/>
        <family val="2"/>
      </rPr>
      <t>tZQLAT: Max (30ns, 8tCK) (automatically calculated based on JEDEC)</t>
    </r>
    <r>
      <rPr>
        <sz val="10"/>
        <color theme="1"/>
        <rFont val="Arial"/>
        <family val="2"/>
      </rPr>
      <t xml:space="preserve">
tZQCS for DDR3/DD4/LPDDR2/LPDDR3, tZQLAT for LPDDR4: Number of DFI clock cycles of NOP required after a ZQCS (ZQ calibration short)/MPC(ZQ Latch) command is issued to SDRAM.
When the controller is operating in 1:2 frequency ratio mode, program this to tZQCS/2 and round it up to the next integer value.
This is only present for designs supporting DDR3/DDR4 or LPDDR2/LPDDR3/LPDDR4 devices.
Value After Reset: 0x40</t>
    </r>
  </si>
  <si>
    <r>
      <rPr>
        <b/>
        <sz val="10"/>
        <color theme="1"/>
        <rFont val="Arial"/>
        <family val="2"/>
      </rPr>
      <t>tZQRESET: Max (50ns, 3tCK) (automatically calculated based on JEDEC)</t>
    </r>
    <r>
      <rPr>
        <sz val="10"/>
        <color theme="1"/>
        <rFont val="Arial"/>
        <family val="2"/>
      </rPr>
      <t xml:space="preserve">
tZQReset: Number of DFI clock cycles of NOP required after a ZQReset (ZQ calibration Reset) command is issued to SDRAM.
When the controller is operating in 1:2 frequency ratio mode, program this to tZQReset/2 and round it up to the next integer value.
This is only present for designs supporting LPDDR2/LPDDR3/LPDDR4 devices.
Value After Reset: 0x20</t>
    </r>
  </si>
  <si>
    <t>FREQ2 Setpoint Parameters (strongly recommended not to modify)</t>
  </si>
  <si>
    <t>DDRC_FREQ2_DRAMTMG0</t>
  </si>
  <si>
    <t>PhyVref</t>
  </si>
  <si>
    <t>■Full bus width mode: Selects the HIF address bit used as column address bit 9.
■Half bus width mode: Selects the HIF address bit used as column address bit 11 (10 in LPDDR2/LPDDR3 mode).
■Quarter bus width mode: Selects the HIF address bit used as column address bit 13 (11 in LPDDR2/LPDDR3 mode).
Valid Range: 0 to 7, x, and 31. x indicate a valid value in inline ECC configuration.
Internal Base: 9
The selected HIF address bit is determined by adding the internal base to the value of this field.
If unused, set to 31 and then this column address bit is set to 0.
Note: Per JEDEC DDR2/3/mDDR specification, column address bit 10 is reserved for indicating auto-precharge, and hence no source address bit can be mapped to column address bit 10.
In LPDDR2/LPDDR3, there is a dedicated bit for auto-precharge in the CA bus and hence column bit 10 is used.
In Inline ECC configuration (MEMC_INLINE_ECC=1) and ECC is enabled (ECCCFG0.ecc_mode&gt;0), the highest 3 column address bits must map to the highest 3 valid HIF address bits.
If column bit 9 is the highest column address bit, it must map to the highest valid HIF address bit. (x = the highest valid HIF address bit - internal base)
If column bit 9 is the second highest column address bit, it must map to the second highest valid HIF address bit. (x = the highest valid HIF address bit - 1 - internal base)
If column bit 9 is the third highest column address bit, it must map to the third highest valid HIF address bit. (x = the highest valid HIF address bit - 2 - internal base)
if it is unused, set to 31.</t>
  </si>
  <si>
    <t>■Full bus width mode: Selects the HIF address bit used as column address bit 8.
■Half bus width mode: Selects the HIF address bit used as column address bit 9.
■Quarter bus width mode: Selects the HIF address bit used as column address bit 11 (10 in LPDDR2/LPDDR3 mode).
Valid Range: 0 to 7, x, and 31. x indicate a valid value in inline ECC configuration.
Internal Base: 8
The selected HIF address bit is determined by adding the internal base to the value of this field.
If unused, set to 31 and then this column address bit is set to 0.
Note: Per JEDEC DDR2/3/mDDR specification, column address bit 10 is reserved for indicating auto-precharge, and hence no source address bit can be mapped to column address bit 10.
In LPDDR2/LPDDR3, there is a dedicated bit for auto-precharge in the CA bus and hence column bit 10 is used.
In Inline ECC configuration (MEMC_INLINE_ECC=1) and ECC is enabled (ECCCFG0.ecc_mode&gt;0), the highest 3 column address bits must map to the highest 3 valid HIF address bits.
If column bit 8 is the second highest column address bit, it must map to the second highest valid HIF address bit. (x = the highest valid HIF address bit - 1 - internal base)
If column bit 8 is the third highest column address bit, it must map to the third highest valid HIF address bit. (x = the highest valid HIF address bit - 2 - internal base)
if it is unused, set to 31.</t>
  </si>
  <si>
    <t>■Full bus width mode: Selects the HIF address bit used as column address bit 7.
■Half bus width mode: Selects the HIF address bit used as column address bit 8.
■Quarter bus width mode: Selects the HIF address bit used as column address bit 9.
Valid Range: 0 to 7, x, and 31. x indicate a valid value in inline ECC configuration.
Internal Base: 7
The selected HIF address bit is determined by adding the internal base to the value of this field. If unused, set to 31 and then this column address bit is set to 0.
In Inline ECC configuration (MEMC_INLINE_ECC=1) and ECC is enabled (ECCCFG0.ecc_mode&gt;0), the highest 3 column address bits must map to the highest 3 valid HIF address bits.
If column bit 7 is the third highest column address bit, it must map to the third highest valid HIF address bit. (x = the highest valid HIF address bit - 2 - internal base)
if it is unused, set to 31.</t>
  </si>
  <si>
    <t>tRCD (automatically calculated based on JEDEC).
tRCD - tAL: Minimum time from activate to read or write command to same bank. Note, for LPDDR4, tAL is not used and is 0, therefore this parameter is based on tRCD only.
When the controller is operating in 1:2 frequency ratio mode, program this to ((tRCD - tAL)/2) and round it up to the next integer value.
Minimum value allowed for this register is 1, which implies minimum (tRCD - tAL) value to be 2 when the controller is operating in 1:2 frequency ratio mode.
Unit: Clocks.
Value After Reset: 0x5</t>
  </si>
  <si>
    <t>tRTP (automatically calculated based on JEDEC)
tRTP: Minimum time from read to precharge of same bank.
■DDR2: tAL + BL/2 + max(tRTP, 2) - 2
■DDR3: tAL + max (tRTP, 4)
■DDR4: Max of following two equations: tAL + max (tRTP, 4) or, RL + BL/2 - tRP (*).
■mDDR: BL/2
■LPDDR2: Depends on if it's LPDDR2-S2 or LPDDR2-S4: LPDDR2-S2: BL/2 + tRTP - 1. LPDDR2-S4: BL/2 + max(tRTP,2) - 2.
■LPDDR3: BL/2 + max(tRTP,4) - 4
■LPDDR4: BL/2 + max(tRTP,8) - 8
(*) When both DDR4 SDRAM and ST-MRAM are used simultaneously, use SDRAM's tRP value for calculation.
When the controller is operating in 1:2 mode, 1T mode, divide the above value by 2. No rounding up.
When the controller is operating in 1:2 mode, 2T mode or LPDDR4 mode, divide the above value by 2 and round it up to the next integer value.
Unit: Clocks.
Value After Reset: 0x4</t>
  </si>
  <si>
    <t>tRPab (automatically calculated based on JEDEC). This will then get added (automatically) to tRAS. 
tRC: Minimum time between activates to same bank.
When the controller is operating in 1:2 frequency ratio mode, program this to (tRC/2) and round up to next integer value.
Unit: Clocks.
Value After Reset: 0x14</t>
  </si>
  <si>
    <t>Initial value used for VREF. The value is updated following data training.</t>
  </si>
  <si>
    <t># Initial VREF value</t>
  </si>
  <si>
    <t>csPresent</t>
  </si>
  <si>
    <t>Indicates presence of DRAM at each chip select for PHY. (e.g. 0x3 means CS0 and CS1 are used, 0x1 means only CS0 is used)</t>
  </si>
  <si>
    <t>data_width</t>
  </si>
  <si>
    <t>#16bit or 32bit only</t>
  </si>
  <si>
    <t>16bit or 32bit only</t>
  </si>
  <si>
    <t>0x01</t>
  </si>
  <si>
    <t>0x7F</t>
  </si>
  <si>
    <t>0x1F</t>
  </si>
  <si>
    <t>#DDRC_SCHED</t>
  </si>
  <si>
    <t>#DDRC_PERFLPR1</t>
  </si>
  <si>
    <t>#DDRC_PERFWR1</t>
  </si>
  <si>
    <t xml:space="preserve">#DDRC_PCCFG </t>
  </si>
  <si>
    <t xml:space="preserve">#DDRC_PCFGW_0 </t>
  </si>
  <si>
    <t xml:space="preserve">#DDRC_PCFGQOS0_0 </t>
  </si>
  <si>
    <t xml:space="preserve">#DDRC_PCFGQOS1_0 </t>
  </si>
  <si>
    <t>#DDRC_PCFGWQOS0_0</t>
  </si>
  <si>
    <t>#DDRC_PCFGWQOS1_0</t>
  </si>
  <si>
    <t>DDRC_SCHED</t>
  </si>
  <si>
    <t>rdwr_idle_gap</t>
  </si>
  <si>
    <t>go2critical_hysteresis</t>
  </si>
  <si>
    <t>lpr_num_entries</t>
  </si>
  <si>
    <t>pageclose</t>
  </si>
  <si>
    <t>prefer_write</t>
  </si>
  <si>
    <t>force_low_pri_n</t>
  </si>
  <si>
    <t>Active low signal. When asserted ('0'), all incoming transactions are forced to low priority. This implies that all High Priority Read (HPR) and Variable Priority Read commands (VPR) will be treated as Low Priority Read (LPR) commands. On the write side, all Variable Priority Write (VPW) commands will be treated as Normal Priority Write (NPW) commands. Forcing the incoming transactions to low priority implicitly turns off Bypass path for read commands.
FOR PERFORMANCE ONLY.
Value After Reset: 0x1</t>
  </si>
  <si>
    <t>If set then the bank selector prefers writes over reads.
FOR DEBUG ONLY.
Value After Reset: 0x0</t>
  </si>
  <si>
    <t>If true, bank is kept open only while there are page hit transactions available in the CAM to that bank. The last read or write command in the CAM with a bank and page hit will be executed with auto-precharge if SCHED1.pageclose_timer=0. Even if this register set to 1 and SCHED1.pageclose_timer is set to 0, explicit precharge (and not auto-precharge) may be issued in some cases where there is a mode switch between Write and Read or between LPR and HPR. The Read and Write commands that are executed as part of the ECC scrub requests are also executed without auto-precharge.
If false, the bank remains open until there is a need to close it (to open a different page, or for page timeout or refresh timeout) - also known as open page policy. The open page policy can be overridden by setting the per-command-autopre bit on the HIF interface (hif_cmd_autopre).
The pageclose feature provids a midway between Open and Close page policies.
FOR PERFORMANCE ONLY.
Value After Reset: 0x1</t>
  </si>
  <si>
    <t>Number of entries in the low priority transaction store is this value + 1.
(MEMC_NO_OF_ENTRY - (SCHED.lpr_num_entries + 1)) is the number of entries available for the high priority transaction store.
Setting this to maximum value allocates all entries to low priority transaction store.
Setting this to 0 allocates 1 entry to low priority transaction store and the rest to high priority transaction store.
Note: In ECC configurations, the numbers of write and low priority read credits issued is one less than in the non-ECC case. One entry each is reserved in the write and low-priority read CAMs for storing the RMW requests arising out of single bit error correction RMW operation.
Value After Reset: "MEMC_NO_OF_ENTRY/2"</t>
  </si>
  <si>
    <t>UNUSED
Value After Reset: 0x0</t>
  </si>
  <si>
    <t>When the preferred transaction store is empty for these many clock cycles, switch to the alternate transaction store if it is non-empty.
The read transaction store (both high and low priority) is the default preferred transaction store and the write transaction store is the alternative store.
When prefer write over read is set this is reversed.
0x0 is a legal value for this register. When set to 0x0, the transaction store switching will happen immediately when the switching conditions become true.
FOR PERFORMANCE ONLY
Value After Reset: 0x0</t>
  </si>
  <si>
    <t>pageclose_timer</t>
  </si>
  <si>
    <t>This field works in conjunction with SCHED.pageclose. It only has meaning if SCHED.pageclose==1.
If SCHED.pageclose==1 and pageclose_timer==0, then an auto-precharge may be scheduled for last read or write command in the CAM with a bank and page hit. Note, sometimes an explicit precharge is scheduled instead of the auto-precharge. See SCHED.pageclose for details of when this may happen.
If SCHED.pageclose==1 and pageclose_timer&gt;0, then an auto-precharge is not scheduled for last read or write command in the CAM with a bank and page hit. Instead, a timer is started, with pageclose_timer as the initial value. There is a timer on a per bank basis. The timer decrements unless the next read or write in the CAM to a bank is a page hit. It gets reset to pageclose_timer value if the next read or write in the CAM to a bank is a page hit. Once the timer has reached zero, an explcit precharge will be attempted to be scheduled.
Value After Reset: 0x0</t>
  </si>
  <si>
    <t>DDRC_SCHED1</t>
  </si>
  <si>
    <t>DDRC_PERFLPR1</t>
  </si>
  <si>
    <t>lpr_xact_run_length</t>
  </si>
  <si>
    <t>lpr_max_starve</t>
  </si>
  <si>
    <t>Number of transactions that are serviced once the LPR queue goes critical is the smaller of:
■(a) This number
■(b) Number of transactions available.
Unit: Transaction.
FOR PERFORMANCE ONLY.
Value After Reset: 0xf</t>
  </si>
  <si>
    <t>Number of DFI clocks that the LPR queue can be starved before it goes critical. The minimum valid functional value for this register is 0x1. Programming it to 0x0 will disable the starvation functionality; during normal operation, this function should not be disabled as it will cause excessive latencies.
FOR PERFORMANCE ONLY.
Value After Reset: 0x7f</t>
  </si>
  <si>
    <t>DDRC_PERFWR1</t>
  </si>
  <si>
    <t>w_xact_run_length</t>
  </si>
  <si>
    <t>w_max_starve</t>
  </si>
  <si>
    <t>Number of transactions that are serviced once the WR queue goes critical is the smaller of:
■(a) This number
■(b) Number of transactions available.
Unit: Transaction.
FOR PERFORMANCE ONLY.
Value After Reset: 0xf</t>
  </si>
  <si>
    <t>Number of DFI clocks that the WR queue can be starved before it goes critical. The minimum valid functional value for this register is 0x1. Programming it to 0x0 will disable the starvation functionality; during normal operation, this function should not be disabled as it will cause excessive latencies.
FOR PERFORMANCE ONLY.
Value After Reset: 0x7f</t>
  </si>
  <si>
    <t xml:space="preserve">DDRC_PCCFG </t>
  </si>
  <si>
    <t>bl_exp_mode</t>
  </si>
  <si>
    <t>pagematch_limit</t>
  </si>
  <si>
    <t>go2critical_en</t>
  </si>
  <si>
    <t>If set to 1 (enabled), sets co_gs_go2critical_wr and co_gs_go2critical_lpr/co_gs_go2critical_hpr signals going to DDRC based on urgent input (awurgent, arurgent) coming from AXI master. If set to 0 (disabled), co_gs_go2critical_wr and co_gs_go2critical_lpr/co_gs_go2critical_hpr signals at DDRC are driven to 1b'0.
Value After Reset: 0x0</t>
  </si>
  <si>
    <t>Page match four limit. If set to 1, limits the number of consecutive same page DDRC transactions that can be granted by the Port Arbiter to four when Page Match feature is enabled. If set to 0, there is no limit imposed on number of consecutive same page DDRC transactions.
Value After Reset: 0x0</t>
  </si>
  <si>
    <t>Burst length expansion mode. By default (i.e. bl_exp_mode==0) XPI expands every AXI burst into multiple HIF commands, using the memory burst length as a unit. If set to 1, then XPI will use half of the memory burst length as a unit. This applies to both reads and writes. When MSTR.data_bus_width==00, setting bl_exp_mode to 1 has no effect.
This can be used in cases where Partial Writes is enabled (UMCTL2_PARTIAL_WR=1), in order to avoid or minimize t_ccd_l penalty in DDR4 and t_ccd_mw penalty in LPDDR4. Hence, bl_exp_mode=1 is only recommended if DDR4 or LPDDR4.
Note that if DBICTL.dm_en=0, functionality is not supported in the following cases:
■UMCTL2_PARTIAL_WR=0
■UMCTL2_PARTIAL_WR=1, MSTR.data_bus_width=01, MEMC_BURST_LENGTH=8 and MSTR.burst_rdwr=1000 (LPDDR4 only)
■UMCTL2_PARTIAL_WR=1, MSTR.data_bus_width=01, MEMC_BURST_LENGTH=4 and MSTR.burst_rdwr=0100 (DDR4 only), with either MSTR.burstchop=0 or CRCPARCTL1.crc_enable=1
Functionality is also not supported if Data Channel Interleave is enabled
Value After Reset: 0x0</t>
  </si>
  <si>
    <t>wr_port_pagematch_en</t>
  </si>
  <si>
    <t>wr_port_urgent_en</t>
  </si>
  <si>
    <t>wr_port_aging_en</t>
  </si>
  <si>
    <t>wr_port_priority</t>
  </si>
  <si>
    <t>If set to 1, enables the Page Match feature. If enabled, once a requesting port is granted, the port is continued to be granted if the following immediate commands are to the same memory page (same bank and same row). See also related PCCFG.pagematch_limit register.
Value After Reset: 0x1</t>
  </si>
  <si>
    <t>If set to 1, enables the AXI urgent sideband signal (awurgent). When enabled and awurgent is asserted by the master, that port becomes the highest priority and co_gs_go2critical_wr signal to DDRC is asserted if enabled in PCCFG.go2critical_en register.
Note that awurgent signal can be asserted anytime and as long as required which is independent of address handshaking (it is not associated with any particular command).
Value After Reset: 0x0</t>
  </si>
  <si>
    <t>Determines the initial load value of write aging counters. These counters will be parallel loaded after reset, or after each grant to the corresponding port. The aging counters down-count every clock cycle where the port is requesting but not granted. The higher significant 5-bits of the write aging counter sets the initial priority of the write channel of a given port. Port's priority will increase as the higher significant 5-bits of the counter starts to decrease. When the aging counter becomes 0, the corresponding port channel will have the highest priority level.
For multi-port configurations, the aging counters cannot be used to set port priorities when external dynamic priority inputs (awqos) are enabled (timeout is still applicable).
For single port configurations, the aging counters are only used when they timeout (become 0) to force read-write direction switching.
Note: The two LSBs of this register field are tied internally to 2'b00.
Value After Reset: 0x0</t>
  </si>
  <si>
    <t>If set to 1, enables aging function for the write channel of the port.
Value After Reset: 0x0</t>
  </si>
  <si>
    <t>DDRC_PCFGW_0</t>
  </si>
  <si>
    <t>DDRC_PCFGQOS0_0</t>
  </si>
  <si>
    <t>rqos_map_region2</t>
  </si>
  <si>
    <t>This bitfield indicates the traffic class of region2.
For dual address queue configurations, region2 maps to the red address queue.
Valid values are 1: VPR and 2: HPR only.
When VPR support is disabled (UMCTL2_VPR_EN = 0) and traffic class of region2 is set to 1 (VPR), VPR traffic is aliased to LPR traffic.
Value After Reset: 0x2</t>
  </si>
  <si>
    <t>rqos_map_region1</t>
  </si>
  <si>
    <t>rqos_map_region0</t>
  </si>
  <si>
    <t>rqos_map_level2</t>
  </si>
  <si>
    <t>rqos_map_level1</t>
  </si>
  <si>
    <t>Separation level1 indicating the end of region0 mapping; start of region0 is 0. Possible values for level1 are 0 to 13 (for dual RAQ) or 0 to 14 (for single RAQ) which corresponds to arqos.
Note that for PA, arqos values are used directly as port priorities, where the higher the value corresponds to higher port priority.
All of the map_level* registers must be set to distinct values.
Value After Reset: 0x0</t>
  </si>
  <si>
    <t>This bitfield indicates the traffic class of region 1.
Valid values are:
0 : LPR, 1: VPR, 2: HPR.
For dual address queue configurations, region1 maps to the blue address queue.
In this case, valid values are
0: LPR and 1: VPR only.
When VPR support is disabled (UMCTL2_VPR_EN = 0) and traffic class of region 1 is set to 1 (VPR), VPR traffic is aliased to LPR traffic.
Value After Reset: 0x0</t>
  </si>
  <si>
    <t>This bitfield indicates the traffic class of region 0.
Valid values are:
0: LPR, 1: VPR, 2: HPR.
For dual address queue configurations, region 0 maps to the blue address queue.
In this case, valid values are:
0: LPR and 1: VPR only.
When VPR support is disabled (UMCTL2_VPR_EN = 0) and traffic class of region0 is set to 1 (VPR), VPR traffic is aliased to LPR traffic.
Value After Reset: 0x0</t>
  </si>
  <si>
    <t>Separation level2 indicating the end of region1 mapping; start of region1 is (level1 + 1). Possible values for level2 are (level1 + 1) to 14 which corresponds to arqos. Region2 starts from (level2 + 1) up to 15.
Note that for PA, arqos values are used directly as port priorities, where the higher the value corresponds to higher port priority.
All of the map_level* registers must be set to distinct values.
Value After Reset: 0xe</t>
  </si>
  <si>
    <t xml:space="preserve">DDRC_PCFGQOS1_0 </t>
  </si>
  <si>
    <t>rqos_map_timeoutr</t>
  </si>
  <si>
    <t>rqos_map_timeoutb</t>
  </si>
  <si>
    <t>Specifies the timeout value for transactions mapped to the red address queue.
Value After Reset: 0x0</t>
  </si>
  <si>
    <t>Specifies the timeout value for transactions mapped to the blue address queue.
Value After Reset: 0x0</t>
  </si>
  <si>
    <t>wqos_map_region1</t>
  </si>
  <si>
    <t>wqos_map_region0</t>
  </si>
  <si>
    <t>wqos_map_level</t>
  </si>
  <si>
    <t>Separation level indicating the end of region0 mapping; start of region0 is 0. Possible values for level1 are 0 to 14 which corresponds to awqos.
Note that for PA, awqos values are used directly as port priorities, where the higher the value corresponds to higher port priority.
Value After Reset: 0x0</t>
  </si>
  <si>
    <t>This bitfield indicates the traffic class of region 0.
Valid values are:
0: NPW, 1: VPW.
When VPW support is disabled (UMCTL2_VPW_EN = 0) and traffic class of region0 is set to 1 (VPW), VPW traffic is aliased to NPW traffic.
Value After Reset: 0x0</t>
  </si>
  <si>
    <t>This bitfield indicates the traffic class of region 1.
Valid values are:
0: NPW, 1: VPW.
When VPW support is disabled (UMCTL2_VPW_EN = 0) and traffic class of region 1 is set to 1 (VPW), VPW traffic is aliased to NPW traffic.
Value After Reset: 0x0</t>
  </si>
  <si>
    <t>DDRC_PCFGWQOS0_0</t>
  </si>
  <si>
    <t>wqos_map_timeout</t>
  </si>
  <si>
    <t>Specifies the timeout value for write transactions.
Value After Reset: 0x0</t>
  </si>
  <si>
    <t>MR1-1</t>
  </si>
  <si>
    <t>MR2-1</t>
  </si>
  <si>
    <t>MR1-2</t>
  </si>
  <si>
    <t>MR2-2</t>
  </si>
  <si>
    <t xml:space="preserve">FREQ1 setting. Do not update this value directly as this value is automatically updated from the value provided in register DDRC_INIT3 above. </t>
  </si>
  <si>
    <t>FREQ1 setting. Do not update this value directly as this value is automatically updated from the value provided in register DDRC_INIT3 above.</t>
  </si>
  <si>
    <t>FREQ2 setting. Do not update this value directly as this value is automatically updated from the value provided in register DDRC_INIT3 above.</t>
  </si>
  <si>
    <t>#Freq0 setpoint frequency</t>
  </si>
  <si>
    <t>DDRC_FREQ2_DRAMTMG1</t>
  </si>
  <si>
    <t>DDRC_FREQ2_DRAMTMG2</t>
  </si>
  <si>
    <t>DDRC_FREQ2_DRAMTMG3</t>
  </si>
  <si>
    <t>DDRC_FREQ2_DRAMTMG4</t>
  </si>
  <si>
    <t>DDRC_FREQ2_DRAMTMG5</t>
  </si>
  <si>
    <t>DDRC_FREQ2_DRAMTMG6</t>
  </si>
  <si>
    <t>DDRC_FREQ2_DRAMTMG7</t>
  </si>
  <si>
    <t>DDRC_FREQ2_DRAMTMG14</t>
  </si>
  <si>
    <t>DDRC_FREQ2_DRAMTMG17</t>
  </si>
  <si>
    <t>DDRC_FREQ2_DERATEINT</t>
  </si>
  <si>
    <t>DDRC_FREQ2_RFSHCTL0</t>
  </si>
  <si>
    <t>DDRC_FREQ2_DFITMG0</t>
  </si>
  <si>
    <t>DDRC_FREQ2_DFITMG2</t>
  </si>
  <si>
    <t>DDRC_FREQ2_RFSHTMG</t>
  </si>
  <si>
    <t>DDRC_FREQ2_INIT3</t>
  </si>
  <si>
    <t>DDRC_FREQ2_INIT6</t>
  </si>
  <si>
    <t>DDRC_FREQ2_INIT7</t>
  </si>
  <si>
    <t>DDRC_FREQ2_INIT4</t>
  </si>
  <si>
    <t>#DDRC_DERATEEN</t>
  </si>
  <si>
    <t>#DDRC_DERATEINT</t>
  </si>
  <si>
    <r>
      <t xml:space="preserve">LPDDR4 MR13:
</t>
    </r>
    <r>
      <rPr>
        <sz val="10"/>
        <rFont val="Arial"/>
        <family val="2"/>
      </rPr>
      <t>VRCG</t>
    </r>
    <r>
      <rPr>
        <b/>
        <sz val="10"/>
        <rFont val="Arial"/>
        <family val="2"/>
      </rPr>
      <t xml:space="preserve">
</t>
    </r>
    <r>
      <rPr>
        <sz val="10"/>
        <rFont val="Arial"/>
        <family val="2"/>
      </rPr>
      <t>0B: Normal Operation (default)
1B: VREF Fast Response (high current) mode
Recommend to set to 1 for PHY purposes for high speed operation.</t>
    </r>
  </si>
  <si>
    <r>
      <rPr>
        <b/>
        <sz val="10"/>
        <rFont val="Arial"/>
        <family val="2"/>
      </rPr>
      <t>Enable/
disable DBI</t>
    </r>
    <r>
      <rPr>
        <sz val="10"/>
        <rFont val="Arial"/>
        <family val="2"/>
      </rPr>
      <t xml:space="preserve">
This setting allows the user to enable or disable the DBI feature.</t>
    </r>
  </si>
  <si>
    <t xml:space="preserve">Number of Channels </t>
  </si>
  <si>
    <t>#DDRC_FREQ1_DERATEEN</t>
  </si>
  <si>
    <t>#DDRC_FREQ2_DERATEEN</t>
  </si>
  <si>
    <t>DDRC_FREQ1_DERATEEN</t>
  </si>
  <si>
    <t>DDRC_FREQ2_DERATEEN</t>
  </si>
  <si>
    <t>DDRC_FREQ1_DRAMTMG12</t>
  </si>
  <si>
    <t>DDRC_FREQ1_DRAMTMG13</t>
  </si>
  <si>
    <t>DDRC_FREQ2_DRAMTMG12</t>
  </si>
  <si>
    <t>DDRC_FREQ2_DRAMTMG13</t>
  </si>
  <si>
    <t>DDRC_FREQ1_DFITMG1</t>
  </si>
  <si>
    <t>DDRC_FREQ1_ZQCTL0</t>
  </si>
  <si>
    <t>DDRC_FREQ2_ZQCTL0</t>
  </si>
  <si>
    <t>#DDRC_FREQ1_DRAMTMG12</t>
  </si>
  <si>
    <t>#DDRC_FREQ1_DRAMTMG13</t>
  </si>
  <si>
    <t>#DDRC_FREQ1_ZQCTL0</t>
  </si>
  <si>
    <t>#DDRC_FREQ1_DFITMG1</t>
  </si>
  <si>
    <t>DDRC_FREQ2_DFITMG1</t>
  </si>
  <si>
    <t>#DDRC_FREQ2_DRAMTMG12</t>
  </si>
  <si>
    <t>#DDRC_FREQ2_DRAMTMG13</t>
  </si>
  <si>
    <t>#DDRC_FREQ2_ZQCTL0</t>
  </si>
  <si>
    <t>#DDRC_FREQ2_DFITMG1</t>
  </si>
  <si>
    <t xml:space="preserve">Choose which registers are used.
■ 0 - Original registers 
■ 1 - Shadow registers </t>
  </si>
  <si>
    <t>target_frequency</t>
  </si>
  <si>
    <t>DDRC_MSTR2</t>
  </si>
  <si>
    <t>Set to 0x0 during initialization.
If MSTR.frequency_mode=1, this field specifies the target frequency.
■0 - Frequency 0/Normal
■1 - Frequency 1/FREQ1
■2 - Frequency 2/FREQ2
■3 - Frequency 3/FREQ3
If MSTR.frequency_mode=0, this field is ignored.
Note: If the target frequency can be changed through Hardware Low Power Interface only, this field is not needed.
Value After Reset: 0x1</t>
  </si>
  <si>
    <t>#DDRC_MSTR2</t>
  </si>
  <si>
    <t>0x3D400188</t>
  </si>
  <si>
    <t>#DDRC_ZQCTL2</t>
  </si>
  <si>
    <t xml:space="preserve">#DDRC_RANKCTL </t>
  </si>
  <si>
    <t>## the following may be refined by ddrphy training firmware</t>
  </si>
  <si>
    <t>0x3D400304</t>
  </si>
  <si>
    <t>rdwr_ordered_en</t>
  </si>
  <si>
    <t>rd_port_pagematch_en</t>
  </si>
  <si>
    <t>rd_port_urgent_en</t>
  </si>
  <si>
    <t>rd_port_aging_en</t>
  </si>
  <si>
    <t>read_reorder_bypass_en</t>
  </si>
  <si>
    <t>rd_port_priority</t>
  </si>
  <si>
    <t>Enable ordered read/writes. If set to 1, preserves the ordering between read transaction and write transaction issued to the same address, on a given port. In other words, the controller ensures that all same address read and write commands from the application port interface are transported to the DFI interface in the order of acceptance. This feature is useful in cases where software coherency is desired for masters issuing back-to-back read/write transactions without waiting for write/read responses. Note that this register has an effect only if necessary logic is instantiated via the UMCTL2_RDWR_ORDERED_n parameter.</t>
  </si>
  <si>
    <t>If set to 1, enables the Page Match feature. If enabled, once a requesting port is granted, the port is continued to be granted if the following immediate commands are to the same memory page (same bank and same row). See also related PCCFG.pagematch_limit register.</t>
  </si>
  <si>
    <t>If set to 1, enables the AXI urgent sideband signal (arurgent). When enabled and arurgent is asserted by the master, that port becomes the highest priority and co_gs_go2critical_lpr/co_gs_go2critical_hpr signal to DDRC is asserted if enabled in PCCFG.go2critical_en register. Note that arurgent signal can be asserted anytime and as long as required which is independent of address handshaking (it is not associated with any particular command).</t>
  </si>
  <si>
    <t>If set to 1, enables aging function for the read channel of the port.</t>
  </si>
  <si>
    <t>If set to 1, read transactions with ID not covered by any of the virtual channel ID mapping registers are not reordered.</t>
  </si>
  <si>
    <t>Determines the initial load value of read aging counters. These counters will be parallel loaded after reset, or after each grant to the corresponding port. The aging counters down-count every clock cycle where the port is requesting but not granted. The higher significant 5-bits of the read aging counter sets the priority of the read channel of a given port. Port's priority will increase as the higher significant 5-bits of the counter starts to decrease. When the aging counter becomes 0, the corresponding port channel will have the highest priority level (timeout condition - Priority0). For multi-port configurations, the aging counters cannot be used to set port priorities when external dynamic priority inputs (arqos) are enabled (timeout is still applicable). For single port configurations, the aging counters are only used when they timeout (become 0) to force read-write direction switching. In this case, external dynamic priority input, arqos (for reads only) can still be used to set the DDRC read priority (2 priority levels: low priority read - LPR, high priority read - HPR) on a command by command basis.
Note: The two LSBs of this register field are tied internally to 2'b00.</t>
  </si>
  <si>
    <t>DDRC_PCFGR_0</t>
  </si>
  <si>
    <t>0x3D400320</t>
  </si>
  <si>
    <t>0x3D000000</t>
  </si>
  <si>
    <t>0x3D4001B0</t>
  </si>
  <si>
    <r>
      <t xml:space="preserve">Number of frequency setpoints
</t>
    </r>
    <r>
      <rPr>
        <sz val="11"/>
        <rFont val="Calibri"/>
        <family val="2"/>
        <scheme val="minor"/>
      </rPr>
      <t>This setting allows the user to select the number of frequency setpoints to include for the Hardware Fast Frequency Change.
Note: if FREQ1 is set to 334, then only 2 setpoints are allowed.</t>
    </r>
  </si>
  <si>
    <t>Description: Specifies the number of DFI clocks between when the dfi_wrdata_en signal is asserted and when the corresponding write data transfer is completed on the DRAM bus.
This corresponds to the DFI timing parameter twrdata_delay. Refer to PHY specification for correct value.
For DFI 3.0 PHY, set to twrdata_delay, a new timing parameter introduced in DFI 3.0.
For DFI 2.1 PHY, set to tphy_wrdata + (delay of DFI write data to the DRAM).
Value to be programmed is in terms of DFI clocks, not PHY clocks.
In FREQ_RATIO=2, divide PHY's value by 2 and round up to next integer.
If using DFITMG0.dfi_wrdata_use_sdr=1, add 1 to the value.
Unit: Clocks
Value After Reset: 0x0
Per PHY spec, assume timing for tphy_wrdata_delay which is 6 + BL/2, then add DFITMG0.dfi_wrdata_use_sdr setting.</t>
  </si>
  <si>
    <t>Description: Specifies the number of DFI clock cycles from the assertion of the dfi_dram_clk_disable signal on the DFI until the clock to the DRAM memory devices, at the PHY-DRAM boundary, maintains a low value.
If the DFI clock and the memory clock are not phase aligned, this timing parameter should be rounded up to the next integer value.
Value After Reset: 0x4
PHY spec recommends to set this to 3.</t>
  </si>
  <si>
    <t>Description: Specifies the number of DFI clock cycles from the de-assertion of the dfi_dram_clk_disable signal on the DFI until the first valid rising edge of the clock to the DRAM memory devices, at the PHY-DRAM boundary.
If the DFI clock and the memory clock are not phase aligned, this timing parameter should be rounded up to the next integer value.
Value After Reset: 0x4
PHY spec recommends to set this to 3.</t>
  </si>
  <si>
    <t>#Following frequency setpoint 1 settings are commented/uncommented based on frequency select and if number of setpoints &gt; 1</t>
  </si>
  <si>
    <t>0x8F00003F</t>
  </si>
  <si>
    <t>0x8F00000F</t>
  </si>
  <si>
    <t>#SRC_DDRC_RCR_ADDR: assert [0]ddr1_preset_n, [1]ddr1_core_reset_n, [2]ddr1_phy_reset, [3]ddr1_phy_pwrokin_n, [4]src_system_rst_b!</t>
  </si>
  <si>
    <t>#SRC_DDRC_RCR_ADDR: deassert [4]src_system_rst_b!</t>
  </si>
  <si>
    <t>0x30360054</t>
  </si>
  <si>
    <t>0x30360058</t>
  </si>
  <si>
    <t>#DRAM_PLL_FDIV_CTL1: pll_dsm=0</t>
  </si>
  <si>
    <t xml:space="preserve">0x200 </t>
  </si>
  <si>
    <t>#DRAM_PLL_GNRL_CTL: pll_rst = 1</t>
  </si>
  <si>
    <t>#DRAM_PLL_GNRL_CTL: pll_bypass = 0</t>
  </si>
  <si>
    <t>#DRAM_PLL_GNRL_CTL: check pll_lock=1?</t>
  </si>
  <si>
    <t>0x8F000006</t>
  </si>
  <si>
    <t xml:space="preserve">memory setbit </t>
  </si>
  <si>
    <t>0x30360050</t>
  </si>
  <si>
    <t xml:space="preserve">0x30360050 </t>
  </si>
  <si>
    <t>MX8M LPDDR4 Channel:</t>
  </si>
  <si>
    <t>MX8Mdata bus (User Input)-&gt;</t>
  </si>
  <si>
    <t>MX8M byte lane</t>
  </si>
  <si>
    <t>MX8M data bus bits within byte lane</t>
  </si>
  <si>
    <t>User input MX8M data bit connection to associated LPDDR4 data bit</t>
  </si>
  <si>
    <t>#DRAM_APB_CLK_ROOT_CLR</t>
  </si>
  <si>
    <t>#DRAM_APB_CLK_ROOT_SET, dram_apb_clk_root set to source 4 --800MHz/4</t>
  </si>
  <si>
    <t xml:space="preserve">freq0 set </t>
  </si>
  <si>
    <t xml:space="preserve">freq0 set   </t>
  </si>
  <si>
    <t>freq0 setbit</t>
  </si>
  <si>
    <t>MR3-1</t>
  </si>
  <si>
    <t>MR4-1</t>
  </si>
  <si>
    <t>MR11-1</t>
  </si>
  <si>
    <t>MR12-1</t>
  </si>
  <si>
    <t>MR13-1</t>
  </si>
  <si>
    <t>MR14-1</t>
  </si>
  <si>
    <t>MR16-1</t>
  </si>
  <si>
    <t>MR17-1</t>
  </si>
  <si>
    <t>MR22-1</t>
  </si>
  <si>
    <t>MR24-1</t>
  </si>
  <si>
    <t>MR3-2</t>
  </si>
  <si>
    <t>MR4-2</t>
  </si>
  <si>
    <t>MR11-2</t>
  </si>
  <si>
    <t>MR12-2</t>
  </si>
  <si>
    <t>MR13-2</t>
  </si>
  <si>
    <t>MR14-2</t>
  </si>
  <si>
    <t>MR16-2</t>
  </si>
  <si>
    <t>MR17-2</t>
  </si>
  <si>
    <t>MR22-2</t>
  </si>
  <si>
    <t>MR24-2</t>
  </si>
  <si>
    <r>
      <t>Density per channel per chip select (Gb)</t>
    </r>
    <r>
      <rPr>
        <vertAlign val="superscript"/>
        <sz val="10"/>
        <rFont val="Arial"/>
        <family val="2"/>
      </rPr>
      <t>1</t>
    </r>
    <r>
      <rPr>
        <sz val="10"/>
        <rFont val="Arial"/>
        <family val="2"/>
      </rPr>
      <t>:</t>
    </r>
  </si>
  <si>
    <t>1. Important: it is necessary to populate this field with the density in Gbits as it is used in later calculations. Input the density per channel per chip select.</t>
  </si>
  <si>
    <t>NXP LPDDR4 EVK board</t>
  </si>
  <si>
    <r>
      <rPr>
        <b/>
        <sz val="10"/>
        <rFont val="Arial"/>
        <family val="2"/>
      </rPr>
      <t>LPDDR4 MR12:</t>
    </r>
    <r>
      <rPr>
        <sz val="10"/>
        <rFont val="Arial"/>
        <family val="2"/>
      </rPr>
      <t xml:space="preserve">
000000b–110010b: See VREF Settings Table in DRAM vendor data sheet 
Updated to match validation recommended value.</t>
    </r>
  </si>
  <si>
    <t># Formula is DDR_freq = [(24MHz x pll_main_div)/(pll_pre_div x 2^pll_post_div)] x 2</t>
  </si>
  <si>
    <t># For frequencies other than 1500Mhz, it is up to the user to create the appropriate register setting for the desired frequency.</t>
  </si>
  <si>
    <t>Enables the PHY Master Interface:
■0 - Disabled
■1 - Enabled
Value After Reset: 0x1</t>
  </si>
  <si>
    <t>Must supply the tDQSCK_max from the DRAM data sheet for LPDDR4 (automatically calculated based on JEDEC).
DDR2/3/mDDR: RL + BL/2 + 2 - WL
DDR4: RL + BL/2 + 1 + WR_PREAMBLE - WL
LPDDR2/LPDDR3: RL + BL/2 + RU(tDQSCKmax/tCK) + 1 - WL
LPDDR4(DQ ODT is Disabled): RL + BL/2 + RU(tDQSCKmax/tCK) + WR_PREAMBLE + RD_POSTAMBLE - WL
LPDDR4(DQ ODT is Enabled) : RL + BL/2 + RU(tDQSCKmax/tCK) + RD_POSTAMBLE - ODTLon - RU(tODTon(min)/tCK)
Minimum time from read command to write command. Include time for bus turnaround and all per-bank, per-rank, and global constraints. Please see the relevant PHY databook for details of what should be included here.
Unit: Clocks.
Where:
■WL = write latency
■BL = burst length. This must match the value programmed in the BL bit of the mode register to the SDRAM
■RL = read latency = CAS latency
■WR_PREAMBLE = write preamble. This is unique to DDR4 and LPDDR4.
■RD_POSTAMBLE = read postamble. This is unique to LPDDR4.
For LPDDR2/LPDDR3/LPDDR4, if derating is enabled (DERATEEN.derate_enable=1), derated tDQSCKmax should be used.
When the controller is operating in 1:2 frequency ratio mode, divide the value calculated using the above equation by 2, and round it up to next integer.
Note that, depending on the PHY, if using LRDIMM, it may be necessary to adjust the value of this parameter to compensate for the extra cycle of latency through the LRDIMM.
Value After Reset: 0x6
Note, if WDQSExt is enabled we also need to add WDQSPREEXT, where WDQSPREEXT=WL-WDQS_on. WDQS_on value can be found a few cells to the right (its JEDEC timing is based on write latency)</t>
  </si>
  <si>
    <t>WDQS_on:</t>
  </si>
  <si>
    <r>
      <rPr>
        <b/>
        <sz val="10"/>
        <rFont val="Arial"/>
        <family val="2"/>
      </rPr>
      <t>tWTR (automatically calculated based on JEDEC).</t>
    </r>
    <r>
      <rPr>
        <sz val="10"/>
        <rFont val="Arial"/>
        <family val="2"/>
      </rPr>
      <t xml:space="preserve">
DDR4: CWL + PL + BL/2 + tWTR_L
LPDDR2/3/4: WL + BL/2 + tWTR + 1
Others: CWL + BL/2 + tWTR
In DDR4, minimum time from write command to read command for same bank group. In others, minimum time from write command to read command. Includes time for bus turnaround, recovery times, and all per-bank, per-rank, and global constraints.
Unit: Clocks.
Where:
■CWL = CAS write latency
■WL = Write latency
■PL = Parity latency
■BL = burst length. This must match the value programmed in the BL bit of the mode register to the SDRAM
■tWTR_L = internal write to read command delay for same bank group. This comes directly from the SDRAM specification.
■tWTR = internal write to read command delay. This comes directly from the SDRAM specification.
Add one extra cycle for LPDDR2/LPDDR3/LPDDR4 operation.
When the controller is operating in 1:2 mode, divide the value calculated using the above equation by 2, and round it up to next integer.
Value After Reset: 0xd
Note, if WDQSExt is enabled we also need to add WDQSPREEXT, where WDQSPREEXT=WL-WDQS_on. WDQS_on value can be found a few cells to the right (its JEDEC timing is based on write latency)</t>
    </r>
  </si>
  <si>
    <t>Certain DRAM implementations are known to implement a clock divider circuit (clocked by DQS_T, DQS_C) to enable operating the internal receive data path at quarter bit-rate frequencies. As such, it requries that the Write DQS Extension be enabled. This is defaulted as enabled.</t>
  </si>
  <si>
    <t>################step 0: configure debug uart port. Assumes use of UART IO Pads.   #####</t>
  </si>
  <si>
    <t>##### If using non-UART pads (i.e. using other pads to mux out the UART signals), #####</t>
  </si>
  <si>
    <t>##### then it is up to the user to overwrite the following IO register settings   #####</t>
  </si>
  <si>
    <t xml:space="preserve">0x00000000 </t>
  </si>
  <si>
    <t xml:space="preserve">sysparam set </t>
  </si>
  <si>
    <t xml:space="preserve">debug_uart </t>
  </si>
  <si>
    <t>#UART index from 0 ('0' = UART1, '1' = UART2, '2' = UART3, '3' = UART4)</t>
  </si>
  <si>
    <r>
      <rPr>
        <b/>
        <sz val="10"/>
        <rFont val="Arial"/>
        <family val="2"/>
      </rPr>
      <t>Debug UART port</t>
    </r>
    <r>
      <rPr>
        <sz val="10"/>
        <rFont val="Arial"/>
        <family val="2"/>
      </rPr>
      <t xml:space="preserve">
Assumes use UART pad for UART function, not mux'd on other pads</t>
    </r>
  </si>
  <si>
    <t>Step 4. Go to the BoardDataBusConfig tab and correctly fill out the MX8 data bus mapping to the memory device.  The user should take special care to ensure this worksheet is configured correctly or else the LPDDR4 system may not work properly.</t>
  </si>
  <si>
    <t>Note: changes to the Register Configuration and BoardDataBusConfig worksheets are automatically updated in the DDR stress test file worksheet tab described next.</t>
  </si>
  <si>
    <t xml:space="preserve">Step 5. The final worksheet tab "DDR stress test file" is the output of the RPA and represents the DRAM initialization for use with the DDR Stress Test.  To create a DDR Stress Test script, the user must copy the contents in this worksheet tab and paste it to a text document, naming the document with the “.ds” file extension.  The user will later select this file when executing the DDR stress test.  
It is important that the user must make sure to copy all of the contents from the DDR stress test file worksheet tab.  One recommended method to ensure that all of the contents are selected before copying is to click on the arrow in the upper left hand corner of this sheet between row 1 and column A as shown below.    
</t>
  </si>
  <si>
    <t>See additional note below.</t>
  </si>
  <si>
    <t>0x01010000</t>
  </si>
  <si>
    <t>#CCM_TARGET_ROOT_SET(DRAM_ALT_CLK_ROOT):MUX=1(system_pll1_800m_clk), PRE_PODF=2 //DRAM_ALT_CLK=800/2=400MHz</t>
  </si>
  <si>
    <t>0x03010000</t>
  </si>
  <si>
    <t>#CCM_TARGET_ROOT_SET(DRAM_APB_CLK_ROOT):MUX=3(system_pll1_160m_clk),  PRE_PODF=2 //DRAM_APB_CLK=160/2=80MHz</t>
  </si>
  <si>
    <t>DDRC_FREQ1_RANKCTL</t>
  </si>
  <si>
    <t xml:space="preserve">#DDRC_FREQ1_RANKCTL </t>
  </si>
  <si>
    <t>DDRC_FREQ2_RANKCTL</t>
  </si>
  <si>
    <t xml:space="preserve">#DDRC_FREQ2_RANKCTL </t>
  </si>
  <si>
    <r>
      <rPr>
        <b/>
        <sz val="10"/>
        <rFont val="Arial"/>
        <family val="2"/>
      </rPr>
      <t>Enable/Disable Shared ZQ resistor</t>
    </r>
    <r>
      <rPr>
        <sz val="10"/>
        <rFont val="Arial"/>
        <family val="2"/>
      </rPr>
      <t xml:space="preserve">
Enabled: Denotes that ZQ resistor is shared between ranks.
Means ZQinit/ZQCL/ZQCS/MPC(ZQ calibration)
commands are sent to one rank at a time with
tZQinit/tZQCL/tZQCS/tZQCAL/tZQLAT timing met
between commands so that commands to different ranks
do not overlap.
Disabled: ZQ resistor is not shared.
This should be left disabled unless the board shares one ZQ resistor across ranks.</t>
    </r>
  </si>
  <si>
    <t xml:space="preserve">i.MX8MP (m865) DDR Controller Configuration Spreadsheet </t>
    <phoneticPr fontId="2" type="noConversion"/>
  </si>
  <si>
    <t>Initial, based on m845 RPA</t>
    <phoneticPr fontId="34" type="noConversion"/>
  </si>
  <si>
    <t>0x00000016</t>
    <phoneticPr fontId="34" type="noConversion"/>
  </si>
  <si>
    <t>sysparam set</t>
    <phoneticPr fontId="34" type="noConversion"/>
  </si>
  <si>
    <t>fw_version</t>
    <phoneticPr fontId="34" type="noConversion"/>
  </si>
  <si>
    <t>memory set</t>
    <phoneticPr fontId="34" type="noConversion"/>
  </si>
  <si>
    <t>DDRC_ADDRMAP6</t>
    <phoneticPr fontId="2" type="noConversion"/>
  </si>
  <si>
    <t>DDRC_ADDRMAP7</t>
    <phoneticPr fontId="2" type="noConversion"/>
  </si>
  <si>
    <t>ADDRMAP_ROW_B16</t>
    <phoneticPr fontId="2" type="noConversion"/>
  </si>
  <si>
    <t>ADDRMAP_ROW_B17</t>
    <phoneticPr fontId="2" type="noConversion"/>
  </si>
  <si>
    <t>Description: Selects the HIF address bit used as row address bit 16.
Valid Range: 0 to 11, and 15
Internal Base: 22
The selected HIF address bit is determined by adding the internal base to the value of this field.
If set to 15, row address bit 16 is set to 0.
Value After Reset: 0x0</t>
    <phoneticPr fontId="2" type="noConversion"/>
  </si>
  <si>
    <t>Description: Selects the HIF address bit used as row address bit 17.
Valid Range: 0 to 11, and 15
Internal Base: 23
The selected HIF address bit is determined by adding the internal base to the value of this field.
If set to 15, row address bit 17 is set to 0.
Value After Reset: 0x0</t>
    <phoneticPr fontId="2" type="noConversion"/>
  </si>
  <si>
    <t xml:space="preserve">#DDRC_ADDRMAP6 </t>
    <phoneticPr fontId="34" type="noConversion"/>
  </si>
  <si>
    <t>#DDRC_ADDRMAP7</t>
    <phoneticPr fontId="34" type="noConversion"/>
  </si>
  <si>
    <t># The RPA provides the DRAM_PLL_FDIV_CTL0 register (0x30360054) setting for 2000Mhz (0xFA031).</t>
    <phoneticPr fontId="34" type="noConversion"/>
  </si>
  <si>
    <t>#DRAM_PLL_FDIV_CTL0: For 2000MHz, pll_main_div = 250, pll_pre_div = 3, pll_post_div = 1</t>
    <phoneticPr fontId="34" type="noConversion"/>
  </si>
  <si>
    <r>
      <t xml:space="preserve">Indicates what type of LPDDR4 SDRAM device is in use. Per Rank
</t>
    </r>
    <r>
      <rPr>
        <sz val="10"/>
        <color theme="1"/>
        <rFont val="Segoe UI Symbol"/>
        <family val="2"/>
      </rPr>
      <t>■</t>
    </r>
    <r>
      <rPr>
        <sz val="10"/>
        <color theme="1"/>
        <rFont val="Arial"/>
        <family val="2"/>
      </rPr>
      <t xml:space="preserve"> 2'b00: No LPDDR4 SDRAM 6Gb/12Gb/24Gb device in
use. All addresses are valid
</t>
    </r>
    <r>
      <rPr>
        <sz val="10"/>
        <color theme="1"/>
        <rFont val="Segoe UI Symbol"/>
        <family val="2"/>
      </rPr>
      <t>■</t>
    </r>
    <r>
      <rPr>
        <sz val="10"/>
        <color theme="1"/>
        <rFont val="Arial"/>
        <family val="2"/>
      </rPr>
      <t xml:space="preserve"> 2'b01: LPDDR4 SDRAM 3Gb device in use. Every
address having row[14:13]==2'b11 is considered as
invalid
</t>
    </r>
    <r>
      <rPr>
        <sz val="10"/>
        <color theme="1"/>
        <rFont val="Segoe UI Symbol"/>
        <family val="2"/>
      </rPr>
      <t>■</t>
    </r>
    <r>
      <rPr>
        <sz val="10"/>
        <color theme="1"/>
        <rFont val="Arial"/>
        <family val="2"/>
      </rPr>
      <t xml:space="preserve"> 2'b10: LPDDR4 SDRAM 6Gb device in use. Every
address having row[15:14]==2'b11 is considered as
invalid
</t>
    </r>
    <r>
      <rPr>
        <sz val="10"/>
        <color theme="1"/>
        <rFont val="Segoe UI Symbol"/>
        <family val="2"/>
      </rPr>
      <t>■</t>
    </r>
    <r>
      <rPr>
        <sz val="10"/>
        <color theme="1"/>
        <rFont val="Arial"/>
        <family val="2"/>
      </rPr>
      <t xml:space="preserve"> 2'b11: LPDDR4 SDRAM 12Gb device in use. Every
address having row[16:15]==2'b11 is considered as
invalid
Unsupported
Present only in designs configured to support LPDDR4.</t>
    </r>
    <phoneticPr fontId="2" type="noConversion"/>
  </si>
  <si>
    <t>0x14</t>
    <phoneticPr fontId="2" type="noConversion"/>
  </si>
  <si>
    <t>DDRC_PCFGWQOS1_0</t>
    <phoneticPr fontId="2" type="noConversion"/>
  </si>
  <si>
    <t>wqos_map_region2</t>
    <phoneticPr fontId="2" type="noConversion"/>
  </si>
  <si>
    <t>This bitfield indicates the traffic class of region 2.
Valid values are:
0: NPW, 1: VPW.
When VPW support is disabled (UMCTL2_VPW_EN = 0) and traffic class of region 1 is set to 1 (VPW), VPW traffic is aliased to NPW traffic.
Value After Reset: 0x0</t>
    <phoneticPr fontId="2" type="noConversion"/>
  </si>
  <si>
    <t>Set RFSHCTL0.refresh_burst=0 for all frequency points</t>
    <phoneticPr fontId="34" type="noConversion"/>
  </si>
  <si>
    <t>This worksheet configures the granularity of each protectable region and which of these regions are protected.</t>
  </si>
  <si>
    <t>Enabling of ECC is performed in the Register Configuration tab.</t>
  </si>
  <si>
    <t>3. Settings in the Register Configuration tab are automatically updated from this worksheet</t>
  </si>
  <si>
    <t>USER INPUT REQUIRED</t>
  </si>
  <si>
    <t>Select desired ECC granularity region size: 1/8 (div-by-8), 1/16 (div-by-16), 1/32 (div-by-32), or 1/64 (div-by-64)</t>
  </si>
  <si>
    <t>ECC Region (div-by-):</t>
  </si>
  <si>
    <t>Region6</t>
  </si>
  <si>
    <t>Region5</t>
  </si>
  <si>
    <t>Region4</t>
  </si>
  <si>
    <t>Region3</t>
  </si>
  <si>
    <t>PROTECTED</t>
  </si>
  <si>
    <t>Region2</t>
  </si>
  <si>
    <t>Region1</t>
  </si>
  <si>
    <t>Region0</t>
  </si>
  <si>
    <t xml:space="preserve">Total DRAM density: </t>
  </si>
  <si>
    <t>ECC region details: Informational &amp; Register Configuration purposes only, no user configurable settings below</t>
  </si>
  <si>
    <t>In decimal format</t>
  </si>
  <si>
    <t>In "MB" format</t>
  </si>
  <si>
    <t>In 9-digit HEX format</t>
  </si>
  <si>
    <t>ECC Register Configuration settings:</t>
  </si>
  <si>
    <t>Total DRAM density calculated from Register Configuration
(Note to user, make sure you filled out the Device Information table correctly or else all subsequent settings will be incorrect):</t>
  </si>
  <si>
    <t xml:space="preserve">ECC_REGION_MAP_GRANU setting: </t>
  </si>
  <si>
    <t>Density of ECC region (where ECC is stored, always 1/8 of total density at the top of the DDR memory map)</t>
  </si>
  <si>
    <t>Density for each "ECC protectable" Region based on ECC granularity setting (ECC_REGION_MAP_GRANU)</t>
  </si>
  <si>
    <t xml:space="preserve">ECC_REGION_MAP_OTHER setting: </t>
  </si>
  <si>
    <t>Density of remaining "other" DRAM region when ECC granularity is 1/16, 1/32, or 1/64 (0 when 1/8)
Calculation:
Total DRAM density - ECC region (1/8 total density) - 7*(ECC Region size)</t>
  </si>
  <si>
    <t xml:space="preserve">ECC_REGION_MAP[6] setting: </t>
  </si>
  <si>
    <t xml:space="preserve">ECC_REGION_MAP[5] setting: </t>
  </si>
  <si>
    <t xml:space="preserve">Below is to assist in calculating address map values for each region </t>
  </si>
  <si>
    <t xml:space="preserve">ECC_REGION_MAP[4] setting: </t>
  </si>
  <si>
    <t>Base address of DDR memory map:</t>
  </si>
  <si>
    <t xml:space="preserve">ECC_REGION_MAP[3] setting: </t>
  </si>
  <si>
    <t xml:space="preserve">ECC_REGION_MAP[2] setting: </t>
  </si>
  <si>
    <t xml:space="preserve">ECC_REGION_MAP[1] setting: </t>
  </si>
  <si>
    <t xml:space="preserve">ECC_REGION_MAP[0] setting: </t>
  </si>
  <si>
    <t xml:space="preserve">Sum of ECC Regions[6:0]: </t>
  </si>
  <si>
    <t xml:space="preserve">ECC_REGION_MAP setting: </t>
  </si>
  <si>
    <r>
      <t xml:space="preserve">1. For </t>
    </r>
    <r>
      <rPr>
        <sz val="10"/>
        <color rgb="FF0070C0"/>
        <rFont val="Arial"/>
        <family val="2"/>
      </rPr>
      <t>required user input</t>
    </r>
    <r>
      <rPr>
        <sz val="10"/>
        <rFont val="Arial"/>
        <family val="2"/>
      </rPr>
      <t>, select desired settings in cells with color:</t>
    </r>
  </si>
  <si>
    <r>
      <t xml:space="preserve">2. </t>
    </r>
    <r>
      <rPr>
        <b/>
        <sz val="10"/>
        <rFont val="Arial"/>
        <family val="2"/>
      </rPr>
      <t>Note</t>
    </r>
    <r>
      <rPr>
        <sz val="10"/>
        <rFont val="Arial"/>
        <family val="2"/>
      </rPr>
      <t>: if ECC is enabled in Register Configuration then at least one ECC region must be PROTECTED else an error is incurred</t>
    </r>
  </si>
  <si>
    <t>ECC Parity Region Section</t>
  </si>
  <si>
    <t>Start Address of each ECC Parity Region Section</t>
  </si>
  <si>
    <t>Density of each ECC Parity Region Section</t>
  </si>
  <si>
    <t>ECC Parity Region Section memory attributes</t>
  </si>
  <si>
    <r>
      <rPr>
        <b/>
        <u/>
        <sz val="9"/>
        <rFont val="Arial"/>
        <family val="2"/>
      </rPr>
      <t>ECC parity region space</t>
    </r>
    <r>
      <rPr>
        <b/>
        <sz val="9"/>
        <rFont val="Arial"/>
        <family val="2"/>
      </rPr>
      <t xml:space="preserve"> 
Each memory section memory may be user accessible depending on the corresponding region's ECC protection scheme. Attempting to access an inaccessible section will result in a data abort.</t>
    </r>
  </si>
  <si>
    <t>Always user accessible</t>
  </si>
  <si>
    <t>ACCESSIBLE</t>
  </si>
  <si>
    <t>Configure each configurable Main Memory Region as ECC PROTECTED or UNPROTECTED</t>
  </si>
  <si>
    <t>Main Memory Region</t>
  </si>
  <si>
    <t>Start Address of each Main Memory Region</t>
  </si>
  <si>
    <t>Density of each Main Memory Region</t>
  </si>
  <si>
    <t>User Input
ECC Protection Configuration for each Main Memory Region</t>
  </si>
  <si>
    <r>
      <rPr>
        <b/>
        <u/>
        <sz val="10"/>
        <rFont val="Arial"/>
        <family val="2"/>
      </rPr>
      <t>Main Memory Region Space</t>
    </r>
    <r>
      <rPr>
        <b/>
        <sz val="10"/>
        <rFont val="Arial"/>
        <family val="2"/>
      </rPr>
      <t xml:space="preserve">
Each memory section may be configured as ECC protected or unprotected</t>
    </r>
  </si>
  <si>
    <t>Note: 'other' region is the remaining Main Memory Region for ECC granularity settings of 1/16, 1/32, and 1/64 (protect/unprotect configuration is a don't care for 1/8 setting)</t>
  </si>
  <si>
    <t>ECC Parity Region Calculation</t>
  </si>
  <si>
    <t>ECC Parity Region: "always accessible" section size</t>
  </si>
  <si>
    <t>ECC Parity Region: "other" section size</t>
  </si>
  <si>
    <t>ECC Parity Region: "each of the 7 protectable regions" section size</t>
  </si>
  <si>
    <t>ECC Parity Region:absolute address of "always accessbile" section</t>
  </si>
  <si>
    <t>ECC Parity Region:absolute address of "other" section</t>
  </si>
  <si>
    <t>ECC Parity Region:absolute address of "region 6" section</t>
  </si>
  <si>
    <t>ECC Parity Region:absolute address of "region 5" section</t>
  </si>
  <si>
    <t>ECC Parity Region:absolute address of "region 4" section</t>
  </si>
  <si>
    <t>ECC Parity Region:absolute address of "region 3" section</t>
  </si>
  <si>
    <t>ECC Parity Region:absolute address of "region 2" section</t>
  </si>
  <si>
    <t>ECC Parity Region:absolute address of "region 1" section</t>
  </si>
  <si>
    <t>If in-line ECC is enabled, go to ECC_Config worksheet to configure ECC options</t>
  </si>
  <si>
    <t>Inline ECC</t>
  </si>
  <si>
    <t>ECC_REGION_MAP_GRANU</t>
  </si>
  <si>
    <r>
      <t xml:space="preserve">Granularity of Selectable Protected Region.
Define one region size for ECCCFG0.ecc_region_map
</t>
    </r>
    <r>
      <rPr>
        <sz val="7"/>
        <color rgb="FF000000"/>
        <rFont val="ZapfDingbats"/>
      </rPr>
      <t xml:space="preserve">■ </t>
    </r>
    <r>
      <rPr>
        <sz val="10"/>
        <color rgb="FF000000"/>
        <rFont val="Helvetica"/>
      </rPr>
      <t xml:space="preserve">0 - 1/8 of memory spaces
</t>
    </r>
    <r>
      <rPr>
        <sz val="7"/>
        <color rgb="FF000000"/>
        <rFont val="ZapfDingbats"/>
      </rPr>
      <t xml:space="preserve">■ </t>
    </r>
    <r>
      <rPr>
        <sz val="10"/>
        <color rgb="FF000000"/>
        <rFont val="Helvetica"/>
      </rPr>
      <t xml:space="preserve">1 - 1/16 of memory spaces
</t>
    </r>
    <r>
      <rPr>
        <sz val="7"/>
        <color rgb="FF000000"/>
        <rFont val="ZapfDingbats"/>
      </rPr>
      <t xml:space="preserve">■ </t>
    </r>
    <r>
      <rPr>
        <sz val="10"/>
        <color rgb="FF000000"/>
        <rFont val="Helvetica"/>
      </rPr>
      <t xml:space="preserve">2 - 1/32 of memory spaces
</t>
    </r>
    <r>
      <rPr>
        <sz val="7"/>
        <color rgb="FF000000"/>
        <rFont val="ZapfDingbats"/>
      </rPr>
      <t xml:space="preserve">■ </t>
    </r>
    <r>
      <rPr>
        <sz val="10"/>
        <color rgb="FF000000"/>
        <rFont val="Helvetica"/>
      </rPr>
      <t>3 - 1/64 of memory spaces</t>
    </r>
  </si>
  <si>
    <t>DDRC_ECCCFG0</t>
  </si>
  <si>
    <t>ECC_REGION_MAP_OTHER</t>
  </si>
  <si>
    <t>When ECCCFG0.ecc_region_map_granu&gt;0, there is a region which is not controlled by ecc_region_map. This register defines the region to be protected or non-protected for Inline ECC.
■ 0 - Non-Protected
■ 1 - Protected
This register is valid only when ECCCFG0.ecc_region_map_granu&gt;0 &amp;&amp;
ECCCFG0.ecc_mode=4.</t>
  </si>
  <si>
    <t>ECC_AP_ERR_THRESHOLD</t>
  </si>
  <si>
    <t>Set threshold for address parity error.
ECCAPSTAT.ecc_ap_err is asserted if number of ECC errors
(correctable/uncorrectable) within one burst exceeds this
threshold.
This register value must be less than "Total number of ECC
checks within one burst" when this feature is used,
"Total number of ECC check within one burst" is calculated by
(DRAM Data width) x (DRAM BL) / 64.
Value After Reset: "MEMC_MAX_INLINE_ECC_PER_BURST/2-1"</t>
  </si>
  <si>
    <t>BLK_CHANNEL_IDLE_TIME_X32</t>
  </si>
  <si>
    <t>Indicates the number of cycles on HIF interface with no access
to protected regions which will cause flush of all the block
channels. In order to flush block channel, uMCTL2 injects write
ECC command (when there is no incoming HIF command) if
there is any write in the block and then stop tracking the block
address.
■ 0 indicates no timeout (feature is disabled, not supported
with this version)
■ 1 indicates 32 cycles
■ 2 indicates 2*32 cycles, etc.
Unit: Multiples of 32 DFI clock cycles.
Please refer to "Note 1" from "Notes on Timing Registers" at
the start of "Register Descriptions" chapter for details on how
to program this register field.
Value After Reset: 0x3f</t>
  </si>
  <si>
    <t>ECC_REGION_MAP</t>
  </si>
  <si>
    <t>Selectable Protected Region setting. Memory space is divided
to 8/16/32/64 regions which is determined by
ECCCFG1.ecc_region_map_granu.
Note: Highest 1/8 memory space is always ECC region.
Lowest 7 regions are Selectable Protected Regions. The
Selectable Protected Regions can be protected/non-protected
selectively by ECCCFG0.ecc_region_map[6:0]. Other upper
regions are non-protected region if any. Each bit of
ECCCFG0.ecc_region_map[6:0] correspond to each of lowest
7 regions respectively.
In order to protect a region with ECC, set the corresponding
bit to 1, otherwise set to 0. All "0"s is invalid - there must be at
least one protected region if inline ECC is enabled via
ECCCFG0.ecc_mode register.
All regions are protected with the following setting.
■ ecc_region_map=7'b1111111
■ ecc_region_map_granu=0
Only first 1/64 region is protected with the following setting.
■ ecc_region_map=7'b0000001
■ ecc_region_map_granu=3
Value After Reset: 0x7f</t>
  </si>
  <si>
    <t>ECC_REGION_REMAP_EN</t>
  </si>
  <si>
    <t>ECC_AP_EN</t>
  </si>
  <si>
    <t>Enable address protection feature. Only supported when inline
ECC is enabled.
■ 0: disable
■ 1: enable
Value After Reset: 0x1</t>
  </si>
  <si>
    <t>ECC_TYPE</t>
  </si>
  <si>
    <t xml:space="preserve">The original intent of this bit field was to select between which type of ECC is desired when both Sideband ECC and Inline ECC are supported in the same Hardware configuration. However, in this specific Hardware configuration, only Inline ECC is supported, therefore this bit field is not programmable and is considered reserved.  Reads of this bit field will return 0.  Hence, when ECC is enabled, it will always be configured as Inline ECC. </t>
  </si>
  <si>
    <t>DIS_SCRUB</t>
  </si>
  <si>
    <t>Disable ECC scrubs. Valid only when ECCCFG0.ecc_mode =
3'b100 or 3'b101 and MEMC_USE_RMW is defined.
Note: Scrub is not supported in inline ECC mode and the
register value is don't care.
Value After Reset: 0x0</t>
  </si>
  <si>
    <t>TEST_MODE</t>
  </si>
  <si>
    <t>If this bit is set to 1, no ECC is performed, and the ECC byte is
accessed directly from co_wu_rxdata_ecc and
ra_co_resp_ecc_data. This test mode is only supported with
the HIF interface - it is disabled if UMCTL2_INCL_ARB is
enabled. This test mode is only supported in full bus width
mode. In other words, if MSTR.data_bus_width is non-zero,
this test_mode field must be set to 0. If test_mode is set to 1,
the ecc_mode field is ignored. If MEMC_ECC_SUPPORT is 2
(Advanced ECC mode), this test_mode field must be set to 0.
Note: test_mode is not supported in inline ECC mode and the
register value is don't care.
Value After Reset: 0x0</t>
  </si>
  <si>
    <t>ECC_MODE</t>
  </si>
  <si>
    <t>ECC mode indicator
■ 000 - ECC disabled
■ 100 - ECC enabled - SEC/DED over 1 beat
■ 101 - ECC enabled - Advanced ECC
■ all other settings are reserved for future use
Value After Reset: 0x0</t>
  </si>
  <si>
    <t>ACTIVE_BLK_CHANNEL</t>
  </si>
  <si>
    <t>Number of active block channels. Total number of ECC block
channels are defined by MEMC_NO_OF_BLK_CHANNEL
hardware parameter. This register can limit the number of
available channels. For example, if set to 0, only one channel
is active and therefore block interleaving is disabled.
Value After Reset: "MEMC_NO_OF_BLK_CHANNEL-1</t>
  </si>
  <si>
    <t>DDRC_ECCCFG1</t>
  </si>
  <si>
    <t>BLK_CHANNEL_ACTIVE_TERM</t>
  </si>
  <si>
    <t>Block Channel active terminate enable.
If enabled, block channel is terminated when full block write or
full block read is performed (all address within block are written
or read)
■ 0 - Disable (only for debug purpose)
■ 1 - Enable (default)
This is debug register, and this must be set to 1 for normal operation.
Value After Reset: 0x1</t>
  </si>
  <si>
    <t>ECC_REGION_WASTE_LOCK</t>
  </si>
  <si>
    <t>Locks the remaining waste parts of the ECC region (hole) that
are not locked by ecc_region_parity_lock.
■ 1: Locked; if this region is accessed, error response is
generated.
■ 0: Unlocked; this region can be accessed normally, similar
to non-ECC protected region.
Value After Reset: 0x1</t>
  </si>
  <si>
    <t>ECC_REGION_PARITY_LOCK</t>
  </si>
  <si>
    <t>Locks the parity section of the ECC region (hole) which is the
highest system address part of the memory that stores ECC
parity for protected region.
■ 1: Locked; if this region is accessed, error response is
generated.
■ 0: Unlocked; this region can be accessed normally, similar
to non-ECC protected region.
Value After Reset: 0x1</t>
  </si>
  <si>
    <t>POISON_CHIP_EN</t>
  </si>
  <si>
    <t>Data poison based on chip (i.e. persistently poisons the DRAM
data once its cs is selected to mimic chip failure). It is valid if
ECCCFG1.data_poison_en=1.
■ 0 : disable
■ 1 : enable. Persistently poison the write data to rank
address that matches ECCPOISONADDR0.ecc_poison_rank.
Value After Reset: 0x0</t>
  </si>
  <si>
    <t>DATA_POISON_BIT</t>
  </si>
  <si>
    <t>Selects whether to poison 1 or 2 bits - if 0 -&gt; 2-bit
(uncorrectable) data poisoning, if 1 -&gt; 1-bit (correctable) data
poisoning, if ECCCFG1.data_poison_en=1. Valid only when
MEMC_ECC_SUPPORT==1 (SECDED ECC mode)
Value After Reset: 0x0</t>
  </si>
  <si>
    <t>DATA_POISON_EN</t>
  </si>
  <si>
    <t>Enable ECC data poisoning - introduces ECC errors on writes
to address specified by the ECCPOISONADDR0/1 registers
Value After Reset: 0x0</t>
  </si>
  <si>
    <t>0x3D400070</t>
  </si>
  <si>
    <t>#DDRC_ECCCFG0</t>
  </si>
  <si>
    <t>0x3D400074</t>
  </si>
  <si>
    <t>#DDRC_ECCCFG1</t>
  </si>
  <si>
    <t xml:space="preserve"> Main Memory Region 0</t>
  </si>
  <si>
    <t>ECC Parity Region Section for Main Memory Region 0</t>
  </si>
  <si>
    <t>Main Memory Region 1</t>
  </si>
  <si>
    <t>ECC Parity Region Section for Main Memory Region 1</t>
  </si>
  <si>
    <t>Main Memory Region 2</t>
  </si>
  <si>
    <t>ECC Parity Region Section Main Memory Region 2</t>
  </si>
  <si>
    <t>[Main Memory Region 2] Configuration for each region is configured via Main Memory Region 0</t>
  </si>
  <si>
    <t>[Main Memory Region 1] Configuration for each region is configured via Main Memory Region 0 below</t>
  </si>
  <si>
    <t>[Main Memory Region 0] Configure each configurable Main Memory Region as ECC PROTECTED or UNPROTECTED</t>
  </si>
  <si>
    <t>ECC Protection Configuration based on  Main Memory Region 0 settings</t>
  </si>
  <si>
    <t>Due to the non-binary-aligned density, the LPDDR4 memory map is broken up into three equal ECC memory regions, where each region is a mirror of one another</t>
  </si>
  <si>
    <t>Base address of DDR memory map region 0:</t>
  </si>
  <si>
    <t>Base address of DDR memory map region 1:</t>
  </si>
  <si>
    <t>Base address of DDR memory map region 2:</t>
  </si>
  <si>
    <t>Density of each ECC region (where ECC is stored, always 1/8 of total density at the top of the DDR memory map for each ECC memory region 0, 1, and 2)</t>
  </si>
  <si>
    <t>Density for each "ECC protectable" Region (within each ECC memory region 0, 1, and 2) based on ECC granularity setting (ECC_REGION_MAP_GRANU)</t>
  </si>
  <si>
    <t>Density of each ECC memory region remaining "other" DRAM region when ECC granularity is 1/16, 1/32, or 1/64 (0 when 1/8)
Calculation:
Total DRAM density - ECC region (1/8 total density) - 7*(ECC Region size) / 3</t>
  </si>
  <si>
    <t>Density of each of the three ECC memory regions 0, 1, and 2</t>
  </si>
  <si>
    <t>ECC Parity Region:absolute address of "region 0" section</t>
  </si>
  <si>
    <t>ECC memory region 0</t>
  </si>
  <si>
    <t>ECC memory region 1</t>
  </si>
  <si>
    <t>ECC memory region 2</t>
  </si>
  <si>
    <t>In-line ECC configuration worksheet for binary-aligned densities: this is the preferred density type to ensure a continuous LPDDR4 memory map.</t>
  </si>
  <si>
    <r>
      <t xml:space="preserve">In-line ECC configuration worksheet for </t>
    </r>
    <r>
      <rPr>
        <b/>
        <u/>
        <sz val="10"/>
        <rFont val="Arial"/>
        <family val="2"/>
      </rPr>
      <t>non-binary-aligned</t>
    </r>
    <r>
      <rPr>
        <b/>
        <sz val="10"/>
        <rFont val="Arial"/>
        <family val="2"/>
      </rPr>
      <t xml:space="preserve"> densities: the use of non-binary-aligned densities forces the LPDDR4 memory map to be broken up into three equally sized non-continuous regions, with each region containing the ECC parity section for that memory region.  To avoid such a situation, it is recommended to use a binary-aligned density. </t>
    </r>
  </si>
  <si>
    <r>
      <rPr>
        <b/>
        <u/>
        <sz val="14"/>
        <rFont val="Arial"/>
        <family val="2"/>
      </rPr>
      <t>ECC Memory Region 0</t>
    </r>
    <r>
      <rPr>
        <b/>
        <sz val="14"/>
        <rFont val="Arial"/>
        <family val="2"/>
      </rPr>
      <t xml:space="preserve">
</t>
    </r>
    <r>
      <rPr>
        <b/>
        <sz val="14"/>
        <color rgb="FF00B050"/>
        <rFont val="Arial"/>
        <family val="2"/>
      </rPr>
      <t>This region is user configurable and is used to configure the other two regions above</t>
    </r>
  </si>
  <si>
    <r>
      <rPr>
        <b/>
        <u/>
        <sz val="14"/>
        <rFont val="Arial"/>
        <family val="2"/>
      </rPr>
      <t>ECC Memory Region 2</t>
    </r>
    <r>
      <rPr>
        <b/>
        <sz val="14"/>
        <rFont val="Arial"/>
        <family val="2"/>
      </rPr>
      <t xml:space="preserve">
</t>
    </r>
    <r>
      <rPr>
        <b/>
        <sz val="14"/>
        <color rgb="FF0070C0"/>
        <rFont val="Arial"/>
        <family val="2"/>
      </rPr>
      <t>Configuration for this region is based on ECC Memory Region 0</t>
    </r>
    <r>
      <rPr>
        <b/>
        <sz val="14"/>
        <rFont val="Arial"/>
        <family val="2"/>
      </rPr>
      <t xml:space="preserve"> </t>
    </r>
    <r>
      <rPr>
        <b/>
        <sz val="14"/>
        <color rgb="FF0070C0"/>
        <rFont val="Arial"/>
        <family val="2"/>
      </rPr>
      <t>below</t>
    </r>
  </si>
  <si>
    <r>
      <rPr>
        <b/>
        <u/>
        <sz val="14"/>
        <rFont val="Arial"/>
        <family val="2"/>
      </rPr>
      <t>ECC Memory Region 1</t>
    </r>
    <r>
      <rPr>
        <b/>
        <sz val="14"/>
        <rFont val="Arial"/>
        <family val="2"/>
      </rPr>
      <t xml:space="preserve">
</t>
    </r>
    <r>
      <rPr>
        <b/>
        <sz val="14"/>
        <color rgb="FF0070C0"/>
        <rFont val="Arial"/>
        <family val="2"/>
      </rPr>
      <t>Configuration for this region is based on ECC Memory Region 0 below</t>
    </r>
  </si>
  <si>
    <t>-Added inline ECC configuration worksheets for binary-aligned and non-binary-aligned LPDDR4 densities
-Updated ADDRMAP6.LPDDR4_6gb_12gb_24gb to account for 3Gb densities
-Fixed various other ADDRMAP registers for proper calculations</t>
  </si>
  <si>
    <t>DERATE_MR4_TUF_DIS</t>
    <phoneticPr fontId="2" type="noConversion"/>
  </si>
  <si>
    <t>DERATE_MR4_PAUSE_FC</t>
    <phoneticPr fontId="2" type="noConversion"/>
  </si>
  <si>
    <t>-</t>
    <phoneticPr fontId="2" type="noConversion"/>
  </si>
  <si>
    <t>Pauses MR4 reads. Must only be set to 1 as part of Frequency Change procedures, if DERATEEN.derate_enable=1</t>
    <phoneticPr fontId="2" type="noConversion"/>
  </si>
  <si>
    <r>
      <t xml:space="preserve">Derate value of tRC for LPDDR4
</t>
    </r>
    <r>
      <rPr>
        <sz val="10"/>
        <color theme="1"/>
        <rFont val="Segoe UI Symbol"/>
        <family val="2"/>
      </rPr>
      <t>■</t>
    </r>
    <r>
      <rPr>
        <sz val="10"/>
        <color theme="1"/>
        <rFont val="Arial"/>
        <family val="2"/>
      </rPr>
      <t xml:space="preserve">0 - Derating uses +1.
</t>
    </r>
    <r>
      <rPr>
        <sz val="10"/>
        <color theme="1"/>
        <rFont val="Segoe UI Symbol"/>
        <family val="2"/>
      </rPr>
      <t>■</t>
    </r>
    <r>
      <rPr>
        <sz val="10"/>
        <color theme="1"/>
        <rFont val="Arial"/>
        <family val="2"/>
      </rPr>
      <t xml:space="preserve">1 - Derating uses +2.
</t>
    </r>
    <r>
      <rPr>
        <sz val="10"/>
        <color theme="1"/>
        <rFont val="Segoe UI Symbol"/>
        <family val="2"/>
      </rPr>
      <t>■</t>
    </r>
    <r>
      <rPr>
        <sz val="10"/>
        <color theme="1"/>
        <rFont val="Arial"/>
        <family val="2"/>
      </rPr>
      <t xml:space="preserve">2 - Derating uses +3.
</t>
    </r>
    <r>
      <rPr>
        <sz val="10"/>
        <color theme="1"/>
        <rFont val="Segoe UI Symbol"/>
        <family val="2"/>
      </rPr>
      <t>■</t>
    </r>
    <r>
      <rPr>
        <sz val="10"/>
        <color theme="1"/>
        <rFont val="Arial"/>
        <family val="2"/>
      </rPr>
      <t>3 - Derating uses +4.
Present only in designs configured to support LPDDR4. The required number of cycles for derating can be determined by dividing 3.75ns by the core_ddrc_core_clk period, and rounding up the next integer.
This value is automatically calculated.</t>
    </r>
    <phoneticPr fontId="2" type="noConversion"/>
  </si>
  <si>
    <r>
      <t xml:space="preserve">Disables use of MR4 TUF flag(MR4[7])bit
</t>
    </r>
    <r>
      <rPr>
        <sz val="10"/>
        <color theme="1"/>
        <rFont val="Segoe UI Symbol"/>
        <family val="2"/>
      </rPr>
      <t>■</t>
    </r>
    <r>
      <rPr>
        <sz val="10"/>
        <color theme="1"/>
        <rFont val="Arial"/>
        <family val="2"/>
      </rPr>
      <t xml:space="preserve">0 - Use MR4 TUF flag.
</t>
    </r>
    <r>
      <rPr>
        <sz val="10"/>
        <color theme="1"/>
        <rFont val="Segoe UI Symbol"/>
        <family val="2"/>
      </rPr>
      <t>■</t>
    </r>
    <r>
      <rPr>
        <sz val="10"/>
        <color theme="1"/>
        <rFont val="Arial"/>
        <family val="2"/>
      </rPr>
      <t>1 - Do not use MR4 TUF Flag
For LPDDR4, it is recommended to set this register to 1</t>
    </r>
    <phoneticPr fontId="2" type="noConversion"/>
  </si>
  <si>
    <t>#DDRC_SCHED1</t>
    <phoneticPr fontId="34" type="noConversion"/>
  </si>
  <si>
    <t>hpr_xact_run_length</t>
    <phoneticPr fontId="2" type="noConversion"/>
  </si>
  <si>
    <t>hpr_max_starve</t>
    <phoneticPr fontId="2" type="noConversion"/>
  </si>
  <si>
    <r>
      <t xml:space="preserve">Number of transactions that are serviced once the HPR queue goes critical is the smaller of:
</t>
    </r>
    <r>
      <rPr>
        <sz val="10"/>
        <color theme="1"/>
        <rFont val="Segoe UI Symbol"/>
        <family val="2"/>
      </rPr>
      <t>■</t>
    </r>
    <r>
      <rPr>
        <sz val="10"/>
        <color theme="1"/>
        <rFont val="Arial"/>
        <family val="2"/>
      </rPr>
      <t xml:space="preserve">(a) This number
</t>
    </r>
    <r>
      <rPr>
        <sz val="10"/>
        <color theme="1"/>
        <rFont val="Segoe UI Symbol"/>
        <family val="2"/>
      </rPr>
      <t>■</t>
    </r>
    <r>
      <rPr>
        <sz val="10"/>
        <color theme="1"/>
        <rFont val="Arial"/>
        <family val="2"/>
      </rPr>
      <t>(b) Number of transactions available.
Unit: Transaction.
FOR PERFORMANCE ONLY.
Value After Reset: 0xf</t>
    </r>
    <phoneticPr fontId="2" type="noConversion"/>
  </si>
  <si>
    <t>Number of DFI clocks that the HPR queue can be starved before it goes critical. The minimum valid functional value for this register is 0x1. Programming it to 0x0 will disable the starvation functionality; during normal operation, this function should not be disabled as it will cause excessive latencies.
FOR PERFORMANCE ONLY.
Value After Reset: 0x7f</t>
    <phoneticPr fontId="2" type="noConversion"/>
  </si>
  <si>
    <t>DDRC_PERFHPR1</t>
    <phoneticPr fontId="2" type="noConversion"/>
  </si>
  <si>
    <t>#DDRC_PERFHPR1</t>
    <phoneticPr fontId="34" type="noConversion"/>
  </si>
  <si>
    <t xml:space="preserve">#DDRC_PCFGR_0 </t>
    <phoneticPr fontId="34" type="noConversion"/>
  </si>
  <si>
    <t>DDRC_FREQ1_RFSHCTL0</t>
    <phoneticPr fontId="2" type="noConversion"/>
  </si>
  <si>
    <t>#Firmware Selection: '0' for FW201709, '1' for FW201810, '2' for FW201904,'3' for FW202006</t>
    <phoneticPr fontId="34" type="noConversion"/>
  </si>
  <si>
    <t>* Migrate DDRFW to VER2020.06
* Optimize performance setting</t>
    <phoneticPr fontId="34" type="noConversion"/>
  </si>
  <si>
    <t>Updated ds file for the case when setpoint is different than 3</t>
  </si>
  <si>
    <t>Corrected formula for calculation of tRTP in cell D122</t>
  </si>
  <si>
    <t>MT53E1536M32D4DT-046 WT:A</t>
  </si>
  <si>
    <t>Enables remapping ECC region feature.
Only supported when inline ECC is enabled.
■ 0 - Disable
■ 1 - Enable
Value After Reset: 0x0</t>
  </si>
  <si>
    <t>17-row tRFC (DDRC_RFSHTMG.T_RFC_MIN) override option</t>
  </si>
  <si>
    <t>For 17-row devices, JEDEC specs tRFC of 380ns, however, some vendors allow for lower tRFC, which you can override here. Set the value to 0 to disable the override and use the default  JEDEC compliant density-based calculation of tRFC instead. Consult the datasheet of the memory vendor to see the allowed values for tRFC before setting this to a non-JEDEC value</t>
  </si>
  <si>
    <t>Corrected ECC related items, none of which affect normal operation when ECC is not enabled:
-ECCCFG0.ECC_REGION_REMAP_EN=1 to align with ECC config worksheets
-ECCCFG0.ECC_AP_ERR_THRESHOLD=7 to extended AP threshold to maximum value
-ECCCFG1.ECC_REGION_WASTE_LOCK=0 to allow user accessibility to ECC parity waste region  
-Fixed ECC_Config_nonBinaryAligned worksheet when 1/8 granularity selected to remove "accessible/inaccessible" tag 'other' ECC region in ECC region, as there is no defined "other" region when 1/8 granularity is selected. This is mainly cosmetic.
- Added the option to manually override the tRFC setting to accomodate devices that support lower values than specified by the JEDEC standard.
- Removed workaround for e50125 since i.MX8MP is not affected by this errata
- Configured MR3.WR_PST to be frequency-dependent (0.5 tCK when the clock frequency is at or below 1600 MHz, 1.5 tCK when the clock frequency is above 1600 MHz).</t>
  </si>
  <si>
    <t>This is the time before Power Down Exit that CK is maintained as a valid clock before issuing PDX. Specifies the clock stable time before PDX.
Recommended settings:
■mDDR: 0
■LPDDR2: 2
■LPDDR3: 2
■LPDDR4: tCKCKEH
When using DDR2/3/4 SDRAM, this register should be set to the same value as DRAMTMG5.t_cksrx. When the controller is operating in 1:2 frequency ratio mode, program this to recommended value divided by two and round it up to next integer.
This is only present for designs supporting mDDR or LPDDR2/LPDDR3/LPDDR4 devices.
Value After Reset: 0x2</t>
  </si>
  <si>
    <t>col_addr_shift</t>
  </si>
  <si>
    <t>The register provides a capability to map column address to lower HIF address in specific cases required by inline ECC configuration.
■ If it is 1, internal base of all the column address can be -2 to make mapping range of column address shift left 2 bit
■ If it is 0, internal base of all the column address has no change Set to 0 if inline ECC is not enabled (ECCCFG0.ecc_mode==0).
Value After Reset:0x0
Exists:MEMC_INLINE_ECC==1 &amp;&amp; MEMC_BURST_LENGTH==16
Programming Mode:Static</t>
  </si>
  <si>
    <t>ADDRMAP_COL_B5</t>
  </si>
  <si>
    <t>■Full bus width mode: Selects the HIF address bit used as column address bit 5.
■Half bus width mode: Selects the HIF address bit used as column address bit 6.
■Quarter bus width mode: Selects the HIF address bit used as column address bit 7 .
Valid Range: 0 to 7, and 15
Internal Base: 5
The selected HIF address bit is determined by adding the internal base to the value of this field. If unused, set to 15 and then this column address bit is set to 0.</t>
  </si>
  <si>
    <t>DDRC_ADDRMAP2</t>
  </si>
  <si>
    <t>ADDRMAP_COL_B4</t>
  </si>
  <si>
    <t>■Full bus width mode: Selects the HIF address bit used as column address bit 4.
■Half bus width mode: Selects the HIF address bit used as column address bit 5.
■Quarter bus width mode: Selects the HIF address bit used as column address bit 6.
Valid Range: 0 to 7, and 15
Internal Base: 4
The selected HIF address bit is determined by adding the internal base to the value of this field. If unused, set to 15 and then this column address bit is set to 0.</t>
  </si>
  <si>
    <t>ADDRMAP_COL_B3</t>
  </si>
  <si>
    <t>■Full bus width mode: Selects the HIF address bit used as column address bit 3.
■Half bus width mode: Selects the HIF address bit used as column address bit 4.
■Quarter bus width mode: Selects the HIF address bit used as column address bit 5.
Valid Range: 0 to 7
Internal Base: 3
The selected HIF address bit is determined by adding the internal base to the value of this field.</t>
  </si>
  <si>
    <t>ADDRMAP_COL_B2</t>
  </si>
  <si>
    <t>■Full bus width mode: Selects the HIF address bit used as column address bit 2.
■Half bus width mode: Selects the HIF address bit used as column address bit 3.
■Quarter bus width mode: Selects the HIF address bit used as column address bit 4.
Valid Range: 0 to 7
Internal Base: 2
The selected HIF address bit is determined by adding the internal base to the value of this field.</t>
  </si>
  <si>
    <t>#DDRC_ADDRMAP2</t>
  </si>
  <si>
    <t>- corrected calculations for ODTLon and ODTLoff to follow the JEDEC specification
- corrected calculation of T_CKPDX parameter (equal to tCKCKEH for LPDDR4)
- corrected address mapping settings for half-bus width mode with ECC enabled and disabled</t>
  </si>
  <si>
    <t>Clock Cycle Freq (MHz)</t>
  </si>
  <si>
    <r>
      <rPr>
        <b/>
        <sz val="10"/>
        <rFont val="Arial"/>
        <family val="2"/>
      </rPr>
      <t>EMR2</t>
    </r>
    <r>
      <rPr>
        <sz val="10"/>
        <rFont val="Arial"/>
        <family val="2"/>
      </rPr>
      <t xml:space="preserve">
LPDDR4 </t>
    </r>
    <r>
      <rPr>
        <b/>
        <sz val="10"/>
        <rFont val="Arial"/>
        <family val="2"/>
      </rPr>
      <t>MR3:</t>
    </r>
    <r>
      <rPr>
        <sz val="10"/>
        <rFont val="Arial"/>
        <family val="2"/>
      </rPr>
      <t xml:space="preserve"> PDDS (Pull-Down Drive Strength) - FREQ1</t>
    </r>
  </si>
  <si>
    <r>
      <t xml:space="preserve">LPDDR4 </t>
    </r>
    <r>
      <rPr>
        <b/>
        <sz val="10"/>
        <rFont val="Arial"/>
        <family val="2"/>
      </rPr>
      <t>MR22</t>
    </r>
    <r>
      <rPr>
        <sz val="10"/>
        <rFont val="Arial"/>
        <family val="2"/>
      </rPr>
      <t>: SOC ODT - FREQ1</t>
    </r>
  </si>
  <si>
    <r>
      <rPr>
        <b/>
        <sz val="10"/>
        <rFont val="Arial"/>
        <family val="2"/>
      </rPr>
      <t>EMR2</t>
    </r>
    <r>
      <rPr>
        <sz val="10"/>
        <rFont val="Arial"/>
        <family val="2"/>
      </rPr>
      <t xml:space="preserve">
LPDDR4 </t>
    </r>
    <r>
      <rPr>
        <b/>
        <sz val="10"/>
        <rFont val="Arial"/>
        <family val="2"/>
      </rPr>
      <t>MR3:</t>
    </r>
    <r>
      <rPr>
        <sz val="10"/>
        <rFont val="Arial"/>
        <family val="2"/>
      </rPr>
      <t xml:space="preserve"> PDDS (Pull-Down Drive Strength) - FREQ2</t>
    </r>
  </si>
  <si>
    <r>
      <t xml:space="preserve">LPDDR4 </t>
    </r>
    <r>
      <rPr>
        <b/>
        <sz val="10"/>
        <rFont val="Arial"/>
        <family val="2"/>
      </rPr>
      <t>MR22</t>
    </r>
    <r>
      <rPr>
        <sz val="10"/>
        <rFont val="Arial"/>
        <family val="2"/>
      </rPr>
      <t>: SOC ODT - FREQ2</t>
    </r>
  </si>
  <si>
    <t>TxImpedance</t>
  </si>
  <si>
    <r>
      <t xml:space="preserve">LPDDR4 </t>
    </r>
    <r>
      <rPr>
        <b/>
        <sz val="10"/>
        <rFont val="Arial"/>
        <family val="2"/>
      </rPr>
      <t>MR11</t>
    </r>
    <r>
      <rPr>
        <sz val="10"/>
        <rFont val="Arial"/>
        <family val="2"/>
      </rPr>
      <t>: DQ ODT - FREQ1</t>
    </r>
  </si>
  <si>
    <r>
      <t xml:space="preserve">LPDDR4 </t>
    </r>
    <r>
      <rPr>
        <b/>
        <sz val="10"/>
        <rFont val="Arial"/>
        <family val="2"/>
      </rPr>
      <t>MR11</t>
    </r>
    <r>
      <rPr>
        <sz val="10"/>
        <rFont val="Arial"/>
        <family val="2"/>
      </rPr>
      <t>: CA ODT - FREQ2</t>
    </r>
  </si>
  <si>
    <r>
      <t xml:space="preserve">LPDDR4 </t>
    </r>
    <r>
      <rPr>
        <b/>
        <sz val="10"/>
        <rFont val="Arial"/>
        <family val="2"/>
      </rPr>
      <t>MR12</t>
    </r>
    <r>
      <rPr>
        <sz val="10"/>
        <rFont val="Arial"/>
        <family val="2"/>
      </rPr>
      <t>: VRCA - FREQ1</t>
    </r>
  </si>
  <si>
    <r>
      <t xml:space="preserve">LPDDR4 </t>
    </r>
    <r>
      <rPr>
        <b/>
        <sz val="10"/>
        <rFont val="Arial"/>
        <family val="2"/>
      </rPr>
      <t>MR12</t>
    </r>
    <r>
      <rPr>
        <sz val="10"/>
        <rFont val="Arial"/>
        <family val="2"/>
      </rPr>
      <t>: VRCA - FREQ2</t>
    </r>
  </si>
  <si>
    <r>
      <t xml:space="preserve">LPDDR4 </t>
    </r>
    <r>
      <rPr>
        <b/>
        <sz val="10"/>
        <rFont val="Arial"/>
        <family val="2"/>
      </rPr>
      <t>MR12</t>
    </r>
    <r>
      <rPr>
        <sz val="10"/>
        <rFont val="Arial"/>
        <family val="2"/>
      </rPr>
      <t>: VREF(CA)  - FREQ1</t>
    </r>
  </si>
  <si>
    <r>
      <t xml:space="preserve">LPDDR4 </t>
    </r>
    <r>
      <rPr>
        <b/>
        <sz val="10"/>
        <rFont val="Arial"/>
        <family val="2"/>
      </rPr>
      <t>MR12</t>
    </r>
    <r>
      <rPr>
        <sz val="10"/>
        <rFont val="Arial"/>
        <family val="2"/>
      </rPr>
      <t>: VREF(CA)  - FREQ2</t>
    </r>
  </si>
  <si>
    <r>
      <t xml:space="preserve">LPDDR4 </t>
    </r>
    <r>
      <rPr>
        <b/>
        <sz val="10"/>
        <rFont val="Arial"/>
        <family val="2"/>
      </rPr>
      <t>MR14</t>
    </r>
    <r>
      <rPr>
        <sz val="10"/>
        <rFont val="Arial"/>
        <family val="2"/>
      </rPr>
      <t>: VRDQ - FREQ1</t>
    </r>
  </si>
  <si>
    <r>
      <t xml:space="preserve">LPDDR4 </t>
    </r>
    <r>
      <rPr>
        <b/>
        <sz val="10"/>
        <rFont val="Arial"/>
        <family val="2"/>
      </rPr>
      <t>MR14</t>
    </r>
    <r>
      <rPr>
        <sz val="10"/>
        <rFont val="Arial"/>
        <family val="2"/>
      </rPr>
      <t>: VRDQ - FREQ2</t>
    </r>
  </si>
  <si>
    <r>
      <t xml:space="preserve">LPDDR4 </t>
    </r>
    <r>
      <rPr>
        <b/>
        <sz val="10"/>
        <rFont val="Arial"/>
        <family val="2"/>
      </rPr>
      <t>MR14</t>
    </r>
    <r>
      <rPr>
        <sz val="10"/>
        <rFont val="Arial"/>
        <family val="2"/>
      </rPr>
      <t>: VREF(DQ) - FREQ1</t>
    </r>
  </si>
  <si>
    <r>
      <t xml:space="preserve">LPDDR4 </t>
    </r>
    <r>
      <rPr>
        <b/>
        <sz val="10"/>
        <rFont val="Arial"/>
        <family val="2"/>
      </rPr>
      <t>MR14</t>
    </r>
    <r>
      <rPr>
        <sz val="10"/>
        <rFont val="Arial"/>
        <family val="2"/>
      </rPr>
      <t>: VREF(DQ) - FREQ2</t>
    </r>
  </si>
  <si>
    <t>- removed Note 3 from the "Register Configuration -&gt; Device configuration" section since it was reffering to a different SoC
- cells D244, D245, D251 and 252 converted to user input since the CA and DQ Vref values might require modifications in customer desings (should not typically be required -&gt; green color coding)
- names of some parameters extended with "FREQ1 and FREQ2" suffixes to avoid duplicates which prevented correct tokenization of the spreadsheet for extended use with DDR Tools. No functional impact on the DDR configuration.</t>
  </si>
  <si>
    <t>Desired ODT impedance in Ohm (Valid values for DDR4 = 240, 120, 80, 60, 48, 40, Valid values for DDR3L = high-impedance, 120, 60, 40, Valid values for LPDDR4 = 240, 120, 80, 60, 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</si>
</sst>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4">
    <font>
      <sz val="10"/>
      <name val="Arial"/>
    </font>
    <font>
      <sz val="11"/>
      <color theme="1"/>
      <name val="Calibri"/>
      <family val="2"/>
      <charset val="238"/>
      <scheme val="minor"/>
    </font>
    <font>
      <sz val="8"/>
      <name val="Arial"/>
      <family val="2"/>
    </font>
    <font>
      <b/>
      <sz val="10"/>
      <name val="Arial"/>
      <family val="2"/>
    </font>
    <font>
      <sz val="10"/>
      <name val="Arial"/>
      <family val="2"/>
    </font>
    <font>
      <b/>
      <sz val="12"/>
      <name val="Arial"/>
      <family val="2"/>
    </font>
    <font>
      <b/>
      <sz val="24"/>
      <name val="Arial"/>
      <family val="2"/>
    </font>
    <font>
      <b/>
      <sz val="28"/>
      <name val="Arial"/>
      <family val="2"/>
    </font>
    <font>
      <sz val="11"/>
      <color rgb="FF3F3F76"/>
      <name val="Calibri"/>
      <family val="2"/>
      <scheme val="minor"/>
    </font>
    <font>
      <b/>
      <sz val="10"/>
      <color theme="1"/>
      <name val="Arial"/>
      <family val="2"/>
    </font>
    <font>
      <sz val="10"/>
      <color theme="1"/>
      <name val="Arial"/>
      <family val="2"/>
    </font>
    <font>
      <b/>
      <sz val="11"/>
      <color rgb="FFFA7D00"/>
      <name val="Calibri"/>
      <family val="2"/>
      <scheme val="minor"/>
    </font>
    <font>
      <vertAlign val="superscript"/>
      <sz val="10"/>
      <name val="Arial"/>
      <family val="2"/>
    </font>
    <font>
      <sz val="11"/>
      <name val="Calibri"/>
      <family val="2"/>
    </font>
    <font>
      <b/>
      <sz val="18"/>
      <name val="Arial"/>
      <family val="2"/>
    </font>
    <font>
      <b/>
      <sz val="10"/>
      <color theme="9" tint="-0.249977111117893"/>
      <name val="Arial"/>
      <family val="2"/>
    </font>
    <font>
      <b/>
      <sz val="11"/>
      <name val="Calibri"/>
      <family val="2"/>
      <scheme val="minor"/>
    </font>
    <font>
      <b/>
      <i/>
      <sz val="10"/>
      <color theme="1"/>
      <name val="Arial"/>
      <family val="2"/>
    </font>
    <font>
      <sz val="11"/>
      <name val="Calibri"/>
      <family val="2"/>
      <scheme val="minor"/>
    </font>
    <font>
      <sz val="10"/>
      <name val="Courier New"/>
      <family val="3"/>
    </font>
    <font>
      <i/>
      <sz val="11"/>
      <name val="Calibri"/>
      <family val="2"/>
    </font>
    <font>
      <sz val="12"/>
      <color rgb="FFFF0000"/>
      <name val="Arial"/>
      <family val="2"/>
    </font>
    <font>
      <sz val="10"/>
      <color rgb="FFFF0000"/>
      <name val="Arial"/>
      <family val="2"/>
    </font>
    <font>
      <b/>
      <sz val="12"/>
      <color rgb="FFFF0000"/>
      <name val="Arial"/>
      <family val="2"/>
    </font>
    <font>
      <b/>
      <sz val="10"/>
      <color rgb="FFFF0000"/>
      <name val="Arial"/>
      <family val="2"/>
    </font>
    <font>
      <b/>
      <sz val="11"/>
      <color theme="1"/>
      <name val="Calibri"/>
      <family val="2"/>
      <scheme val="minor"/>
    </font>
    <font>
      <sz val="8"/>
      <color theme="1"/>
      <name val="Calibri"/>
      <family val="2"/>
      <scheme val="minor"/>
    </font>
    <font>
      <sz val="11"/>
      <color theme="1"/>
      <name val="Courier New"/>
      <family val="3"/>
    </font>
    <font>
      <b/>
      <sz val="10"/>
      <color theme="1"/>
      <name val="Calibri"/>
      <family val="2"/>
      <scheme val="minor"/>
    </font>
    <font>
      <sz val="8"/>
      <color theme="1"/>
      <name val="Arial"/>
      <family val="2"/>
    </font>
    <font>
      <sz val="11"/>
      <color rgb="FF006100"/>
      <name val="Calibri"/>
      <family val="2"/>
      <scheme val="minor"/>
    </font>
    <font>
      <b/>
      <sz val="11"/>
      <name val="Arial"/>
      <family val="2"/>
    </font>
    <font>
      <sz val="10"/>
      <name val="Calibri"/>
      <family val="2"/>
    </font>
    <font>
      <b/>
      <u/>
      <sz val="10"/>
      <name val="Arial"/>
      <family val="2"/>
    </font>
    <font>
      <sz val="9"/>
      <name val="宋体"/>
      <family val="3"/>
      <charset val="134"/>
    </font>
    <font>
      <sz val="10"/>
      <color theme="1"/>
      <name val="Segoe UI Symbol"/>
      <family val="2"/>
    </font>
    <font>
      <b/>
      <sz val="9"/>
      <name val="Arial"/>
      <family val="2"/>
    </font>
    <font>
      <b/>
      <sz val="11"/>
      <color rgb="FFFF0000"/>
      <name val="Arial"/>
      <family val="2"/>
    </font>
    <font>
      <sz val="9"/>
      <name val="Arial"/>
      <family val="2"/>
    </font>
    <font>
      <b/>
      <sz val="9"/>
      <color rgb="FFFA7D00"/>
      <name val="Calibri"/>
      <family val="2"/>
      <scheme val="minor"/>
    </font>
    <font>
      <sz val="10"/>
      <color rgb="FF0070C0"/>
      <name val="Arial"/>
      <family val="2"/>
    </font>
    <font>
      <b/>
      <sz val="10"/>
      <color rgb="FF0070C0"/>
      <name val="Arial"/>
      <family val="2"/>
    </font>
    <font>
      <b/>
      <u/>
      <sz val="9"/>
      <name val="Arial"/>
      <family val="2"/>
    </font>
    <font>
      <sz val="10"/>
      <color rgb="FF00B050"/>
      <name val="Arial"/>
      <family val="2"/>
    </font>
    <font>
      <sz val="10"/>
      <color rgb="FF000000"/>
      <name val="Helvetica"/>
    </font>
    <font>
      <sz val="7"/>
      <color rgb="FF000000"/>
      <name val="ZapfDingbats"/>
    </font>
    <font>
      <b/>
      <sz val="11"/>
      <color rgb="FFFFFF00"/>
      <name val="Arial"/>
      <family val="2"/>
    </font>
    <font>
      <sz val="11"/>
      <color rgb="FFFF0000"/>
      <name val="Arial"/>
      <family val="2"/>
    </font>
    <font>
      <b/>
      <sz val="14"/>
      <name val="Arial"/>
      <family val="2"/>
    </font>
    <font>
      <sz val="10"/>
      <color theme="8" tint="0.59999389629810485"/>
      <name val="Arial"/>
      <family val="2"/>
    </font>
    <font>
      <b/>
      <u/>
      <sz val="14"/>
      <name val="Arial"/>
      <family val="2"/>
    </font>
    <font>
      <b/>
      <sz val="14"/>
      <color rgb="FF00B050"/>
      <name val="Arial"/>
      <family val="2"/>
    </font>
    <font>
      <b/>
      <sz val="14"/>
      <color rgb="FF0070C0"/>
      <name val="Arial"/>
      <family val="2"/>
    </font>
    <font>
      <b/>
      <sz val="10"/>
      <name val="Calibri"/>
      <family val="2"/>
    </font>
  </fonts>
  <fills count="17">
    <fill>
      <patternFill patternType="none"/>
    </fill>
    <fill>
      <patternFill patternType="gray125"/>
    </fill>
    <fill>
      <patternFill patternType="solid">
        <fgColor indexed="9"/>
        <bgColor indexed="64"/>
      </patternFill>
    </fill>
    <fill>
      <patternFill patternType="solid">
        <fgColor rgb="FFFFCC99"/>
      </patternFill>
    </fill>
    <fill>
      <patternFill patternType="solid">
        <fgColor rgb="FFFFFF00"/>
        <bgColor indexed="64"/>
      </patternFill>
    </fill>
    <fill>
      <patternFill patternType="solid">
        <fgColor theme="9" tint="0.39997558519241921"/>
        <bgColor indexed="64"/>
      </patternFill>
    </fill>
    <fill>
      <patternFill patternType="solid">
        <fgColor theme="0"/>
        <bgColor indexed="64"/>
      </patternFill>
    </fill>
    <fill>
      <patternFill patternType="solid">
        <fgColor theme="6" tint="0.59999389629810485"/>
        <bgColor indexed="64"/>
      </patternFill>
    </fill>
    <fill>
      <patternFill patternType="solid">
        <fgColor rgb="FFF2F2F2"/>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C6EFCE"/>
      </patternFill>
    </fill>
    <fill>
      <patternFill patternType="solid">
        <fgColor theme="2"/>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theme="6" tint="0.59999389629810485"/>
        <bgColor indexed="65"/>
      </patternFill>
    </fill>
  </fills>
  <borders count="1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bottom/>
      <diagonal/>
    </border>
    <border>
      <left style="thin">
        <color rgb="FF7F7F7F"/>
      </left>
      <right style="thin">
        <color rgb="FF7F7F7F"/>
      </right>
      <top style="thin">
        <color rgb="FF7F7F7F"/>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7F7F7F"/>
      </left>
      <right style="medium">
        <color indexed="64"/>
      </right>
      <top style="thin">
        <color rgb="FF7F7F7F"/>
      </top>
      <bottom style="thin">
        <color rgb="FF7F7F7F"/>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thin">
        <color rgb="FF7F7F7F"/>
      </left>
      <right style="thin">
        <color rgb="FF7F7F7F"/>
      </right>
      <top style="medium">
        <color indexed="64"/>
      </top>
      <bottom style="thin">
        <color rgb="FF7F7F7F"/>
      </bottom>
      <diagonal/>
    </border>
    <border>
      <left/>
      <right style="thin">
        <color indexed="64"/>
      </right>
      <top style="medium">
        <color indexed="64"/>
      </top>
      <bottom style="medium">
        <color indexed="64"/>
      </bottom>
      <diagonal/>
    </border>
    <border>
      <left style="thin">
        <color rgb="FF7F7F7F"/>
      </left>
      <right style="thin">
        <color rgb="FF7F7F7F"/>
      </right>
      <top/>
      <bottom style="medium">
        <color indexed="64"/>
      </bottom>
      <diagonal/>
    </border>
    <border>
      <left style="thin">
        <color rgb="FF7F7F7F"/>
      </left>
      <right style="thin">
        <color rgb="FF7F7F7F"/>
      </right>
      <top style="medium">
        <color indexed="64"/>
      </top>
      <bottom/>
      <diagonal/>
    </border>
    <border>
      <left style="thin">
        <color indexed="64"/>
      </left>
      <right style="thin">
        <color indexed="64"/>
      </right>
      <top style="thin">
        <color rgb="FF7F7F7F"/>
      </top>
      <bottom style="thin">
        <color indexed="64"/>
      </bottom>
      <diagonal/>
    </border>
    <border>
      <left style="thin">
        <color rgb="FF7F7F7F"/>
      </left>
      <right style="thin">
        <color rgb="FF7F7F7F"/>
      </right>
      <top style="medium">
        <color indexed="64"/>
      </top>
      <bottom style="medium">
        <color indexed="64"/>
      </bottom>
      <diagonal/>
    </border>
    <border>
      <left style="thin">
        <color indexed="64"/>
      </left>
      <right/>
      <top/>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rgb="FF7F7F7F"/>
      </bottom>
      <diagonal/>
    </border>
    <border>
      <left/>
      <right style="medium">
        <color indexed="64"/>
      </right>
      <top style="thin">
        <color indexed="64"/>
      </top>
      <bottom style="thin">
        <color rgb="FF7F7F7F"/>
      </bottom>
      <diagonal/>
    </border>
    <border>
      <left style="thin">
        <color rgb="FF7F7F7F"/>
      </left>
      <right/>
      <top style="thin">
        <color rgb="FF7F7F7F"/>
      </top>
      <bottom style="thin">
        <color rgb="FF7F7F7F"/>
      </bottom>
      <diagonal/>
    </border>
    <border>
      <left style="medium">
        <color indexed="64"/>
      </left>
      <right style="thin">
        <color rgb="FF7F7F7F"/>
      </right>
      <top style="thin">
        <color rgb="FF7F7F7F"/>
      </top>
      <bottom style="thin">
        <color rgb="FF7F7F7F"/>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diagonal/>
    </border>
    <border>
      <left style="thin">
        <color rgb="FF7F7F7F"/>
      </left>
      <right style="thin">
        <color rgb="FF7F7F7F"/>
      </right>
      <top style="thin">
        <color rgb="FF7F7F7F"/>
      </top>
      <bottom/>
      <diagonal/>
    </border>
    <border>
      <left style="thin">
        <color rgb="FF7F7F7F"/>
      </left>
      <right style="medium">
        <color indexed="64"/>
      </right>
      <top style="thin">
        <color rgb="FF7F7F7F"/>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rgb="FF7F7F7F"/>
      </left>
      <right style="thin">
        <color rgb="FF7F7F7F"/>
      </right>
      <top/>
      <bottom style="thin">
        <color rgb="FF7F7F7F"/>
      </bottom>
      <diagonal/>
    </border>
    <border>
      <left style="thin">
        <color rgb="FF7F7F7F"/>
      </left>
      <right style="thin">
        <color rgb="FF7F7F7F"/>
      </right>
      <top/>
      <bottom/>
      <diagonal/>
    </border>
    <border>
      <left/>
      <right style="thin">
        <color auto="1"/>
      </right>
      <top/>
      <bottom/>
      <diagonal/>
    </border>
    <border>
      <left style="thin">
        <color indexed="64"/>
      </left>
      <right style="thin">
        <color indexed="64"/>
      </right>
      <top style="medium">
        <color indexed="64"/>
      </top>
      <bottom style="thin">
        <color rgb="FF7F7F7F"/>
      </bottom>
      <diagonal/>
    </border>
    <border>
      <left/>
      <right style="thin">
        <color rgb="FF7F7F7F"/>
      </right>
      <top style="thin">
        <color rgb="FF7F7F7F"/>
      </top>
      <bottom style="thin">
        <color rgb="FF7F7F7F"/>
      </bottom>
      <diagonal/>
    </border>
    <border>
      <left/>
      <right style="thin">
        <color rgb="FF7F7F7F"/>
      </right>
      <top style="thin">
        <color rgb="FF7F7F7F"/>
      </top>
      <bottom style="medium">
        <color indexed="64"/>
      </bottom>
      <diagonal/>
    </border>
    <border>
      <left style="thin">
        <color rgb="FF7F7F7F"/>
      </left>
      <right style="medium">
        <color indexed="64"/>
      </right>
      <top style="thin">
        <color rgb="FF7F7F7F"/>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B050"/>
      </left>
      <right style="thin">
        <color indexed="64"/>
      </right>
      <top style="medium">
        <color rgb="FF00B050"/>
      </top>
      <bottom/>
      <diagonal/>
    </border>
    <border>
      <left style="thin">
        <color indexed="64"/>
      </left>
      <right style="thin">
        <color indexed="64"/>
      </right>
      <top style="medium">
        <color rgb="FF00B050"/>
      </top>
      <bottom/>
      <diagonal/>
    </border>
    <border>
      <left style="thin">
        <color indexed="64"/>
      </left>
      <right style="medium">
        <color indexed="64"/>
      </right>
      <top style="medium">
        <color rgb="FF00B050"/>
      </top>
      <bottom/>
      <diagonal/>
    </border>
    <border>
      <left style="medium">
        <color indexed="64"/>
      </left>
      <right/>
      <top style="medium">
        <color rgb="FF00B050"/>
      </top>
      <bottom/>
      <diagonal/>
    </border>
    <border>
      <left/>
      <right style="medium">
        <color indexed="64"/>
      </right>
      <top style="medium">
        <color rgb="FF00B050"/>
      </top>
      <bottom/>
      <diagonal/>
    </border>
    <border>
      <left/>
      <right/>
      <top style="medium">
        <color rgb="FF00B050"/>
      </top>
      <bottom/>
      <diagonal/>
    </border>
    <border>
      <left/>
      <right style="medium">
        <color rgb="FF00B050"/>
      </right>
      <top style="medium">
        <color rgb="FF00B050"/>
      </top>
      <bottom/>
      <diagonal/>
    </border>
    <border>
      <left style="medium">
        <color rgb="FF00B050"/>
      </left>
      <right style="thin">
        <color indexed="64"/>
      </right>
      <top style="medium">
        <color indexed="64"/>
      </top>
      <bottom style="thin">
        <color indexed="64"/>
      </bottom>
      <diagonal/>
    </border>
    <border>
      <left/>
      <right style="medium">
        <color rgb="FF00B050"/>
      </right>
      <top/>
      <bottom/>
      <diagonal/>
    </border>
    <border>
      <left style="medium">
        <color rgb="FF00B050"/>
      </left>
      <right style="thin">
        <color indexed="64"/>
      </right>
      <top style="thin">
        <color indexed="64"/>
      </top>
      <bottom style="thin">
        <color indexed="64"/>
      </bottom>
      <diagonal/>
    </border>
    <border>
      <left style="medium">
        <color rgb="FF00B050"/>
      </left>
      <right style="thin">
        <color indexed="64"/>
      </right>
      <top/>
      <bottom style="thin">
        <color indexed="64"/>
      </bottom>
      <diagonal/>
    </border>
    <border>
      <left style="medium">
        <color rgb="FF00B050"/>
      </left>
      <right style="thin">
        <color indexed="64"/>
      </right>
      <top style="thin">
        <color indexed="64"/>
      </top>
      <bottom style="medium">
        <color indexed="64"/>
      </bottom>
      <diagonal/>
    </border>
    <border>
      <left style="medium">
        <color rgb="FF00B050"/>
      </left>
      <right/>
      <top style="medium">
        <color indexed="64"/>
      </top>
      <bottom style="medium">
        <color indexed="64"/>
      </bottom>
      <diagonal/>
    </border>
    <border>
      <left style="medium">
        <color rgb="FF00B050"/>
      </left>
      <right style="thin">
        <color indexed="64"/>
      </right>
      <top style="medium">
        <color indexed="64"/>
      </top>
      <bottom/>
      <diagonal/>
    </border>
    <border>
      <left style="medium">
        <color rgb="FF00B050"/>
      </left>
      <right style="thin">
        <color indexed="64"/>
      </right>
      <top style="thin">
        <color indexed="64"/>
      </top>
      <bottom style="medium">
        <color rgb="FF00B050"/>
      </bottom>
      <diagonal/>
    </border>
    <border>
      <left style="thin">
        <color indexed="64"/>
      </left>
      <right style="thin">
        <color indexed="64"/>
      </right>
      <top style="thin">
        <color indexed="64"/>
      </top>
      <bottom style="medium">
        <color rgb="FF00B050"/>
      </bottom>
      <diagonal/>
    </border>
    <border>
      <left style="thin">
        <color indexed="64"/>
      </left>
      <right style="medium">
        <color indexed="64"/>
      </right>
      <top style="thin">
        <color indexed="64"/>
      </top>
      <bottom style="medium">
        <color rgb="FF00B050"/>
      </bottom>
      <diagonal/>
    </border>
    <border>
      <left style="medium">
        <color indexed="64"/>
      </left>
      <right/>
      <top/>
      <bottom style="medium">
        <color rgb="FF00B050"/>
      </bottom>
      <diagonal/>
    </border>
    <border>
      <left/>
      <right style="medium">
        <color indexed="64"/>
      </right>
      <top/>
      <bottom style="medium">
        <color rgb="FF00B050"/>
      </bottom>
      <diagonal/>
    </border>
    <border>
      <left/>
      <right/>
      <top/>
      <bottom style="medium">
        <color rgb="FF00B050"/>
      </bottom>
      <diagonal/>
    </border>
    <border>
      <left/>
      <right style="medium">
        <color rgb="FF00B050"/>
      </right>
      <top/>
      <bottom style="medium">
        <color rgb="FF00B050"/>
      </bottom>
      <diagonal/>
    </border>
    <border>
      <left style="medium">
        <color rgb="FF0070C0"/>
      </left>
      <right style="thin">
        <color indexed="64"/>
      </right>
      <top style="medium">
        <color rgb="FF0070C0"/>
      </top>
      <bottom/>
      <diagonal/>
    </border>
    <border>
      <left style="thin">
        <color indexed="64"/>
      </left>
      <right style="thin">
        <color indexed="64"/>
      </right>
      <top style="medium">
        <color rgb="FF0070C0"/>
      </top>
      <bottom/>
      <diagonal/>
    </border>
    <border>
      <left style="thin">
        <color indexed="64"/>
      </left>
      <right style="medium">
        <color indexed="64"/>
      </right>
      <top style="medium">
        <color rgb="FF0070C0"/>
      </top>
      <bottom/>
      <diagonal/>
    </border>
    <border>
      <left style="medium">
        <color indexed="64"/>
      </left>
      <right/>
      <top style="medium">
        <color rgb="FF0070C0"/>
      </top>
      <bottom/>
      <diagonal/>
    </border>
    <border>
      <left/>
      <right style="medium">
        <color indexed="64"/>
      </right>
      <top style="medium">
        <color rgb="FF0070C0"/>
      </top>
      <bottom/>
      <diagonal/>
    </border>
    <border>
      <left/>
      <right/>
      <top style="medium">
        <color rgb="FF0070C0"/>
      </top>
      <bottom/>
      <diagonal/>
    </border>
    <border>
      <left/>
      <right style="medium">
        <color rgb="FF0070C0"/>
      </right>
      <top style="medium">
        <color rgb="FF0070C0"/>
      </top>
      <bottom/>
      <diagonal/>
    </border>
    <border>
      <left style="medium">
        <color rgb="FF0070C0"/>
      </left>
      <right style="thin">
        <color indexed="64"/>
      </right>
      <top style="medium">
        <color indexed="64"/>
      </top>
      <bottom style="thin">
        <color indexed="64"/>
      </bottom>
      <diagonal/>
    </border>
    <border>
      <left/>
      <right style="medium">
        <color rgb="FF0070C0"/>
      </right>
      <top/>
      <bottom/>
      <diagonal/>
    </border>
    <border>
      <left style="medium">
        <color rgb="FF0070C0"/>
      </left>
      <right style="thin">
        <color indexed="64"/>
      </right>
      <top style="thin">
        <color indexed="64"/>
      </top>
      <bottom style="thin">
        <color indexed="64"/>
      </bottom>
      <diagonal/>
    </border>
    <border>
      <left style="medium">
        <color rgb="FF0070C0"/>
      </left>
      <right style="thin">
        <color indexed="64"/>
      </right>
      <top/>
      <bottom style="thin">
        <color indexed="64"/>
      </bottom>
      <diagonal/>
    </border>
    <border>
      <left style="medium">
        <color rgb="FF0070C0"/>
      </left>
      <right style="thin">
        <color indexed="64"/>
      </right>
      <top style="thin">
        <color indexed="64"/>
      </top>
      <bottom style="medium">
        <color indexed="64"/>
      </bottom>
      <diagonal/>
    </border>
    <border>
      <left style="medium">
        <color rgb="FF0070C0"/>
      </left>
      <right/>
      <top style="medium">
        <color indexed="64"/>
      </top>
      <bottom style="medium">
        <color indexed="64"/>
      </bottom>
      <diagonal/>
    </border>
    <border>
      <left style="medium">
        <color rgb="FF0070C0"/>
      </left>
      <right style="thin">
        <color indexed="64"/>
      </right>
      <top style="medium">
        <color indexed="64"/>
      </top>
      <bottom/>
      <diagonal/>
    </border>
    <border>
      <left style="medium">
        <color rgb="FF0070C0"/>
      </left>
      <right style="thin">
        <color indexed="64"/>
      </right>
      <top style="thin">
        <color indexed="64"/>
      </top>
      <bottom style="medium">
        <color rgb="FF0070C0"/>
      </bottom>
      <diagonal/>
    </border>
    <border>
      <left style="thin">
        <color indexed="64"/>
      </left>
      <right style="thin">
        <color indexed="64"/>
      </right>
      <top style="thin">
        <color indexed="64"/>
      </top>
      <bottom style="medium">
        <color rgb="FF0070C0"/>
      </bottom>
      <diagonal/>
    </border>
    <border>
      <left style="thin">
        <color indexed="64"/>
      </left>
      <right style="medium">
        <color indexed="64"/>
      </right>
      <top style="thin">
        <color indexed="64"/>
      </top>
      <bottom style="medium">
        <color rgb="FF0070C0"/>
      </bottom>
      <diagonal/>
    </border>
    <border>
      <left style="medium">
        <color indexed="64"/>
      </left>
      <right/>
      <top/>
      <bottom style="medium">
        <color rgb="FF0070C0"/>
      </bottom>
      <diagonal/>
    </border>
    <border>
      <left/>
      <right style="medium">
        <color indexed="64"/>
      </right>
      <top/>
      <bottom style="medium">
        <color rgb="FF0070C0"/>
      </bottom>
      <diagonal/>
    </border>
    <border>
      <left/>
      <right/>
      <top/>
      <bottom style="medium">
        <color rgb="FF0070C0"/>
      </bottom>
      <diagonal/>
    </border>
    <border>
      <left/>
      <right style="medium">
        <color rgb="FF0070C0"/>
      </right>
      <top/>
      <bottom style="medium">
        <color rgb="FF0070C0"/>
      </bottom>
      <diagonal/>
    </border>
    <border>
      <left style="thin">
        <color rgb="FF7F7F7F"/>
      </left>
      <right style="thin">
        <color rgb="FF7F7F7F"/>
      </right>
      <top style="thin">
        <color indexed="64"/>
      </top>
      <bottom style="thin">
        <color indexed="64"/>
      </bottom>
      <diagonal/>
    </border>
    <border>
      <left style="thin">
        <color indexed="64"/>
      </left>
      <right style="thin">
        <color rgb="FF7F7F7F"/>
      </right>
      <top style="thin">
        <color rgb="FF7F7F7F"/>
      </top>
      <bottom style="medium">
        <color indexed="64"/>
      </bottom>
      <diagonal/>
    </border>
    <border>
      <left style="thin">
        <color indexed="64"/>
      </left>
      <right style="thin">
        <color rgb="FF7F7F7F"/>
      </right>
      <top style="medium">
        <color indexed="64"/>
      </top>
      <bottom style="thin">
        <color indexed="64"/>
      </bottom>
      <diagonal/>
    </border>
  </borders>
  <cellStyleXfs count="6">
    <xf numFmtId="0" fontId="0" fillId="0" borderId="0"/>
    <xf numFmtId="0" fontId="8" fillId="3" borderId="22" applyNumberFormat="0" applyAlignment="0" applyProtection="0"/>
    <xf numFmtId="0" fontId="11" fillId="8" borderId="22" applyNumberFormat="0" applyAlignment="0" applyProtection="0"/>
    <xf numFmtId="0" fontId="4" fillId="0" borderId="0"/>
    <xf numFmtId="0" fontId="30" fillId="12" borderId="0" applyNumberFormat="0" applyBorder="0" applyAlignment="0" applyProtection="0"/>
    <xf numFmtId="0" fontId="1" fillId="16" borderId="0" applyNumberFormat="0" applyBorder="0" applyAlignment="0" applyProtection="0"/>
  </cellStyleXfs>
  <cellXfs count="914">
    <xf numFmtId="0" fontId="0" fillId="0" borderId="0" xfId="0"/>
    <xf numFmtId="0" fontId="0" fillId="0" borderId="0" xfId="0" applyAlignment="1">
      <alignment horizontal="center"/>
    </xf>
    <xf numFmtId="0" fontId="3" fillId="0" borderId="3" xfId="0" applyFont="1" applyBorder="1" applyAlignment="1">
      <alignment horizontal="center" wrapText="1"/>
    </xf>
    <xf numFmtId="0" fontId="4" fillId="0" borderId="0" xfId="0" applyFont="1"/>
    <xf numFmtId="0" fontId="3" fillId="0" borderId="4" xfId="0" applyFont="1" applyBorder="1" applyAlignment="1">
      <alignment horizontal="center"/>
    </xf>
    <xf numFmtId="0" fontId="3" fillId="0" borderId="3" xfId="0" applyFont="1" applyFill="1" applyBorder="1" applyAlignment="1">
      <alignment horizontal="center" wrapText="1"/>
    </xf>
    <xf numFmtId="0" fontId="0" fillId="0" borderId="0" xfId="0" applyFill="1"/>
    <xf numFmtId="0" fontId="0" fillId="0" borderId="0" xfId="0" quotePrefix="1"/>
    <xf numFmtId="0" fontId="0" fillId="6" borderId="0" xfId="0" applyFill="1"/>
    <xf numFmtId="0" fontId="6" fillId="2" borderId="0" xfId="0" applyFont="1" applyFill="1"/>
    <xf numFmtId="0" fontId="6" fillId="0" borderId="0" xfId="0" applyFont="1"/>
    <xf numFmtId="0" fontId="6" fillId="6" borderId="0" xfId="0" applyFont="1" applyFill="1"/>
    <xf numFmtId="0" fontId="0" fillId="6" borderId="0" xfId="0" applyFill="1" applyBorder="1"/>
    <xf numFmtId="0" fontId="0" fillId="6" borderId="0" xfId="0" applyFill="1" applyAlignment="1">
      <alignment horizontal="center"/>
    </xf>
    <xf numFmtId="0" fontId="9" fillId="0" borderId="3" xfId="0" applyFont="1" applyBorder="1" applyAlignment="1">
      <alignment horizontal="center" wrapText="1"/>
    </xf>
    <xf numFmtId="0" fontId="9" fillId="0" borderId="4" xfId="0" applyFont="1" applyBorder="1" applyAlignment="1">
      <alignment horizontal="center"/>
    </xf>
    <xf numFmtId="0" fontId="9" fillId="0" borderId="3" xfId="0" applyFont="1" applyFill="1" applyBorder="1" applyAlignment="1">
      <alignment horizontal="center" wrapText="1"/>
    </xf>
    <xf numFmtId="0" fontId="10" fillId="0" borderId="1" xfId="0" applyFont="1" applyBorder="1" applyAlignment="1">
      <alignment wrapText="1"/>
    </xf>
    <xf numFmtId="0" fontId="10" fillId="6" borderId="0" xfId="0" applyFont="1" applyFill="1"/>
    <xf numFmtId="0" fontId="5" fillId="6" borderId="5" xfId="0" applyFont="1" applyFill="1" applyBorder="1"/>
    <xf numFmtId="0" fontId="0" fillId="6" borderId="6" xfId="0" applyFill="1" applyBorder="1"/>
    <xf numFmtId="0" fontId="0" fillId="6" borderId="7" xfId="0" applyFill="1" applyBorder="1" applyAlignment="1">
      <alignment horizontal="center"/>
    </xf>
    <xf numFmtId="0" fontId="4" fillId="0" borderId="8" xfId="0" applyFont="1" applyBorder="1"/>
    <xf numFmtId="0" fontId="4" fillId="0" borderId="8" xfId="0" applyFont="1" applyFill="1" applyBorder="1"/>
    <xf numFmtId="0" fontId="4" fillId="0" borderId="9" xfId="0" applyFont="1" applyFill="1" applyBorder="1"/>
    <xf numFmtId="0" fontId="4" fillId="6" borderId="0" xfId="0" applyFont="1" applyFill="1"/>
    <xf numFmtId="0" fontId="0" fillId="6" borderId="0" xfId="0" quotePrefix="1" applyFill="1"/>
    <xf numFmtId="0" fontId="0" fillId="6" borderId="7" xfId="0" applyFill="1" applyBorder="1"/>
    <xf numFmtId="0" fontId="0" fillId="6" borderId="0" xfId="0" applyFill="1" applyAlignment="1">
      <alignment wrapText="1"/>
    </xf>
    <xf numFmtId="0" fontId="0" fillId="6" borderId="0" xfId="0" applyFill="1" applyBorder="1" applyAlignment="1">
      <alignment horizontal="center"/>
    </xf>
    <xf numFmtId="0" fontId="0" fillId="0" borderId="0" xfId="0" quotePrefix="1" applyAlignment="1">
      <alignment horizontal="left"/>
    </xf>
    <xf numFmtId="0" fontId="4" fillId="0" borderId="0" xfId="0" quotePrefix="1" applyFont="1"/>
    <xf numFmtId="0" fontId="10" fillId="0" borderId="10" xfId="0" applyFont="1" applyBorder="1" applyAlignment="1">
      <alignment wrapText="1"/>
    </xf>
    <xf numFmtId="0" fontId="10" fillId="0" borderId="24" xfId="0" applyFont="1" applyBorder="1" applyAlignment="1">
      <alignment wrapText="1"/>
    </xf>
    <xf numFmtId="0" fontId="10" fillId="0" borderId="28" xfId="0" applyFont="1" applyBorder="1" applyAlignment="1">
      <alignment wrapText="1"/>
    </xf>
    <xf numFmtId="0" fontId="9" fillId="0" borderId="4" xfId="0" applyFont="1" applyFill="1" applyBorder="1" applyAlignment="1">
      <alignment horizontal="center" wrapText="1"/>
    </xf>
    <xf numFmtId="0" fontId="10" fillId="0" borderId="0" xfId="0" applyFont="1" applyBorder="1" applyAlignment="1">
      <alignment horizontal="center" vertical="center"/>
    </xf>
    <xf numFmtId="0" fontId="3" fillId="0" borderId="0" xfId="0" applyFont="1" applyBorder="1" applyAlignment="1">
      <alignment horizontal="center" wrapText="1"/>
    </xf>
    <xf numFmtId="0" fontId="3" fillId="0" borderId="0" xfId="0" applyFont="1" applyBorder="1" applyAlignment="1">
      <alignment horizontal="center"/>
    </xf>
    <xf numFmtId="0" fontId="3" fillId="0" borderId="0" xfId="0" applyFont="1" applyFill="1" applyBorder="1" applyAlignment="1">
      <alignment horizontal="center" wrapText="1"/>
    </xf>
    <xf numFmtId="0" fontId="4" fillId="0" borderId="8" xfId="0" applyFont="1" applyBorder="1" applyAlignment="1">
      <alignment wrapText="1"/>
    </xf>
    <xf numFmtId="0" fontId="0" fillId="0" borderId="0" xfId="0" applyFill="1" applyAlignment="1">
      <alignment horizontal="center" vertical="center" wrapText="1"/>
    </xf>
    <xf numFmtId="0" fontId="0" fillId="0" borderId="0" xfId="0" applyFill="1" applyBorder="1" applyAlignment="1">
      <alignment horizontal="center" vertical="center" wrapText="1"/>
    </xf>
    <xf numFmtId="0" fontId="4" fillId="0" borderId="0" xfId="0" applyFont="1" applyFill="1" applyBorder="1" applyAlignment="1">
      <alignment horizontal="left" vertical="center" wrapText="1"/>
    </xf>
    <xf numFmtId="0" fontId="4" fillId="0" borderId="0" xfId="0" applyFont="1" applyFill="1" applyBorder="1" applyAlignment="1">
      <alignment horizontal="center" vertical="center" wrapText="1"/>
    </xf>
    <xf numFmtId="0" fontId="0" fillId="2" borderId="0" xfId="0" applyFill="1" applyAlignment="1">
      <alignment horizontal="center"/>
    </xf>
    <xf numFmtId="0" fontId="3" fillId="0" borderId="4" xfId="0" applyFont="1" applyFill="1" applyBorder="1" applyAlignment="1">
      <alignment horizontal="center" wrapText="1"/>
    </xf>
    <xf numFmtId="0" fontId="0" fillId="0" borderId="0" xfId="0" applyBorder="1" applyAlignment="1"/>
    <xf numFmtId="0" fontId="4" fillId="6" borderId="8" xfId="0" applyFont="1" applyFill="1" applyBorder="1" applyAlignment="1">
      <alignment horizontal="left" vertical="center" wrapText="1"/>
    </xf>
    <xf numFmtId="0" fontId="11" fillId="8" borderId="39" xfId="2" applyBorder="1" applyAlignment="1">
      <alignment horizontal="center" wrapText="1"/>
    </xf>
    <xf numFmtId="0" fontId="11" fillId="6" borderId="39" xfId="2" applyFill="1" applyBorder="1" applyAlignment="1">
      <alignment horizontal="center" wrapText="1"/>
    </xf>
    <xf numFmtId="0" fontId="13" fillId="6" borderId="0" xfId="0" applyFont="1" applyFill="1" applyAlignment="1">
      <alignment wrapText="1"/>
    </xf>
    <xf numFmtId="0" fontId="10" fillId="0" borderId="24" xfId="0" applyFont="1" applyBorder="1" applyAlignment="1">
      <alignment horizontal="center" vertical="center"/>
    </xf>
    <xf numFmtId="0" fontId="10" fillId="0" borderId="1" xfId="0" applyFont="1" applyBorder="1" applyAlignment="1">
      <alignment horizontal="center" vertical="center"/>
    </xf>
    <xf numFmtId="0" fontId="10" fillId="0" borderId="28" xfId="0" applyFont="1" applyBorder="1" applyAlignment="1">
      <alignment horizontal="center" vertical="center"/>
    </xf>
    <xf numFmtId="0" fontId="10" fillId="0" borderId="0" xfId="0" applyNumberFormat="1" applyFont="1" applyBorder="1" applyAlignment="1">
      <alignment horizontal="center" vertical="center"/>
    </xf>
    <xf numFmtId="0" fontId="15" fillId="10" borderId="24" xfId="0" applyFont="1" applyFill="1" applyBorder="1" applyAlignment="1">
      <alignment horizontal="center" vertical="center" wrapText="1"/>
    </xf>
    <xf numFmtId="0" fontId="10" fillId="0" borderId="24" xfId="1" applyFont="1" applyFill="1" applyBorder="1" applyAlignment="1">
      <alignment horizontal="center" vertical="center" wrapText="1"/>
    </xf>
    <xf numFmtId="0" fontId="10" fillId="0" borderId="33"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1" applyFont="1" applyFill="1" applyBorder="1" applyAlignment="1">
      <alignment horizontal="center" vertical="center" wrapText="1"/>
    </xf>
    <xf numFmtId="0" fontId="10" fillId="0" borderId="28" xfId="0" applyFont="1" applyFill="1" applyBorder="1" applyAlignment="1">
      <alignment horizontal="center" vertical="center" wrapText="1"/>
    </xf>
    <xf numFmtId="0" fontId="10" fillId="0" borderId="28" xfId="1" applyFont="1" applyFill="1" applyBorder="1" applyAlignment="1">
      <alignment horizontal="center" vertical="center" wrapText="1"/>
    </xf>
    <xf numFmtId="0" fontId="10" fillId="0" borderId="24" xfId="0" applyFont="1" applyFill="1" applyBorder="1" applyAlignment="1">
      <alignment horizontal="center" vertical="center" wrapText="1"/>
    </xf>
    <xf numFmtId="0" fontId="4" fillId="6" borderId="0" xfId="0" quotePrefix="1" applyFont="1" applyFill="1"/>
    <xf numFmtId="0" fontId="4" fillId="0" borderId="0" xfId="0" applyFont="1" applyFill="1" applyBorder="1"/>
    <xf numFmtId="0" fontId="10" fillId="0" borderId="2" xfId="0" applyFont="1" applyBorder="1" applyAlignment="1">
      <alignment horizontal="center" vertical="center"/>
    </xf>
    <xf numFmtId="0" fontId="10" fillId="0" borderId="0" xfId="0" applyFont="1" applyBorder="1" applyAlignment="1">
      <alignment horizontal="center" wrapText="1"/>
    </xf>
    <xf numFmtId="0" fontId="10" fillId="0" borderId="0" xfId="0" applyFont="1" applyFill="1" applyBorder="1" applyAlignment="1">
      <alignment horizontal="center" wrapText="1"/>
    </xf>
    <xf numFmtId="0" fontId="10" fillId="0" borderId="0" xfId="1" applyFont="1" applyFill="1" applyBorder="1" applyAlignment="1">
      <alignment horizontal="center" wrapText="1"/>
    </xf>
    <xf numFmtId="0" fontId="10" fillId="0" borderId="0" xfId="0" applyFont="1" applyBorder="1" applyAlignment="1">
      <alignment horizontal="center"/>
    </xf>
    <xf numFmtId="0" fontId="10" fillId="0" borderId="0" xfId="0" applyFont="1" applyBorder="1" applyAlignment="1">
      <alignment wrapText="1"/>
    </xf>
    <xf numFmtId="0" fontId="10" fillId="0" borderId="27" xfId="0" applyFont="1" applyBorder="1" applyAlignment="1">
      <alignment horizontal="center" vertical="center" wrapText="1"/>
    </xf>
    <xf numFmtId="0" fontId="10" fillId="0" borderId="32"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0" xfId="0" applyFont="1" applyFill="1" applyBorder="1" applyAlignment="1">
      <alignment horizontal="center" vertical="center" wrapText="1"/>
    </xf>
    <xf numFmtId="0" fontId="10" fillId="0" borderId="0" xfId="1" applyFont="1" applyFill="1" applyBorder="1" applyAlignment="1">
      <alignment horizontal="center" vertical="center" wrapText="1"/>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0" xfId="0" applyBorder="1" applyAlignment="1">
      <alignment horizontal="center" vertical="center"/>
    </xf>
    <xf numFmtId="0" fontId="10" fillId="6" borderId="0" xfId="0" applyFont="1" applyFill="1" applyAlignment="1">
      <alignment horizontal="center" vertical="center"/>
    </xf>
    <xf numFmtId="0" fontId="15" fillId="10" borderId="1" xfId="1" applyFont="1" applyFill="1" applyBorder="1" applyAlignment="1">
      <alignment horizontal="center" vertical="center" wrapText="1"/>
    </xf>
    <xf numFmtId="0" fontId="10" fillId="0" borderId="44" xfId="0" applyFont="1" applyBorder="1" applyAlignment="1">
      <alignment horizontal="center" vertical="center" wrapText="1"/>
    </xf>
    <xf numFmtId="0" fontId="4" fillId="0" borderId="9" xfId="0" applyFont="1" applyBorder="1" applyAlignment="1">
      <alignment horizontal="left" vertical="center" wrapText="1"/>
    </xf>
    <xf numFmtId="0" fontId="4" fillId="0" borderId="24" xfId="0" applyFont="1" applyBorder="1" applyAlignment="1">
      <alignment horizontal="center" vertical="center" wrapText="1"/>
    </xf>
    <xf numFmtId="0" fontId="4" fillId="0" borderId="2"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4" xfId="0" applyFont="1" applyBorder="1" applyAlignment="1">
      <alignment horizontal="left" vertical="top" wrapText="1"/>
    </xf>
    <xf numFmtId="0" fontId="4" fillId="0" borderId="37" xfId="0" applyFont="1" applyBorder="1" applyAlignment="1">
      <alignment horizontal="center" vertical="center"/>
    </xf>
    <xf numFmtId="0" fontId="10" fillId="0" borderId="13" xfId="0" applyFont="1" applyBorder="1" applyAlignment="1">
      <alignment horizontal="center" vertical="center"/>
    </xf>
    <xf numFmtId="0" fontId="11" fillId="8" borderId="45" xfId="2" applyBorder="1" applyAlignment="1">
      <alignment horizontal="center" vertical="center" wrapText="1"/>
    </xf>
    <xf numFmtId="0" fontId="10" fillId="0" borderId="24" xfId="0" quotePrefix="1" applyFont="1" applyFill="1" applyBorder="1" applyAlignment="1">
      <alignment horizontal="center" vertical="center" wrapText="1"/>
    </xf>
    <xf numFmtId="0" fontId="10" fillId="0" borderId="1" xfId="0" quotePrefix="1" applyFont="1" applyFill="1" applyBorder="1" applyAlignment="1">
      <alignment horizontal="center" vertical="center" wrapText="1"/>
    </xf>
    <xf numFmtId="0" fontId="15" fillId="0" borderId="0" xfId="0" applyFont="1" applyFill="1" applyBorder="1" applyAlignment="1">
      <alignment horizontal="center" vertical="center" wrapText="1"/>
    </xf>
    <xf numFmtId="0" fontId="9" fillId="0" borderId="46" xfId="1" applyFont="1" applyFill="1" applyBorder="1" applyAlignment="1">
      <alignment horizontal="center" wrapText="1"/>
    </xf>
    <xf numFmtId="0" fontId="10" fillId="0" borderId="28" xfId="0" quotePrefix="1" applyFont="1" applyFill="1" applyBorder="1" applyAlignment="1">
      <alignment horizontal="center" vertical="center" wrapText="1"/>
    </xf>
    <xf numFmtId="0" fontId="17" fillId="6" borderId="0" xfId="0" applyFont="1" applyFill="1"/>
    <xf numFmtId="0" fontId="4" fillId="0" borderId="9" xfId="0" applyFont="1" applyBorder="1" applyAlignment="1">
      <alignment horizontal="center" vertical="center" wrapText="1"/>
    </xf>
    <xf numFmtId="0" fontId="4" fillId="0" borderId="1" xfId="3" quotePrefix="1" applyBorder="1" applyAlignment="1">
      <alignment horizontal="center" vertical="center"/>
    </xf>
    <xf numFmtId="0" fontId="4" fillId="0" borderId="24" xfId="3" quotePrefix="1" applyBorder="1" applyAlignment="1">
      <alignment horizontal="center" vertical="center"/>
    </xf>
    <xf numFmtId="0" fontId="4" fillId="0" borderId="28" xfId="3" quotePrefix="1" applyBorder="1" applyAlignment="1">
      <alignment horizontal="center" vertical="center"/>
    </xf>
    <xf numFmtId="0" fontId="10" fillId="0" borderId="0" xfId="0" quotePrefix="1" applyFont="1" applyFill="1" applyBorder="1" applyAlignment="1">
      <alignment horizontal="center" vertical="center" wrapText="1"/>
    </xf>
    <xf numFmtId="0" fontId="4" fillId="0" borderId="1" xfId="0" quotePrefix="1" applyFont="1" applyBorder="1" applyAlignment="1">
      <alignment horizontal="center" vertical="center" wrapText="1"/>
    </xf>
    <xf numFmtId="0" fontId="4" fillId="7" borderId="1" xfId="3" applyFont="1" applyFill="1" applyBorder="1" applyAlignment="1">
      <alignment horizontal="center" vertical="center"/>
    </xf>
    <xf numFmtId="0" fontId="4" fillId="0" borderId="28" xfId="0" quotePrefix="1" applyFont="1" applyBorder="1" applyAlignment="1">
      <alignment horizontal="center" vertical="center" wrapText="1"/>
    </xf>
    <xf numFmtId="0" fontId="4" fillId="0" borderId="28" xfId="0" applyFont="1" applyBorder="1" applyAlignment="1">
      <alignment horizontal="center" vertical="center" wrapText="1"/>
    </xf>
    <xf numFmtId="0" fontId="4" fillId="0" borderId="8" xfId="0" applyFont="1" applyBorder="1" applyAlignment="1">
      <alignment horizontal="left" vertical="center" wrapText="1"/>
    </xf>
    <xf numFmtId="0" fontId="3" fillId="0" borderId="26" xfId="3" applyFont="1" applyBorder="1" applyAlignment="1">
      <alignment horizontal="left" wrapText="1"/>
    </xf>
    <xf numFmtId="0" fontId="4" fillId="0" borderId="1" xfId="3" applyFont="1" applyBorder="1" applyAlignment="1">
      <alignment horizontal="center" vertical="center" wrapText="1"/>
    </xf>
    <xf numFmtId="0" fontId="0" fillId="0" borderId="0" xfId="0" applyFill="1" applyBorder="1"/>
    <xf numFmtId="0" fontId="3" fillId="0" borderId="0" xfId="0" applyFont="1" applyFill="1" applyBorder="1" applyAlignment="1">
      <alignment horizontal="center"/>
    </xf>
    <xf numFmtId="0" fontId="10" fillId="0" borderId="0" xfId="0" applyFont="1" applyFill="1" applyBorder="1" applyAlignment="1">
      <alignment horizontal="center" vertical="center"/>
    </xf>
    <xf numFmtId="0" fontId="11" fillId="8" borderId="1" xfId="2" applyBorder="1" applyAlignment="1">
      <alignment horizontal="center" vertical="center" wrapText="1"/>
    </xf>
    <xf numFmtId="0" fontId="11" fillId="8" borderId="47" xfId="2" applyBorder="1" applyAlignment="1">
      <alignment horizontal="center" vertical="center" wrapText="1"/>
    </xf>
    <xf numFmtId="0" fontId="11" fillId="8" borderId="48" xfId="2" applyBorder="1" applyAlignment="1">
      <alignment horizontal="center" vertical="center" wrapText="1"/>
    </xf>
    <xf numFmtId="0" fontId="11" fillId="8" borderId="24" xfId="2" applyBorder="1" applyAlignment="1">
      <alignment horizontal="center" vertical="center" wrapText="1"/>
    </xf>
    <xf numFmtId="0" fontId="11" fillId="8" borderId="49" xfId="2" applyBorder="1" applyAlignment="1">
      <alignment horizontal="center" vertical="center" wrapText="1"/>
    </xf>
    <xf numFmtId="0" fontId="11" fillId="0" borderId="0" xfId="2" applyFill="1" applyBorder="1" applyAlignment="1">
      <alignment horizontal="center" vertical="center" wrapText="1"/>
    </xf>
    <xf numFmtId="0" fontId="11" fillId="8" borderId="28" xfId="2" applyBorder="1" applyAlignment="1">
      <alignment horizontal="center" vertical="center" wrapText="1"/>
    </xf>
    <xf numFmtId="0" fontId="11" fillId="0" borderId="0" xfId="2" applyFill="1" applyBorder="1" applyAlignment="1">
      <alignment horizontal="center" vertical="center"/>
    </xf>
    <xf numFmtId="0" fontId="19" fillId="0" borderId="0" xfId="0" applyFont="1"/>
    <xf numFmtId="0" fontId="4" fillId="6" borderId="1" xfId="0" applyFont="1" applyFill="1" applyBorder="1" applyAlignment="1">
      <alignment horizontal="center" vertical="top" wrapText="1"/>
    </xf>
    <xf numFmtId="0" fontId="4" fillId="6" borderId="0" xfId="0" applyFont="1" applyFill="1" applyBorder="1" applyAlignment="1">
      <alignment horizontal="left" vertical="top" wrapText="1"/>
    </xf>
    <xf numFmtId="0" fontId="11" fillId="8" borderId="22" xfId="2" applyAlignment="1">
      <alignment horizontal="center" vertical="center" wrapText="1"/>
    </xf>
    <xf numFmtId="0" fontId="10" fillId="0" borderId="1" xfId="1" applyFont="1" applyFill="1" applyBorder="1" applyAlignment="1">
      <alignment horizontal="center" vertical="center" wrapText="1"/>
    </xf>
    <xf numFmtId="0" fontId="10" fillId="0" borderId="33" xfId="0" applyFont="1" applyFill="1" applyBorder="1" applyAlignment="1">
      <alignment horizontal="center" vertical="center" wrapText="1"/>
    </xf>
    <xf numFmtId="0" fontId="10" fillId="0" borderId="8" xfId="0" applyFont="1" applyFill="1" applyBorder="1" applyAlignment="1">
      <alignment horizontal="center" vertical="center" wrapText="1"/>
    </xf>
    <xf numFmtId="0" fontId="11" fillId="8" borderId="22" xfId="2" applyBorder="1" applyAlignment="1">
      <alignment horizontal="center" vertical="center"/>
    </xf>
    <xf numFmtId="0" fontId="11" fillId="8" borderId="35" xfId="2" applyBorder="1" applyAlignment="1">
      <alignment horizontal="center" vertical="center"/>
    </xf>
    <xf numFmtId="0" fontId="3" fillId="0" borderId="0" xfId="0" applyFont="1"/>
    <xf numFmtId="0" fontId="10" fillId="0" borderId="1" xfId="0" applyFont="1" applyBorder="1" applyAlignment="1">
      <alignment vertical="center" wrapText="1"/>
    </xf>
    <xf numFmtId="0" fontId="10" fillId="0" borderId="24" xfId="0" applyFont="1" applyBorder="1" applyAlignment="1">
      <alignment vertical="center" wrapText="1"/>
    </xf>
    <xf numFmtId="0" fontId="4" fillId="0" borderId="28" xfId="0" applyFont="1" applyBorder="1" applyAlignment="1">
      <alignment vertical="center" wrapText="1"/>
    </xf>
    <xf numFmtId="0" fontId="10" fillId="0" borderId="10" xfId="0" applyFont="1" applyBorder="1" applyAlignment="1">
      <alignment vertical="center" wrapText="1"/>
    </xf>
    <xf numFmtId="0" fontId="10" fillId="0" borderId="28" xfId="0" applyFont="1" applyBorder="1" applyAlignment="1">
      <alignment vertical="center" wrapText="1"/>
    </xf>
    <xf numFmtId="0" fontId="10" fillId="0" borderId="24" xfId="0" applyFont="1" applyBorder="1" applyAlignment="1">
      <alignment horizontal="left" vertical="center" wrapText="1"/>
    </xf>
    <xf numFmtId="0" fontId="10" fillId="0" borderId="28" xfId="0" applyFont="1" applyBorder="1" applyAlignment="1">
      <alignment horizontal="left" vertical="center" wrapText="1"/>
    </xf>
    <xf numFmtId="0" fontId="10" fillId="0" borderId="0" xfId="0" applyFont="1" applyBorder="1" applyAlignment="1">
      <alignment vertical="center" wrapText="1"/>
    </xf>
    <xf numFmtId="0" fontId="10" fillId="0" borderId="13" xfId="0" applyFont="1" applyBorder="1" applyAlignment="1">
      <alignment vertical="center" wrapText="1"/>
    </xf>
    <xf numFmtId="0" fontId="14" fillId="6" borderId="0" xfId="0" applyFont="1" applyFill="1"/>
    <xf numFmtId="0" fontId="14" fillId="0" borderId="0" xfId="0" applyFont="1"/>
    <xf numFmtId="0" fontId="14" fillId="2" borderId="0" xfId="0" applyFont="1" applyFill="1"/>
    <xf numFmtId="0" fontId="11" fillId="8" borderId="35" xfId="2" applyBorder="1" applyAlignment="1">
      <alignment horizontal="center" vertical="center" wrapText="1"/>
    </xf>
    <xf numFmtId="0" fontId="10" fillId="0" borderId="1" xfId="0" applyFont="1" applyBorder="1" applyAlignment="1">
      <alignment horizontal="center" vertical="center"/>
    </xf>
    <xf numFmtId="0" fontId="10" fillId="0" borderId="28" xfId="0" applyFont="1" applyBorder="1" applyAlignment="1">
      <alignment horizontal="center" vertical="center"/>
    </xf>
    <xf numFmtId="0" fontId="10" fillId="0" borderId="24" xfId="0" applyFont="1" applyBorder="1" applyAlignment="1">
      <alignment horizontal="center" vertical="center"/>
    </xf>
    <xf numFmtId="0" fontId="10" fillId="0" borderId="9" xfId="0" applyFont="1" applyFill="1" applyBorder="1" applyAlignment="1">
      <alignment horizontal="center" vertical="center" wrapText="1"/>
    </xf>
    <xf numFmtId="0" fontId="21" fillId="6" borderId="0" xfId="0" applyFont="1" applyFill="1"/>
    <xf numFmtId="0" fontId="18" fillId="6" borderId="0" xfId="0" applyFont="1" applyFill="1" applyAlignment="1">
      <alignment wrapText="1"/>
    </xf>
    <xf numFmtId="0" fontId="10" fillId="0" borderId="24" xfId="0" applyFont="1" applyFill="1" applyBorder="1" applyAlignment="1">
      <alignment horizontal="center" vertical="center"/>
    </xf>
    <xf numFmtId="0" fontId="10" fillId="0" borderId="24" xfId="0" applyFont="1" applyFill="1" applyBorder="1" applyAlignment="1">
      <alignment wrapText="1"/>
    </xf>
    <xf numFmtId="0" fontId="10" fillId="0" borderId="1" xfId="0" applyFont="1" applyFill="1" applyBorder="1" applyAlignment="1">
      <alignment horizontal="center" vertical="center"/>
    </xf>
    <xf numFmtId="0" fontId="10" fillId="0" borderId="28" xfId="0" applyFont="1" applyFill="1" applyBorder="1" applyAlignment="1">
      <alignment horizontal="center" vertical="center"/>
    </xf>
    <xf numFmtId="0" fontId="10" fillId="0" borderId="28" xfId="0" applyFont="1" applyFill="1" applyBorder="1" applyAlignment="1">
      <alignment wrapText="1"/>
    </xf>
    <xf numFmtId="0" fontId="11" fillId="6" borderId="0" xfId="2" applyFill="1" applyBorder="1" applyAlignment="1">
      <alignment horizontal="center" vertical="center" wrapText="1"/>
    </xf>
    <xf numFmtId="0" fontId="10" fillId="0" borderId="28" xfId="0" applyFont="1" applyFill="1" applyBorder="1" applyAlignment="1">
      <alignment vertical="center" wrapText="1"/>
    </xf>
    <xf numFmtId="0" fontId="11" fillId="10" borderId="47" xfId="2" applyFill="1" applyBorder="1" applyAlignment="1">
      <alignment horizontal="center" vertical="center" wrapText="1"/>
    </xf>
    <xf numFmtId="0" fontId="11" fillId="8" borderId="1" xfId="2" applyBorder="1" applyAlignment="1">
      <alignment horizontal="center" vertical="center" wrapText="1"/>
    </xf>
    <xf numFmtId="0" fontId="10" fillId="0" borderId="24" xfId="0" applyFont="1" applyBorder="1" applyAlignment="1">
      <alignment horizontal="center" vertical="center"/>
    </xf>
    <xf numFmtId="0" fontId="10" fillId="0" borderId="1" xfId="0" applyFont="1" applyBorder="1" applyAlignment="1">
      <alignment horizontal="center" vertical="center"/>
    </xf>
    <xf numFmtId="0" fontId="10" fillId="0" borderId="28" xfId="0" applyFont="1" applyBorder="1" applyAlignment="1">
      <alignment horizontal="center" vertical="center"/>
    </xf>
    <xf numFmtId="0" fontId="11" fillId="8" borderId="22" xfId="2" applyBorder="1" applyAlignment="1">
      <alignment horizontal="center" vertical="center" wrapText="1"/>
    </xf>
    <xf numFmtId="0" fontId="11" fillId="8" borderId="35" xfId="2" applyBorder="1" applyAlignment="1">
      <alignment horizontal="center" vertical="center" wrapText="1"/>
    </xf>
    <xf numFmtId="0" fontId="7" fillId="2" borderId="0" xfId="0" applyFont="1" applyFill="1" applyAlignment="1"/>
    <xf numFmtId="0" fontId="4" fillId="0" borderId="33" xfId="0" applyFont="1" applyBorder="1" applyAlignment="1">
      <alignment horizontal="center" vertical="center" wrapText="1"/>
    </xf>
    <xf numFmtId="0" fontId="4" fillId="0" borderId="24" xfId="0" quotePrefix="1" applyFont="1" applyBorder="1" applyAlignment="1">
      <alignment horizontal="center" vertical="center" wrapText="1"/>
    </xf>
    <xf numFmtId="0" fontId="4" fillId="0" borderId="27" xfId="0" applyFont="1" applyBorder="1" applyAlignment="1">
      <alignment horizontal="center" vertical="center" wrapText="1"/>
    </xf>
    <xf numFmtId="0" fontId="4" fillId="0" borderId="2" xfId="0" quotePrefix="1" applyFont="1" applyBorder="1" applyAlignment="1">
      <alignment horizontal="center" vertical="center" wrapText="1"/>
    </xf>
    <xf numFmtId="0" fontId="4" fillId="0" borderId="2" xfId="0" applyFont="1" applyBorder="1" applyAlignment="1">
      <alignment horizontal="left" vertical="top" wrapText="1"/>
    </xf>
    <xf numFmtId="0" fontId="18" fillId="6" borderId="0" xfId="2" applyFont="1" applyFill="1" applyBorder="1" applyAlignment="1">
      <alignment horizontal="center" vertical="center" wrapText="1"/>
    </xf>
    <xf numFmtId="0" fontId="4" fillId="0" borderId="2" xfId="3" applyFont="1" applyBorder="1" applyAlignment="1">
      <alignment horizontal="center" vertical="center" wrapText="1"/>
    </xf>
    <xf numFmtId="0" fontId="4" fillId="0" borderId="28" xfId="3" applyFont="1" applyBorder="1" applyAlignment="1">
      <alignment horizontal="center" vertical="center" wrapText="1"/>
    </xf>
    <xf numFmtId="0" fontId="18" fillId="6" borderId="2" xfId="2" applyFont="1" applyFill="1" applyBorder="1" applyAlignment="1">
      <alignment horizontal="center" vertical="center"/>
    </xf>
    <xf numFmtId="0" fontId="18" fillId="6" borderId="1" xfId="2" applyFont="1" applyFill="1" applyBorder="1" applyAlignment="1">
      <alignment horizontal="center" vertical="center"/>
    </xf>
    <xf numFmtId="0" fontId="4" fillId="0" borderId="8" xfId="0" applyFont="1" applyFill="1" applyBorder="1" applyAlignment="1">
      <alignment horizontal="left" vertical="center" wrapText="1"/>
    </xf>
    <xf numFmtId="0" fontId="4" fillId="0" borderId="1" xfId="0" quotePrefix="1" applyFont="1" applyFill="1" applyBorder="1" applyAlignment="1">
      <alignment horizontal="center" vertical="center" wrapText="1"/>
    </xf>
    <xf numFmtId="0" fontId="4" fillId="0" borderId="26" xfId="3" applyFont="1" applyFill="1" applyBorder="1" applyAlignment="1">
      <alignment horizontal="left" wrapText="1"/>
    </xf>
    <xf numFmtId="0" fontId="4" fillId="0" borderId="26" xfId="3" applyFont="1" applyFill="1" applyBorder="1" applyAlignment="1">
      <alignment horizontal="left" vertical="top" wrapText="1"/>
    </xf>
    <xf numFmtId="0" fontId="4" fillId="0" borderId="9" xfId="0" applyFont="1" applyFill="1" applyBorder="1" applyAlignment="1">
      <alignment horizontal="left" vertical="center" wrapText="1"/>
    </xf>
    <xf numFmtId="0" fontId="4" fillId="0" borderId="28" xfId="0" quotePrefix="1" applyFont="1" applyFill="1" applyBorder="1" applyAlignment="1">
      <alignment horizontal="center" vertical="center" wrapText="1"/>
    </xf>
    <xf numFmtId="0" fontId="4" fillId="0" borderId="42" xfId="3" applyFont="1" applyFill="1" applyBorder="1" applyAlignment="1">
      <alignment horizontal="left" vertical="center" wrapText="1"/>
    </xf>
    <xf numFmtId="0" fontId="4" fillId="0" borderId="23" xfId="3" applyFont="1" applyBorder="1" applyAlignment="1">
      <alignment horizontal="center" vertical="center" wrapText="1"/>
    </xf>
    <xf numFmtId="0" fontId="4" fillId="0" borderId="8" xfId="3" applyFont="1" applyFill="1" applyBorder="1" applyAlignment="1">
      <alignment horizontal="left" vertical="center" wrapText="1"/>
    </xf>
    <xf numFmtId="0" fontId="4" fillId="0" borderId="29" xfId="3" applyFont="1" applyFill="1" applyBorder="1" applyAlignment="1">
      <alignment horizontal="left" vertical="top" wrapText="1"/>
    </xf>
    <xf numFmtId="0" fontId="4" fillId="0" borderId="27" xfId="3" applyFont="1" applyBorder="1" applyAlignment="1">
      <alignment horizontal="left" vertical="center" wrapText="1"/>
    </xf>
    <xf numFmtId="0" fontId="4" fillId="0" borderId="2" xfId="3" quotePrefix="1" applyFont="1" applyBorder="1" applyAlignment="1">
      <alignment horizontal="center" vertical="center" wrapText="1"/>
    </xf>
    <xf numFmtId="0" fontId="4" fillId="0" borderId="20" xfId="3" applyFont="1" applyBorder="1" applyAlignment="1">
      <alignment horizontal="left" vertical="center" wrapText="1"/>
    </xf>
    <xf numFmtId="0" fontId="4" fillId="0" borderId="43" xfId="3" applyFont="1" applyBorder="1" applyAlignment="1">
      <alignment horizontal="left" vertical="center" wrapText="1"/>
    </xf>
    <xf numFmtId="0" fontId="4" fillId="0" borderId="30" xfId="3" applyFont="1" applyBorder="1" applyAlignment="1">
      <alignment horizontal="center" vertical="center" wrapText="1"/>
    </xf>
    <xf numFmtId="0" fontId="4" fillId="0" borderId="21" xfId="3" applyFont="1" applyBorder="1" applyAlignment="1">
      <alignment horizontal="left" vertical="center" wrapText="1"/>
    </xf>
    <xf numFmtId="0" fontId="3" fillId="0" borderId="20" xfId="3" applyFont="1" applyBorder="1" applyAlignment="1">
      <alignment horizontal="left" wrapText="1"/>
    </xf>
    <xf numFmtId="0" fontId="4" fillId="7" borderId="28" xfId="3" applyFont="1" applyFill="1" applyBorder="1" applyAlignment="1">
      <alignment horizontal="center" vertical="center"/>
    </xf>
    <xf numFmtId="0" fontId="3" fillId="0" borderId="29" xfId="3" applyFont="1" applyBorder="1" applyAlignment="1">
      <alignment horizontal="left" wrapText="1"/>
    </xf>
    <xf numFmtId="0" fontId="4" fillId="0" borderId="33" xfId="0" applyFont="1" applyBorder="1" applyAlignment="1">
      <alignment horizontal="left" vertical="center" wrapText="1"/>
    </xf>
    <xf numFmtId="0" fontId="3" fillId="0" borderId="25" xfId="3" applyFont="1" applyBorder="1" applyAlignment="1">
      <alignment horizontal="left" wrapText="1"/>
    </xf>
    <xf numFmtId="0" fontId="3" fillId="0" borderId="27"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4" fillId="0" borderId="2" xfId="3" applyFont="1" applyFill="1" applyBorder="1" applyAlignment="1">
      <alignment horizontal="center" vertical="center"/>
    </xf>
    <xf numFmtId="0" fontId="4" fillId="0" borderId="1" xfId="3" applyFont="1" applyFill="1" applyBorder="1" applyAlignment="1">
      <alignment horizontal="center" vertical="center"/>
    </xf>
    <xf numFmtId="0" fontId="4" fillId="0" borderId="28" xfId="3" applyFont="1" applyFill="1" applyBorder="1" applyAlignment="1">
      <alignment horizontal="center" vertical="center"/>
    </xf>
    <xf numFmtId="0" fontId="18" fillId="6" borderId="28" xfId="2" quotePrefix="1" applyFont="1" applyFill="1" applyBorder="1" applyAlignment="1">
      <alignment horizontal="center" vertical="center" wrapText="1"/>
    </xf>
    <xf numFmtId="0" fontId="18" fillId="6" borderId="28" xfId="2" applyFont="1" applyFill="1" applyBorder="1" applyAlignment="1">
      <alignment horizontal="center" vertical="center" wrapText="1"/>
    </xf>
    <xf numFmtId="0" fontId="18" fillId="6" borderId="0" xfId="2" quotePrefix="1" applyFont="1" applyFill="1" applyBorder="1" applyAlignment="1">
      <alignment horizontal="center" vertical="center" wrapText="1"/>
    </xf>
    <xf numFmtId="0" fontId="18" fillId="0" borderId="24" xfId="2" applyFont="1" applyFill="1" applyBorder="1" applyAlignment="1">
      <alignment horizontal="center" vertical="center" wrapText="1"/>
    </xf>
    <xf numFmtId="0" fontId="18" fillId="0" borderId="1" xfId="1" applyFont="1" applyFill="1" applyBorder="1" applyAlignment="1">
      <alignment horizontal="center" vertical="center" wrapText="1"/>
    </xf>
    <xf numFmtId="0" fontId="23" fillId="6" borderId="0" xfId="0" applyFont="1" applyFill="1" applyAlignment="1">
      <alignment horizontal="left" vertical="center"/>
    </xf>
    <xf numFmtId="0" fontId="4" fillId="0" borderId="24" xfId="1" applyFont="1" applyFill="1" applyBorder="1" applyAlignment="1">
      <alignment horizontal="center" vertical="center" wrapText="1"/>
    </xf>
    <xf numFmtId="0" fontId="4" fillId="6" borderId="17" xfId="3" applyFont="1" applyFill="1" applyBorder="1" applyAlignment="1">
      <alignment horizontal="left" vertical="center" wrapText="1"/>
    </xf>
    <xf numFmtId="0" fontId="4" fillId="6" borderId="17" xfId="0" quotePrefix="1" applyFont="1" applyFill="1" applyBorder="1" applyAlignment="1">
      <alignment horizontal="center" vertical="center" wrapText="1"/>
    </xf>
    <xf numFmtId="0" fontId="18" fillId="6" borderId="17" xfId="2" applyFont="1" applyFill="1" applyBorder="1" applyAlignment="1">
      <alignment horizontal="center" vertical="center"/>
    </xf>
    <xf numFmtId="0" fontId="4" fillId="6" borderId="17" xfId="3" applyFont="1" applyFill="1" applyBorder="1" applyAlignment="1">
      <alignment horizontal="center" vertical="center" wrapText="1"/>
    </xf>
    <xf numFmtId="0" fontId="4" fillId="6" borderId="17" xfId="0" applyFont="1" applyFill="1" applyBorder="1" applyAlignment="1">
      <alignment horizontal="center" vertical="center"/>
    </xf>
    <xf numFmtId="0" fontId="18" fillId="0" borderId="1" xfId="2" applyFont="1" applyFill="1" applyBorder="1" applyAlignment="1">
      <alignment horizontal="center" vertical="center" wrapText="1"/>
    </xf>
    <xf numFmtId="0" fontId="18" fillId="0" borderId="28" xfId="2" applyFont="1" applyFill="1" applyBorder="1" applyAlignment="1">
      <alignment horizontal="center" vertical="center" wrapText="1"/>
    </xf>
    <xf numFmtId="0" fontId="10" fillId="6" borderId="0" xfId="0" applyFont="1" applyFill="1" applyAlignment="1">
      <alignment vertical="center"/>
    </xf>
    <xf numFmtId="0" fontId="11" fillId="8" borderId="45" xfId="2" applyBorder="1" applyAlignment="1">
      <alignment horizontal="center" vertical="center"/>
    </xf>
    <xf numFmtId="0" fontId="11" fillId="8" borderId="1" xfId="2" applyBorder="1" applyAlignment="1">
      <alignment horizontal="center" vertical="center"/>
    </xf>
    <xf numFmtId="0" fontId="24" fillId="6" borderId="0" xfId="0" applyFont="1" applyFill="1" applyAlignment="1">
      <alignment wrapText="1"/>
    </xf>
    <xf numFmtId="0" fontId="0" fillId="7" borderId="1" xfId="0" applyFill="1" applyBorder="1" applyAlignment="1">
      <alignment horizontal="center" vertical="center"/>
    </xf>
    <xf numFmtId="0" fontId="24" fillId="6" borderId="0" xfId="0" applyFont="1" applyFill="1" applyAlignment="1">
      <alignment vertical="center" wrapText="1"/>
    </xf>
    <xf numFmtId="0" fontId="0" fillId="7" borderId="24" xfId="0" applyFill="1" applyBorder="1" applyAlignment="1">
      <alignment horizontal="center" vertical="center"/>
    </xf>
    <xf numFmtId="0" fontId="24" fillId="6" borderId="0" xfId="0" applyFont="1" applyFill="1" applyAlignment="1">
      <alignment horizontal="left" vertical="center" wrapText="1"/>
    </xf>
    <xf numFmtId="0" fontId="10" fillId="0" borderId="0" xfId="0" applyFont="1" applyFill="1" applyBorder="1" applyAlignment="1">
      <alignment wrapText="1"/>
    </xf>
    <xf numFmtId="0" fontId="0" fillId="0" borderId="0" xfId="0" applyFill="1" applyBorder="1" applyAlignment="1">
      <alignment horizontal="center" vertical="center"/>
    </xf>
    <xf numFmtId="0" fontId="0" fillId="6" borderId="51" xfId="0" applyFill="1" applyBorder="1" applyAlignment="1">
      <alignment vertical="center" wrapText="1"/>
    </xf>
    <xf numFmtId="0" fontId="0" fillId="6" borderId="0" xfId="0" applyFill="1" applyBorder="1" applyAlignment="1">
      <alignment vertical="center" wrapText="1"/>
    </xf>
    <xf numFmtId="0" fontId="10" fillId="0" borderId="24" xfId="0" applyFont="1" applyBorder="1" applyAlignment="1">
      <alignment horizontal="center" vertical="center"/>
    </xf>
    <xf numFmtId="0" fontId="10" fillId="0" borderId="1" xfId="0" applyFont="1" applyBorder="1" applyAlignment="1">
      <alignment horizontal="center" vertical="center"/>
    </xf>
    <xf numFmtId="0" fontId="10" fillId="0" borderId="28" xfId="0" applyFont="1" applyBorder="1" applyAlignment="1">
      <alignment horizontal="center" vertical="center"/>
    </xf>
    <xf numFmtId="0" fontId="11" fillId="8" borderId="22" xfId="2" applyBorder="1" applyAlignment="1">
      <alignment horizontal="center" vertical="center" wrapText="1"/>
    </xf>
    <xf numFmtId="0" fontId="10" fillId="0" borderId="1" xfId="0" applyFont="1" applyBorder="1" applyAlignment="1">
      <alignment horizontal="left" vertical="center" wrapText="1"/>
    </xf>
    <xf numFmtId="0" fontId="10" fillId="7" borderId="1" xfId="1" applyFont="1" applyFill="1" applyBorder="1" applyAlignment="1">
      <alignment horizontal="center" vertical="center" wrapText="1"/>
    </xf>
    <xf numFmtId="0" fontId="10" fillId="7" borderId="28" xfId="1" applyFont="1" applyFill="1" applyBorder="1" applyAlignment="1">
      <alignment horizontal="center" vertical="center" wrapText="1"/>
    </xf>
    <xf numFmtId="0" fontId="18" fillId="0" borderId="24" xfId="2" quotePrefix="1" applyFont="1" applyFill="1" applyBorder="1" applyAlignment="1">
      <alignment horizontal="center" vertical="center"/>
    </xf>
    <xf numFmtId="0" fontId="10" fillId="0" borderId="2" xfId="0" applyFont="1" applyBorder="1" applyAlignment="1">
      <alignment vertical="center" wrapText="1"/>
    </xf>
    <xf numFmtId="0" fontId="10" fillId="0" borderId="24" xfId="0" applyFont="1" applyBorder="1" applyAlignment="1">
      <alignment horizontal="center" vertical="center"/>
    </xf>
    <xf numFmtId="0" fontId="10" fillId="0" borderId="28" xfId="0" applyFont="1" applyBorder="1" applyAlignment="1">
      <alignment horizontal="center" vertical="center"/>
    </xf>
    <xf numFmtId="0" fontId="22" fillId="0" borderId="0" xfId="0" applyFont="1" applyFill="1"/>
    <xf numFmtId="0" fontId="10" fillId="0" borderId="1" xfId="0" applyFont="1" applyFill="1" applyBorder="1" applyAlignment="1">
      <alignment wrapText="1"/>
    </xf>
    <xf numFmtId="0" fontId="10" fillId="0" borderId="24" xfId="0" applyFont="1" applyBorder="1" applyAlignment="1">
      <alignment horizontal="center" vertical="center"/>
    </xf>
    <xf numFmtId="0" fontId="4" fillId="0" borderId="1" xfId="0" applyFont="1" applyFill="1" applyBorder="1" applyAlignment="1">
      <alignment horizontal="center" vertical="center"/>
    </xf>
    <xf numFmtId="0" fontId="4" fillId="0" borderId="28" xfId="0" applyFont="1" applyFill="1" applyBorder="1" applyAlignment="1">
      <alignment horizontal="center" vertical="center"/>
    </xf>
    <xf numFmtId="0" fontId="10" fillId="0" borderId="28" xfId="0" applyFont="1" applyBorder="1" applyAlignment="1">
      <alignment horizontal="center" vertical="center"/>
    </xf>
    <xf numFmtId="0" fontId="10" fillId="0" borderId="10" xfId="0" applyFont="1" applyBorder="1" applyAlignment="1">
      <alignment horizontal="center" vertical="center"/>
    </xf>
    <xf numFmtId="0" fontId="10" fillId="0" borderId="10" xfId="0" applyFont="1" applyBorder="1" applyAlignment="1">
      <alignment vertical="center" wrapText="1"/>
    </xf>
    <xf numFmtId="0" fontId="11" fillId="8" borderId="10" xfId="2" applyBorder="1" applyAlignment="1">
      <alignment horizontal="center" vertical="center" wrapText="1"/>
    </xf>
    <xf numFmtId="0" fontId="11" fillId="8" borderId="2" xfId="2" applyBorder="1" applyAlignment="1">
      <alignment horizontal="center" vertical="center" wrapText="1"/>
    </xf>
    <xf numFmtId="0" fontId="10" fillId="0" borderId="36" xfId="0" applyFont="1" applyBorder="1" applyAlignment="1">
      <alignment horizontal="center" vertical="center" wrapText="1"/>
    </xf>
    <xf numFmtId="0" fontId="11" fillId="8" borderId="50" xfId="2" quotePrefix="1" applyBorder="1" applyAlignment="1">
      <alignment horizontal="center" vertical="center"/>
    </xf>
    <xf numFmtId="0" fontId="11" fillId="8" borderId="37" xfId="2" applyBorder="1" applyAlignment="1">
      <alignment horizontal="center" vertical="center" wrapText="1"/>
    </xf>
    <xf numFmtId="0" fontId="10" fillId="0" borderId="37" xfId="0" applyFont="1" applyBorder="1" applyAlignment="1">
      <alignment horizontal="center" vertical="center"/>
    </xf>
    <xf numFmtId="0" fontId="10" fillId="0" borderId="37" xfId="0" applyFont="1" applyBorder="1" applyAlignment="1">
      <alignment vertical="center" wrapText="1"/>
    </xf>
    <xf numFmtId="0" fontId="4" fillId="0" borderId="23" xfId="0" quotePrefix="1" applyFont="1" applyFill="1" applyBorder="1" applyAlignment="1">
      <alignment horizontal="center" vertical="center" wrapText="1"/>
    </xf>
    <xf numFmtId="0" fontId="18" fillId="0" borderId="23" xfId="2" applyFont="1" applyFill="1" applyBorder="1" applyAlignment="1">
      <alignment horizontal="center" vertical="center"/>
    </xf>
    <xf numFmtId="0" fontId="4" fillId="0" borderId="25" xfId="3" applyFont="1" applyFill="1" applyBorder="1" applyAlignment="1">
      <alignment horizontal="left" wrapText="1"/>
    </xf>
    <xf numFmtId="0" fontId="10" fillId="0" borderId="36" xfId="0" applyFont="1" applyFill="1" applyBorder="1" applyAlignment="1">
      <alignment horizontal="center" vertical="center" wrapText="1"/>
    </xf>
    <xf numFmtId="0" fontId="10" fillId="0" borderId="37" xfId="0" applyFont="1" applyFill="1" applyBorder="1" applyAlignment="1">
      <alignment horizontal="center" vertical="center" wrapText="1"/>
    </xf>
    <xf numFmtId="0" fontId="10" fillId="0" borderId="37" xfId="1" applyFont="1" applyFill="1" applyBorder="1" applyAlignment="1">
      <alignment horizontal="center" vertical="center" wrapText="1"/>
    </xf>
    <xf numFmtId="0" fontId="10" fillId="0" borderId="37" xfId="0" applyFont="1" applyFill="1" applyBorder="1" applyAlignment="1">
      <alignment horizontal="center" vertical="center"/>
    </xf>
    <xf numFmtId="0" fontId="10" fillId="0" borderId="37" xfId="0" applyFont="1" applyFill="1" applyBorder="1" applyAlignment="1">
      <alignment wrapText="1"/>
    </xf>
    <xf numFmtId="0" fontId="10" fillId="0" borderId="38" xfId="0" applyNumberFormat="1" applyFont="1" applyFill="1" applyBorder="1" applyAlignment="1">
      <alignment horizontal="center" vertical="center"/>
    </xf>
    <xf numFmtId="0" fontId="0" fillId="0" borderId="0" xfId="0" applyBorder="1"/>
    <xf numFmtId="0" fontId="26" fillId="0" borderId="33" xfId="0" applyFont="1" applyBorder="1" applyAlignment="1">
      <alignment horizontal="center" vertical="center" wrapText="1"/>
    </xf>
    <xf numFmtId="0" fontId="26" fillId="0" borderId="24" xfId="0" applyFont="1" applyBorder="1" applyAlignment="1">
      <alignment horizontal="center" vertical="center" wrapText="1"/>
    </xf>
    <xf numFmtId="0" fontId="26" fillId="0" borderId="25" xfId="0" applyFont="1" applyBorder="1" applyAlignment="1">
      <alignment horizontal="center" vertical="center" wrapText="1"/>
    </xf>
    <xf numFmtId="0" fontId="10" fillId="0" borderId="24" xfId="0" applyFont="1" applyBorder="1" applyAlignment="1">
      <alignment horizontal="center" vertical="center"/>
    </xf>
    <xf numFmtId="0" fontId="10" fillId="0" borderId="1" xfId="0" applyFont="1" applyBorder="1" applyAlignment="1">
      <alignment horizontal="center" vertical="center"/>
    </xf>
    <xf numFmtId="0" fontId="10" fillId="0" borderId="28" xfId="0" applyFont="1" applyBorder="1" applyAlignment="1">
      <alignment horizontal="center" vertical="center"/>
    </xf>
    <xf numFmtId="0" fontId="8" fillId="3" borderId="59" xfId="1" applyBorder="1"/>
    <xf numFmtId="0" fontId="8" fillId="3" borderId="60" xfId="1" applyBorder="1" applyAlignment="1">
      <alignment horizontal="center" vertical="center"/>
    </xf>
    <xf numFmtId="0" fontId="8" fillId="3" borderId="22" xfId="1" applyBorder="1" applyAlignment="1">
      <alignment horizontal="center" vertical="center"/>
    </xf>
    <xf numFmtId="0" fontId="8" fillId="3" borderId="39" xfId="1" applyBorder="1" applyAlignment="1">
      <alignment horizontal="center" vertical="center"/>
    </xf>
    <xf numFmtId="0" fontId="28" fillId="0" borderId="36" xfId="0" applyFont="1" applyBorder="1" applyAlignment="1">
      <alignment horizontal="center" vertical="center"/>
    </xf>
    <xf numFmtId="0" fontId="10" fillId="6" borderId="0" xfId="0" applyFont="1" applyFill="1" applyBorder="1" applyAlignment="1">
      <alignment horizontal="center" vertical="center" wrapText="1"/>
    </xf>
    <xf numFmtId="0" fontId="10" fillId="6" borderId="0" xfId="0" applyFont="1" applyFill="1" applyBorder="1" applyAlignment="1">
      <alignment vertical="center" wrapText="1"/>
    </xf>
    <xf numFmtId="0" fontId="0" fillId="6" borderId="0" xfId="0" applyFill="1" applyBorder="1" applyAlignment="1">
      <alignment horizontal="center" vertical="center"/>
    </xf>
    <xf numFmtId="0" fontId="4" fillId="6" borderId="0" xfId="0" quotePrefix="1" applyFont="1" applyFill="1" applyBorder="1"/>
    <xf numFmtId="0" fontId="29" fillId="0" borderId="24" xfId="0" applyFont="1" applyBorder="1" applyAlignment="1">
      <alignment vertical="center" wrapText="1"/>
    </xf>
    <xf numFmtId="0" fontId="29" fillId="0" borderId="1" xfId="0" applyFont="1" applyBorder="1" applyAlignment="1">
      <alignment vertical="center" wrapText="1"/>
    </xf>
    <xf numFmtId="0" fontId="29" fillId="0" borderId="28" xfId="0" applyFont="1" applyBorder="1" applyAlignment="1">
      <alignment vertical="center" wrapText="1"/>
    </xf>
    <xf numFmtId="0" fontId="9" fillId="0" borderId="5" xfId="0" applyFont="1" applyBorder="1" applyAlignment="1">
      <alignment horizontal="center" wrapText="1"/>
    </xf>
    <xf numFmtId="0" fontId="9" fillId="0" borderId="6" xfId="0" applyFont="1" applyFill="1" applyBorder="1" applyAlignment="1">
      <alignment horizontal="center" wrapText="1"/>
    </xf>
    <xf numFmtId="0" fontId="9" fillId="0" borderId="64" xfId="1" applyFont="1" applyFill="1" applyBorder="1" applyAlignment="1">
      <alignment horizontal="center" wrapText="1"/>
    </xf>
    <xf numFmtId="0" fontId="9" fillId="0" borderId="6" xfId="0" applyFont="1" applyBorder="1" applyAlignment="1">
      <alignment horizontal="center" wrapText="1"/>
    </xf>
    <xf numFmtId="0" fontId="9" fillId="0" borderId="6" xfId="0" applyFont="1" applyBorder="1" applyAlignment="1">
      <alignment horizontal="center"/>
    </xf>
    <xf numFmtId="0" fontId="9" fillId="0" borderId="7" xfId="0" applyFont="1" applyFill="1" applyBorder="1" applyAlignment="1">
      <alignment horizontal="center" wrapText="1"/>
    </xf>
    <xf numFmtId="0" fontId="19" fillId="0" borderId="0" xfId="0" applyFont="1" applyFill="1"/>
    <xf numFmtId="0" fontId="10" fillId="0" borderId="24" xfId="0" applyFont="1" applyBorder="1" applyAlignment="1">
      <alignment horizontal="center" vertical="center"/>
    </xf>
    <xf numFmtId="0" fontId="10" fillId="0" borderId="1" xfId="0" applyFont="1" applyBorder="1" applyAlignment="1">
      <alignment horizontal="center" vertical="center"/>
    </xf>
    <xf numFmtId="0" fontId="10" fillId="0" borderId="28" xfId="0" applyFont="1" applyBorder="1" applyAlignment="1">
      <alignment horizontal="center" vertical="center"/>
    </xf>
    <xf numFmtId="0" fontId="4" fillId="0" borderId="30" xfId="0" applyFont="1" applyBorder="1" applyAlignment="1">
      <alignment horizontal="center" vertical="center" wrapText="1"/>
    </xf>
    <xf numFmtId="0" fontId="4" fillId="0" borderId="24" xfId="0" applyFont="1" applyBorder="1" applyAlignment="1">
      <alignment horizontal="center" vertical="center" wrapText="1"/>
    </xf>
    <xf numFmtId="0" fontId="10" fillId="0" borderId="24" xfId="0" applyFont="1" applyBorder="1" applyAlignment="1">
      <alignment horizontal="center" vertical="center"/>
    </xf>
    <xf numFmtId="0" fontId="10" fillId="0" borderId="1" xfId="0" applyFont="1" applyBorder="1" applyAlignment="1">
      <alignment horizontal="center" vertical="center"/>
    </xf>
    <xf numFmtId="0" fontId="10" fillId="0" borderId="28" xfId="0" applyFont="1" applyBorder="1" applyAlignment="1">
      <alignment horizontal="center" vertical="center"/>
    </xf>
    <xf numFmtId="0" fontId="10" fillId="6" borderId="0" xfId="0" applyFont="1" applyFill="1" applyAlignment="1">
      <alignment horizontal="left" vertical="center"/>
    </xf>
    <xf numFmtId="0" fontId="11" fillId="8" borderId="45" xfId="2" quotePrefix="1" applyBorder="1" applyAlignment="1">
      <alignment horizontal="center" vertical="center" wrapText="1"/>
    </xf>
    <xf numFmtId="0" fontId="4" fillId="6" borderId="1" xfId="0" applyFont="1" applyFill="1" applyBorder="1" applyAlignment="1">
      <alignment wrapText="1"/>
    </xf>
    <xf numFmtId="0" fontId="4" fillId="6" borderId="33" xfId="0" applyFont="1" applyFill="1" applyBorder="1"/>
    <xf numFmtId="0" fontId="3" fillId="0" borderId="24" xfId="3" applyFont="1" applyBorder="1" applyAlignment="1">
      <alignment horizontal="left" wrapText="1"/>
    </xf>
    <xf numFmtId="0" fontId="4" fillId="6" borderId="8" xfId="0" applyFont="1" applyFill="1" applyBorder="1"/>
    <xf numFmtId="0" fontId="4" fillId="6" borderId="9" xfId="0" applyFont="1" applyFill="1" applyBorder="1"/>
    <xf numFmtId="0" fontId="4" fillId="6" borderId="28" xfId="0" applyFont="1" applyFill="1" applyBorder="1" applyAlignment="1">
      <alignment wrapText="1"/>
    </xf>
    <xf numFmtId="0" fontId="4" fillId="6" borderId="0" xfId="0" applyFont="1" applyFill="1" applyBorder="1"/>
    <xf numFmtId="0" fontId="4" fillId="0" borderId="0" xfId="0" quotePrefix="1" applyFont="1" applyBorder="1" applyAlignment="1">
      <alignment horizontal="center" vertical="center" wrapText="1"/>
    </xf>
    <xf numFmtId="0" fontId="4" fillId="0" borderId="0" xfId="0" applyFont="1" applyBorder="1" applyAlignment="1">
      <alignment horizontal="center" vertical="center" wrapText="1"/>
    </xf>
    <xf numFmtId="0" fontId="4" fillId="6" borderId="0" xfId="0" applyFont="1" applyFill="1" applyBorder="1" applyAlignment="1">
      <alignment wrapText="1"/>
    </xf>
    <xf numFmtId="0" fontId="4" fillId="6" borderId="24" xfId="0" applyFont="1" applyFill="1" applyBorder="1" applyAlignment="1">
      <alignment wrapText="1"/>
    </xf>
    <xf numFmtId="0" fontId="10" fillId="0" borderId="24" xfId="0" applyFont="1" applyBorder="1" applyAlignment="1">
      <alignment horizontal="center" vertical="center"/>
    </xf>
    <xf numFmtId="0" fontId="10" fillId="0" borderId="1" xfId="0" applyFont="1" applyBorder="1" applyAlignment="1">
      <alignment horizontal="center" vertical="center"/>
    </xf>
    <xf numFmtId="0" fontId="10" fillId="0" borderId="28" xfId="0" applyFont="1" applyBorder="1" applyAlignment="1">
      <alignment horizontal="center" vertical="center"/>
    </xf>
    <xf numFmtId="0" fontId="0" fillId="0" borderId="0" xfId="0" applyBorder="1" applyAlignment="1">
      <alignment horizontal="left"/>
    </xf>
    <xf numFmtId="0" fontId="10" fillId="0" borderId="37" xfId="0" quotePrefix="1" applyFont="1" applyFill="1" applyBorder="1" applyAlignment="1">
      <alignment horizontal="center" vertical="center" wrapText="1"/>
    </xf>
    <xf numFmtId="0" fontId="4" fillId="0" borderId="37" xfId="0" applyFont="1" applyFill="1" applyBorder="1" applyAlignment="1">
      <alignment horizontal="center" vertical="center"/>
    </xf>
    <xf numFmtId="0" fontId="0" fillId="0" borderId="37" xfId="0" applyFill="1" applyBorder="1" applyAlignment="1">
      <alignment horizontal="center" vertical="center"/>
    </xf>
    <xf numFmtId="0" fontId="0" fillId="0" borderId="38" xfId="0" applyFill="1" applyBorder="1" applyAlignment="1">
      <alignment horizontal="center" vertical="center"/>
    </xf>
    <xf numFmtId="0" fontId="19" fillId="0" borderId="0" xfId="0" applyFont="1" applyAlignment="1">
      <alignment horizontal="center" vertical="center"/>
    </xf>
    <xf numFmtId="0" fontId="19" fillId="0" borderId="0" xfId="0" applyFont="1" applyFill="1" applyAlignment="1">
      <alignment horizontal="center" vertical="center"/>
    </xf>
    <xf numFmtId="0" fontId="11" fillId="0" borderId="0" xfId="2" quotePrefix="1" applyFill="1" applyBorder="1" applyAlignment="1">
      <alignment horizontal="center" vertical="center"/>
    </xf>
    <xf numFmtId="0" fontId="10" fillId="0" borderId="0" xfId="0" applyFont="1" applyFill="1" applyBorder="1" applyAlignment="1">
      <alignment vertical="center" wrapText="1"/>
    </xf>
    <xf numFmtId="0" fontId="4" fillId="0" borderId="0" xfId="0" applyFont="1" applyFill="1" applyBorder="1" applyAlignment="1">
      <alignment horizontal="center" vertical="center"/>
    </xf>
    <xf numFmtId="0" fontId="24" fillId="0" borderId="0" xfId="0" applyFont="1" applyFill="1" applyAlignment="1">
      <alignment vertical="center" wrapText="1"/>
    </xf>
    <xf numFmtId="0" fontId="10" fillId="0" borderId="24" xfId="0" applyFont="1" applyFill="1" applyBorder="1" applyAlignment="1">
      <alignment vertical="center" wrapText="1"/>
    </xf>
    <xf numFmtId="0" fontId="18" fillId="0" borderId="28" xfId="2" quotePrefix="1" applyFont="1" applyFill="1" applyBorder="1" applyAlignment="1">
      <alignment horizontal="center" vertical="center"/>
    </xf>
    <xf numFmtId="0" fontId="19" fillId="0" borderId="0" xfId="0" applyFont="1" applyAlignment="1">
      <alignment horizontal="left" vertical="center"/>
    </xf>
    <xf numFmtId="0" fontId="19" fillId="4" borderId="0" xfId="0" applyFont="1" applyFill="1" applyAlignment="1">
      <alignment horizontal="left" vertical="center"/>
    </xf>
    <xf numFmtId="0" fontId="19" fillId="0" borderId="0" xfId="0" applyFont="1" applyFill="1" applyAlignment="1">
      <alignment horizontal="left" vertical="center"/>
    </xf>
    <xf numFmtId="0" fontId="10" fillId="0" borderId="24" xfId="0" applyFont="1" applyBorder="1" applyAlignment="1">
      <alignment horizontal="center" vertical="center"/>
    </xf>
    <xf numFmtId="0" fontId="10" fillId="0" borderId="1" xfId="0" applyFont="1" applyBorder="1" applyAlignment="1">
      <alignment horizontal="center" vertical="center"/>
    </xf>
    <xf numFmtId="0" fontId="10" fillId="0" borderId="28" xfId="0" applyFont="1" applyBorder="1" applyAlignment="1">
      <alignment horizontal="center" vertical="center"/>
    </xf>
    <xf numFmtId="0" fontId="4" fillId="0" borderId="1" xfId="0" applyFont="1" applyBorder="1" applyAlignment="1">
      <alignment horizontal="center" vertical="center"/>
    </xf>
    <xf numFmtId="0" fontId="4" fillId="0" borderId="0" xfId="0" applyFont="1" applyBorder="1"/>
    <xf numFmtId="0" fontId="4" fillId="0" borderId="0" xfId="0" applyFont="1" applyAlignment="1">
      <alignment horizontal="center"/>
    </xf>
    <xf numFmtId="0" fontId="4" fillId="0" borderId="0" xfId="0" applyFont="1" applyAlignment="1">
      <alignment horizontal="center" vertical="center"/>
    </xf>
    <xf numFmtId="0" fontId="18" fillId="7" borderId="1" xfId="4" applyFont="1" applyFill="1" applyBorder="1" applyAlignment="1">
      <alignment horizontal="center" vertical="center"/>
    </xf>
    <xf numFmtId="0" fontId="4" fillId="7" borderId="1" xfId="0" applyFont="1" applyFill="1" applyBorder="1" applyAlignment="1">
      <alignment horizontal="center" vertical="center"/>
    </xf>
    <xf numFmtId="0" fontId="4" fillId="6" borderId="1" xfId="0" applyFont="1" applyFill="1" applyBorder="1" applyAlignment="1">
      <alignment horizontal="center" vertical="center"/>
    </xf>
    <xf numFmtId="0" fontId="24" fillId="6" borderId="0" xfId="0" applyFont="1" applyFill="1" applyAlignment="1">
      <alignment horizontal="center" vertical="center" wrapText="1"/>
    </xf>
    <xf numFmtId="0" fontId="4" fillId="0" borderId="32" xfId="0" applyFont="1" applyFill="1" applyBorder="1"/>
    <xf numFmtId="0" fontId="4" fillId="0" borderId="33" xfId="0" applyFont="1" applyFill="1" applyBorder="1"/>
    <xf numFmtId="0" fontId="4" fillId="0" borderId="27" xfId="0" applyFont="1" applyFill="1" applyBorder="1"/>
    <xf numFmtId="0" fontId="10" fillId="7" borderId="2" xfId="0" applyFont="1" applyFill="1" applyBorder="1" applyAlignment="1">
      <alignment horizontal="center" vertical="center" wrapText="1"/>
    </xf>
    <xf numFmtId="0" fontId="10" fillId="0" borderId="13" xfId="0" applyFont="1" applyBorder="1" applyAlignment="1">
      <alignment horizontal="center" vertical="center"/>
    </xf>
    <xf numFmtId="0" fontId="10" fillId="0" borderId="24" xfId="0" applyFont="1" applyBorder="1" applyAlignment="1">
      <alignment horizontal="center" vertical="center"/>
    </xf>
    <xf numFmtId="0" fontId="10" fillId="0" borderId="1" xfId="0" applyFont="1" applyBorder="1" applyAlignment="1">
      <alignment horizontal="center" vertical="center"/>
    </xf>
    <xf numFmtId="0" fontId="4" fillId="0" borderId="1" xfId="0" applyFont="1" applyBorder="1" applyAlignment="1">
      <alignment horizontal="left" vertical="center" wrapText="1"/>
    </xf>
    <xf numFmtId="0" fontId="10" fillId="0" borderId="28" xfId="0" applyFont="1" applyBorder="1" applyAlignment="1">
      <alignment horizontal="center" vertical="center"/>
    </xf>
    <xf numFmtId="0" fontId="4" fillId="0" borderId="28" xfId="0" applyFont="1" applyFill="1" applyBorder="1" applyAlignment="1">
      <alignment horizontal="center" vertical="center"/>
    </xf>
    <xf numFmtId="0" fontId="4" fillId="0" borderId="24" xfId="2" applyFont="1" applyFill="1" applyBorder="1" applyAlignment="1">
      <alignment horizontal="center" vertical="center"/>
    </xf>
    <xf numFmtId="0" fontId="4" fillId="0" borderId="1" xfId="2" applyFont="1" applyFill="1" applyBorder="1" applyAlignment="1">
      <alignment horizontal="center" vertical="center"/>
    </xf>
    <xf numFmtId="0" fontId="4" fillId="0" borderId="28" xfId="2" applyFont="1" applyFill="1" applyBorder="1" applyAlignment="1">
      <alignment horizontal="center" vertical="center"/>
    </xf>
    <xf numFmtId="0" fontId="4" fillId="0" borderId="37" xfId="2" applyFont="1" applyFill="1" applyBorder="1" applyAlignment="1">
      <alignment horizontal="center" vertical="center"/>
    </xf>
    <xf numFmtId="0" fontId="10" fillId="0" borderId="37" xfId="0" applyFont="1" applyBorder="1" applyAlignment="1">
      <alignment wrapText="1"/>
    </xf>
    <xf numFmtId="0" fontId="4" fillId="0" borderId="1" xfId="3" applyBorder="1" applyAlignment="1">
      <alignment horizontal="center" vertical="center"/>
    </xf>
    <xf numFmtId="0" fontId="4" fillId="7" borderId="1" xfId="0" applyFont="1" applyFill="1" applyBorder="1" applyAlignment="1">
      <alignment horizontal="center" vertical="center" wrapText="1"/>
    </xf>
    <xf numFmtId="0" fontId="10" fillId="7" borderId="24" xfId="0" applyFont="1" applyFill="1" applyBorder="1" applyAlignment="1">
      <alignment horizontal="center" vertical="center" wrapText="1"/>
    </xf>
    <xf numFmtId="0" fontId="11" fillId="8" borderId="22" xfId="2" quotePrefix="1" applyAlignment="1">
      <alignment horizontal="center" vertical="center"/>
    </xf>
    <xf numFmtId="0" fontId="18" fillId="0" borderId="1" xfId="2" quotePrefix="1" applyFont="1" applyFill="1" applyBorder="1" applyAlignment="1">
      <alignment horizontal="center" vertical="center" wrapText="1"/>
    </xf>
    <xf numFmtId="0" fontId="18" fillId="0" borderId="28" xfId="2" quotePrefix="1" applyFont="1" applyFill="1" applyBorder="1" applyAlignment="1">
      <alignment horizontal="center" vertical="center" wrapText="1"/>
    </xf>
    <xf numFmtId="0" fontId="4" fillId="0" borderId="24" xfId="3" applyBorder="1" applyAlignment="1">
      <alignment horizontal="center" vertical="center"/>
    </xf>
    <xf numFmtId="0" fontId="4" fillId="0" borderId="28" xfId="0" applyFont="1" applyBorder="1" applyAlignment="1">
      <alignment horizontal="left" vertical="center" wrapText="1"/>
    </xf>
    <xf numFmtId="0" fontId="11" fillId="8" borderId="45" xfId="2" quotePrefix="1" applyBorder="1" applyAlignment="1">
      <alignment horizontal="center" vertical="center"/>
    </xf>
    <xf numFmtId="0" fontId="4" fillId="0" borderId="24" xfId="0" applyFont="1" applyBorder="1" applyAlignment="1">
      <alignment horizontal="left" vertical="center" wrapText="1"/>
    </xf>
    <xf numFmtId="0" fontId="4" fillId="0" borderId="37" xfId="0" applyFont="1" applyBorder="1" applyAlignment="1">
      <alignment horizontal="left" vertical="center" wrapText="1"/>
    </xf>
    <xf numFmtId="0" fontId="0" fillId="11" borderId="0" xfId="0" applyFill="1"/>
    <xf numFmtId="0" fontId="10" fillId="11" borderId="0" xfId="0" applyFont="1" applyFill="1" applyBorder="1" applyAlignment="1">
      <alignment horizontal="center" vertical="center" wrapText="1"/>
    </xf>
    <xf numFmtId="0" fontId="10" fillId="11" borderId="0" xfId="0" quotePrefix="1" applyFont="1" applyFill="1" applyBorder="1" applyAlignment="1">
      <alignment horizontal="center" vertical="center" wrapText="1"/>
    </xf>
    <xf numFmtId="0" fontId="10" fillId="11" borderId="0" xfId="1" applyFont="1" applyFill="1" applyBorder="1" applyAlignment="1">
      <alignment horizontal="center" vertical="center" wrapText="1"/>
    </xf>
    <xf numFmtId="0" fontId="10" fillId="11" borderId="0" xfId="0" applyFont="1" applyFill="1" applyBorder="1" applyAlignment="1">
      <alignment horizontal="center" vertical="center"/>
    </xf>
    <xf numFmtId="0" fontId="10" fillId="11" borderId="0" xfId="0" applyFont="1" applyFill="1" applyBorder="1" applyAlignment="1">
      <alignment wrapText="1"/>
    </xf>
    <xf numFmtId="0" fontId="4" fillId="11" borderId="0" xfId="0" applyFont="1" applyFill="1" applyBorder="1" applyAlignment="1">
      <alignment horizontal="center" vertical="center"/>
    </xf>
    <xf numFmtId="0" fontId="0" fillId="11" borderId="0" xfId="0" applyFill="1" applyBorder="1" applyAlignment="1">
      <alignment horizontal="center" vertical="center"/>
    </xf>
    <xf numFmtId="0" fontId="22" fillId="11" borderId="0" xfId="0" applyFont="1" applyFill="1"/>
    <xf numFmtId="0" fontId="0" fillId="10" borderId="0" xfId="0" applyFill="1"/>
    <xf numFmtId="0" fontId="10" fillId="10" borderId="0" xfId="0" applyFont="1" applyFill="1" applyBorder="1" applyAlignment="1">
      <alignment horizontal="center" vertical="center" wrapText="1"/>
    </xf>
    <xf numFmtId="0" fontId="10" fillId="10" borderId="0" xfId="0" quotePrefix="1" applyFont="1" applyFill="1" applyBorder="1" applyAlignment="1">
      <alignment horizontal="center" vertical="center" wrapText="1"/>
    </xf>
    <xf numFmtId="0" fontId="10" fillId="10" borderId="0" xfId="1" applyFont="1" applyFill="1" applyBorder="1" applyAlignment="1">
      <alignment horizontal="center" vertical="center" wrapText="1"/>
    </xf>
    <xf numFmtId="0" fontId="10" fillId="10" borderId="0" xfId="0" applyFont="1" applyFill="1" applyBorder="1" applyAlignment="1">
      <alignment horizontal="center" vertical="center"/>
    </xf>
    <xf numFmtId="0" fontId="10" fillId="10" borderId="0" xfId="0" applyFont="1" applyFill="1" applyBorder="1" applyAlignment="1">
      <alignment wrapText="1"/>
    </xf>
    <xf numFmtId="0" fontId="4" fillId="10" borderId="0" xfId="0" applyFont="1" applyFill="1" applyBorder="1" applyAlignment="1">
      <alignment horizontal="center" vertical="center"/>
    </xf>
    <xf numFmtId="0" fontId="0" fillId="10" borderId="0" xfId="0" applyFill="1" applyBorder="1" applyAlignment="1">
      <alignment horizontal="center" vertical="center"/>
    </xf>
    <xf numFmtId="0" fontId="11" fillId="8" borderId="22" xfId="2" applyAlignment="1">
      <alignment horizontal="center" vertical="center"/>
    </xf>
    <xf numFmtId="0" fontId="10" fillId="0" borderId="24" xfId="0" applyFont="1" applyFill="1" applyBorder="1" applyAlignment="1">
      <alignment horizontal="left" vertical="top" wrapText="1"/>
    </xf>
    <xf numFmtId="0" fontId="10" fillId="0" borderId="1" xfId="0" applyFont="1" applyFill="1" applyBorder="1" applyAlignment="1">
      <alignment horizontal="left" vertical="top" wrapText="1"/>
    </xf>
    <xf numFmtId="0" fontId="10" fillId="0" borderId="28" xfId="0" applyFont="1" applyFill="1" applyBorder="1" applyAlignment="1">
      <alignment horizontal="left" vertical="top" wrapText="1"/>
    </xf>
    <xf numFmtId="0" fontId="10" fillId="0" borderId="37" xfId="0" applyFont="1" applyFill="1" applyBorder="1" applyAlignment="1">
      <alignment horizontal="left" vertical="top" wrapText="1"/>
    </xf>
    <xf numFmtId="0" fontId="10" fillId="0" borderId="0" xfId="0" applyFont="1" applyFill="1" applyBorder="1" applyAlignment="1">
      <alignment horizontal="left" vertical="top" wrapText="1"/>
    </xf>
    <xf numFmtId="0" fontId="4" fillId="0" borderId="0" xfId="0" applyFont="1" applyBorder="1" applyAlignment="1">
      <alignment wrapText="1"/>
    </xf>
    <xf numFmtId="0" fontId="4" fillId="0" borderId="0" xfId="0" applyFont="1" applyBorder="1" applyAlignment="1">
      <alignment horizontal="center" vertical="center"/>
    </xf>
    <xf numFmtId="0" fontId="4" fillId="0" borderId="0" xfId="0" applyFont="1" applyBorder="1" applyAlignment="1">
      <alignment horizontal="left" vertical="center"/>
    </xf>
    <xf numFmtId="0" fontId="0" fillId="0" borderId="0" xfId="0" applyBorder="1" applyAlignment="1">
      <alignment horizontal="left" vertical="center"/>
    </xf>
    <xf numFmtId="0" fontId="18" fillId="0" borderId="0" xfId="4" applyFont="1" applyFill="1" applyBorder="1" applyAlignment="1">
      <alignment horizontal="center" vertical="center"/>
    </xf>
    <xf numFmtId="0" fontId="4" fillId="0" borderId="1" xfId="0" applyFont="1" applyBorder="1" applyAlignment="1">
      <alignment horizontal="left" vertical="center" wrapText="1"/>
    </xf>
    <xf numFmtId="0" fontId="4" fillId="6" borderId="1" xfId="0" applyFont="1" applyFill="1" applyBorder="1" applyAlignment="1">
      <alignment horizontal="left" vertical="center" wrapText="1"/>
    </xf>
    <xf numFmtId="0" fontId="10" fillId="0" borderId="24" xfId="0" applyFont="1" applyBorder="1" applyAlignment="1">
      <alignment horizontal="center" vertical="center"/>
    </xf>
    <xf numFmtId="0" fontId="10" fillId="0" borderId="1" xfId="0" applyFont="1" applyBorder="1" applyAlignment="1">
      <alignment horizontal="center" vertical="center"/>
    </xf>
    <xf numFmtId="0" fontId="10" fillId="0" borderId="28" xfId="0" applyFont="1" applyBorder="1" applyAlignment="1">
      <alignment horizontal="center" vertical="center"/>
    </xf>
    <xf numFmtId="0" fontId="4" fillId="0" borderId="1" xfId="0" applyFont="1" applyBorder="1" applyAlignment="1">
      <alignment horizontal="left" vertical="center" wrapText="1"/>
    </xf>
    <xf numFmtId="0" fontId="18" fillId="0" borderId="0" xfId="2" quotePrefix="1" applyFont="1" applyFill="1" applyBorder="1" applyAlignment="1">
      <alignment horizontal="center" vertical="center"/>
    </xf>
    <xf numFmtId="0" fontId="11" fillId="8" borderId="0" xfId="2" applyBorder="1" applyAlignment="1">
      <alignment horizontal="center" vertical="center" wrapText="1"/>
    </xf>
    <xf numFmtId="0" fontId="4" fillId="0" borderId="0" xfId="0" applyFont="1" applyBorder="1" applyAlignment="1">
      <alignment horizontal="left" vertical="center" wrapText="1"/>
    </xf>
    <xf numFmtId="0" fontId="4" fillId="0" borderId="0" xfId="3" quotePrefix="1" applyFill="1" applyBorder="1" applyAlignment="1">
      <alignment horizontal="center" vertical="center"/>
    </xf>
    <xf numFmtId="0" fontId="10" fillId="0" borderId="0" xfId="0" applyFont="1" applyBorder="1" applyAlignment="1">
      <alignment horizontal="left" vertical="center" wrapText="1"/>
    </xf>
    <xf numFmtId="0" fontId="10" fillId="0" borderId="24" xfId="0" applyFont="1" applyBorder="1" applyAlignment="1">
      <alignment horizontal="center" vertical="center"/>
    </xf>
    <xf numFmtId="0" fontId="4" fillId="0" borderId="28" xfId="0" applyFont="1" applyFill="1" applyBorder="1" applyAlignment="1">
      <alignment horizontal="center" vertical="center"/>
    </xf>
    <xf numFmtId="0" fontId="4" fillId="0" borderId="1" xfId="0" applyFont="1" applyBorder="1" applyAlignment="1">
      <alignment horizontal="left" vertical="center" wrapText="1"/>
    </xf>
    <xf numFmtId="0" fontId="18" fillId="0" borderId="37" xfId="2" applyFont="1" applyFill="1" applyBorder="1" applyAlignment="1">
      <alignment horizontal="center" vertical="center" wrapText="1"/>
    </xf>
    <xf numFmtId="0" fontId="10" fillId="0" borderId="37" xfId="0" applyFont="1" applyBorder="1" applyAlignment="1">
      <alignment horizontal="center" vertical="center" wrapText="1"/>
    </xf>
    <xf numFmtId="0" fontId="10" fillId="0" borderId="38" xfId="0" applyFont="1" applyBorder="1" applyAlignment="1">
      <alignment horizontal="center" vertical="center" wrapText="1"/>
    </xf>
    <xf numFmtId="0" fontId="19" fillId="4" borderId="0" xfId="2" applyFont="1" applyFill="1" applyBorder="1" applyAlignment="1">
      <alignment horizontal="left" vertical="center"/>
    </xf>
    <xf numFmtId="0" fontId="11" fillId="8" borderId="50" xfId="2" applyBorder="1" applyAlignment="1">
      <alignment horizontal="center" vertical="center" wrapText="1"/>
    </xf>
    <xf numFmtId="0" fontId="10" fillId="0" borderId="24" xfId="0" applyFont="1" applyBorder="1" applyAlignment="1">
      <alignment horizontal="center" vertical="center"/>
    </xf>
    <xf numFmtId="0" fontId="10" fillId="0" borderId="1" xfId="0" applyFont="1" applyBorder="1" applyAlignment="1">
      <alignment horizontal="center" vertical="center"/>
    </xf>
    <xf numFmtId="0" fontId="10" fillId="0" borderId="28" xfId="0" applyFont="1" applyBorder="1" applyAlignment="1">
      <alignment horizontal="center" vertical="center"/>
    </xf>
    <xf numFmtId="0" fontId="18" fillId="0" borderId="48" xfId="2" applyFont="1" applyFill="1" applyBorder="1" applyAlignment="1">
      <alignment horizontal="center" vertical="center" wrapText="1"/>
    </xf>
    <xf numFmtId="0" fontId="18" fillId="6" borderId="1" xfId="2" applyFont="1" applyFill="1" applyBorder="1" applyAlignment="1">
      <alignment horizontal="center" vertical="center" wrapText="1"/>
    </xf>
    <xf numFmtId="0" fontId="28" fillId="0" borderId="0" xfId="0" applyFont="1" applyBorder="1" applyAlignment="1">
      <alignment horizontal="center" vertical="center"/>
    </xf>
    <xf numFmtId="0" fontId="0" fillId="0" borderId="42" xfId="0" applyBorder="1" applyAlignment="1">
      <alignment horizontal="left"/>
    </xf>
    <xf numFmtId="0" fontId="0" fillId="0" borderId="8" xfId="0" applyBorder="1"/>
    <xf numFmtId="0" fontId="4" fillId="0" borderId="9" xfId="0" applyFont="1" applyBorder="1"/>
    <xf numFmtId="0" fontId="0" fillId="0" borderId="33" xfId="0" applyFill="1" applyBorder="1"/>
    <xf numFmtId="0" fontId="0" fillId="0" borderId="8" xfId="0" applyFill="1" applyBorder="1"/>
    <xf numFmtId="0" fontId="0" fillId="0" borderId="27" xfId="0" applyFill="1" applyBorder="1"/>
    <xf numFmtId="0" fontId="28" fillId="0" borderId="3" xfId="0" applyFont="1" applyBorder="1" applyAlignment="1">
      <alignment horizontal="center" vertical="center"/>
    </xf>
    <xf numFmtId="0" fontId="11" fillId="8" borderId="72" xfId="2" applyBorder="1" applyAlignment="1">
      <alignment horizontal="center" vertical="center" wrapText="1"/>
    </xf>
    <xf numFmtId="0" fontId="4" fillId="4" borderId="1" xfId="2" applyFont="1" applyFill="1" applyBorder="1" applyAlignment="1">
      <alignment horizontal="center" vertical="center" wrapText="1"/>
    </xf>
    <xf numFmtId="0" fontId="4" fillId="0" borderId="1" xfId="0" applyFont="1" applyBorder="1" applyAlignment="1">
      <alignment horizontal="left" vertical="center" wrapText="1"/>
    </xf>
    <xf numFmtId="0" fontId="19" fillId="4" borderId="0" xfId="0" applyFont="1" applyFill="1"/>
    <xf numFmtId="0" fontId="4" fillId="6" borderId="28" xfId="0" applyFont="1" applyFill="1" applyBorder="1" applyAlignment="1">
      <alignment vertical="top" wrapText="1"/>
    </xf>
    <xf numFmtId="0" fontId="19" fillId="0" borderId="0" xfId="0" applyFont="1" applyAlignment="1">
      <alignment horizontal="center"/>
    </xf>
    <xf numFmtId="0" fontId="0" fillId="6" borderId="1" xfId="0" applyFill="1" applyBorder="1" applyAlignment="1">
      <alignment horizontal="center" vertical="center"/>
    </xf>
    <xf numFmtId="0" fontId="19" fillId="0" borderId="0" xfId="0" applyFont="1" applyBorder="1"/>
    <xf numFmtId="0" fontId="19" fillId="0" borderId="0" xfId="0" applyFont="1" applyBorder="1" applyAlignment="1">
      <alignment horizontal="left" vertical="center"/>
    </xf>
    <xf numFmtId="0" fontId="19" fillId="0" borderId="0" xfId="0" applyFont="1" applyBorder="1" applyAlignment="1">
      <alignment horizontal="center" vertical="center"/>
    </xf>
    <xf numFmtId="0" fontId="19" fillId="6" borderId="0" xfId="0" applyFont="1" applyFill="1"/>
    <xf numFmtId="0" fontId="10" fillId="0" borderId="24" xfId="0" applyFont="1" applyBorder="1" applyAlignment="1">
      <alignment horizontal="center" vertical="center"/>
    </xf>
    <xf numFmtId="0" fontId="10" fillId="0" borderId="1" xfId="0" applyFont="1" applyBorder="1" applyAlignment="1">
      <alignment horizontal="center" vertical="center"/>
    </xf>
    <xf numFmtId="0" fontId="10" fillId="0" borderId="28" xfId="0" applyFont="1" applyBorder="1" applyAlignment="1">
      <alignment horizontal="center" vertical="center"/>
    </xf>
    <xf numFmtId="0" fontId="10" fillId="0" borderId="25" xfId="0" applyFont="1" applyBorder="1" applyAlignment="1">
      <alignment wrapText="1"/>
    </xf>
    <xf numFmtId="0" fontId="10" fillId="0" borderId="26" xfId="0" applyFont="1" applyBorder="1" applyAlignment="1">
      <alignment wrapText="1"/>
    </xf>
    <xf numFmtId="0" fontId="10" fillId="0" borderId="29" xfId="0" applyFont="1" applyBorder="1" applyAlignment="1">
      <alignment wrapText="1"/>
    </xf>
    <xf numFmtId="0" fontId="10" fillId="0" borderId="24" xfId="0" applyFont="1" applyBorder="1" applyAlignment="1">
      <alignment horizontal="center" vertical="center"/>
    </xf>
    <xf numFmtId="0" fontId="10" fillId="0" borderId="28" xfId="0" applyFont="1" applyBorder="1" applyAlignment="1">
      <alignment horizontal="center" vertical="center"/>
    </xf>
    <xf numFmtId="0" fontId="3" fillId="7" borderId="1" xfId="0" applyFont="1" applyFill="1" applyBorder="1" applyAlignment="1">
      <alignment horizontal="left" vertical="top" wrapText="1"/>
    </xf>
    <xf numFmtId="0" fontId="3" fillId="7" borderId="1" xfId="0" applyFont="1" applyFill="1" applyBorder="1" applyAlignment="1">
      <alignment horizontal="left" vertical="top"/>
    </xf>
    <xf numFmtId="0" fontId="32" fillId="6" borderId="0" xfId="0" applyFont="1" applyFill="1" applyBorder="1" applyAlignment="1">
      <alignment vertical="top" wrapText="1"/>
    </xf>
    <xf numFmtId="0" fontId="4" fillId="6" borderId="0" xfId="0" applyFont="1" applyFill="1" applyAlignment="1">
      <alignment vertical="top" wrapText="1"/>
    </xf>
    <xf numFmtId="0" fontId="0" fillId="6" borderId="0" xfId="0" applyFill="1" applyAlignment="1">
      <alignment vertical="top"/>
    </xf>
    <xf numFmtId="0" fontId="4" fillId="6" borderId="0" xfId="0" applyFont="1" applyFill="1" applyBorder="1" applyAlignment="1">
      <alignment vertical="top" wrapText="1"/>
    </xf>
    <xf numFmtId="0" fontId="0" fillId="6" borderId="0" xfId="0" applyFill="1" applyBorder="1" applyAlignment="1"/>
    <xf numFmtId="0" fontId="10" fillId="0" borderId="24" xfId="0" applyFont="1" applyBorder="1" applyAlignment="1">
      <alignment horizontal="center" vertical="center"/>
    </xf>
    <xf numFmtId="0" fontId="10" fillId="0" borderId="28" xfId="0" applyFont="1" applyBorder="1" applyAlignment="1">
      <alignment horizontal="center" vertical="center"/>
    </xf>
    <xf numFmtId="0" fontId="10" fillId="0" borderId="10" xfId="0" quotePrefix="1" applyFont="1" applyFill="1" applyBorder="1" applyAlignment="1">
      <alignment horizontal="center" vertical="center" wrapText="1"/>
    </xf>
    <xf numFmtId="0" fontId="11" fillId="8" borderId="73" xfId="2" applyBorder="1" applyAlignment="1">
      <alignment horizontal="center" vertical="center" wrapText="1"/>
    </xf>
    <xf numFmtId="0" fontId="11" fillId="8" borderId="24" xfId="2" applyBorder="1" applyAlignment="1">
      <alignment horizontal="center" vertical="center"/>
    </xf>
    <xf numFmtId="0" fontId="4" fillId="0" borderId="0" xfId="0" applyFont="1" applyBorder="1" applyAlignment="1">
      <alignment horizontal="center"/>
    </xf>
    <xf numFmtId="0" fontId="0" fillId="0" borderId="0" xfId="0" applyAlignment="1">
      <alignment wrapText="1"/>
    </xf>
    <xf numFmtId="0" fontId="0" fillId="5" borderId="1" xfId="0" applyFill="1" applyBorder="1"/>
    <xf numFmtId="0" fontId="0" fillId="0" borderId="0" xfId="0" applyBorder="1" applyAlignment="1">
      <alignment horizontal="center"/>
    </xf>
    <xf numFmtId="0" fontId="0" fillId="6" borderId="14" xfId="0" applyFill="1" applyBorder="1"/>
    <xf numFmtId="0" fontId="4" fillId="0" borderId="33" xfId="0" applyFont="1" applyBorder="1" applyAlignment="1">
      <alignment horizontal="center" wrapText="1"/>
    </xf>
    <xf numFmtId="0" fontId="4" fillId="0" borderId="8" xfId="0" applyFont="1" applyBorder="1" applyAlignment="1">
      <alignment horizontal="center" wrapText="1"/>
    </xf>
    <xf numFmtId="0" fontId="11" fillId="8" borderId="1" xfId="2" applyBorder="1" applyAlignment="1">
      <alignment horizontal="center" wrapText="1"/>
    </xf>
    <xf numFmtId="0" fontId="38" fillId="0" borderId="0" xfId="0" applyFont="1"/>
    <xf numFmtId="0" fontId="4" fillId="0" borderId="9" xfId="0" applyFont="1" applyBorder="1" applyAlignment="1">
      <alignment horizontal="center" wrapText="1"/>
    </xf>
    <xf numFmtId="0" fontId="11" fillId="8" borderId="28" xfId="2" applyBorder="1" applyAlignment="1">
      <alignment horizontal="center" vertical="center"/>
    </xf>
    <xf numFmtId="0" fontId="11" fillId="8" borderId="28" xfId="2" applyBorder="1" applyAlignment="1">
      <alignment horizontal="center" wrapText="1"/>
    </xf>
    <xf numFmtId="0" fontId="38" fillId="13" borderId="14" xfId="0" applyFont="1" applyFill="1" applyBorder="1"/>
    <xf numFmtId="0" fontId="38" fillId="13" borderId="75" xfId="0" applyFont="1" applyFill="1" applyBorder="1" applyAlignment="1">
      <alignment horizontal="center"/>
    </xf>
    <xf numFmtId="0" fontId="38" fillId="13" borderId="2" xfId="0" applyFont="1" applyFill="1" applyBorder="1" applyAlignment="1">
      <alignment horizontal="center"/>
    </xf>
    <xf numFmtId="0" fontId="38" fillId="13" borderId="15" xfId="0" applyFont="1" applyFill="1" applyBorder="1" applyAlignment="1">
      <alignment horizontal="center"/>
    </xf>
    <xf numFmtId="0" fontId="38" fillId="13" borderId="8" xfId="0" applyFont="1" applyFill="1" applyBorder="1" applyAlignment="1">
      <alignment wrapText="1"/>
    </xf>
    <xf numFmtId="0" fontId="39" fillId="13" borderId="76" xfId="2" applyFont="1" applyFill="1" applyBorder="1" applyAlignment="1">
      <alignment horizontal="center"/>
    </xf>
    <xf numFmtId="0" fontId="39" fillId="13" borderId="72" xfId="2" applyFont="1" applyFill="1" applyBorder="1" applyAlignment="1">
      <alignment horizontal="center"/>
    </xf>
    <xf numFmtId="0" fontId="39" fillId="13" borderId="39" xfId="2" applyFont="1" applyFill="1" applyBorder="1" applyAlignment="1">
      <alignment horizontal="center"/>
    </xf>
    <xf numFmtId="0" fontId="2" fillId="13" borderId="8" xfId="0" applyFont="1" applyFill="1" applyBorder="1" applyAlignment="1">
      <alignment horizontal="right" wrapText="1"/>
    </xf>
    <xf numFmtId="0" fontId="39" fillId="13" borderId="1" xfId="2" applyFont="1" applyFill="1" applyBorder="1" applyAlignment="1">
      <alignment horizontal="center"/>
    </xf>
    <xf numFmtId="0" fontId="0" fillId="13" borderId="26" xfId="0" applyFill="1" applyBorder="1"/>
    <xf numFmtId="0" fontId="39" fillId="13" borderId="22" xfId="2" applyFont="1" applyFill="1" applyBorder="1" applyAlignment="1">
      <alignment horizontal="center"/>
    </xf>
    <xf numFmtId="0" fontId="0" fillId="13" borderId="14" xfId="0" applyFill="1" applyBorder="1"/>
    <xf numFmtId="0" fontId="0" fillId="13" borderId="0" xfId="0" applyFill="1" applyBorder="1"/>
    <xf numFmtId="0" fontId="0" fillId="13" borderId="15" xfId="0" applyFill="1" applyBorder="1"/>
    <xf numFmtId="0" fontId="38" fillId="13" borderId="8" xfId="0" applyFont="1" applyFill="1" applyBorder="1" applyAlignment="1">
      <alignment horizontal="left" wrapText="1"/>
    </xf>
    <xf numFmtId="0" fontId="4" fillId="0" borderId="0" xfId="0" applyFont="1" applyAlignment="1">
      <alignment horizontal="center" wrapText="1"/>
    </xf>
    <xf numFmtId="0" fontId="0" fillId="13" borderId="26" xfId="0" applyFill="1" applyBorder="1" applyAlignment="1">
      <alignment horizontal="center"/>
    </xf>
    <xf numFmtId="0" fontId="38" fillId="13" borderId="9" xfId="0" applyFont="1" applyFill="1" applyBorder="1" applyAlignment="1">
      <alignment wrapText="1"/>
    </xf>
    <xf numFmtId="0" fontId="39" fillId="13" borderId="35" xfId="2" applyFont="1" applyFill="1" applyBorder="1" applyAlignment="1">
      <alignment horizontal="center"/>
    </xf>
    <xf numFmtId="0" fontId="39" fillId="13" borderId="78" xfId="2" applyFont="1" applyFill="1" applyBorder="1" applyAlignment="1">
      <alignment horizontal="center"/>
    </xf>
    <xf numFmtId="0" fontId="2" fillId="13" borderId="8" xfId="0" applyFont="1" applyFill="1" applyBorder="1" applyAlignment="1">
      <alignment horizontal="right"/>
    </xf>
    <xf numFmtId="0" fontId="39" fillId="13" borderId="26" xfId="2" applyFont="1" applyFill="1" applyBorder="1" applyAlignment="1">
      <alignment horizontal="center"/>
    </xf>
    <xf numFmtId="0" fontId="0" fillId="0" borderId="0" xfId="0" applyAlignment="1">
      <alignment horizontal="center" wrapText="1"/>
    </xf>
    <xf numFmtId="0" fontId="38" fillId="13" borderId="33" xfId="0" applyFont="1" applyFill="1" applyBorder="1" applyAlignment="1">
      <alignment wrapText="1"/>
    </xf>
    <xf numFmtId="0" fontId="38" fillId="13" borderId="24" xfId="0" applyFont="1" applyFill="1" applyBorder="1" applyAlignment="1">
      <alignment horizontal="center"/>
    </xf>
    <xf numFmtId="0" fontId="38" fillId="13" borderId="25" xfId="0" applyFont="1" applyFill="1" applyBorder="1" applyAlignment="1">
      <alignment horizontal="center"/>
    </xf>
    <xf numFmtId="0" fontId="2" fillId="13" borderId="9" xfId="0" applyFont="1" applyFill="1" applyBorder="1" applyAlignment="1">
      <alignment horizontal="right"/>
    </xf>
    <xf numFmtId="0" fontId="39" fillId="13" borderId="28" xfId="2" applyFont="1" applyFill="1" applyBorder="1" applyAlignment="1">
      <alignment horizontal="center" vertical="center"/>
    </xf>
    <xf numFmtId="0" fontId="39" fillId="13" borderId="29" xfId="2" applyFont="1" applyFill="1" applyBorder="1" applyAlignment="1">
      <alignment horizontal="center"/>
    </xf>
    <xf numFmtId="0" fontId="3" fillId="6" borderId="0" xfId="0" applyFont="1" applyFill="1"/>
    <xf numFmtId="0" fontId="4" fillId="6" borderId="0" xfId="0" applyFont="1" applyFill="1" applyAlignment="1">
      <alignment horizontal="left" vertical="center"/>
    </xf>
    <xf numFmtId="0" fontId="4" fillId="6" borderId="0" xfId="0" applyFont="1" applyFill="1" applyBorder="1" applyAlignment="1">
      <alignment horizontal="left" vertical="center" wrapText="1"/>
    </xf>
    <xf numFmtId="0" fontId="4" fillId="6" borderId="0" xfId="0" applyFont="1" applyFill="1" applyAlignment="1">
      <alignment horizontal="left"/>
    </xf>
    <xf numFmtId="0" fontId="0" fillId="11" borderId="6" xfId="0" applyFill="1" applyBorder="1" applyAlignment="1">
      <alignment wrapText="1"/>
    </xf>
    <xf numFmtId="0" fontId="0" fillId="11" borderId="7" xfId="0" applyFill="1" applyBorder="1" applyAlignment="1">
      <alignment wrapText="1"/>
    </xf>
    <xf numFmtId="0" fontId="0" fillId="11" borderId="0" xfId="0" applyFill="1" applyBorder="1" applyAlignment="1">
      <alignment wrapText="1"/>
    </xf>
    <xf numFmtId="0" fontId="0" fillId="11" borderId="15" xfId="0" applyFill="1" applyBorder="1" applyAlignment="1">
      <alignment wrapText="1"/>
    </xf>
    <xf numFmtId="0" fontId="41" fillId="6" borderId="20" xfId="0" applyFont="1" applyFill="1" applyBorder="1" applyAlignment="1">
      <alignment horizontal="center" vertical="center" wrapText="1"/>
    </xf>
    <xf numFmtId="0" fontId="0" fillId="6" borderId="16" xfId="0" applyFill="1" applyBorder="1"/>
    <xf numFmtId="0" fontId="0" fillId="6" borderId="17" xfId="0" applyFill="1" applyBorder="1"/>
    <xf numFmtId="0" fontId="40" fillId="5" borderId="29" xfId="0" applyFont="1" applyFill="1" applyBorder="1" applyAlignment="1">
      <alignment horizontal="center"/>
    </xf>
    <xf numFmtId="0" fontId="3" fillId="0" borderId="4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1" xfId="0" applyFont="1" applyBorder="1" applyAlignment="1">
      <alignment horizontal="center" vertical="center" wrapText="1"/>
    </xf>
    <xf numFmtId="0" fontId="43" fillId="0" borderId="25" xfId="0" applyFont="1" applyBorder="1" applyAlignment="1">
      <alignment horizontal="center" vertical="center" wrapText="1"/>
    </xf>
    <xf numFmtId="0" fontId="43" fillId="0" borderId="20" xfId="0" applyFont="1" applyBorder="1" applyAlignment="1">
      <alignment horizontal="center" vertical="center" wrapText="1"/>
    </xf>
    <xf numFmtId="0" fontId="4" fillId="0" borderId="27" xfId="0" applyFont="1" applyBorder="1" applyAlignment="1">
      <alignment horizontal="center" wrapText="1"/>
    </xf>
    <xf numFmtId="0" fontId="43" fillId="0" borderId="29" xfId="0" applyFont="1" applyBorder="1" applyAlignment="1">
      <alignment horizontal="center" wrapText="1"/>
    </xf>
    <xf numFmtId="0" fontId="41" fillId="6" borderId="7" xfId="0" applyFont="1" applyFill="1" applyBorder="1" applyAlignment="1">
      <alignment horizontal="center" wrapText="1"/>
    </xf>
    <xf numFmtId="0" fontId="11" fillId="8" borderId="24" xfId="2" applyBorder="1" applyAlignment="1">
      <alignment horizontal="center" wrapText="1"/>
    </xf>
    <xf numFmtId="0" fontId="40" fillId="5" borderId="25" xfId="0" applyFont="1" applyFill="1" applyBorder="1" applyAlignment="1">
      <alignment horizontal="center" wrapText="1"/>
    </xf>
    <xf numFmtId="0" fontId="38" fillId="11" borderId="15" xfId="0" applyFont="1" applyFill="1" applyBorder="1"/>
    <xf numFmtId="0" fontId="40" fillId="5" borderId="26" xfId="0" applyFont="1" applyFill="1" applyBorder="1" applyAlignment="1">
      <alignment horizontal="center" wrapText="1"/>
    </xf>
    <xf numFmtId="0" fontId="40" fillId="5" borderId="29" xfId="0" applyFont="1" applyFill="1" applyBorder="1" applyAlignment="1">
      <alignment horizontal="center" wrapText="1"/>
    </xf>
    <xf numFmtId="0" fontId="3" fillId="11" borderId="14" xfId="0" applyFont="1" applyFill="1" applyBorder="1" applyAlignment="1">
      <alignment horizontal="center"/>
    </xf>
    <xf numFmtId="0" fontId="0" fillId="11" borderId="0" xfId="0" applyFill="1" applyBorder="1"/>
    <xf numFmtId="0" fontId="0" fillId="11" borderId="0" xfId="0" applyFill="1" applyBorder="1" applyAlignment="1">
      <alignment horizontal="center"/>
    </xf>
    <xf numFmtId="0" fontId="4" fillId="11" borderId="16" xfId="0" applyFont="1" applyFill="1" applyBorder="1"/>
    <xf numFmtId="0" fontId="0" fillId="11" borderId="17" xfId="0" applyFill="1" applyBorder="1"/>
    <xf numFmtId="0" fontId="0" fillId="11" borderId="17" xfId="0" applyFill="1" applyBorder="1" applyAlignment="1">
      <alignment wrapText="1"/>
    </xf>
    <xf numFmtId="0" fontId="0" fillId="11" borderId="18" xfId="0" applyFill="1" applyBorder="1" applyAlignment="1">
      <alignment wrapText="1"/>
    </xf>
    <xf numFmtId="0" fontId="3" fillId="0" borderId="0" xfId="0" applyFont="1" applyFill="1" applyBorder="1" applyAlignment="1"/>
    <xf numFmtId="0" fontId="39" fillId="13" borderId="77" xfId="2" applyFont="1" applyFill="1" applyBorder="1" applyAlignment="1">
      <alignment horizontal="center"/>
    </xf>
    <xf numFmtId="0" fontId="39" fillId="13" borderId="22" xfId="2" applyFont="1" applyFill="1" applyBorder="1" applyAlignment="1">
      <alignment horizontal="center" vertical="center"/>
    </xf>
    <xf numFmtId="0" fontId="39" fillId="13" borderId="39" xfId="2" applyFont="1" applyFill="1" applyBorder="1" applyAlignment="1">
      <alignment horizontal="center" vertical="center"/>
    </xf>
    <xf numFmtId="0" fontId="39" fillId="13" borderId="35" xfId="2" applyFont="1" applyFill="1" applyBorder="1" applyAlignment="1">
      <alignment horizontal="center" vertical="center"/>
    </xf>
    <xf numFmtId="0" fontId="39" fillId="13" borderId="78" xfId="2" applyFont="1" applyFill="1" applyBorder="1" applyAlignment="1">
      <alignment horizontal="center" vertical="center"/>
    </xf>
    <xf numFmtId="0" fontId="38" fillId="13" borderId="1" xfId="0" applyFont="1" applyFill="1" applyBorder="1" applyAlignment="1">
      <alignment wrapText="1"/>
    </xf>
    <xf numFmtId="0" fontId="39" fillId="13" borderId="1" xfId="2" applyFont="1" applyFill="1" applyBorder="1" applyAlignment="1">
      <alignment horizontal="center" vertical="center"/>
    </xf>
    <xf numFmtId="0" fontId="3" fillId="0" borderId="4" xfId="0" applyFont="1" applyBorder="1"/>
    <xf numFmtId="0" fontId="3" fillId="5" borderId="3" xfId="0" applyFont="1" applyFill="1" applyBorder="1" applyAlignment="1">
      <alignment horizontal="center" vertical="top" wrapText="1"/>
    </xf>
    <xf numFmtId="0" fontId="44" fillId="0" borderId="33" xfId="0" applyFont="1" applyBorder="1" applyAlignment="1">
      <alignment vertical="center" wrapText="1"/>
    </xf>
    <xf numFmtId="0" fontId="44" fillId="0" borderId="70" xfId="0" applyFont="1" applyBorder="1" applyAlignment="1">
      <alignment vertical="center" wrapText="1"/>
    </xf>
    <xf numFmtId="0" fontId="0" fillId="4" borderId="1" xfId="0" applyFill="1" applyBorder="1" applyAlignment="1">
      <alignment horizontal="center" vertical="center"/>
    </xf>
    <xf numFmtId="0" fontId="4" fillId="0" borderId="11" xfId="3" applyFont="1" applyBorder="1" applyAlignment="1">
      <alignment horizontal="left" wrapText="1"/>
    </xf>
    <xf numFmtId="0" fontId="15" fillId="10" borderId="1" xfId="3" applyFont="1" applyFill="1" applyBorder="1" applyAlignment="1">
      <alignment horizontal="center" vertical="center"/>
    </xf>
    <xf numFmtId="0" fontId="4" fillId="0" borderId="32" xfId="0" applyFont="1" applyBorder="1" applyAlignment="1">
      <alignment horizontal="left" vertical="center" wrapText="1"/>
    </xf>
    <xf numFmtId="0" fontId="4" fillId="0" borderId="10" xfId="0" quotePrefix="1" applyFont="1" applyBorder="1" applyAlignment="1">
      <alignment horizontal="center" vertical="center" wrapText="1"/>
    </xf>
    <xf numFmtId="0" fontId="0" fillId="6" borderId="15" xfId="0" applyFill="1" applyBorder="1"/>
    <xf numFmtId="0" fontId="4" fillId="0" borderId="51" xfId="3" applyFont="1" applyBorder="1" applyAlignment="1">
      <alignment horizontal="left" vertical="center" wrapText="1"/>
    </xf>
    <xf numFmtId="0" fontId="11" fillId="8" borderId="69" xfId="2" applyBorder="1" applyAlignment="1">
      <alignment horizontal="center" vertical="center" wrapText="1"/>
    </xf>
    <xf numFmtId="0" fontId="4" fillId="0" borderId="69" xfId="3" applyFont="1" applyBorder="1" applyAlignment="1">
      <alignment horizontal="left" wrapText="1"/>
    </xf>
    <xf numFmtId="0" fontId="0" fillId="6" borderId="41" xfId="0" applyFill="1" applyBorder="1"/>
    <xf numFmtId="0" fontId="18" fillId="0" borderId="69" xfId="2" applyFont="1" applyFill="1" applyBorder="1" applyAlignment="1">
      <alignment horizontal="center" vertical="center" wrapText="1"/>
    </xf>
    <xf numFmtId="0" fontId="0" fillId="4" borderId="6" xfId="0" applyFill="1" applyBorder="1" applyAlignment="1">
      <alignment horizontal="center" vertical="center"/>
    </xf>
    <xf numFmtId="0" fontId="44" fillId="0" borderId="67" xfId="0" applyFont="1" applyBorder="1" applyAlignment="1">
      <alignment vertical="center" wrapText="1"/>
    </xf>
    <xf numFmtId="0" fontId="4" fillId="0" borderId="0" xfId="0" applyFont="1" applyBorder="1" applyAlignment="1">
      <alignment horizontal="center"/>
    </xf>
    <xf numFmtId="0" fontId="0" fillId="0" borderId="0" xfId="0" applyAlignment="1">
      <alignment wrapText="1"/>
    </xf>
    <xf numFmtId="0" fontId="4" fillId="11" borderId="0" xfId="0" applyFont="1" applyFill="1" applyBorder="1" applyAlignment="1">
      <alignment wrapText="1"/>
    </xf>
    <xf numFmtId="0" fontId="40" fillId="6" borderId="25" xfId="0" applyFont="1" applyFill="1" applyBorder="1" applyAlignment="1">
      <alignment horizontal="center" wrapText="1"/>
    </xf>
    <xf numFmtId="0" fontId="40" fillId="6" borderId="26" xfId="0" applyFont="1" applyFill="1" applyBorder="1" applyAlignment="1">
      <alignment horizontal="center" wrapText="1"/>
    </xf>
    <xf numFmtId="0" fontId="3" fillId="6" borderId="7" xfId="0" applyFont="1" applyFill="1" applyBorder="1" applyAlignment="1">
      <alignment horizontal="center" wrapText="1"/>
    </xf>
    <xf numFmtId="0" fontId="49" fillId="11" borderId="15" xfId="0" applyFont="1" applyFill="1" applyBorder="1" applyAlignment="1">
      <alignment wrapText="1"/>
    </xf>
    <xf numFmtId="0" fontId="39" fillId="13" borderId="65" xfId="2" applyFont="1" applyFill="1" applyBorder="1" applyAlignment="1">
      <alignment horizontal="center" vertical="center"/>
    </xf>
    <xf numFmtId="0" fontId="39" fillId="13" borderId="24" xfId="2" applyFont="1" applyFill="1" applyBorder="1" applyAlignment="1">
      <alignment horizontal="center"/>
    </xf>
    <xf numFmtId="0" fontId="39" fillId="13" borderId="28" xfId="2" applyFont="1" applyFill="1" applyBorder="1" applyAlignment="1">
      <alignment horizontal="center"/>
    </xf>
    <xf numFmtId="0" fontId="39" fillId="13" borderId="26" xfId="2" applyFont="1" applyFill="1" applyBorder="1" applyAlignment="1">
      <alignment horizontal="center" vertical="center"/>
    </xf>
    <xf numFmtId="0" fontId="39" fillId="13" borderId="29" xfId="2" applyFont="1" applyFill="1" applyBorder="1" applyAlignment="1">
      <alignment horizontal="center" vertical="center"/>
    </xf>
    <xf numFmtId="0" fontId="3" fillId="0" borderId="83" xfId="0" applyFont="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4" fillId="0" borderId="90" xfId="0" applyFont="1" applyBorder="1" applyAlignment="1">
      <alignment horizontal="center" wrapText="1"/>
    </xf>
    <xf numFmtId="0" fontId="4" fillId="0" borderId="92" xfId="0" applyFont="1" applyBorder="1" applyAlignment="1">
      <alignment horizontal="center" wrapText="1"/>
    </xf>
    <xf numFmtId="0" fontId="4" fillId="0" borderId="93" xfId="0" applyFont="1" applyBorder="1" applyAlignment="1">
      <alignment horizontal="center" wrapText="1"/>
    </xf>
    <xf numFmtId="0" fontId="4" fillId="0" borderId="94" xfId="0" applyFont="1" applyBorder="1" applyAlignment="1">
      <alignment horizontal="center" wrapText="1"/>
    </xf>
    <xf numFmtId="0" fontId="3" fillId="0" borderId="96" xfId="0" applyFont="1" applyBorder="1" applyAlignment="1">
      <alignment horizontal="center" vertical="center" wrapText="1"/>
    </xf>
    <xf numFmtId="0" fontId="4" fillId="0" borderId="97" xfId="0" applyFont="1" applyBorder="1" applyAlignment="1">
      <alignment horizontal="center" wrapText="1"/>
    </xf>
    <xf numFmtId="0" fontId="11" fillId="8" borderId="98" xfId="2" applyBorder="1" applyAlignment="1">
      <alignment horizontal="center" vertical="center"/>
    </xf>
    <xf numFmtId="0" fontId="11" fillId="8" borderId="98" xfId="2" applyBorder="1" applyAlignment="1">
      <alignment horizontal="center" wrapText="1"/>
    </xf>
    <xf numFmtId="0" fontId="40" fillId="5" borderId="99" xfId="0" applyFont="1" applyFill="1" applyBorder="1" applyAlignment="1">
      <alignment horizontal="center" wrapText="1"/>
    </xf>
    <xf numFmtId="0" fontId="47" fillId="11" borderId="14" xfId="0" applyFont="1" applyFill="1" applyBorder="1" applyAlignment="1"/>
    <xf numFmtId="0" fontId="47" fillId="11" borderId="0" xfId="0" applyFont="1" applyFill="1" applyBorder="1" applyAlignment="1"/>
    <xf numFmtId="0" fontId="3" fillId="0" borderId="104" xfId="0" applyFont="1" applyBorder="1" applyAlignment="1">
      <alignment horizontal="center" vertical="center" wrapText="1"/>
    </xf>
    <xf numFmtId="0" fontId="3" fillId="0" borderId="105" xfId="0" applyFont="1" applyBorder="1" applyAlignment="1">
      <alignment horizontal="center" vertical="center" wrapText="1"/>
    </xf>
    <xf numFmtId="0" fontId="3" fillId="0" borderId="106" xfId="0" applyFont="1" applyBorder="1" applyAlignment="1">
      <alignment horizontal="center" vertical="center" wrapText="1"/>
    </xf>
    <xf numFmtId="0" fontId="4" fillId="0" borderId="111" xfId="0" applyFont="1" applyBorder="1" applyAlignment="1">
      <alignment horizontal="center" wrapText="1"/>
    </xf>
    <xf numFmtId="0" fontId="4" fillId="0" borderId="113" xfId="0" applyFont="1" applyBorder="1" applyAlignment="1">
      <alignment horizontal="center" wrapText="1"/>
    </xf>
    <xf numFmtId="0" fontId="4" fillId="0" borderId="114" xfId="0" applyFont="1" applyBorder="1" applyAlignment="1">
      <alignment horizontal="center" wrapText="1"/>
    </xf>
    <xf numFmtId="0" fontId="4" fillId="0" borderId="115" xfId="0" applyFont="1" applyBorder="1" applyAlignment="1">
      <alignment horizontal="center" wrapText="1"/>
    </xf>
    <xf numFmtId="0" fontId="3" fillId="0" borderId="117" xfId="0" applyFont="1" applyBorder="1" applyAlignment="1">
      <alignment horizontal="center" vertical="center" wrapText="1"/>
    </xf>
    <xf numFmtId="0" fontId="4" fillId="0" borderId="118" xfId="0" applyFont="1" applyBorder="1" applyAlignment="1">
      <alignment horizontal="center" wrapText="1"/>
    </xf>
    <xf numFmtId="0" fontId="11" fillId="8" borderId="119" xfId="2" applyBorder="1" applyAlignment="1">
      <alignment horizontal="center" vertical="center"/>
    </xf>
    <xf numFmtId="0" fontId="11" fillId="8" borderId="119" xfId="2" applyBorder="1" applyAlignment="1">
      <alignment horizontal="center" wrapText="1"/>
    </xf>
    <xf numFmtId="0" fontId="40" fillId="6" borderId="120" xfId="0" applyFont="1" applyFill="1" applyBorder="1" applyAlignment="1">
      <alignment horizontal="center" wrapText="1"/>
    </xf>
    <xf numFmtId="0" fontId="4" fillId="6" borderId="1" xfId="0" quotePrefix="1" applyFont="1" applyFill="1" applyBorder="1" applyAlignment="1">
      <alignment horizontal="left" vertical="top" wrapText="1"/>
    </xf>
    <xf numFmtId="0" fontId="4" fillId="6" borderId="1" xfId="0" applyFont="1" applyFill="1" applyBorder="1" applyAlignment="1">
      <alignment horizontal="left" vertical="top" wrapText="1"/>
    </xf>
    <xf numFmtId="0" fontId="4" fillId="0" borderId="1" xfId="0" applyFont="1" applyBorder="1" applyAlignment="1">
      <alignment horizontal="left" vertical="center" wrapText="1"/>
    </xf>
    <xf numFmtId="0" fontId="18" fillId="0" borderId="23" xfId="2" applyFont="1" applyFill="1" applyBorder="1" applyAlignment="1">
      <alignment horizontal="center" vertical="center" wrapText="1"/>
    </xf>
    <xf numFmtId="0" fontId="18" fillId="0" borderId="10" xfId="2" applyFont="1" applyFill="1" applyBorder="1" applyAlignment="1">
      <alignment horizontal="center" vertical="center" wrapText="1"/>
    </xf>
    <xf numFmtId="0" fontId="4" fillId="0" borderId="10" xfId="2" applyFont="1" applyFill="1" applyBorder="1" applyAlignment="1">
      <alignment horizontal="center" vertical="center"/>
    </xf>
    <xf numFmtId="0" fontId="11" fillId="8" borderId="125" xfId="2" applyBorder="1" applyAlignment="1">
      <alignment horizontal="center" vertical="center" wrapText="1"/>
    </xf>
    <xf numFmtId="0" fontId="22" fillId="6" borderId="0" xfId="0" applyFont="1" applyFill="1"/>
    <xf numFmtId="0" fontId="4" fillId="0" borderId="0" xfId="0" applyFont="1" applyFill="1"/>
    <xf numFmtId="0" fontId="53" fillId="6" borderId="1" xfId="0" applyFont="1" applyFill="1" applyBorder="1" applyAlignment="1">
      <alignment vertical="top" wrapText="1"/>
    </xf>
    <xf numFmtId="0" fontId="32" fillId="6" borderId="1" xfId="0" applyFont="1" applyFill="1" applyBorder="1" applyAlignment="1">
      <alignment horizontal="center" vertical="top" wrapText="1"/>
    </xf>
    <xf numFmtId="0" fontId="4" fillId="6" borderId="1" xfId="3" applyFont="1" applyFill="1" applyBorder="1" applyAlignment="1">
      <alignment horizontal="center" vertical="center"/>
    </xf>
    <xf numFmtId="0" fontId="18" fillId="6" borderId="35" xfId="2" applyFont="1" applyFill="1" applyBorder="1" applyAlignment="1">
      <alignment horizontal="center" vertical="center" wrapText="1"/>
    </xf>
    <xf numFmtId="0" fontId="3" fillId="5" borderId="1" xfId="0" applyFont="1" applyFill="1" applyBorder="1" applyAlignment="1">
      <alignment horizontal="left" vertical="top" wrapText="1"/>
    </xf>
    <xf numFmtId="0" fontId="10" fillId="0" borderId="24" xfId="0" applyFont="1" applyBorder="1" applyAlignment="1">
      <alignment horizontal="center" vertical="center"/>
    </xf>
    <xf numFmtId="0" fontId="10" fillId="0" borderId="1" xfId="0" applyFont="1" applyBorder="1" applyAlignment="1">
      <alignment horizontal="center" vertical="center"/>
    </xf>
    <xf numFmtId="0" fontId="10" fillId="0" borderId="28" xfId="0" applyFont="1" applyBorder="1" applyAlignment="1">
      <alignment horizontal="center" vertical="center"/>
    </xf>
    <xf numFmtId="0" fontId="10" fillId="6" borderId="0" xfId="0" applyFont="1" applyFill="1" applyBorder="1" applyAlignment="1">
      <alignment horizontal="center" vertical="center"/>
    </xf>
    <xf numFmtId="0" fontId="10" fillId="0" borderId="24" xfId="0" applyFont="1" applyBorder="1" applyAlignment="1">
      <alignment horizontal="center" vertical="center" wrapText="1"/>
    </xf>
    <xf numFmtId="0" fontId="10" fillId="0" borderId="1" xfId="0" applyFont="1" applyBorder="1" applyAlignment="1">
      <alignment horizontal="center" vertical="center" wrapText="1"/>
    </xf>
    <xf numFmtId="0" fontId="10" fillId="0" borderId="28" xfId="0" applyFont="1" applyBorder="1" applyAlignment="1">
      <alignment horizontal="center" vertical="center" wrapText="1"/>
    </xf>
    <xf numFmtId="0" fontId="11" fillId="8" borderId="22" xfId="2" quotePrefix="1" applyAlignment="1">
      <alignment horizontal="center" vertical="center" wrapText="1"/>
    </xf>
    <xf numFmtId="0" fontId="11" fillId="8" borderId="126" xfId="2" quotePrefix="1" applyBorder="1" applyAlignment="1">
      <alignment horizontal="center" vertical="center"/>
    </xf>
    <xf numFmtId="0" fontId="4" fillId="0" borderId="0" xfId="3"/>
    <xf numFmtId="0" fontId="11" fillId="8" borderId="127" xfId="2" quotePrefix="1" applyBorder="1" applyAlignment="1">
      <alignment horizontal="center" vertical="center" wrapText="1"/>
    </xf>
    <xf numFmtId="0" fontId="1" fillId="16" borderId="1" xfId="5" applyBorder="1" applyAlignment="1">
      <alignment horizontal="center" vertical="center"/>
    </xf>
    <xf numFmtId="0" fontId="1" fillId="16" borderId="28" xfId="5" applyBorder="1" applyAlignment="1">
      <alignment horizontal="center" vertical="center"/>
    </xf>
    <xf numFmtId="0" fontId="5" fillId="6" borderId="1" xfId="0" applyFont="1" applyFill="1" applyBorder="1" applyAlignment="1">
      <alignment horizontal="center"/>
    </xf>
    <xf numFmtId="0" fontId="4" fillId="0" borderId="23" xfId="0" applyFont="1" applyBorder="1" applyAlignment="1">
      <alignment horizontal="center" vertical="center"/>
    </xf>
    <xf numFmtId="0" fontId="4" fillId="0" borderId="13" xfId="0" applyFont="1" applyBorder="1" applyAlignment="1">
      <alignment horizontal="center" vertical="center"/>
    </xf>
    <xf numFmtId="0" fontId="0" fillId="0" borderId="30" xfId="0" applyBorder="1" applyAlignment="1">
      <alignment horizontal="center" vertical="center"/>
    </xf>
    <xf numFmtId="0" fontId="0" fillId="0" borderId="23" xfId="0" applyBorder="1" applyAlignment="1">
      <alignment horizontal="center" vertical="center"/>
    </xf>
    <xf numFmtId="0" fontId="0" fillId="0" borderId="13" xfId="0" applyBorder="1" applyAlignment="1">
      <alignment horizontal="center" vertical="center"/>
    </xf>
    <xf numFmtId="0" fontId="0" fillId="0" borderId="31" xfId="0" applyBorder="1" applyAlignment="1">
      <alignment horizontal="center" vertical="center"/>
    </xf>
    <xf numFmtId="0" fontId="0" fillId="0" borderId="34" xfId="0" applyBorder="1" applyAlignment="1">
      <alignment horizontal="center" vertical="center"/>
    </xf>
    <xf numFmtId="0" fontId="0" fillId="0" borderId="21" xfId="0" applyBorder="1" applyAlignment="1">
      <alignment horizontal="center" vertical="center"/>
    </xf>
    <xf numFmtId="0" fontId="31" fillId="11" borderId="4" xfId="0" applyFont="1" applyFill="1" applyBorder="1" applyAlignment="1">
      <alignment horizontal="center"/>
    </xf>
    <xf numFmtId="0" fontId="31" fillId="11" borderId="41" xfId="0" applyFont="1" applyFill="1" applyBorder="1" applyAlignment="1">
      <alignment horizontal="center"/>
    </xf>
    <xf numFmtId="0" fontId="31" fillId="11" borderId="40" xfId="0" applyFont="1" applyFill="1" applyBorder="1" applyAlignment="1">
      <alignment horizontal="center"/>
    </xf>
    <xf numFmtId="0" fontId="4" fillId="0" borderId="23" xfId="0" applyFont="1" applyFill="1" applyBorder="1" applyAlignment="1">
      <alignment horizontal="center" vertical="center"/>
    </xf>
    <xf numFmtId="0" fontId="4" fillId="0" borderId="13" xfId="0" applyFont="1" applyFill="1" applyBorder="1" applyAlignment="1">
      <alignment horizontal="center" vertical="center"/>
    </xf>
    <xf numFmtId="0" fontId="4" fillId="0" borderId="30" xfId="0" applyFont="1" applyFill="1" applyBorder="1" applyAlignment="1">
      <alignment horizontal="center" vertical="center"/>
    </xf>
    <xf numFmtId="0" fontId="0" fillId="0" borderId="23" xfId="0" applyFill="1" applyBorder="1" applyAlignment="1">
      <alignment horizontal="center" vertical="center"/>
    </xf>
    <xf numFmtId="0" fontId="0" fillId="0" borderId="13" xfId="0" applyFill="1" applyBorder="1" applyAlignment="1">
      <alignment horizontal="center" vertical="center"/>
    </xf>
    <xf numFmtId="0" fontId="0" fillId="0" borderId="30" xfId="0" applyFill="1" applyBorder="1" applyAlignment="1">
      <alignment horizontal="center" vertical="center"/>
    </xf>
    <xf numFmtId="0" fontId="0" fillId="0" borderId="31" xfId="0" applyFill="1" applyBorder="1" applyAlignment="1">
      <alignment horizontal="center" vertical="center"/>
    </xf>
    <xf numFmtId="0" fontId="0" fillId="0" borderId="34" xfId="0" applyFill="1" applyBorder="1" applyAlignment="1">
      <alignment horizontal="center" vertical="center"/>
    </xf>
    <xf numFmtId="0" fontId="0" fillId="0" borderId="21" xfId="0" applyFill="1" applyBorder="1" applyAlignment="1">
      <alignment horizontal="center" vertical="center"/>
    </xf>
    <xf numFmtId="0" fontId="4" fillId="0" borderId="24"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28" xfId="0" applyFont="1" applyFill="1" applyBorder="1" applyAlignment="1">
      <alignment horizontal="center" vertical="center"/>
    </xf>
    <xf numFmtId="0" fontId="0" fillId="0" borderId="24" xfId="0" applyFill="1" applyBorder="1" applyAlignment="1">
      <alignment horizontal="center" vertical="center"/>
    </xf>
    <xf numFmtId="0" fontId="0" fillId="0" borderId="1" xfId="0" applyFill="1" applyBorder="1" applyAlignment="1">
      <alignment horizontal="center" vertical="center"/>
    </xf>
    <xf numFmtId="0" fontId="0" fillId="0" borderId="28" xfId="0" applyFill="1" applyBorder="1" applyAlignment="1">
      <alignment horizontal="center" vertical="center"/>
    </xf>
    <xf numFmtId="0" fontId="0" fillId="0" borderId="25" xfId="0" applyFill="1" applyBorder="1" applyAlignment="1">
      <alignment horizontal="center" vertical="center"/>
    </xf>
    <xf numFmtId="0" fontId="0" fillId="0" borderId="26" xfId="0" applyFill="1" applyBorder="1" applyAlignment="1">
      <alignment horizontal="center" vertical="center"/>
    </xf>
    <xf numFmtId="0" fontId="0" fillId="0" borderId="29" xfId="0" applyFill="1" applyBorder="1" applyAlignment="1">
      <alignment horizontal="center" vertical="center"/>
    </xf>
    <xf numFmtId="0" fontId="10" fillId="0" borderId="23" xfId="0" applyFont="1" applyBorder="1" applyAlignment="1">
      <alignment horizontal="center" vertical="center"/>
    </xf>
    <xf numFmtId="0" fontId="10" fillId="0" borderId="31" xfId="0" applyNumberFormat="1" applyFont="1" applyBorder="1" applyAlignment="1">
      <alignment horizontal="center" vertical="center"/>
    </xf>
    <xf numFmtId="0" fontId="4" fillId="0" borderId="31" xfId="0" applyNumberFormat="1" applyFont="1" applyBorder="1" applyAlignment="1">
      <alignment horizontal="center" vertical="center"/>
    </xf>
    <xf numFmtId="0" fontId="4" fillId="0" borderId="34" xfId="0" applyFont="1" applyBorder="1" applyAlignment="1">
      <alignment horizontal="center" vertical="center"/>
    </xf>
    <xf numFmtId="0" fontId="4" fillId="0" borderId="21" xfId="0" applyFont="1" applyBorder="1" applyAlignment="1">
      <alignment horizontal="center" vertical="center"/>
    </xf>
    <xf numFmtId="0" fontId="10" fillId="0" borderId="23" xfId="0" applyFont="1" applyFill="1" applyBorder="1" applyAlignment="1">
      <alignment horizontal="center" vertical="center"/>
    </xf>
    <xf numFmtId="0" fontId="10" fillId="0" borderId="13" xfId="0" applyFont="1" applyBorder="1" applyAlignment="1">
      <alignment horizontal="center" vertical="center"/>
    </xf>
    <xf numFmtId="0" fontId="4" fillId="0" borderId="34" xfId="0" applyNumberFormat="1" applyFont="1" applyBorder="1" applyAlignment="1">
      <alignment horizontal="center" vertical="center"/>
    </xf>
    <xf numFmtId="0" fontId="10" fillId="0" borderId="24" xfId="0" applyFont="1" applyBorder="1" applyAlignment="1">
      <alignment horizontal="center" vertical="center"/>
    </xf>
    <xf numFmtId="0" fontId="10" fillId="0" borderId="1" xfId="0" applyFont="1" applyBorder="1" applyAlignment="1">
      <alignment horizontal="center" vertical="center"/>
    </xf>
    <xf numFmtId="0" fontId="10" fillId="0" borderId="28" xfId="0" applyFont="1" applyBorder="1" applyAlignment="1">
      <alignment horizontal="center" vertical="center"/>
    </xf>
    <xf numFmtId="0" fontId="4" fillId="0" borderId="25" xfId="0" applyNumberFormat="1" applyFont="1" applyBorder="1" applyAlignment="1">
      <alignment horizontal="center" vertical="center"/>
    </xf>
    <xf numFmtId="0" fontId="4" fillId="0" borderId="26" xfId="0" applyNumberFormat="1" applyFont="1" applyBorder="1" applyAlignment="1">
      <alignment horizontal="center" vertical="center"/>
    </xf>
    <xf numFmtId="0" fontId="4" fillId="0" borderId="29" xfId="0" applyNumberFormat="1" applyFont="1" applyBorder="1" applyAlignment="1">
      <alignment horizontal="center" vertical="center"/>
    </xf>
    <xf numFmtId="0" fontId="0" fillId="6" borderId="0" xfId="0" applyFill="1" applyBorder="1" applyAlignment="1">
      <alignment horizontal="left" vertical="center" wrapText="1"/>
    </xf>
    <xf numFmtId="0" fontId="4" fillId="0" borderId="1" xfId="0" applyFont="1" applyBorder="1" applyAlignment="1">
      <alignment horizontal="left" vertical="center"/>
    </xf>
    <xf numFmtId="0" fontId="10" fillId="6" borderId="0" xfId="0" applyFont="1" applyFill="1" applyBorder="1" applyAlignment="1">
      <alignment horizontal="center" vertical="center"/>
    </xf>
    <xf numFmtId="0" fontId="3" fillId="0" borderId="4" xfId="0" applyFont="1" applyFill="1" applyBorder="1" applyAlignment="1">
      <alignment wrapText="1"/>
    </xf>
    <xf numFmtId="0" fontId="0" fillId="0" borderId="41" xfId="0" applyFill="1" applyBorder="1" applyAlignment="1"/>
    <xf numFmtId="0" fontId="0" fillId="0" borderId="40" xfId="0" applyFill="1" applyBorder="1" applyAlignment="1"/>
    <xf numFmtId="0" fontId="9" fillId="0" borderId="4" xfId="0" applyFont="1" applyBorder="1" applyAlignment="1">
      <alignment horizontal="center" vertical="center" wrapText="1"/>
    </xf>
    <xf numFmtId="0" fontId="9" fillId="0" borderId="41" xfId="0" applyFont="1" applyBorder="1" applyAlignment="1">
      <alignment horizontal="center" vertical="center" wrapText="1"/>
    </xf>
    <xf numFmtId="0" fontId="9" fillId="0" borderId="40" xfId="0" applyFont="1" applyBorder="1" applyAlignment="1">
      <alignment horizontal="center" vertical="center" wrapText="1"/>
    </xf>
    <xf numFmtId="0" fontId="4" fillId="0" borderId="30" xfId="0" applyFont="1" applyBorder="1" applyAlignment="1">
      <alignment horizontal="center" vertical="center"/>
    </xf>
    <xf numFmtId="0" fontId="10" fillId="0" borderId="34" xfId="0" applyNumberFormat="1" applyFont="1" applyBorder="1" applyAlignment="1">
      <alignment horizontal="center" vertical="center"/>
    </xf>
    <xf numFmtId="0" fontId="4" fillId="0" borderId="1" xfId="0" applyFont="1" applyBorder="1" applyAlignment="1">
      <alignment horizontal="left" vertical="center" wrapText="1"/>
    </xf>
    <xf numFmtId="0" fontId="0" fillId="0" borderId="1" xfId="0" applyBorder="1" applyAlignment="1">
      <alignment horizontal="left" vertical="center" wrapText="1"/>
    </xf>
    <xf numFmtId="0" fontId="0" fillId="6" borderId="25" xfId="0" applyFill="1" applyBorder="1" applyAlignment="1">
      <alignment horizontal="center" vertical="center"/>
    </xf>
    <xf numFmtId="0" fontId="0" fillId="6" borderId="26" xfId="0" applyFill="1" applyBorder="1" applyAlignment="1">
      <alignment horizontal="center" vertical="center"/>
    </xf>
    <xf numFmtId="0" fontId="0" fillId="6" borderId="29" xfId="0" applyFill="1" applyBorder="1" applyAlignment="1">
      <alignment horizontal="center" vertical="center"/>
    </xf>
    <xf numFmtId="0" fontId="4" fillId="0" borderId="42" xfId="0" applyFont="1" applyBorder="1" applyAlignment="1">
      <alignment horizontal="center" vertical="center"/>
    </xf>
    <xf numFmtId="0" fontId="4" fillId="0" borderId="44" xfId="0" applyFont="1" applyBorder="1" applyAlignment="1">
      <alignment horizontal="center" vertical="center"/>
    </xf>
    <xf numFmtId="0" fontId="4" fillId="0" borderId="43" xfId="0" applyFont="1" applyBorder="1" applyAlignment="1">
      <alignment horizontal="center" vertical="center"/>
    </xf>
    <xf numFmtId="0" fontId="4" fillId="6" borderId="24" xfId="0" applyFont="1" applyFill="1" applyBorder="1" applyAlignment="1">
      <alignment horizontal="center" vertical="center"/>
    </xf>
    <xf numFmtId="0" fontId="0" fillId="6" borderId="1" xfId="0" applyFill="1" applyBorder="1" applyAlignment="1">
      <alignment horizontal="center" vertical="center"/>
    </xf>
    <xf numFmtId="0" fontId="0" fillId="6" borderId="28" xfId="0" applyFill="1" applyBorder="1" applyAlignment="1">
      <alignment horizontal="center" vertical="center"/>
    </xf>
    <xf numFmtId="0" fontId="0" fillId="6" borderId="24" xfId="0" applyFill="1" applyBorder="1" applyAlignment="1">
      <alignment horizontal="center" vertical="center"/>
    </xf>
    <xf numFmtId="0" fontId="10" fillId="0" borderId="31" xfId="0" applyNumberFormat="1" applyFont="1" applyFill="1" applyBorder="1" applyAlignment="1">
      <alignment horizontal="center" vertical="center"/>
    </xf>
    <xf numFmtId="0" fontId="4" fillId="6" borderId="23" xfId="0" applyFont="1" applyFill="1" applyBorder="1" applyAlignment="1">
      <alignment horizontal="center" vertical="center"/>
    </xf>
    <xf numFmtId="0" fontId="0" fillId="6" borderId="13" xfId="0" applyFill="1" applyBorder="1" applyAlignment="1">
      <alignment horizontal="center" vertical="center"/>
    </xf>
    <xf numFmtId="0" fontId="0" fillId="6" borderId="30" xfId="0" applyFill="1" applyBorder="1" applyAlignment="1">
      <alignment horizontal="center" vertical="center"/>
    </xf>
    <xf numFmtId="0" fontId="4" fillId="0" borderId="42" xfId="0" applyFont="1" applyFill="1" applyBorder="1" applyAlignment="1">
      <alignment horizontal="center" vertical="center"/>
    </xf>
    <xf numFmtId="0" fontId="4" fillId="0" borderId="44" xfId="0" applyFont="1" applyFill="1" applyBorder="1" applyAlignment="1">
      <alignment horizontal="center" vertical="center"/>
    </xf>
    <xf numFmtId="0" fontId="4" fillId="0" borderId="43" xfId="0" applyFont="1" applyFill="1" applyBorder="1" applyAlignment="1">
      <alignment horizontal="center" vertical="center"/>
    </xf>
    <xf numFmtId="0" fontId="4" fillId="0" borderId="31" xfId="0" applyFont="1" applyFill="1" applyBorder="1" applyAlignment="1">
      <alignment horizontal="center" vertical="center"/>
    </xf>
    <xf numFmtId="0" fontId="4" fillId="0" borderId="34" xfId="0" applyFont="1" applyFill="1" applyBorder="1" applyAlignment="1">
      <alignment horizontal="center" vertical="center"/>
    </xf>
    <xf numFmtId="0" fontId="4" fillId="0" borderId="21" xfId="0" applyFont="1" applyFill="1" applyBorder="1" applyAlignment="1">
      <alignment horizontal="center" vertical="center"/>
    </xf>
    <xf numFmtId="0" fontId="14" fillId="2" borderId="0" xfId="0" applyFont="1" applyFill="1" applyAlignment="1">
      <alignment horizontal="right"/>
    </xf>
    <xf numFmtId="0" fontId="14" fillId="2" borderId="1" xfId="0" applyFont="1" applyFill="1" applyBorder="1" applyAlignment="1">
      <alignment horizontal="left"/>
    </xf>
    <xf numFmtId="0" fontId="10" fillId="0" borderId="24"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1" xfId="0" applyFont="1" applyBorder="1" applyAlignment="1">
      <alignment horizontal="center" vertical="center" wrapText="1"/>
    </xf>
    <xf numFmtId="0" fontId="10" fillId="0" borderId="28"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15" xfId="0" applyFont="1" applyBorder="1" applyAlignment="1">
      <alignment horizontal="center" vertical="center" wrapText="1"/>
    </xf>
    <xf numFmtId="0" fontId="10" fillId="0" borderId="18" xfId="0" applyFont="1" applyBorder="1" applyAlignment="1">
      <alignment horizontal="center" vertical="center" wrapText="1"/>
    </xf>
    <xf numFmtId="0" fontId="0" fillId="0" borderId="25" xfId="0" applyBorder="1" applyAlignment="1">
      <alignment horizontal="center" vertical="center"/>
    </xf>
    <xf numFmtId="0" fontId="0" fillId="0" borderId="29" xfId="0" applyBorder="1" applyAlignment="1">
      <alignment horizontal="center" vertical="center"/>
    </xf>
    <xf numFmtId="0" fontId="3" fillId="9" borderId="4" xfId="0" applyFont="1" applyFill="1" applyBorder="1" applyAlignment="1">
      <alignment horizontal="center"/>
    </xf>
    <xf numFmtId="0" fontId="3" fillId="9" borderId="41" xfId="0" applyFont="1" applyFill="1" applyBorder="1" applyAlignment="1">
      <alignment horizontal="center"/>
    </xf>
    <xf numFmtId="0" fontId="3" fillId="9" borderId="40" xfId="0" applyFont="1" applyFill="1" applyBorder="1" applyAlignment="1">
      <alignment horizontal="center"/>
    </xf>
    <xf numFmtId="0" fontId="10" fillId="6" borderId="14" xfId="0" applyFont="1" applyFill="1" applyBorder="1" applyAlignment="1">
      <alignment vertical="center" wrapText="1"/>
    </xf>
    <xf numFmtId="0" fontId="10" fillId="6" borderId="0" xfId="0" applyFont="1" applyFill="1" applyAlignment="1">
      <alignment vertical="center" wrapText="1"/>
    </xf>
    <xf numFmtId="0" fontId="23" fillId="6" borderId="14" xfId="0" applyFont="1" applyFill="1" applyBorder="1" applyAlignment="1">
      <alignment horizontal="left" vertical="center" wrapText="1"/>
    </xf>
    <xf numFmtId="0" fontId="10" fillId="0" borderId="25" xfId="0" applyNumberFormat="1" applyFont="1" applyBorder="1" applyAlignment="1">
      <alignment horizontal="center" vertical="center"/>
    </xf>
    <xf numFmtId="0" fontId="10" fillId="0" borderId="26" xfId="0" applyNumberFormat="1" applyFont="1" applyBorder="1" applyAlignment="1">
      <alignment horizontal="center" vertical="center"/>
    </xf>
    <xf numFmtId="0" fontId="10" fillId="0" borderId="29" xfId="0" applyNumberFormat="1" applyFont="1" applyBorder="1" applyAlignment="1">
      <alignment horizontal="center" vertical="center"/>
    </xf>
    <xf numFmtId="0" fontId="0" fillId="0" borderId="1" xfId="0" applyBorder="1" applyAlignment="1">
      <alignment horizontal="center" vertical="center"/>
    </xf>
    <xf numFmtId="0" fontId="0" fillId="0" borderId="28" xfId="0" applyBorder="1" applyAlignment="1">
      <alignment horizontal="center" vertical="center"/>
    </xf>
    <xf numFmtId="0" fontId="0" fillId="0" borderId="26" xfId="0" applyBorder="1" applyAlignment="1">
      <alignment horizontal="center" vertical="center"/>
    </xf>
    <xf numFmtId="0" fontId="10" fillId="0" borderId="21" xfId="0" applyNumberFormat="1" applyFont="1" applyBorder="1" applyAlignment="1">
      <alignment horizontal="center" vertical="center"/>
    </xf>
    <xf numFmtId="0" fontId="10" fillId="0" borderId="30" xfId="0" applyFont="1" applyBorder="1" applyAlignment="1">
      <alignment horizontal="center" vertical="center"/>
    </xf>
    <xf numFmtId="0" fontId="3" fillId="0" borderId="0" xfId="0" applyFont="1" applyBorder="1" applyAlignment="1">
      <alignment horizontal="center" vertical="center"/>
    </xf>
    <xf numFmtId="0" fontId="3" fillId="0" borderId="0" xfId="0" applyFont="1" applyAlignment="1">
      <alignment horizontal="center"/>
    </xf>
    <xf numFmtId="0" fontId="18" fillId="0" borderId="67" xfId="2" applyFont="1" applyFill="1" applyBorder="1" applyAlignment="1">
      <alignment horizontal="center"/>
    </xf>
    <xf numFmtId="0" fontId="18" fillId="0" borderId="68" xfId="2" applyFont="1" applyFill="1" applyBorder="1" applyAlignment="1">
      <alignment horizontal="center"/>
    </xf>
    <xf numFmtId="0" fontId="11" fillId="8" borderId="69" xfId="2" applyBorder="1" applyAlignment="1">
      <alignment horizontal="center"/>
    </xf>
    <xf numFmtId="0" fontId="11" fillId="8" borderId="63" xfId="2" applyBorder="1" applyAlignment="1">
      <alignment horizontal="center"/>
    </xf>
    <xf numFmtId="0" fontId="18" fillId="0" borderId="70" xfId="2" applyFont="1" applyFill="1" applyBorder="1" applyAlignment="1">
      <alignment horizontal="center"/>
    </xf>
    <xf numFmtId="0" fontId="18" fillId="0" borderId="71" xfId="2" applyFont="1" applyFill="1" applyBorder="1" applyAlignment="1">
      <alignment horizontal="center"/>
    </xf>
    <xf numFmtId="0" fontId="16" fillId="0" borderId="0" xfId="2" applyFont="1" applyFill="1" applyBorder="1" applyAlignment="1">
      <alignment horizontal="center"/>
    </xf>
    <xf numFmtId="0" fontId="4" fillId="0" borderId="0" xfId="0" applyFont="1" applyFill="1" applyBorder="1" applyAlignment="1">
      <alignment horizontal="center"/>
    </xf>
    <xf numFmtId="0" fontId="0" fillId="0" borderId="24" xfId="0" applyBorder="1" applyAlignment="1">
      <alignment horizontal="center" vertical="center"/>
    </xf>
    <xf numFmtId="0" fontId="4" fillId="0" borderId="24" xfId="0" applyFont="1" applyBorder="1" applyAlignment="1">
      <alignment horizontal="center" vertical="center"/>
    </xf>
    <xf numFmtId="0" fontId="4" fillId="0" borderId="1" xfId="0" applyFont="1" applyBorder="1" applyAlignment="1">
      <alignment horizontal="center" vertical="center"/>
    </xf>
    <xf numFmtId="0" fontId="4" fillId="0" borderId="28" xfId="0" applyFont="1" applyBorder="1" applyAlignment="1">
      <alignment horizontal="center" vertical="center"/>
    </xf>
    <xf numFmtId="0" fontId="2" fillId="0" borderId="0" xfId="0" applyFont="1" applyFill="1" applyBorder="1" applyAlignment="1">
      <alignment horizontal="left" vertical="top" wrapText="1"/>
    </xf>
    <xf numFmtId="0" fontId="3" fillId="6" borderId="0" xfId="0" applyFont="1" applyFill="1" applyBorder="1" applyAlignment="1">
      <alignment horizontal="center"/>
    </xf>
    <xf numFmtId="0" fontId="2" fillId="0" borderId="0" xfId="0" applyFont="1" applyFill="1" applyBorder="1" applyAlignment="1">
      <alignment wrapText="1"/>
    </xf>
    <xf numFmtId="0" fontId="0" fillId="0" borderId="0" xfId="0" applyAlignment="1">
      <alignment wrapText="1"/>
    </xf>
    <xf numFmtId="0" fontId="10" fillId="0" borderId="31" xfId="0" applyFont="1" applyBorder="1" applyAlignment="1">
      <alignment horizontal="center" vertical="center"/>
    </xf>
    <xf numFmtId="0" fontId="4" fillId="5" borderId="1" xfId="0" applyFont="1" applyFill="1" applyBorder="1" applyAlignment="1">
      <alignment horizontal="left" vertical="top" wrapText="1"/>
    </xf>
    <xf numFmtId="0" fontId="3" fillId="5" borderId="1" xfId="0" applyFont="1" applyFill="1" applyBorder="1" applyAlignment="1">
      <alignment horizontal="center"/>
    </xf>
    <xf numFmtId="0" fontId="11" fillId="8" borderId="22" xfId="2" applyBorder="1" applyAlignment="1">
      <alignment horizontal="center"/>
    </xf>
    <xf numFmtId="0" fontId="11" fillId="8" borderId="39" xfId="2" applyBorder="1" applyAlignment="1">
      <alignment horizontal="center"/>
    </xf>
    <xf numFmtId="0" fontId="4" fillId="5" borderId="1" xfId="0" applyFont="1" applyFill="1" applyBorder="1" applyAlignment="1">
      <alignment horizontal="center"/>
    </xf>
    <xf numFmtId="0" fontId="4" fillId="5" borderId="26" xfId="0" applyFont="1" applyFill="1" applyBorder="1" applyAlignment="1">
      <alignment horizontal="center"/>
    </xf>
    <xf numFmtId="0" fontId="4" fillId="6" borderId="11" xfId="1" applyFont="1" applyFill="1" applyBorder="1" applyAlignment="1">
      <alignment horizontal="center"/>
    </xf>
    <xf numFmtId="0" fontId="4" fillId="6" borderId="12" xfId="1" applyFont="1" applyFill="1" applyBorder="1" applyAlignment="1">
      <alignment horizontal="center"/>
    </xf>
    <xf numFmtId="0" fontId="16" fillId="7"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0" fillId="7" borderId="1" xfId="0" applyFill="1" applyBorder="1" applyAlignment="1">
      <alignment horizontal="left" vertical="top" wrapText="1"/>
    </xf>
    <xf numFmtId="0" fontId="10" fillId="0" borderId="52" xfId="0" applyNumberFormat="1" applyFont="1" applyBorder="1" applyAlignment="1">
      <alignment horizontal="center" vertical="center"/>
    </xf>
    <xf numFmtId="0" fontId="10" fillId="0" borderId="51" xfId="0" applyNumberFormat="1" applyFont="1" applyBorder="1" applyAlignment="1">
      <alignment horizontal="center" vertical="center"/>
    </xf>
    <xf numFmtId="0" fontId="10" fillId="0" borderId="53" xfId="0" applyNumberFormat="1" applyFont="1" applyBorder="1" applyAlignment="1">
      <alignment horizontal="center" vertical="center"/>
    </xf>
    <xf numFmtId="0" fontId="11" fillId="8" borderId="65" xfId="2" applyBorder="1" applyAlignment="1">
      <alignment horizontal="center"/>
    </xf>
    <xf numFmtId="0" fontId="11" fillId="8" borderId="66" xfId="2" applyBorder="1" applyAlignment="1">
      <alignment horizontal="center"/>
    </xf>
    <xf numFmtId="0" fontId="4" fillId="0" borderId="0" xfId="0" applyFont="1" applyBorder="1" applyAlignment="1">
      <alignment horizontal="center"/>
    </xf>
    <xf numFmtId="0" fontId="10" fillId="6" borderId="1" xfId="0" applyFont="1" applyFill="1" applyBorder="1" applyAlignment="1">
      <alignment horizontal="center" vertical="center" wrapText="1"/>
    </xf>
    <xf numFmtId="0" fontId="10" fillId="0" borderId="52" xfId="0" applyFont="1" applyBorder="1" applyAlignment="1">
      <alignment horizontal="center" vertical="center"/>
    </xf>
    <xf numFmtId="0" fontId="0" fillId="0" borderId="51" xfId="0" applyBorder="1" applyAlignment="1">
      <alignment horizontal="center" vertical="center"/>
    </xf>
    <xf numFmtId="0" fontId="0" fillId="0" borderId="53" xfId="0" applyBorder="1" applyAlignment="1">
      <alignment horizontal="center" vertical="center"/>
    </xf>
    <xf numFmtId="0" fontId="10" fillId="0" borderId="54" xfId="0" applyNumberFormat="1" applyFont="1"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14" fillId="6" borderId="0" xfId="0" applyFont="1" applyFill="1" applyBorder="1" applyAlignment="1">
      <alignment horizontal="center" wrapText="1"/>
    </xf>
    <xf numFmtId="0" fontId="4" fillId="5" borderId="11" xfId="1" applyFont="1" applyFill="1" applyBorder="1" applyAlignment="1">
      <alignment horizontal="center"/>
    </xf>
    <xf numFmtId="0" fontId="4" fillId="5" borderId="12" xfId="1" applyFont="1" applyFill="1" applyBorder="1" applyAlignment="1">
      <alignment horizontal="center"/>
    </xf>
    <xf numFmtId="0" fontId="18" fillId="5" borderId="22" xfId="1" applyFont="1" applyFill="1" applyBorder="1" applyAlignment="1">
      <alignment horizontal="center"/>
    </xf>
    <xf numFmtId="0" fontId="18" fillId="5" borderId="39" xfId="1" applyFont="1" applyFill="1" applyBorder="1" applyAlignment="1">
      <alignment horizontal="center"/>
    </xf>
    <xf numFmtId="0" fontId="4" fillId="6" borderId="8" xfId="0" applyFont="1" applyFill="1" applyBorder="1" applyAlignment="1">
      <alignment horizontal="left" vertical="center" wrapText="1"/>
    </xf>
    <xf numFmtId="0" fontId="4" fillId="6" borderId="9" xfId="0" applyFont="1" applyFill="1" applyBorder="1" applyAlignment="1">
      <alignment horizontal="left" vertical="center" wrapText="1"/>
    </xf>
    <xf numFmtId="0" fontId="0" fillId="5" borderId="19" xfId="0" applyFill="1" applyBorder="1" applyAlignment="1">
      <alignment horizontal="center"/>
    </xf>
    <xf numFmtId="0" fontId="0" fillId="5" borderId="20" xfId="0" applyFill="1" applyBorder="1" applyAlignment="1">
      <alignment horizontal="center"/>
    </xf>
    <xf numFmtId="0" fontId="0" fillId="7" borderId="19" xfId="0" applyFill="1" applyBorder="1" applyAlignment="1">
      <alignment horizontal="center"/>
    </xf>
    <xf numFmtId="0" fontId="0" fillId="7" borderId="20" xfId="0" applyFill="1" applyBorder="1" applyAlignment="1">
      <alignment horizontal="center"/>
    </xf>
    <xf numFmtId="0" fontId="0" fillId="4" borderId="19" xfId="0" applyFill="1" applyBorder="1" applyAlignment="1">
      <alignment horizontal="center"/>
    </xf>
    <xf numFmtId="0" fontId="0" fillId="4" borderId="21" xfId="0" applyFill="1" applyBorder="1" applyAlignment="1">
      <alignment horizontal="center"/>
    </xf>
    <xf numFmtId="0" fontId="4" fillId="0" borderId="14" xfId="0" applyFont="1" applyBorder="1" applyAlignment="1">
      <alignment horizontal="left" vertical="center" wrapText="1"/>
    </xf>
    <xf numFmtId="0" fontId="0" fillId="0" borderId="0" xfId="0" applyBorder="1" applyAlignment="1">
      <alignment wrapText="1"/>
    </xf>
    <xf numFmtId="0" fontId="0" fillId="0" borderId="15" xfId="0" applyBorder="1" applyAlignment="1">
      <alignment wrapText="1"/>
    </xf>
    <xf numFmtId="0" fontId="0" fillId="0" borderId="14"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49" fontId="4" fillId="5" borderId="11" xfId="1" applyNumberFormat="1" applyFont="1" applyFill="1" applyBorder="1" applyAlignment="1">
      <alignment horizontal="center"/>
    </xf>
    <xf numFmtId="49" fontId="4" fillId="5" borderId="12" xfId="1" applyNumberFormat="1" applyFont="1" applyFill="1" applyBorder="1" applyAlignment="1">
      <alignment horizontal="center"/>
    </xf>
    <xf numFmtId="0" fontId="3" fillId="0" borderId="1" xfId="0" applyFont="1" applyFill="1" applyBorder="1" applyAlignment="1">
      <alignment horizontal="center"/>
    </xf>
    <xf numFmtId="0" fontId="3" fillId="0" borderId="26" xfId="0" applyFont="1" applyFill="1" applyBorder="1" applyAlignment="1">
      <alignment horizontal="center"/>
    </xf>
    <xf numFmtId="0" fontId="4" fillId="5" borderId="57" xfId="1" applyFont="1" applyFill="1" applyBorder="1" applyAlignment="1">
      <alignment horizontal="center"/>
    </xf>
    <xf numFmtId="0" fontId="4" fillId="5" borderId="58" xfId="1" applyFont="1" applyFill="1" applyBorder="1" applyAlignment="1">
      <alignment horizontal="center"/>
    </xf>
    <xf numFmtId="0" fontId="3" fillId="6" borderId="4" xfId="0" applyFont="1" applyFill="1" applyBorder="1" applyAlignment="1">
      <alignment horizontal="left" vertical="top" wrapText="1"/>
    </xf>
    <xf numFmtId="0" fontId="3" fillId="6" borderId="40" xfId="0" applyFont="1" applyFill="1" applyBorder="1" applyAlignment="1">
      <alignment horizontal="left" vertical="top" wrapText="1"/>
    </xf>
    <xf numFmtId="0" fontId="32" fillId="6" borderId="1" xfId="0" applyFont="1" applyFill="1" applyBorder="1" applyAlignment="1">
      <alignment horizontal="left" vertical="top" wrapText="1"/>
    </xf>
    <xf numFmtId="0" fontId="0" fillId="6" borderId="23" xfId="0" applyFill="1" applyBorder="1" applyAlignment="1">
      <alignment horizontal="center" vertical="center"/>
    </xf>
    <xf numFmtId="0" fontId="0" fillId="6" borderId="31" xfId="0" applyFill="1" applyBorder="1" applyAlignment="1">
      <alignment horizontal="center" vertical="center"/>
    </xf>
    <xf numFmtId="0" fontId="0" fillId="6" borderId="34" xfId="0" applyFill="1" applyBorder="1" applyAlignment="1">
      <alignment horizontal="center" vertical="center"/>
    </xf>
    <xf numFmtId="0" fontId="0" fillId="6" borderId="21" xfId="0" applyFill="1" applyBorder="1" applyAlignment="1">
      <alignment horizontal="center" vertical="center"/>
    </xf>
    <xf numFmtId="0" fontId="0" fillId="0" borderId="1" xfId="0" applyBorder="1" applyAlignment="1">
      <alignment horizontal="left" vertical="center"/>
    </xf>
    <xf numFmtId="0" fontId="31" fillId="10" borderId="4" xfId="0" applyFont="1" applyFill="1" applyBorder="1" applyAlignment="1">
      <alignment horizontal="center"/>
    </xf>
    <xf numFmtId="0" fontId="31" fillId="10" borderId="41" xfId="0" applyFont="1" applyFill="1" applyBorder="1" applyAlignment="1">
      <alignment horizontal="center"/>
    </xf>
    <xf numFmtId="0" fontId="31" fillId="10" borderId="40" xfId="0" applyFont="1" applyFill="1" applyBorder="1" applyAlignment="1">
      <alignment horizontal="center"/>
    </xf>
    <xf numFmtId="0" fontId="27" fillId="0" borderId="28" xfId="0" applyFont="1" applyBorder="1" applyAlignment="1">
      <alignment horizontal="center"/>
    </xf>
    <xf numFmtId="0" fontId="27" fillId="0" borderId="29" xfId="0" applyFont="1" applyBorder="1" applyAlignment="1">
      <alignment horizontal="center"/>
    </xf>
    <xf numFmtId="0" fontId="27" fillId="0" borderId="1" xfId="0" applyFont="1" applyBorder="1" applyAlignment="1">
      <alignment horizontal="center"/>
    </xf>
    <xf numFmtId="0" fontId="27" fillId="0" borderId="26" xfId="0" applyFont="1" applyBorder="1" applyAlignment="1">
      <alignment horizontal="center"/>
    </xf>
    <xf numFmtId="0" fontId="27" fillId="0" borderId="1" xfId="0" applyFont="1" applyFill="1" applyBorder="1" applyAlignment="1">
      <alignment horizontal="center"/>
    </xf>
    <xf numFmtId="0" fontId="27" fillId="0" borderId="26" xfId="0" applyFont="1" applyFill="1" applyBorder="1" applyAlignment="1">
      <alignment horizontal="center"/>
    </xf>
    <xf numFmtId="0" fontId="27" fillId="0" borderId="28" xfId="0" applyFont="1" applyFill="1" applyBorder="1" applyAlignment="1">
      <alignment horizontal="center"/>
    </xf>
    <xf numFmtId="0" fontId="27" fillId="0" borderId="29" xfId="0" applyFont="1" applyFill="1" applyBorder="1" applyAlignment="1">
      <alignment horizontal="center"/>
    </xf>
    <xf numFmtId="0" fontId="27" fillId="0" borderId="2" xfId="0" applyFont="1" applyFill="1" applyBorder="1" applyAlignment="1">
      <alignment horizontal="center"/>
    </xf>
    <xf numFmtId="0" fontId="27" fillId="0" borderId="20" xfId="0" applyFont="1" applyFill="1" applyBorder="1" applyAlignment="1">
      <alignment horizontal="center"/>
    </xf>
    <xf numFmtId="0" fontId="27" fillId="0" borderId="24" xfId="0" applyFont="1" applyFill="1" applyBorder="1" applyAlignment="1">
      <alignment horizontal="center"/>
    </xf>
    <xf numFmtId="0" fontId="27" fillId="0" borderId="25" xfId="0" applyFont="1" applyFill="1" applyBorder="1" applyAlignment="1">
      <alignment horizontal="center"/>
    </xf>
    <xf numFmtId="0" fontId="27" fillId="0" borderId="10" xfId="0" applyFont="1" applyFill="1" applyBorder="1" applyAlignment="1">
      <alignment horizontal="center"/>
    </xf>
    <xf numFmtId="0" fontId="27" fillId="0" borderId="19" xfId="0" applyFont="1" applyFill="1" applyBorder="1" applyAlignment="1">
      <alignment horizontal="center"/>
    </xf>
    <xf numFmtId="0" fontId="28" fillId="0" borderId="4" xfId="0" applyFont="1" applyBorder="1" applyAlignment="1">
      <alignment horizontal="center" vertical="center"/>
    </xf>
    <xf numFmtId="0" fontId="0" fillId="0" borderId="41" xfId="0" applyBorder="1" applyAlignment="1">
      <alignment horizontal="center" vertical="center"/>
    </xf>
    <xf numFmtId="0" fontId="0" fillId="0" borderId="40" xfId="0" applyBorder="1" applyAlignment="1">
      <alignment horizontal="center" vertical="center"/>
    </xf>
    <xf numFmtId="0" fontId="27" fillId="0" borderId="23" xfId="0" applyFont="1" applyBorder="1" applyAlignment="1">
      <alignment horizontal="center"/>
    </xf>
    <xf numFmtId="0" fontId="27" fillId="0" borderId="31" xfId="0" applyFont="1" applyBorder="1" applyAlignment="1">
      <alignment horizontal="center"/>
    </xf>
    <xf numFmtId="0" fontId="25" fillId="0" borderId="0" xfId="0" applyFont="1" applyBorder="1" applyAlignment="1">
      <alignment horizontal="center" wrapText="1"/>
    </xf>
    <xf numFmtId="0" fontId="0" fillId="0" borderId="5" xfId="0" applyBorder="1" applyAlignment="1">
      <alignment horizontal="center"/>
    </xf>
    <xf numFmtId="0" fontId="0" fillId="0" borderId="6" xfId="0" applyBorder="1" applyAlignment="1">
      <alignment horizontal="center"/>
    </xf>
    <xf numFmtId="0" fontId="0" fillId="0" borderId="4" xfId="0" applyBorder="1" applyAlignment="1">
      <alignment horizontal="center"/>
    </xf>
    <xf numFmtId="0" fontId="0" fillId="0" borderId="41" xfId="0" applyBorder="1" applyAlignment="1">
      <alignment horizontal="center"/>
    </xf>
    <xf numFmtId="0" fontId="0" fillId="0" borderId="40" xfId="0" applyBorder="1" applyAlignment="1">
      <alignment horizontal="center"/>
    </xf>
    <xf numFmtId="0" fontId="26" fillId="0" borderId="61" xfId="0" applyFont="1" applyBorder="1" applyAlignment="1">
      <alignment horizontal="center" vertical="center" wrapText="1"/>
    </xf>
    <xf numFmtId="0" fontId="26" fillId="0" borderId="62" xfId="0" applyFont="1" applyBorder="1" applyAlignment="1">
      <alignment horizontal="center" vertical="center" wrapText="1"/>
    </xf>
    <xf numFmtId="0" fontId="26" fillId="0" borderId="63" xfId="0" applyFont="1" applyBorder="1" applyAlignment="1">
      <alignment horizontal="center" vertical="center" wrapText="1"/>
    </xf>
    <xf numFmtId="0" fontId="46" fillId="6" borderId="0" xfId="0" applyFont="1" applyFill="1" applyAlignment="1">
      <alignment horizontal="center" vertical="center"/>
    </xf>
    <xf numFmtId="0" fontId="4" fillId="6" borderId="0" xfId="0" applyFont="1" applyFill="1" applyAlignment="1">
      <alignment horizontal="left" vertical="center" wrapText="1"/>
    </xf>
    <xf numFmtId="0" fontId="4" fillId="6" borderId="74" xfId="0" applyFont="1" applyFill="1" applyBorder="1" applyAlignment="1">
      <alignment horizontal="left" vertical="center" wrapText="1"/>
    </xf>
    <xf numFmtId="0" fontId="4" fillId="6" borderId="0" xfId="0" applyFont="1" applyFill="1" applyAlignment="1">
      <alignment horizontal="left"/>
    </xf>
    <xf numFmtId="0" fontId="3" fillId="0" borderId="5" xfId="0" applyFont="1" applyBorder="1" applyAlignment="1">
      <alignment horizontal="center" vertical="center" wrapText="1"/>
    </xf>
    <xf numFmtId="0" fontId="3" fillId="0" borderId="7"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18" xfId="0" applyFont="1" applyBorder="1" applyAlignment="1">
      <alignment horizontal="center" vertical="center" wrapText="1"/>
    </xf>
    <xf numFmtId="0" fontId="3" fillId="6" borderId="0" xfId="0" applyFont="1" applyFill="1" applyAlignment="1">
      <alignment horizontal="center"/>
    </xf>
    <xf numFmtId="0" fontId="3" fillId="13" borderId="4" xfId="0" applyFont="1" applyFill="1" applyBorder="1" applyAlignment="1">
      <alignment horizontal="center"/>
    </xf>
    <xf numFmtId="0" fontId="3" fillId="13" borderId="41" xfId="0" applyFont="1" applyFill="1" applyBorder="1" applyAlignment="1">
      <alignment horizontal="center"/>
    </xf>
    <xf numFmtId="0" fontId="3" fillId="13" borderId="40" xfId="0" applyFont="1" applyFill="1" applyBorder="1" applyAlignment="1">
      <alignment horizontal="center"/>
    </xf>
    <xf numFmtId="0" fontId="36" fillId="13" borderId="11" xfId="0" applyFont="1" applyFill="1" applyBorder="1" applyAlignment="1">
      <alignment horizontal="center" wrapText="1"/>
    </xf>
    <xf numFmtId="0" fontId="36" fillId="13" borderId="81" xfId="0" applyFont="1" applyFill="1" applyBorder="1" applyAlignment="1">
      <alignment horizontal="center" wrapText="1"/>
    </xf>
    <xf numFmtId="0" fontId="36" fillId="13" borderId="82" xfId="0" applyFont="1" applyFill="1" applyBorder="1" applyAlignment="1">
      <alignment horizontal="center" wrapText="1"/>
    </xf>
    <xf numFmtId="0" fontId="36" fillId="13" borderId="79" xfId="0" applyFont="1" applyFill="1" applyBorder="1" applyAlignment="1">
      <alignment horizontal="center"/>
    </xf>
    <xf numFmtId="0" fontId="36" fillId="13" borderId="80" xfId="0" applyFont="1" applyFill="1" applyBorder="1" applyAlignment="1">
      <alignment horizontal="center"/>
    </xf>
    <xf numFmtId="0" fontId="36" fillId="13" borderId="68" xfId="0" applyFont="1" applyFill="1" applyBorder="1" applyAlignment="1">
      <alignment horizontal="center"/>
    </xf>
    <xf numFmtId="0" fontId="36" fillId="11" borderId="4" xfId="0" applyFont="1" applyFill="1" applyBorder="1" applyAlignment="1">
      <alignment horizontal="center"/>
    </xf>
    <xf numFmtId="0" fontId="36" fillId="11" borderId="41" xfId="0" applyFont="1" applyFill="1" applyBorder="1" applyAlignment="1">
      <alignment horizontal="center"/>
    </xf>
    <xf numFmtId="0" fontId="3" fillId="6" borderId="4" xfId="0" applyFont="1" applyFill="1" applyBorder="1" applyAlignment="1">
      <alignment horizontal="center" vertical="center" wrapText="1"/>
    </xf>
    <xf numFmtId="0" fontId="3" fillId="6" borderId="41" xfId="0" applyFont="1" applyFill="1" applyBorder="1" applyAlignment="1">
      <alignment horizontal="center" vertical="center" wrapText="1"/>
    </xf>
    <xf numFmtId="0" fontId="3" fillId="6" borderId="40" xfId="0" applyFont="1" applyFill="1" applyBorder="1" applyAlignment="1">
      <alignment horizontal="center" vertical="center" wrapText="1"/>
    </xf>
    <xf numFmtId="0" fontId="36" fillId="0" borderId="5" xfId="0" applyFont="1" applyBorder="1" applyAlignment="1">
      <alignment horizontal="center" vertical="center" wrapText="1"/>
    </xf>
    <xf numFmtId="0" fontId="36" fillId="0" borderId="7" xfId="0" applyFont="1" applyBorder="1" applyAlignment="1">
      <alignment horizontal="center" vertical="center" wrapText="1"/>
    </xf>
    <xf numFmtId="0" fontId="36" fillId="0" borderId="14" xfId="0" applyFont="1" applyBorder="1" applyAlignment="1">
      <alignment horizontal="center" vertical="center" wrapText="1"/>
    </xf>
    <xf numFmtId="0" fontId="36" fillId="0" borderId="15" xfId="0" applyFont="1" applyBorder="1" applyAlignment="1">
      <alignment horizontal="center" vertical="center" wrapText="1"/>
    </xf>
    <xf numFmtId="0" fontId="36" fillId="0" borderId="16" xfId="0" applyFont="1" applyBorder="1" applyAlignment="1">
      <alignment horizontal="center" vertical="center" wrapText="1"/>
    </xf>
    <xf numFmtId="0" fontId="36" fillId="0" borderId="18" xfId="0" applyFont="1" applyBorder="1" applyAlignment="1">
      <alignment horizontal="center" vertical="center" wrapText="1"/>
    </xf>
    <xf numFmtId="0" fontId="3" fillId="0" borderId="4" xfId="0" applyFont="1" applyBorder="1" applyAlignment="1">
      <alignment horizontal="center" vertical="center"/>
    </xf>
    <xf numFmtId="0" fontId="3" fillId="0" borderId="41" xfId="0" applyFont="1" applyBorder="1" applyAlignment="1">
      <alignment horizontal="center" vertical="center"/>
    </xf>
    <xf numFmtId="0" fontId="3" fillId="0" borderId="40" xfId="0" applyFont="1" applyBorder="1" applyAlignment="1">
      <alignment horizontal="center" vertical="center"/>
    </xf>
    <xf numFmtId="0" fontId="37" fillId="11" borderId="4" xfId="0" applyFont="1" applyFill="1" applyBorder="1" applyAlignment="1">
      <alignment horizontal="center"/>
    </xf>
    <xf numFmtId="0" fontId="37" fillId="11" borderId="41" xfId="0" applyFont="1" applyFill="1" applyBorder="1" applyAlignment="1">
      <alignment horizontal="center"/>
    </xf>
    <xf numFmtId="0" fontId="3" fillId="6" borderId="0" xfId="0" applyFont="1" applyFill="1" applyAlignment="1">
      <alignment horizontal="center" wrapText="1"/>
    </xf>
    <xf numFmtId="0" fontId="4" fillId="13" borderId="31" xfId="0" applyFont="1" applyFill="1" applyBorder="1" applyAlignment="1">
      <alignment horizontal="center" vertical="center"/>
    </xf>
    <xf numFmtId="0" fontId="0" fillId="13" borderId="34" xfId="0" applyFill="1" applyBorder="1" applyAlignment="1">
      <alignment horizontal="center" vertical="center"/>
    </xf>
    <xf numFmtId="0" fontId="0" fillId="13" borderId="21" xfId="0" applyFill="1" applyBorder="1" applyAlignment="1">
      <alignment horizontal="center" vertical="center"/>
    </xf>
    <xf numFmtId="0" fontId="37" fillId="11" borderId="5" xfId="0" applyFont="1" applyFill="1" applyBorder="1" applyAlignment="1">
      <alignment horizontal="center"/>
    </xf>
    <xf numFmtId="0" fontId="37" fillId="11" borderId="6" xfId="0" applyFont="1" applyFill="1" applyBorder="1" applyAlignment="1">
      <alignment horizontal="center"/>
    </xf>
    <xf numFmtId="0" fontId="36" fillId="0" borderId="107" xfId="0" applyFont="1" applyBorder="1" applyAlignment="1">
      <alignment horizontal="center" vertical="center" wrapText="1"/>
    </xf>
    <xf numFmtId="0" fontId="36" fillId="0" borderId="108" xfId="0" applyFont="1" applyBorder="1" applyAlignment="1">
      <alignment horizontal="center" vertical="center" wrapText="1"/>
    </xf>
    <xf numFmtId="0" fontId="3" fillId="14" borderId="116" xfId="0" applyFont="1" applyFill="1" applyBorder="1" applyAlignment="1">
      <alignment horizontal="center" vertical="center"/>
    </xf>
    <xf numFmtId="0" fontId="3" fillId="14" borderId="41" xfId="0" applyFont="1" applyFill="1" applyBorder="1" applyAlignment="1">
      <alignment horizontal="center" vertical="center"/>
    </xf>
    <xf numFmtId="0" fontId="3" fillId="14" borderId="40" xfId="0" applyFont="1" applyFill="1" applyBorder="1" applyAlignment="1">
      <alignment horizontal="center" vertical="center"/>
    </xf>
    <xf numFmtId="0" fontId="3" fillId="0" borderId="121" xfId="0" applyFont="1" applyBorder="1" applyAlignment="1">
      <alignment horizontal="center" vertical="center" wrapText="1"/>
    </xf>
    <xf numFmtId="0" fontId="3" fillId="0" borderId="122" xfId="0" applyFont="1" applyBorder="1" applyAlignment="1">
      <alignment horizontal="center" vertical="center" wrapText="1"/>
    </xf>
    <xf numFmtId="0" fontId="37" fillId="11" borderId="14" xfId="0" applyFont="1" applyFill="1" applyBorder="1" applyAlignment="1">
      <alignment horizontal="center"/>
    </xf>
    <xf numFmtId="0" fontId="37" fillId="11" borderId="0" xfId="0" applyFont="1" applyFill="1" applyBorder="1" applyAlignment="1">
      <alignment horizontal="center"/>
    </xf>
    <xf numFmtId="0" fontId="4" fillId="13" borderId="34" xfId="0" applyFont="1" applyFill="1" applyBorder="1" applyAlignment="1">
      <alignment horizontal="center" vertical="center"/>
    </xf>
    <xf numFmtId="0" fontId="4" fillId="13" borderId="21" xfId="0" applyFont="1" applyFill="1" applyBorder="1" applyAlignment="1">
      <alignment horizontal="center" vertical="center"/>
    </xf>
    <xf numFmtId="0" fontId="36" fillId="0" borderId="86" xfId="0" applyFont="1" applyBorder="1" applyAlignment="1">
      <alignment horizontal="center" vertical="center" wrapText="1"/>
    </xf>
    <xf numFmtId="0" fontId="36" fillId="0" borderId="87" xfId="0" applyFont="1" applyBorder="1" applyAlignment="1">
      <alignment horizontal="center" vertical="center" wrapText="1"/>
    </xf>
    <xf numFmtId="0" fontId="3" fillId="14" borderId="95" xfId="0" applyFont="1" applyFill="1" applyBorder="1" applyAlignment="1">
      <alignment horizontal="center" vertical="center"/>
    </xf>
    <xf numFmtId="0" fontId="3" fillId="15" borderId="4" xfId="0" applyFont="1" applyFill="1" applyBorder="1" applyAlignment="1">
      <alignment horizontal="center"/>
    </xf>
    <xf numFmtId="0" fontId="3" fillId="15" borderId="41" xfId="0" applyFont="1" applyFill="1" applyBorder="1" applyAlignment="1">
      <alignment horizontal="center"/>
    </xf>
    <xf numFmtId="0" fontId="3" fillId="15" borderId="40" xfId="0" applyFont="1" applyFill="1" applyBorder="1" applyAlignment="1">
      <alignment horizontal="center"/>
    </xf>
    <xf numFmtId="0" fontId="3" fillId="0" borderId="100" xfId="0" applyFont="1" applyBorder="1" applyAlignment="1">
      <alignment horizontal="center" vertical="center" wrapText="1"/>
    </xf>
    <xf numFmtId="0" fontId="3" fillId="0" borderId="101" xfId="0" applyFont="1" applyBorder="1" applyAlignment="1">
      <alignment horizontal="center" vertical="center" wrapText="1"/>
    </xf>
    <xf numFmtId="0" fontId="36" fillId="13" borderId="79" xfId="0" applyFont="1" applyFill="1" applyBorder="1" applyAlignment="1">
      <alignment horizontal="center" wrapText="1"/>
    </xf>
    <xf numFmtId="0" fontId="36" fillId="13" borderId="80" xfId="0" applyFont="1" applyFill="1" applyBorder="1" applyAlignment="1">
      <alignment horizontal="center" wrapText="1"/>
    </xf>
    <xf numFmtId="0" fontId="36" fillId="13" borderId="68" xfId="0" applyFont="1" applyFill="1" applyBorder="1" applyAlignment="1">
      <alignment horizontal="center" wrapText="1"/>
    </xf>
    <xf numFmtId="0" fontId="48" fillId="13" borderId="86" xfId="0" applyFont="1" applyFill="1" applyBorder="1" applyAlignment="1">
      <alignment horizontal="center" vertical="center" wrapText="1"/>
    </xf>
    <xf numFmtId="0" fontId="48" fillId="13" borderId="88" xfId="0" applyFont="1" applyFill="1" applyBorder="1" applyAlignment="1">
      <alignment horizontal="center" vertical="center" wrapText="1"/>
    </xf>
    <xf numFmtId="0" fontId="48" fillId="13" borderId="89" xfId="0" applyFont="1" applyFill="1" applyBorder="1" applyAlignment="1">
      <alignment horizontal="center" vertical="center" wrapText="1"/>
    </xf>
    <xf numFmtId="0" fontId="48" fillId="13" borderId="14" xfId="0" applyFont="1" applyFill="1" applyBorder="1" applyAlignment="1">
      <alignment horizontal="center" vertical="center" wrapText="1"/>
    </xf>
    <xf numFmtId="0" fontId="48" fillId="13" borderId="0" xfId="0" applyFont="1" applyFill="1" applyBorder="1" applyAlignment="1">
      <alignment horizontal="center" vertical="center" wrapText="1"/>
    </xf>
    <xf numFmtId="0" fontId="48" fillId="13" borderId="91" xfId="0" applyFont="1" applyFill="1" applyBorder="1" applyAlignment="1">
      <alignment horizontal="center" vertical="center" wrapText="1"/>
    </xf>
    <xf numFmtId="0" fontId="48" fillId="13" borderId="100" xfId="0" applyFont="1" applyFill="1" applyBorder="1" applyAlignment="1">
      <alignment horizontal="center" vertical="center" wrapText="1"/>
    </xf>
    <xf numFmtId="0" fontId="48" fillId="13" borderId="102" xfId="0" applyFont="1" applyFill="1" applyBorder="1" applyAlignment="1">
      <alignment horizontal="center" vertical="center" wrapText="1"/>
    </xf>
    <xf numFmtId="0" fontId="48" fillId="13" borderId="103" xfId="0" applyFont="1" applyFill="1" applyBorder="1" applyAlignment="1">
      <alignment horizontal="center" vertical="center" wrapText="1"/>
    </xf>
    <xf numFmtId="0" fontId="48" fillId="11" borderId="107" xfId="0" applyFont="1" applyFill="1" applyBorder="1" applyAlignment="1">
      <alignment horizontal="center" vertical="center" wrapText="1"/>
    </xf>
    <xf numFmtId="0" fontId="48" fillId="11" borderId="109" xfId="0" applyFont="1" applyFill="1" applyBorder="1" applyAlignment="1">
      <alignment horizontal="center" vertical="center" wrapText="1"/>
    </xf>
    <xf numFmtId="0" fontId="48" fillId="11" borderId="110" xfId="0" applyFont="1" applyFill="1" applyBorder="1" applyAlignment="1">
      <alignment horizontal="center" vertical="center" wrapText="1"/>
    </xf>
    <xf numFmtId="0" fontId="48" fillId="11" borderId="14" xfId="0" applyFont="1" applyFill="1" applyBorder="1" applyAlignment="1">
      <alignment horizontal="center" vertical="center" wrapText="1"/>
    </xf>
    <xf numFmtId="0" fontId="48" fillId="11" borderId="0" xfId="0" applyFont="1" applyFill="1" applyBorder="1" applyAlignment="1">
      <alignment horizontal="center" vertical="center" wrapText="1"/>
    </xf>
    <xf numFmtId="0" fontId="48" fillId="11" borderId="112" xfId="0" applyFont="1" applyFill="1" applyBorder="1" applyAlignment="1">
      <alignment horizontal="center" vertical="center" wrapText="1"/>
    </xf>
    <xf numFmtId="0" fontId="48" fillId="11" borderId="121" xfId="0" applyFont="1" applyFill="1" applyBorder="1" applyAlignment="1">
      <alignment horizontal="center" vertical="center" wrapText="1"/>
    </xf>
    <xf numFmtId="0" fontId="48" fillId="11" borderId="123" xfId="0" applyFont="1" applyFill="1" applyBorder="1" applyAlignment="1">
      <alignment horizontal="center" vertical="center" wrapText="1"/>
    </xf>
    <xf numFmtId="0" fontId="48" fillId="11" borderId="124" xfId="0" applyFont="1" applyFill="1" applyBorder="1" applyAlignment="1">
      <alignment horizontal="center" vertical="center" wrapText="1"/>
    </xf>
  </cellXfs>
  <cellStyles count="6">
    <cellStyle name="40% - Accent3" xfId="5" builtinId="39"/>
    <cellStyle name="Calculation" xfId="2" builtinId="22"/>
    <cellStyle name="Good" xfId="4" builtinId="26"/>
    <cellStyle name="Input" xfId="1" builtinId="20"/>
    <cellStyle name="Normal" xfId="0" builtinId="0"/>
    <cellStyle name="Normal 2" xfId="3" xr:uid="{00000000-0005-0000-0000-000004000000}"/>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FF0000"/>
      </font>
    </dxf>
    <dxf>
      <font>
        <b/>
        <i val="0"/>
        <color rgb="FFFF0000"/>
      </font>
    </dxf>
    <dxf>
      <font>
        <color rgb="FF9C0006"/>
      </font>
      <fill>
        <patternFill>
          <bgColor rgb="FFFFC7CE"/>
        </patternFill>
      </fill>
    </dxf>
    <dxf>
      <font>
        <color rgb="FF9C0006"/>
      </font>
      <fill>
        <patternFill>
          <bgColor rgb="FFFFC7CE"/>
        </patternFill>
      </fill>
    </dxf>
    <dxf>
      <font>
        <b/>
        <i val="0"/>
        <color rgb="FFFF0000"/>
      </font>
    </dxf>
    <dxf>
      <fill>
        <patternFill>
          <bgColor rgb="FFFF0000"/>
        </patternFill>
      </fill>
      <border>
        <left style="thin">
          <color auto="1"/>
        </left>
        <right style="thin">
          <color auto="1"/>
        </right>
        <top style="thin">
          <color auto="1"/>
        </top>
        <bottom style="thin">
          <color auto="1"/>
        </bottom>
        <vertical/>
        <horizontal/>
      </border>
    </dxf>
    <dxf>
      <fill>
        <patternFill>
          <bgColor theme="1"/>
        </patternFill>
      </fill>
    </dxf>
    <dxf>
      <font>
        <color rgb="FF9C0006"/>
      </font>
      <fill>
        <patternFill>
          <bgColor rgb="FFFFC7CE"/>
        </patternFill>
      </fill>
    </dxf>
    <dxf>
      <font>
        <color rgb="FF9C0006"/>
      </font>
      <fill>
        <patternFill>
          <bgColor rgb="FFFFC7CE"/>
        </patternFill>
      </fill>
    </dxf>
    <dxf>
      <fill>
        <patternFill>
          <bgColor rgb="FFFF0000"/>
        </patternFill>
      </fill>
      <border>
        <left style="thin">
          <color auto="1"/>
        </left>
        <right style="thin">
          <color auto="1"/>
        </right>
        <top style="thin">
          <color auto="1"/>
        </top>
        <bottom style="thin">
          <color auto="1"/>
        </bottom>
        <vertical/>
        <horizontal/>
      </border>
    </dxf>
    <dxf>
      <fill>
        <patternFill>
          <bgColor theme="1"/>
        </patternFill>
      </fill>
    </dxf>
    <dxf>
      <font>
        <b/>
        <i val="0"/>
        <color rgb="FFFF0000"/>
      </font>
    </dxf>
    <dxf>
      <font>
        <color rgb="FF9C0006"/>
      </font>
      <fill>
        <patternFill>
          <bgColor rgb="FFFFC7CE"/>
        </patternFill>
      </fill>
    </dxf>
    <dxf>
      <font>
        <color rgb="FF9C0006"/>
      </font>
      <fill>
        <patternFill>
          <bgColor rgb="FFFFC7CE"/>
        </patternFill>
      </fill>
    </dxf>
    <dxf>
      <fill>
        <patternFill>
          <fgColor rgb="FF00FA71"/>
          <bgColor rgb="FF00F26D"/>
        </patternFill>
      </fill>
    </dxf>
    <dxf>
      <fill>
        <patternFill>
          <fgColor rgb="FFFF3B3B"/>
          <bgColor rgb="FFFF2D2D"/>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590550</xdr:colOff>
      <xdr:row>35</xdr:row>
      <xdr:rowOff>185399</xdr:rowOff>
    </xdr:from>
    <xdr:to>
      <xdr:col>1</xdr:col>
      <xdr:colOff>6705600</xdr:colOff>
      <xdr:row>48</xdr:row>
      <xdr:rowOff>66675</xdr:rowOff>
    </xdr:to>
    <xdr:pic>
      <xdr:nvPicPr>
        <xdr:cNvPr id="10" name="Picture 4">
          <a:extLst>
            <a:ext uri="{FF2B5EF4-FFF2-40B4-BE49-F238E27FC236}">
              <a16:creationId xmlns:a16="http://schemas.microsoft.com/office/drawing/2014/main" id="{79F08140-2783-4F4F-A93E-770B4764642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90550" y="6633824"/>
          <a:ext cx="6724650" cy="2014876"/>
        </a:xfrm>
        <a:prstGeom prst="rect">
          <a:avLst/>
        </a:prstGeom>
        <a:noFill/>
      </xdr:spPr>
    </xdr:pic>
    <xdr:clientData/>
  </xdr:twoCellAnchor>
  <xdr:twoCellAnchor editAs="oneCell">
    <xdr:from>
      <xdr:col>1</xdr:col>
      <xdr:colOff>28575</xdr:colOff>
      <xdr:row>6</xdr:row>
      <xdr:rowOff>171450</xdr:rowOff>
    </xdr:from>
    <xdr:to>
      <xdr:col>1</xdr:col>
      <xdr:colOff>6504765</xdr:colOff>
      <xdr:row>8</xdr:row>
      <xdr:rowOff>28545</xdr:rowOff>
    </xdr:to>
    <xdr:pic>
      <xdr:nvPicPr>
        <xdr:cNvPr id="11" name="Picture 10">
          <a:extLst>
            <a:ext uri="{FF2B5EF4-FFF2-40B4-BE49-F238E27FC236}">
              <a16:creationId xmlns:a16="http://schemas.microsoft.com/office/drawing/2014/main" id="{9FF33DC4-07E9-4F60-83A3-72A7042F6CAB}"/>
            </a:ext>
          </a:extLst>
        </xdr:cNvPr>
        <xdr:cNvPicPr>
          <a:picLocks noChangeAspect="1"/>
        </xdr:cNvPicPr>
      </xdr:nvPicPr>
      <xdr:blipFill>
        <a:blip xmlns:r="http://schemas.openxmlformats.org/officeDocument/2006/relationships" r:embed="rId2"/>
        <a:stretch>
          <a:fillRect/>
        </a:stretch>
      </xdr:blipFill>
      <xdr:spPr>
        <a:xfrm>
          <a:off x="638175" y="1314450"/>
          <a:ext cx="6476190" cy="238095"/>
        </a:xfrm>
        <a:prstGeom prst="rect">
          <a:avLst/>
        </a:prstGeom>
        <a:ln>
          <a:solidFill>
            <a:schemeClr val="tx1"/>
          </a:solidFill>
        </a:ln>
      </xdr:spPr>
    </xdr:pic>
    <xdr:clientData/>
  </xdr:twoCellAnchor>
  <xdr:twoCellAnchor editAs="oneCell">
    <xdr:from>
      <xdr:col>1</xdr:col>
      <xdr:colOff>28575</xdr:colOff>
      <xdr:row>51</xdr:row>
      <xdr:rowOff>114300</xdr:rowOff>
    </xdr:from>
    <xdr:to>
      <xdr:col>1</xdr:col>
      <xdr:colOff>6504765</xdr:colOff>
      <xdr:row>52</xdr:row>
      <xdr:rowOff>180943</xdr:rowOff>
    </xdr:to>
    <xdr:pic>
      <xdr:nvPicPr>
        <xdr:cNvPr id="13" name="Picture 12">
          <a:extLst>
            <a:ext uri="{FF2B5EF4-FFF2-40B4-BE49-F238E27FC236}">
              <a16:creationId xmlns:a16="http://schemas.microsoft.com/office/drawing/2014/main" id="{11715195-6D2E-4E1B-BCAE-1B876E546914}"/>
            </a:ext>
          </a:extLst>
        </xdr:cNvPr>
        <xdr:cNvPicPr>
          <a:picLocks noChangeAspect="1"/>
        </xdr:cNvPicPr>
      </xdr:nvPicPr>
      <xdr:blipFill>
        <a:blip xmlns:r="http://schemas.openxmlformats.org/officeDocument/2006/relationships" r:embed="rId3"/>
        <a:stretch>
          <a:fillRect/>
        </a:stretch>
      </xdr:blipFill>
      <xdr:spPr>
        <a:xfrm>
          <a:off x="638175" y="9620250"/>
          <a:ext cx="6476190" cy="257143"/>
        </a:xfrm>
        <a:prstGeom prst="rect">
          <a:avLst/>
        </a:prstGeom>
        <a:ln>
          <a:solidFill>
            <a:schemeClr val="tx1"/>
          </a:solidFill>
        </a:ln>
      </xdr:spPr>
    </xdr:pic>
    <xdr:clientData/>
  </xdr:twoCellAnchor>
  <xdr:twoCellAnchor editAs="oneCell">
    <xdr:from>
      <xdr:col>1</xdr:col>
      <xdr:colOff>2000250</xdr:colOff>
      <xdr:row>57</xdr:row>
      <xdr:rowOff>95250</xdr:rowOff>
    </xdr:from>
    <xdr:to>
      <xdr:col>1</xdr:col>
      <xdr:colOff>3162155</xdr:colOff>
      <xdr:row>65</xdr:row>
      <xdr:rowOff>161755</xdr:rowOff>
    </xdr:to>
    <xdr:pic>
      <xdr:nvPicPr>
        <xdr:cNvPr id="15" name="Picture 14">
          <a:extLst>
            <a:ext uri="{FF2B5EF4-FFF2-40B4-BE49-F238E27FC236}">
              <a16:creationId xmlns:a16="http://schemas.microsoft.com/office/drawing/2014/main" id="{A6E3DA32-FDF4-49B6-8240-4007B0F38F27}"/>
            </a:ext>
          </a:extLst>
        </xdr:cNvPr>
        <xdr:cNvPicPr>
          <a:picLocks noChangeAspect="1"/>
        </xdr:cNvPicPr>
      </xdr:nvPicPr>
      <xdr:blipFill>
        <a:blip xmlns:r="http://schemas.openxmlformats.org/officeDocument/2006/relationships" r:embed="rId4"/>
        <a:stretch>
          <a:fillRect/>
        </a:stretch>
      </xdr:blipFill>
      <xdr:spPr>
        <a:xfrm>
          <a:off x="2609850" y="12839700"/>
          <a:ext cx="1161905" cy="1361905"/>
        </a:xfrm>
        <a:prstGeom prst="rect">
          <a:avLst/>
        </a:prstGeom>
      </xdr:spPr>
    </xdr:pic>
    <xdr:clientData/>
  </xdr:twoCellAnchor>
  <xdr:twoCellAnchor editAs="oneCell">
    <xdr:from>
      <xdr:col>1</xdr:col>
      <xdr:colOff>9525</xdr:colOff>
      <xdr:row>56</xdr:row>
      <xdr:rowOff>952500</xdr:rowOff>
    </xdr:from>
    <xdr:to>
      <xdr:col>1</xdr:col>
      <xdr:colOff>6523811</xdr:colOff>
      <xdr:row>56</xdr:row>
      <xdr:rowOff>1181071</xdr:rowOff>
    </xdr:to>
    <xdr:pic>
      <xdr:nvPicPr>
        <xdr:cNvPr id="16" name="Picture 15">
          <a:extLst>
            <a:ext uri="{FF2B5EF4-FFF2-40B4-BE49-F238E27FC236}">
              <a16:creationId xmlns:a16="http://schemas.microsoft.com/office/drawing/2014/main" id="{FFACD01B-5482-41D3-B091-403BC887421A}"/>
            </a:ext>
          </a:extLst>
        </xdr:cNvPr>
        <xdr:cNvPicPr>
          <a:picLocks noChangeAspect="1"/>
        </xdr:cNvPicPr>
      </xdr:nvPicPr>
      <xdr:blipFill>
        <a:blip xmlns:r="http://schemas.openxmlformats.org/officeDocument/2006/relationships" r:embed="rId5"/>
        <a:stretch>
          <a:fillRect/>
        </a:stretch>
      </xdr:blipFill>
      <xdr:spPr>
        <a:xfrm>
          <a:off x="619125" y="11601450"/>
          <a:ext cx="6514286" cy="228571"/>
        </a:xfrm>
        <a:prstGeom prst="rect">
          <a:avLst/>
        </a:prstGeom>
        <a:ln>
          <a:solidFill>
            <a:schemeClr val="tx1"/>
          </a:solidFill>
        </a:ln>
      </xdr:spPr>
    </xdr:pic>
    <xdr:clientData/>
  </xdr:twoCellAnchor>
  <xdr:twoCellAnchor editAs="oneCell">
    <xdr:from>
      <xdr:col>0</xdr:col>
      <xdr:colOff>590550</xdr:colOff>
      <xdr:row>11</xdr:row>
      <xdr:rowOff>114300</xdr:rowOff>
    </xdr:from>
    <xdr:to>
      <xdr:col>1</xdr:col>
      <xdr:colOff>4142855</xdr:colOff>
      <xdr:row>29</xdr:row>
      <xdr:rowOff>152024</xdr:rowOff>
    </xdr:to>
    <xdr:pic>
      <xdr:nvPicPr>
        <xdr:cNvPr id="3" name="Picture 2">
          <a:extLst>
            <a:ext uri="{FF2B5EF4-FFF2-40B4-BE49-F238E27FC236}">
              <a16:creationId xmlns:a16="http://schemas.microsoft.com/office/drawing/2014/main" id="{A0E60DD7-0B83-4D3D-91B9-98D0950D5C46}"/>
            </a:ext>
          </a:extLst>
        </xdr:cNvPr>
        <xdr:cNvPicPr>
          <a:picLocks noChangeAspect="1"/>
        </xdr:cNvPicPr>
      </xdr:nvPicPr>
      <xdr:blipFill>
        <a:blip xmlns:r="http://schemas.openxmlformats.org/officeDocument/2006/relationships" r:embed="rId6"/>
        <a:stretch>
          <a:fillRect/>
        </a:stretch>
      </xdr:blipFill>
      <xdr:spPr>
        <a:xfrm>
          <a:off x="590550" y="2209800"/>
          <a:ext cx="4161905" cy="30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78"/>
  <sheetViews>
    <sheetView workbookViewId="0"/>
  </sheetViews>
  <sheetFormatPr defaultRowHeight="12.75"/>
  <cols>
    <col min="2" max="2" width="103.7109375" customWidth="1"/>
  </cols>
  <sheetData>
    <row r="1" spans="1:7" ht="15">
      <c r="A1" s="8"/>
      <c r="B1" s="149"/>
      <c r="C1" s="8"/>
      <c r="D1" s="8"/>
      <c r="E1" s="8"/>
      <c r="F1" s="8"/>
      <c r="G1" s="8"/>
    </row>
    <row r="2" spans="1:7" ht="15">
      <c r="A2" s="8"/>
      <c r="B2" s="51" t="s">
        <v>30</v>
      </c>
      <c r="C2" s="28"/>
      <c r="D2" s="28"/>
      <c r="E2" s="8"/>
      <c r="F2" s="8"/>
      <c r="G2" s="8"/>
    </row>
    <row r="3" spans="1:7" ht="15">
      <c r="A3" s="8"/>
      <c r="B3" s="51"/>
      <c r="C3" s="28"/>
      <c r="D3" s="28"/>
      <c r="E3" s="8"/>
      <c r="F3" s="8"/>
      <c r="G3" s="8"/>
    </row>
    <row r="4" spans="1:7" ht="15">
      <c r="A4" s="8"/>
      <c r="B4" s="51" t="s">
        <v>31</v>
      </c>
      <c r="C4" s="28"/>
      <c r="D4" s="28"/>
      <c r="E4" s="8"/>
      <c r="F4" s="8"/>
      <c r="G4" s="8"/>
    </row>
    <row r="5" spans="1:7" ht="15">
      <c r="A5" s="8"/>
      <c r="B5" s="51"/>
      <c r="C5" s="28"/>
      <c r="D5" s="28"/>
      <c r="E5" s="8"/>
      <c r="F5" s="8"/>
      <c r="G5" s="8"/>
    </row>
    <row r="6" spans="1:7" ht="15">
      <c r="A6" s="8"/>
      <c r="B6" s="51" t="s">
        <v>196</v>
      </c>
      <c r="C6" s="28"/>
      <c r="D6" s="28"/>
      <c r="E6" s="8"/>
      <c r="F6" s="8"/>
      <c r="G6" s="8"/>
    </row>
    <row r="7" spans="1:7" ht="15">
      <c r="A7" s="8"/>
      <c r="B7" s="51"/>
      <c r="C7" s="28"/>
      <c r="D7" s="28"/>
      <c r="E7" s="8"/>
      <c r="F7" s="8"/>
      <c r="G7" s="8"/>
    </row>
    <row r="8" spans="1:7" ht="15">
      <c r="A8" s="8"/>
      <c r="B8" s="51"/>
      <c r="C8" s="28"/>
      <c r="D8" s="28"/>
      <c r="E8" s="8"/>
      <c r="F8" s="8"/>
      <c r="G8" s="8"/>
    </row>
    <row r="9" spans="1:7" ht="15">
      <c r="A9" s="8"/>
      <c r="B9" s="51"/>
      <c r="C9" s="28"/>
      <c r="D9" s="28"/>
      <c r="E9" s="8"/>
      <c r="F9" s="8"/>
      <c r="G9" s="8"/>
    </row>
    <row r="10" spans="1:7" ht="15">
      <c r="A10" s="8"/>
      <c r="B10" s="51" t="s">
        <v>32</v>
      </c>
      <c r="C10" s="28"/>
      <c r="D10" s="28"/>
      <c r="E10" s="8"/>
      <c r="F10" s="8"/>
      <c r="G10" s="8"/>
    </row>
    <row r="11" spans="1:7" ht="15">
      <c r="A11" s="8"/>
      <c r="B11" s="51"/>
      <c r="C11" s="28"/>
      <c r="D11" s="28"/>
      <c r="E11" s="8"/>
      <c r="F11" s="8"/>
      <c r="G11" s="8"/>
    </row>
    <row r="12" spans="1:7" ht="15">
      <c r="A12" s="8"/>
      <c r="B12" s="51"/>
      <c r="C12" s="28"/>
      <c r="D12" s="28"/>
      <c r="E12" s="8"/>
      <c r="F12" s="8"/>
      <c r="G12" s="8"/>
    </row>
    <row r="13" spans="1:7">
      <c r="A13" s="8"/>
      <c r="B13" s="8"/>
      <c r="C13" s="28"/>
      <c r="D13" s="28"/>
      <c r="E13" s="8"/>
      <c r="F13" s="8"/>
      <c r="G13" s="8"/>
    </row>
    <row r="14" spans="1:7">
      <c r="A14" s="8"/>
      <c r="B14" s="8"/>
      <c r="C14" s="28"/>
      <c r="D14" s="28"/>
      <c r="E14" s="8"/>
      <c r="F14" s="8"/>
      <c r="G14" s="8"/>
    </row>
    <row r="15" spans="1:7">
      <c r="A15" s="8"/>
      <c r="B15" s="8"/>
      <c r="C15" s="28"/>
      <c r="D15" s="28"/>
      <c r="E15" s="8"/>
      <c r="F15" s="8"/>
      <c r="G15" s="8"/>
    </row>
    <row r="16" spans="1:7">
      <c r="A16" s="8"/>
      <c r="B16" s="8"/>
      <c r="C16" s="28"/>
      <c r="D16" s="28"/>
      <c r="E16" s="8"/>
      <c r="F16" s="8"/>
      <c r="G16" s="8"/>
    </row>
    <row r="17" spans="1:7">
      <c r="A17" s="8"/>
      <c r="B17" s="8"/>
      <c r="C17" s="28"/>
      <c r="D17" s="28"/>
      <c r="E17" s="8"/>
      <c r="F17" s="8"/>
      <c r="G17" s="8"/>
    </row>
    <row r="18" spans="1:7">
      <c r="A18" s="8"/>
      <c r="B18" s="8"/>
      <c r="C18" s="28"/>
      <c r="D18" s="28"/>
      <c r="E18" s="8"/>
      <c r="F18" s="8"/>
      <c r="G18" s="8"/>
    </row>
    <row r="19" spans="1:7">
      <c r="A19" s="8"/>
      <c r="B19" s="8"/>
      <c r="C19" s="28"/>
      <c r="D19" s="28"/>
      <c r="E19" s="8"/>
      <c r="F19" s="8"/>
      <c r="G19" s="8"/>
    </row>
    <row r="20" spans="1:7">
      <c r="A20" s="8"/>
      <c r="B20" s="8"/>
      <c r="C20" s="28"/>
      <c r="D20" s="28"/>
      <c r="E20" s="8"/>
      <c r="F20" s="8"/>
      <c r="G20" s="8"/>
    </row>
    <row r="21" spans="1:7">
      <c r="A21" s="8"/>
      <c r="B21" s="8"/>
      <c r="C21" s="28"/>
      <c r="D21" s="28"/>
      <c r="E21" s="8"/>
      <c r="F21" s="8"/>
      <c r="G21" s="8"/>
    </row>
    <row r="22" spans="1:7">
      <c r="A22" s="8"/>
      <c r="B22" s="8"/>
      <c r="C22" s="28"/>
      <c r="D22" s="28"/>
      <c r="E22" s="8"/>
      <c r="F22" s="8"/>
      <c r="G22" s="8"/>
    </row>
    <row r="23" spans="1:7" ht="15">
      <c r="A23" s="8"/>
      <c r="B23" s="51"/>
      <c r="C23" s="28"/>
      <c r="D23" s="28"/>
      <c r="E23" s="8"/>
      <c r="F23" s="8"/>
      <c r="G23" s="8"/>
    </row>
    <row r="24" spans="1:7">
      <c r="A24" s="8"/>
      <c r="B24" s="8"/>
      <c r="C24" s="28"/>
      <c r="D24" s="28"/>
      <c r="E24" s="8"/>
      <c r="F24" s="8"/>
      <c r="G24" s="8"/>
    </row>
    <row r="25" spans="1:7">
      <c r="A25" s="8"/>
      <c r="B25" s="8"/>
      <c r="C25" s="28"/>
      <c r="D25" s="28"/>
      <c r="E25" s="8"/>
      <c r="F25" s="8"/>
      <c r="G25" s="8"/>
    </row>
    <row r="26" spans="1:7">
      <c r="A26" s="8"/>
      <c r="B26" s="8"/>
      <c r="C26" s="28"/>
      <c r="D26" s="28"/>
      <c r="E26" s="8"/>
      <c r="F26" s="8"/>
      <c r="G26" s="8"/>
    </row>
    <row r="27" spans="1:7">
      <c r="A27" s="8"/>
      <c r="B27" s="8"/>
      <c r="C27" s="28"/>
      <c r="D27" s="28"/>
      <c r="E27" s="8"/>
      <c r="F27" s="8"/>
      <c r="G27" s="8"/>
    </row>
    <row r="28" spans="1:7">
      <c r="A28" s="8"/>
      <c r="B28" s="8"/>
      <c r="C28" s="28"/>
      <c r="D28" s="28"/>
      <c r="E28" s="8"/>
      <c r="F28" s="8"/>
      <c r="G28" s="8"/>
    </row>
    <row r="29" spans="1:7">
      <c r="A29" s="8"/>
      <c r="B29" s="8"/>
      <c r="C29" s="28"/>
      <c r="D29" s="28"/>
      <c r="E29" s="8"/>
      <c r="F29" s="8"/>
      <c r="G29" s="8"/>
    </row>
    <row r="30" spans="1:7">
      <c r="A30" s="8"/>
      <c r="B30" s="8"/>
      <c r="C30" s="28"/>
      <c r="D30" s="28"/>
      <c r="E30" s="8"/>
      <c r="F30" s="8"/>
      <c r="G30" s="8"/>
    </row>
    <row r="31" spans="1:7">
      <c r="A31" s="8"/>
      <c r="B31" s="8"/>
      <c r="C31" s="28"/>
      <c r="D31" s="28"/>
      <c r="E31" s="8"/>
      <c r="F31" s="8"/>
      <c r="G31" s="8"/>
    </row>
    <row r="32" spans="1:7">
      <c r="A32" s="8"/>
      <c r="B32" s="8"/>
      <c r="C32" s="28"/>
      <c r="D32" s="28"/>
      <c r="E32" s="8"/>
      <c r="F32" s="8"/>
      <c r="G32" s="8"/>
    </row>
    <row r="33" spans="1:7">
      <c r="A33" s="8"/>
      <c r="B33" s="8"/>
      <c r="C33" s="28"/>
      <c r="D33" s="28"/>
      <c r="E33" s="8"/>
      <c r="F33" s="8"/>
      <c r="G33" s="8"/>
    </row>
    <row r="34" spans="1:7">
      <c r="A34" s="8"/>
      <c r="B34" s="8"/>
      <c r="C34" s="28"/>
      <c r="D34" s="28"/>
      <c r="E34" s="8"/>
      <c r="F34" s="8"/>
      <c r="G34" s="8"/>
    </row>
    <row r="35" spans="1:7" ht="45">
      <c r="A35" s="8"/>
      <c r="B35" s="51" t="s">
        <v>33</v>
      </c>
      <c r="C35" s="8"/>
      <c r="D35" s="8"/>
      <c r="E35" s="8"/>
      <c r="F35" s="8"/>
      <c r="G35" s="8"/>
    </row>
    <row r="36" spans="1:7" ht="15">
      <c r="A36" s="8"/>
      <c r="B36" s="51"/>
      <c r="C36" s="8"/>
      <c r="D36" s="8"/>
      <c r="E36" s="8"/>
      <c r="F36" s="8"/>
      <c r="G36" s="8"/>
    </row>
    <row r="37" spans="1:7">
      <c r="A37" s="8"/>
      <c r="B37" s="8"/>
      <c r="C37" s="8"/>
      <c r="D37" s="8"/>
      <c r="E37" s="8"/>
      <c r="F37" s="8"/>
      <c r="G37" s="8"/>
    </row>
    <row r="38" spans="1:7">
      <c r="A38" s="8"/>
      <c r="B38" s="8"/>
      <c r="C38" s="8"/>
      <c r="D38" s="8"/>
      <c r="E38" s="8"/>
      <c r="F38" s="8"/>
      <c r="G38" s="8"/>
    </row>
    <row r="39" spans="1:7">
      <c r="A39" s="8"/>
      <c r="B39" s="8"/>
      <c r="C39" s="8"/>
      <c r="D39" s="8"/>
      <c r="E39" s="8"/>
      <c r="F39" s="8"/>
      <c r="G39" s="8"/>
    </row>
    <row r="40" spans="1:7">
      <c r="A40" s="8"/>
      <c r="B40" s="8"/>
      <c r="C40" s="8"/>
      <c r="D40" s="8"/>
      <c r="E40" s="8"/>
      <c r="F40" s="8"/>
      <c r="G40" s="8"/>
    </row>
    <row r="41" spans="1:7">
      <c r="A41" s="8"/>
      <c r="B41" s="8"/>
      <c r="C41" s="8"/>
      <c r="D41" s="8"/>
      <c r="E41" s="8"/>
      <c r="F41" s="8"/>
      <c r="G41" s="8"/>
    </row>
    <row r="42" spans="1:7">
      <c r="A42" s="8"/>
      <c r="B42" s="8"/>
      <c r="C42" s="8"/>
      <c r="D42" s="8"/>
      <c r="E42" s="8"/>
      <c r="F42" s="8"/>
      <c r="G42" s="8"/>
    </row>
    <row r="43" spans="1:7">
      <c r="A43" s="8"/>
      <c r="B43" s="8"/>
      <c r="C43" s="8"/>
      <c r="D43" s="8"/>
      <c r="E43" s="8"/>
      <c r="F43" s="8"/>
      <c r="G43" s="8"/>
    </row>
    <row r="44" spans="1:7">
      <c r="A44" s="8"/>
      <c r="B44" s="8"/>
      <c r="C44" s="8"/>
      <c r="D44" s="8"/>
      <c r="E44" s="8"/>
      <c r="F44" s="8"/>
      <c r="G44" s="8"/>
    </row>
    <row r="45" spans="1:7">
      <c r="A45" s="8"/>
      <c r="B45" s="8"/>
      <c r="C45" s="8"/>
      <c r="D45" s="8"/>
      <c r="E45" s="8"/>
      <c r="F45" s="8"/>
      <c r="G45" s="8"/>
    </row>
    <row r="46" spans="1:7">
      <c r="A46" s="8"/>
      <c r="B46" s="8"/>
      <c r="C46" s="8"/>
      <c r="D46" s="8"/>
      <c r="E46" s="8"/>
      <c r="F46" s="8"/>
      <c r="G46" s="8"/>
    </row>
    <row r="47" spans="1:7">
      <c r="A47" s="8"/>
      <c r="B47" s="8"/>
      <c r="C47" s="8"/>
      <c r="D47" s="8"/>
      <c r="E47" s="8"/>
      <c r="F47" s="8"/>
      <c r="G47" s="8"/>
    </row>
    <row r="48" spans="1:7">
      <c r="A48" s="8"/>
      <c r="B48" s="8"/>
      <c r="C48" s="8"/>
      <c r="D48" s="8"/>
      <c r="E48" s="8"/>
      <c r="F48" s="8"/>
      <c r="G48" s="8"/>
    </row>
    <row r="49" spans="1:7">
      <c r="A49" s="8"/>
      <c r="B49" s="8"/>
      <c r="C49" s="8"/>
      <c r="D49" s="8"/>
      <c r="E49" s="8"/>
      <c r="F49" s="8"/>
      <c r="G49" s="8"/>
    </row>
    <row r="50" spans="1:7" ht="15">
      <c r="A50" s="8"/>
      <c r="B50" s="51"/>
      <c r="C50" s="8"/>
      <c r="D50" s="8"/>
      <c r="E50" s="8"/>
      <c r="F50" s="8"/>
      <c r="G50" s="8"/>
    </row>
    <row r="51" spans="1:7" ht="45">
      <c r="A51" s="8"/>
      <c r="B51" s="150" t="s">
        <v>1028</v>
      </c>
      <c r="C51" s="8"/>
      <c r="D51" s="8"/>
      <c r="E51" s="8"/>
      <c r="F51" s="8"/>
      <c r="G51" s="8"/>
    </row>
    <row r="52" spans="1:7" ht="15">
      <c r="A52" s="8"/>
      <c r="B52" s="51"/>
      <c r="C52" s="8"/>
      <c r="D52" s="8"/>
      <c r="E52" s="8"/>
      <c r="F52" s="8"/>
      <c r="G52" s="8"/>
    </row>
    <row r="53" spans="1:7" ht="15">
      <c r="A53" s="8"/>
      <c r="B53" s="51"/>
      <c r="C53" s="8"/>
      <c r="D53" s="8"/>
      <c r="E53" s="8"/>
      <c r="F53" s="8"/>
      <c r="G53" s="8"/>
    </row>
    <row r="54" spans="1:7" ht="15">
      <c r="A54" s="8"/>
      <c r="B54" s="51"/>
      <c r="C54" s="8"/>
      <c r="D54" s="8"/>
      <c r="E54" s="8"/>
      <c r="F54" s="8"/>
      <c r="G54" s="8"/>
    </row>
    <row r="55" spans="1:7" ht="30">
      <c r="A55" s="8"/>
      <c r="B55" s="51" t="s">
        <v>1029</v>
      </c>
      <c r="C55" s="8"/>
      <c r="D55" s="8"/>
      <c r="E55" s="8"/>
      <c r="F55" s="8"/>
      <c r="G55" s="8"/>
    </row>
    <row r="56" spans="1:7" ht="15">
      <c r="A56" s="8"/>
      <c r="B56" s="51"/>
      <c r="C56" s="8"/>
      <c r="D56" s="8"/>
      <c r="E56" s="8"/>
      <c r="F56" s="8"/>
      <c r="G56" s="8"/>
    </row>
    <row r="57" spans="1:7" ht="165">
      <c r="A57" s="8"/>
      <c r="B57" s="51" t="s">
        <v>1030</v>
      </c>
      <c r="C57" s="8"/>
      <c r="D57" s="8"/>
      <c r="E57" s="8"/>
      <c r="F57" s="8"/>
      <c r="G57" s="8"/>
    </row>
    <row r="58" spans="1:7" ht="15">
      <c r="A58" s="8"/>
      <c r="B58" s="150"/>
      <c r="C58" s="8"/>
      <c r="D58" s="8"/>
      <c r="E58" s="8"/>
      <c r="F58" s="8"/>
      <c r="G58" s="8"/>
    </row>
    <row r="59" spans="1:7">
      <c r="A59" s="8"/>
      <c r="B59" s="25"/>
      <c r="C59" s="8"/>
      <c r="D59" s="8"/>
      <c r="E59" s="8"/>
      <c r="F59" s="8"/>
      <c r="G59" s="8"/>
    </row>
    <row r="60" spans="1:7">
      <c r="A60" s="8"/>
      <c r="B60" s="8"/>
      <c r="C60" s="8"/>
      <c r="D60" s="8"/>
      <c r="E60" s="8"/>
      <c r="F60" s="8"/>
      <c r="G60" s="8"/>
    </row>
    <row r="61" spans="1:7">
      <c r="A61" s="8"/>
      <c r="B61" s="8"/>
      <c r="C61" s="8"/>
      <c r="D61" s="8"/>
      <c r="E61" s="8"/>
      <c r="F61" s="8"/>
      <c r="G61" s="8"/>
    </row>
    <row r="62" spans="1:7">
      <c r="A62" s="8"/>
      <c r="B62" s="8"/>
      <c r="C62" s="8"/>
      <c r="D62" s="8"/>
      <c r="E62" s="8"/>
      <c r="F62" s="8"/>
      <c r="G62" s="8"/>
    </row>
    <row r="63" spans="1:7">
      <c r="A63" s="8"/>
      <c r="B63" s="8"/>
      <c r="C63" s="8"/>
      <c r="D63" s="8"/>
      <c r="E63" s="8"/>
      <c r="F63" s="8"/>
      <c r="G63" s="8"/>
    </row>
    <row r="64" spans="1:7">
      <c r="A64" s="8"/>
      <c r="B64" s="8"/>
      <c r="C64" s="8"/>
      <c r="D64" s="8"/>
      <c r="E64" s="8"/>
      <c r="F64" s="8"/>
      <c r="G64" s="8"/>
    </row>
    <row r="65" spans="1:7">
      <c r="A65" s="8"/>
      <c r="B65" s="8"/>
      <c r="C65" s="8"/>
      <c r="D65" s="8"/>
      <c r="E65" s="8"/>
      <c r="F65" s="8"/>
      <c r="G65" s="8"/>
    </row>
    <row r="66" spans="1:7">
      <c r="A66" s="8"/>
      <c r="B66" s="8"/>
      <c r="C66" s="8"/>
      <c r="D66" s="8"/>
      <c r="E66" s="8"/>
      <c r="F66" s="8"/>
      <c r="G66" s="8"/>
    </row>
    <row r="67" spans="1:7">
      <c r="A67" s="8"/>
      <c r="B67" s="8"/>
      <c r="C67" s="8"/>
      <c r="D67" s="8"/>
      <c r="E67" s="8"/>
      <c r="F67" s="8"/>
      <c r="G67" s="8"/>
    </row>
    <row r="68" spans="1:7" ht="15">
      <c r="A68" s="8"/>
      <c r="B68" s="51" t="s">
        <v>1031</v>
      </c>
      <c r="C68" s="8"/>
      <c r="D68" s="8"/>
      <c r="E68" s="8"/>
      <c r="F68" s="8"/>
      <c r="G68" s="8"/>
    </row>
    <row r="69" spans="1:7" ht="15">
      <c r="A69" s="8"/>
      <c r="B69" s="51"/>
      <c r="C69" s="8"/>
      <c r="D69" s="8"/>
      <c r="E69" s="8"/>
      <c r="F69" s="8"/>
      <c r="G69" s="8"/>
    </row>
    <row r="70" spans="1:7" ht="15">
      <c r="A70" s="8"/>
      <c r="B70" s="51"/>
      <c r="C70" s="8"/>
      <c r="D70" s="8"/>
      <c r="E70" s="8"/>
      <c r="F70" s="8"/>
      <c r="G70" s="8"/>
    </row>
    <row r="71" spans="1:7" ht="13.5">
      <c r="A71" s="8"/>
      <c r="B71" s="437" t="s">
        <v>403</v>
      </c>
      <c r="C71" s="8"/>
      <c r="D71" s="8"/>
      <c r="E71" s="8"/>
      <c r="F71" s="8"/>
      <c r="G71" s="8"/>
    </row>
    <row r="72" spans="1:7" ht="13.5">
      <c r="A72" s="8"/>
      <c r="B72" s="437" t="s">
        <v>404</v>
      </c>
      <c r="C72" s="8"/>
      <c r="D72" s="8"/>
      <c r="E72" s="8"/>
      <c r="F72" s="8"/>
      <c r="G72" s="8"/>
    </row>
    <row r="73" spans="1:7" ht="13.5">
      <c r="A73" s="8"/>
      <c r="B73" s="437" t="s">
        <v>405</v>
      </c>
      <c r="C73" s="8"/>
      <c r="D73" s="8"/>
      <c r="E73" s="8"/>
      <c r="F73" s="8"/>
      <c r="G73" s="8"/>
    </row>
    <row r="74" spans="1:7" ht="13.5">
      <c r="A74" s="8"/>
      <c r="B74" s="437" t="s">
        <v>406</v>
      </c>
      <c r="C74" s="8"/>
      <c r="D74" s="8"/>
      <c r="E74" s="8"/>
      <c r="F74" s="8"/>
      <c r="G74" s="8"/>
    </row>
    <row r="75" spans="1:7" ht="13.5">
      <c r="A75" s="8"/>
      <c r="B75" s="437" t="s">
        <v>407</v>
      </c>
      <c r="C75" s="8"/>
      <c r="D75" s="8"/>
      <c r="E75" s="8"/>
      <c r="F75" s="8"/>
      <c r="G75" s="8"/>
    </row>
    <row r="76" spans="1:7">
      <c r="A76" s="8"/>
      <c r="B76" s="8"/>
      <c r="C76" s="8"/>
      <c r="D76" s="8"/>
      <c r="E76" s="8"/>
      <c r="F76" s="8"/>
      <c r="G76" s="8"/>
    </row>
    <row r="77" spans="1:7">
      <c r="A77" s="8"/>
      <c r="B77" s="8"/>
      <c r="C77" s="8"/>
      <c r="D77" s="8"/>
      <c r="E77" s="8"/>
      <c r="F77" s="8"/>
      <c r="G77" s="8"/>
    </row>
    <row r="78" spans="1:7">
      <c r="A78" s="8"/>
      <c r="B78" s="8"/>
      <c r="C78" s="8"/>
      <c r="D78" s="8"/>
      <c r="E78" s="8"/>
      <c r="F78" s="8"/>
      <c r="G78" s="8"/>
    </row>
  </sheetData>
  <phoneticPr fontId="34"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2:C16"/>
  <sheetViews>
    <sheetView workbookViewId="0">
      <selection activeCell="C3" sqref="C3"/>
    </sheetView>
  </sheetViews>
  <sheetFormatPr defaultRowHeight="12.75"/>
  <cols>
    <col min="2" max="2" width="21.5703125" customWidth="1"/>
    <col min="3" max="3" width="45.7109375" bestFit="1" customWidth="1"/>
  </cols>
  <sheetData>
    <row r="2" spans="2:3">
      <c r="B2" s="131" t="s">
        <v>194</v>
      </c>
    </row>
    <row r="3" spans="2:3" ht="156" customHeight="1">
      <c r="B3" s="123">
        <v>9</v>
      </c>
      <c r="C3" s="595" t="s">
        <v>1253</v>
      </c>
    </row>
    <row r="6" spans="2:3" ht="15.75">
      <c r="B6" s="622" t="s">
        <v>20</v>
      </c>
      <c r="C6" s="622"/>
    </row>
    <row r="7" spans="2:3" ht="25.5" customHeight="1">
      <c r="B7" s="123" t="s">
        <v>193</v>
      </c>
      <c r="C7" s="123" t="s">
        <v>192</v>
      </c>
    </row>
    <row r="8" spans="2:3" ht="156" customHeight="1">
      <c r="B8" s="123">
        <v>9</v>
      </c>
      <c r="C8" s="595" t="s">
        <v>1253</v>
      </c>
    </row>
    <row r="9" spans="2:3" ht="82.5" customHeight="1">
      <c r="B9" s="123">
        <v>8</v>
      </c>
      <c r="C9" s="595" t="s">
        <v>1236</v>
      </c>
    </row>
    <row r="10" spans="2:3" ht="293.25">
      <c r="B10" s="123">
        <v>7</v>
      </c>
      <c r="C10" s="596" t="s">
        <v>1222</v>
      </c>
    </row>
    <row r="11" spans="2:3" ht="25.5" customHeight="1">
      <c r="B11" s="123">
        <v>6</v>
      </c>
      <c r="C11" s="596" t="s">
        <v>1216</v>
      </c>
    </row>
    <row r="12" spans="2:3" ht="25.5" customHeight="1">
      <c r="B12" s="123">
        <v>5</v>
      </c>
      <c r="C12" s="596" t="s">
        <v>1217</v>
      </c>
    </row>
    <row r="13" spans="2:3" ht="25.5">
      <c r="B13" s="123">
        <v>4</v>
      </c>
      <c r="C13" s="596" t="s">
        <v>1215</v>
      </c>
    </row>
    <row r="14" spans="2:3" ht="89.25">
      <c r="B14" s="123">
        <v>3</v>
      </c>
      <c r="C14" s="595" t="s">
        <v>1198</v>
      </c>
    </row>
    <row r="15" spans="2:3" ht="25.5">
      <c r="B15" s="123">
        <v>2</v>
      </c>
      <c r="C15" s="396" t="s">
        <v>1062</v>
      </c>
    </row>
    <row r="16" spans="2:3">
      <c r="B16" s="123">
        <v>1</v>
      </c>
      <c r="C16" s="396" t="s">
        <v>1042</v>
      </c>
    </row>
  </sheetData>
  <mergeCells count="1">
    <mergeCell ref="B6:C6"/>
  </mergeCells>
  <phoneticPr fontId="34"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AP694"/>
  <sheetViews>
    <sheetView showGridLines="0" tabSelected="1" zoomScale="85" zoomScaleNormal="85" workbookViewId="0">
      <selection activeCell="E26" sqref="E26"/>
    </sheetView>
  </sheetViews>
  <sheetFormatPr defaultRowHeight="12.75"/>
  <cols>
    <col min="1" max="1" width="3.42578125" style="8" customWidth="1"/>
    <col min="2" max="2" width="37.42578125" customWidth="1"/>
    <col min="3" max="3" width="15.5703125" customWidth="1"/>
    <col min="4" max="4" width="19" customWidth="1"/>
    <col min="5" max="5" width="13.7109375" style="1" customWidth="1"/>
    <col min="6" max="6" width="64" customWidth="1"/>
    <col min="7" max="7" width="27.28515625" style="1" customWidth="1"/>
    <col min="8" max="8" width="15" style="1" customWidth="1"/>
    <col min="9" max="9" width="14" style="1" customWidth="1"/>
    <col min="10" max="10" width="16.42578125" customWidth="1"/>
    <col min="11" max="11" width="47.5703125" style="8" customWidth="1"/>
    <col min="12" max="12" width="16.5703125" style="8" customWidth="1"/>
    <col min="13" max="13" width="10" style="8" bestFit="1" customWidth="1"/>
    <col min="14" max="14" width="11.7109375" style="8" customWidth="1"/>
    <col min="15" max="16" width="4.7109375" style="8" customWidth="1"/>
    <col min="17" max="17" width="8.42578125" style="8" customWidth="1"/>
    <col min="18" max="21" width="4.7109375" style="8" customWidth="1"/>
    <col min="22" max="22" width="9.28515625" style="8"/>
  </cols>
  <sheetData>
    <row r="1" spans="1:42" ht="15">
      <c r="B1" s="149"/>
      <c r="C1" s="8"/>
      <c r="D1" s="8"/>
      <c r="E1" s="8"/>
      <c r="F1" s="8"/>
      <c r="G1" s="45"/>
      <c r="H1" s="8"/>
      <c r="I1" s="8"/>
      <c r="J1" s="8"/>
      <c r="W1" s="8"/>
      <c r="X1" s="8"/>
      <c r="Y1" s="8"/>
      <c r="Z1" s="8"/>
      <c r="AA1" s="8"/>
      <c r="AB1" s="8"/>
      <c r="AC1" s="8"/>
      <c r="AD1" s="8"/>
      <c r="AE1" s="8"/>
      <c r="AF1" s="8"/>
      <c r="AG1" s="8"/>
      <c r="AH1" s="8"/>
      <c r="AI1" s="8"/>
      <c r="AJ1" s="8"/>
      <c r="AK1" s="8"/>
      <c r="AL1" s="8"/>
      <c r="AM1" s="8"/>
      <c r="AN1" s="8"/>
      <c r="AO1" s="8"/>
      <c r="AP1" s="8"/>
    </row>
    <row r="2" spans="1:42">
      <c r="B2" s="8"/>
      <c r="C2" s="8"/>
      <c r="D2" s="8"/>
      <c r="E2" s="8"/>
      <c r="F2" s="8"/>
      <c r="G2" s="45"/>
      <c r="H2" s="8"/>
      <c r="I2" s="8"/>
      <c r="J2" s="8"/>
      <c r="W2" s="8"/>
      <c r="X2" s="8"/>
      <c r="Y2" s="8"/>
      <c r="Z2" s="8"/>
      <c r="AA2" s="8"/>
      <c r="AB2" s="8"/>
      <c r="AC2" s="8"/>
      <c r="AD2" s="8"/>
      <c r="AE2" s="8"/>
      <c r="AF2" s="8"/>
      <c r="AG2" s="8"/>
      <c r="AH2" s="8"/>
      <c r="AI2" s="8"/>
      <c r="AJ2" s="8"/>
      <c r="AK2" s="8"/>
      <c r="AL2" s="8"/>
      <c r="AM2" s="8"/>
      <c r="AN2" s="8"/>
      <c r="AO2" s="8"/>
    </row>
    <row r="3" spans="1:42" s="10" customFormat="1" ht="35.25">
      <c r="A3" s="11"/>
      <c r="C3" s="165" t="s">
        <v>1041</v>
      </c>
      <c r="D3" s="165"/>
      <c r="E3" s="165"/>
      <c r="F3" s="165"/>
      <c r="G3" s="165"/>
      <c r="H3" s="9"/>
      <c r="I3" s="9"/>
      <c r="J3" s="9"/>
      <c r="K3" s="11"/>
      <c r="L3" s="11"/>
      <c r="M3" s="11"/>
      <c r="N3" s="11"/>
      <c r="O3" s="11"/>
      <c r="P3" s="11"/>
      <c r="Q3" s="11"/>
      <c r="R3" s="11"/>
      <c r="S3" s="11"/>
      <c r="T3" s="11"/>
      <c r="U3" s="11"/>
      <c r="V3" s="11"/>
      <c r="W3" s="9"/>
      <c r="X3" s="9"/>
      <c r="Y3" s="9"/>
      <c r="Z3" s="9"/>
      <c r="AA3" s="9"/>
      <c r="AB3" s="9"/>
      <c r="AC3" s="9"/>
      <c r="AD3" s="9"/>
      <c r="AE3" s="9"/>
      <c r="AF3" s="9"/>
      <c r="AG3" s="9"/>
      <c r="AH3" s="9"/>
      <c r="AI3" s="9"/>
      <c r="AJ3" s="9"/>
      <c r="AK3" s="9"/>
      <c r="AL3" s="9"/>
      <c r="AM3" s="9"/>
      <c r="AN3" s="9"/>
    </row>
    <row r="4" spans="1:42" s="142" customFormat="1" ht="23.25">
      <c r="A4" s="141"/>
      <c r="C4" s="699" t="s">
        <v>197</v>
      </c>
      <c r="D4" s="699"/>
      <c r="E4" s="699"/>
      <c r="F4" s="699"/>
      <c r="G4" s="700" t="s">
        <v>1011</v>
      </c>
      <c r="H4" s="700"/>
      <c r="I4" s="700"/>
      <c r="J4" s="700"/>
      <c r="K4" s="141"/>
      <c r="L4" s="141"/>
      <c r="M4" s="141"/>
      <c r="N4" s="141"/>
      <c r="O4" s="141"/>
      <c r="P4" s="141"/>
      <c r="Q4" s="141"/>
      <c r="R4" s="141"/>
      <c r="S4" s="141"/>
      <c r="T4" s="141"/>
      <c r="U4" s="141"/>
      <c r="V4" s="141"/>
      <c r="W4" s="143"/>
      <c r="X4" s="143"/>
      <c r="Y4" s="143"/>
      <c r="Z4" s="143"/>
      <c r="AA4" s="3" t="s">
        <v>13</v>
      </c>
      <c r="AB4" s="143"/>
      <c r="AC4" s="8">
        <v>32</v>
      </c>
      <c r="AD4" s="143"/>
      <c r="AE4" s="8">
        <v>1500</v>
      </c>
      <c r="AF4" s="8">
        <v>1</v>
      </c>
      <c r="AG4" s="143"/>
      <c r="AH4" s="143"/>
      <c r="AI4" s="143"/>
      <c r="AJ4" s="143"/>
      <c r="AK4" s="143"/>
      <c r="AL4" s="143"/>
      <c r="AM4" s="143"/>
      <c r="AN4" s="143"/>
    </row>
    <row r="5" spans="1:42" s="8" customFormat="1" ht="24" thickBot="1">
      <c r="B5" s="767"/>
      <c r="C5" s="767"/>
      <c r="D5" s="767"/>
      <c r="E5" s="767"/>
      <c r="F5" s="767"/>
      <c r="G5" s="767"/>
      <c r="H5" s="767"/>
      <c r="I5" s="767"/>
      <c r="J5" s="767"/>
      <c r="AA5" s="3" t="s">
        <v>35</v>
      </c>
      <c r="AC5" s="8">
        <v>16</v>
      </c>
      <c r="AE5" s="8">
        <v>800</v>
      </c>
      <c r="AF5" s="8">
        <v>2</v>
      </c>
      <c r="AJ5" s="25"/>
      <c r="AN5" s="25"/>
    </row>
    <row r="6" spans="1:42" ht="15.75">
      <c r="B6" s="19" t="s">
        <v>12</v>
      </c>
      <c r="C6" s="20"/>
      <c r="D6" s="20"/>
      <c r="E6" s="21"/>
      <c r="F6" s="19" t="s">
        <v>16</v>
      </c>
      <c r="G6" s="21"/>
      <c r="H6" s="13"/>
      <c r="I6" s="13"/>
      <c r="AA6" s="3" t="s">
        <v>117</v>
      </c>
      <c r="AE6">
        <v>334</v>
      </c>
      <c r="AF6">
        <f>IF(C31=334, 2, 3)</f>
        <v>3</v>
      </c>
      <c r="AJ6" s="7"/>
      <c r="AK6" s="3"/>
      <c r="AN6" s="7"/>
      <c r="AO6" s="31"/>
    </row>
    <row r="7" spans="1:42" ht="12.75" customHeight="1">
      <c r="B7" s="780" t="s">
        <v>15</v>
      </c>
      <c r="C7" s="781"/>
      <c r="D7" s="781"/>
      <c r="E7" s="782"/>
      <c r="F7" s="772" t="s">
        <v>18</v>
      </c>
      <c r="G7" s="774"/>
      <c r="H7" s="13"/>
      <c r="I7" s="13"/>
      <c r="AA7" s="3" t="s">
        <v>203</v>
      </c>
      <c r="AE7" s="8">
        <v>200</v>
      </c>
      <c r="AJ7" s="7"/>
      <c r="AK7" s="3"/>
      <c r="AN7" s="7"/>
      <c r="AO7" s="31"/>
    </row>
    <row r="8" spans="1:42">
      <c r="B8" s="783"/>
      <c r="C8" s="781"/>
      <c r="D8" s="781"/>
      <c r="E8" s="782"/>
      <c r="F8" s="772"/>
      <c r="G8" s="775"/>
      <c r="H8" s="13"/>
      <c r="I8" s="13"/>
      <c r="AA8" s="3" t="s">
        <v>204</v>
      </c>
      <c r="AE8">
        <v>50</v>
      </c>
      <c r="AJ8" s="7"/>
      <c r="AK8" s="3"/>
      <c r="AN8" s="7"/>
      <c r="AO8" s="31"/>
    </row>
    <row r="9" spans="1:42">
      <c r="B9" s="783"/>
      <c r="C9" s="781"/>
      <c r="D9" s="781"/>
      <c r="E9" s="782"/>
      <c r="F9" s="772" t="s">
        <v>21</v>
      </c>
      <c r="G9" s="776"/>
      <c r="H9" s="13"/>
      <c r="I9" s="13"/>
      <c r="AA9" s="3" t="s">
        <v>198</v>
      </c>
      <c r="AJ9" s="7"/>
      <c r="AK9" s="3"/>
      <c r="AL9" s="3"/>
      <c r="AN9" s="7"/>
      <c r="AO9" s="31"/>
    </row>
    <row r="10" spans="1:42">
      <c r="B10" s="783"/>
      <c r="C10" s="781"/>
      <c r="D10" s="781"/>
      <c r="E10" s="782"/>
      <c r="F10" s="772"/>
      <c r="G10" s="777"/>
      <c r="H10" s="13"/>
      <c r="I10" s="13"/>
      <c r="AA10" s="3" t="s">
        <v>199</v>
      </c>
      <c r="AJ10" s="7"/>
      <c r="AK10" s="3"/>
      <c r="AL10" s="3"/>
      <c r="AN10" s="7"/>
      <c r="AO10" s="7"/>
    </row>
    <row r="11" spans="1:42" ht="38.25">
      <c r="B11" s="783"/>
      <c r="C11" s="781"/>
      <c r="D11" s="781"/>
      <c r="E11" s="782"/>
      <c r="F11" s="48" t="s">
        <v>23</v>
      </c>
      <c r="G11" s="49" t="s">
        <v>22</v>
      </c>
      <c r="H11" s="13"/>
      <c r="I11" s="13"/>
      <c r="AJ11" s="7"/>
      <c r="AK11" s="3"/>
      <c r="AL11" s="3"/>
      <c r="AN11" s="7"/>
      <c r="AO11" s="7"/>
    </row>
    <row r="12" spans="1:42" ht="38.25">
      <c r="B12" s="783"/>
      <c r="C12" s="781"/>
      <c r="D12" s="781"/>
      <c r="E12" s="782"/>
      <c r="F12" s="48" t="s">
        <v>29</v>
      </c>
      <c r="G12" s="50"/>
      <c r="H12" s="13"/>
      <c r="I12" s="13"/>
      <c r="AJ12" s="7"/>
      <c r="AK12" s="3"/>
      <c r="AL12" s="3"/>
      <c r="AN12" s="7"/>
      <c r="AO12" s="7"/>
    </row>
    <row r="13" spans="1:42">
      <c r="B13" s="783"/>
      <c r="C13" s="781"/>
      <c r="D13" s="781"/>
      <c r="E13" s="782"/>
      <c r="F13" s="772" t="s">
        <v>17</v>
      </c>
      <c r="G13" s="778"/>
      <c r="H13" s="13"/>
      <c r="I13" s="13"/>
      <c r="AJ13" s="30"/>
      <c r="AN13" s="7"/>
      <c r="AO13" s="7"/>
    </row>
    <row r="14" spans="1:42" ht="13.5" thickBot="1">
      <c r="B14" s="784"/>
      <c r="C14" s="785"/>
      <c r="D14" s="785"/>
      <c r="E14" s="786"/>
      <c r="F14" s="773"/>
      <c r="G14" s="779"/>
      <c r="H14" s="13"/>
      <c r="I14" s="13"/>
      <c r="AJ14" s="26"/>
      <c r="AN14" s="30"/>
      <c r="AO14" s="30"/>
    </row>
    <row r="15" spans="1:42" s="8" customFormat="1" ht="13.5" thickBot="1">
      <c r="B15" s="25"/>
      <c r="E15" s="13"/>
      <c r="G15" s="13"/>
      <c r="H15" s="13"/>
      <c r="I15" s="13"/>
      <c r="AJ15"/>
      <c r="AN15" s="26"/>
      <c r="AO15" s="26"/>
    </row>
    <row r="16" spans="1:42" ht="15.75" customHeight="1">
      <c r="B16" s="19" t="s">
        <v>10</v>
      </c>
      <c r="C16" s="20"/>
      <c r="D16" s="27"/>
      <c r="E16" s="13"/>
      <c r="F16" s="604" t="s">
        <v>1220</v>
      </c>
      <c r="G16" s="448"/>
      <c r="H16" s="751" t="s">
        <v>959</v>
      </c>
      <c r="I16" s="751" t="s">
        <v>660</v>
      </c>
      <c r="J16" s="752" t="s">
        <v>911</v>
      </c>
      <c r="K16" s="743" t="s">
        <v>1040</v>
      </c>
      <c r="L16" s="743"/>
      <c r="N16" s="448"/>
      <c r="O16" s="448"/>
      <c r="P16" s="448"/>
      <c r="Q16" s="448"/>
      <c r="R16" s="448"/>
      <c r="S16" s="448"/>
      <c r="T16" s="448"/>
      <c r="U16" s="448"/>
      <c r="V16" s="448"/>
      <c r="W16" s="448"/>
      <c r="X16" s="448"/>
      <c r="Y16" s="448"/>
    </row>
    <row r="17" spans="2:36" ht="12.75" customHeight="1">
      <c r="B17" s="22" t="s">
        <v>8</v>
      </c>
      <c r="C17" s="789" t="s">
        <v>203</v>
      </c>
      <c r="D17" s="790"/>
      <c r="E17" s="13"/>
      <c r="F17" s="795" t="s">
        <v>1221</v>
      </c>
      <c r="G17" s="448"/>
      <c r="H17" s="751"/>
      <c r="I17" s="751"/>
      <c r="J17" s="753"/>
      <c r="K17" s="743"/>
      <c r="L17" s="743"/>
      <c r="N17" s="448"/>
      <c r="O17" s="448"/>
      <c r="P17" s="448"/>
      <c r="Q17" s="448"/>
      <c r="R17" s="448"/>
      <c r="S17" s="448"/>
      <c r="T17" s="448"/>
      <c r="U17" s="448"/>
      <c r="V17" s="448"/>
      <c r="W17" s="448"/>
      <c r="X17" s="448"/>
      <c r="Y17" s="448"/>
    </row>
    <row r="18" spans="2:36" ht="12.75" customHeight="1">
      <c r="B18" s="22" t="s">
        <v>14</v>
      </c>
      <c r="C18" s="787" t="s">
        <v>308</v>
      </c>
      <c r="D18" s="788"/>
      <c r="E18" s="13"/>
      <c r="F18" s="795"/>
      <c r="G18" s="448"/>
      <c r="H18" s="751"/>
      <c r="I18" s="751"/>
      <c r="J18" s="753"/>
      <c r="K18" s="743"/>
      <c r="L18" s="743"/>
      <c r="N18" s="448"/>
      <c r="O18" s="448"/>
      <c r="P18" s="448"/>
      <c r="Q18" s="448"/>
      <c r="R18" s="448"/>
      <c r="S18" s="448"/>
      <c r="T18" s="448"/>
      <c r="U18" s="448"/>
      <c r="V18" s="448"/>
      <c r="W18" s="448"/>
      <c r="X18" s="448"/>
      <c r="Y18" s="448"/>
    </row>
    <row r="19" spans="2:36" ht="12.75" customHeight="1">
      <c r="B19" s="22" t="s">
        <v>9</v>
      </c>
      <c r="C19" s="787" t="s">
        <v>1218</v>
      </c>
      <c r="D19" s="788"/>
      <c r="E19" s="13"/>
      <c r="F19" s="795"/>
      <c r="G19" s="448"/>
      <c r="H19" s="751"/>
      <c r="I19" s="751"/>
      <c r="J19" s="753"/>
      <c r="K19" s="743"/>
      <c r="L19" s="743"/>
      <c r="N19" s="448"/>
      <c r="O19" s="448"/>
      <c r="P19" s="448"/>
      <c r="Q19" s="448"/>
      <c r="R19" s="448"/>
      <c r="S19" s="448"/>
      <c r="T19" s="448"/>
      <c r="U19" s="448"/>
      <c r="V19" s="448"/>
      <c r="W19" s="448"/>
      <c r="X19" s="448"/>
      <c r="Y19" s="448"/>
    </row>
    <row r="20" spans="2:36" ht="15">
      <c r="B20" s="40" t="s">
        <v>1009</v>
      </c>
      <c r="C20" s="770">
        <v>12</v>
      </c>
      <c r="D20" s="771"/>
      <c r="E20" s="13"/>
      <c r="F20" s="795"/>
      <c r="G20" s="448"/>
      <c r="H20" s="751"/>
      <c r="I20" s="751"/>
      <c r="J20" s="753"/>
      <c r="K20" s="743"/>
      <c r="L20" s="743"/>
      <c r="N20" s="448"/>
      <c r="O20" s="448"/>
      <c r="P20" s="448"/>
      <c r="Q20" s="448"/>
      <c r="R20" s="448"/>
      <c r="S20" s="448"/>
      <c r="T20" s="448"/>
      <c r="U20" s="448"/>
      <c r="V20" s="448"/>
      <c r="W20" s="448"/>
      <c r="X20" s="448"/>
      <c r="Y20" s="448"/>
    </row>
    <row r="21" spans="2:36" ht="14.25" customHeight="1">
      <c r="B21" s="22" t="s">
        <v>912</v>
      </c>
      <c r="C21" s="745">
        <f>IF(C28=32, 2, 1)</f>
        <v>2</v>
      </c>
      <c r="D21" s="746"/>
      <c r="E21" s="13"/>
      <c r="F21" s="795"/>
      <c r="G21" s="448"/>
      <c r="H21" s="751"/>
      <c r="I21" s="751"/>
      <c r="J21" s="753"/>
      <c r="K21" s="743"/>
      <c r="L21" s="743"/>
      <c r="N21" s="448"/>
      <c r="O21" s="448"/>
      <c r="P21" s="448"/>
      <c r="Q21" s="448"/>
      <c r="R21" s="448"/>
      <c r="S21" s="448"/>
      <c r="T21" s="448"/>
      <c r="U21" s="448"/>
      <c r="V21" s="448"/>
      <c r="W21" s="448"/>
      <c r="X21" s="448"/>
      <c r="Y21" s="448"/>
    </row>
    <row r="22" spans="2:36" ht="14.25" customHeight="1">
      <c r="B22" s="22" t="s">
        <v>25</v>
      </c>
      <c r="C22" s="791">
        <v>2</v>
      </c>
      <c r="D22" s="792"/>
      <c r="E22" s="13"/>
      <c r="F22" s="605">
        <v>0</v>
      </c>
      <c r="G22" s="448"/>
      <c r="H22" s="751"/>
      <c r="I22" s="751"/>
      <c r="J22" s="753"/>
      <c r="K22" s="743"/>
      <c r="L22" s="743"/>
      <c r="N22" s="448"/>
      <c r="O22" s="448"/>
      <c r="P22" s="448"/>
      <c r="Q22" s="448"/>
      <c r="R22" s="448"/>
      <c r="S22" s="448"/>
      <c r="T22" s="448"/>
      <c r="U22" s="448"/>
      <c r="V22" s="448"/>
      <c r="W22" s="448"/>
      <c r="X22" s="448"/>
      <c r="Y22" s="448"/>
    </row>
    <row r="23" spans="2:36" ht="15">
      <c r="B23" s="22" t="s">
        <v>34</v>
      </c>
      <c r="C23" s="745">
        <f>(C20*C21*C22)</f>
        <v>48</v>
      </c>
      <c r="D23" s="746"/>
      <c r="E23" s="13"/>
      <c r="F23" s="13"/>
      <c r="G23" s="448"/>
      <c r="H23" s="751"/>
      <c r="I23" s="751"/>
      <c r="J23" s="753"/>
      <c r="K23" s="743"/>
      <c r="L23" s="743"/>
      <c r="N23" s="448"/>
      <c r="O23" s="448"/>
      <c r="P23" s="448"/>
      <c r="Q23" s="448"/>
      <c r="R23" s="448"/>
      <c r="S23" s="448"/>
      <c r="T23" s="448"/>
      <c r="U23" s="448"/>
      <c r="V23" s="448"/>
      <c r="W23" s="448"/>
      <c r="X23" s="448"/>
      <c r="Y23" s="448"/>
    </row>
    <row r="24" spans="2:36" ht="14.25" customHeight="1">
      <c r="B24" s="22" t="s">
        <v>26</v>
      </c>
      <c r="C24" s="768">
        <v>17</v>
      </c>
      <c r="D24" s="769"/>
      <c r="E24" s="13"/>
      <c r="F24" s="13"/>
      <c r="G24" s="448"/>
      <c r="H24" s="751"/>
      <c r="I24" s="751"/>
      <c r="J24" s="753"/>
      <c r="K24" s="743"/>
      <c r="L24" s="743"/>
      <c r="N24" s="448"/>
      <c r="O24" s="448"/>
      <c r="P24" s="448"/>
      <c r="Q24" s="448"/>
      <c r="R24" s="448"/>
      <c r="S24" s="448"/>
      <c r="T24" s="448"/>
      <c r="U24" s="448"/>
      <c r="V24" s="448"/>
      <c r="W24" s="448"/>
      <c r="X24" s="448"/>
      <c r="Y24" s="448"/>
    </row>
    <row r="25" spans="2:36" ht="14.25" customHeight="1" thickBot="1">
      <c r="B25" s="22" t="s">
        <v>27</v>
      </c>
      <c r="C25" s="749">
        <v>10</v>
      </c>
      <c r="D25" s="750"/>
      <c r="E25" s="13"/>
      <c r="F25" s="13"/>
      <c r="G25" s="448"/>
      <c r="H25" s="751"/>
      <c r="I25" s="751"/>
      <c r="J25" s="753"/>
      <c r="K25" s="743"/>
      <c r="L25" s="743"/>
      <c r="N25" s="448"/>
      <c r="O25" s="448"/>
      <c r="P25" s="448"/>
      <c r="Q25" s="448"/>
      <c r="R25" s="448"/>
      <c r="S25" s="448"/>
      <c r="T25" s="448"/>
      <c r="U25" s="448"/>
      <c r="V25" s="448"/>
      <c r="W25" s="448"/>
      <c r="X25" s="448"/>
      <c r="Y25" s="448"/>
    </row>
    <row r="26" spans="2:36" ht="14.25" customHeight="1" thickBot="1">
      <c r="B26" s="22" t="s">
        <v>95</v>
      </c>
      <c r="C26" s="749">
        <v>3</v>
      </c>
      <c r="D26" s="750"/>
      <c r="E26" s="13"/>
      <c r="F26" s="793" t="s">
        <v>1128</v>
      </c>
      <c r="G26" s="794"/>
      <c r="H26" s="751"/>
      <c r="I26" s="751"/>
      <c r="J26" s="753"/>
      <c r="K26" s="743"/>
      <c r="L26" s="743"/>
      <c r="N26" s="448"/>
      <c r="O26" s="448"/>
      <c r="P26" s="448"/>
      <c r="Q26" s="448"/>
      <c r="R26" s="448"/>
      <c r="S26" s="448"/>
      <c r="T26" s="448"/>
      <c r="U26" s="448"/>
      <c r="V26" s="448"/>
      <c r="W26" s="448"/>
      <c r="X26" s="448"/>
      <c r="Y26" s="448"/>
    </row>
    <row r="27" spans="2:36" ht="15.75" thickBot="1">
      <c r="B27" s="22" t="s">
        <v>28</v>
      </c>
      <c r="C27" s="745">
        <f>(2^C26)</f>
        <v>8</v>
      </c>
      <c r="D27" s="746"/>
      <c r="E27" s="13"/>
      <c r="F27" s="540" t="s">
        <v>1129</v>
      </c>
      <c r="G27" s="541" t="s">
        <v>199</v>
      </c>
      <c r="H27" s="446">
        <v>3</v>
      </c>
      <c r="I27" s="446" t="s">
        <v>198</v>
      </c>
      <c r="J27" s="447" t="s">
        <v>199</v>
      </c>
      <c r="K27" s="744" t="s">
        <v>199</v>
      </c>
      <c r="L27" s="744"/>
      <c r="N27" s="448"/>
      <c r="O27" s="448"/>
      <c r="P27" s="448"/>
      <c r="Q27" s="448"/>
      <c r="R27" s="448"/>
      <c r="S27" s="448"/>
      <c r="T27" s="448"/>
      <c r="U27" s="448"/>
      <c r="V27" s="448"/>
      <c r="W27" s="448"/>
      <c r="X27" s="448"/>
      <c r="Y27" s="448"/>
    </row>
    <row r="28" spans="2:36" ht="14.25" customHeight="1">
      <c r="B28" s="23" t="s">
        <v>205</v>
      </c>
      <c r="C28" s="747">
        <v>32</v>
      </c>
      <c r="D28" s="748"/>
      <c r="E28" s="13"/>
      <c r="F28" s="124"/>
      <c r="G28" s="124"/>
      <c r="H28" s="13"/>
      <c r="I28" s="13"/>
      <c r="J28" s="8"/>
    </row>
    <row r="29" spans="2:36" ht="14.25" customHeight="1">
      <c r="B29" s="23" t="s">
        <v>1237</v>
      </c>
      <c r="C29" s="768">
        <v>2000</v>
      </c>
      <c r="D29" s="769"/>
      <c r="E29" s="13"/>
      <c r="F29" s="124"/>
      <c r="G29" s="124"/>
      <c r="H29" s="13"/>
      <c r="I29" s="13"/>
      <c r="J29" s="449"/>
      <c r="K29" s="449"/>
      <c r="L29" s="449"/>
      <c r="M29" s="450"/>
    </row>
    <row r="30" spans="2:36" ht="15.75" customHeight="1" thickBot="1">
      <c r="B30" s="341" t="s">
        <v>11</v>
      </c>
      <c r="C30" s="757">
        <f>(1/C29)*1000</f>
        <v>0.5</v>
      </c>
      <c r="D30" s="758"/>
      <c r="E30" s="13"/>
      <c r="F30" s="743" t="s">
        <v>1027</v>
      </c>
      <c r="G30" s="451"/>
      <c r="H30" s="451"/>
      <c r="I30" s="451"/>
      <c r="J30" s="451"/>
      <c r="K30" s="451"/>
      <c r="L30" s="451"/>
      <c r="M30" s="450"/>
      <c r="AJ30" s="8"/>
    </row>
    <row r="31" spans="2:36" ht="15">
      <c r="B31" s="342" t="s">
        <v>645</v>
      </c>
      <c r="C31" s="726">
        <v>200</v>
      </c>
      <c r="D31" s="727"/>
      <c r="E31" s="13"/>
      <c r="F31" s="743"/>
      <c r="G31" s="451"/>
      <c r="H31" s="451"/>
      <c r="I31" s="451"/>
      <c r="J31" s="451"/>
      <c r="K31" s="451"/>
      <c r="L31" s="451"/>
      <c r="M31" s="450"/>
      <c r="AJ31" s="8"/>
    </row>
    <row r="32" spans="2:36" ht="15.75" thickBot="1">
      <c r="B32" s="24" t="s">
        <v>647</v>
      </c>
      <c r="C32" s="728">
        <f>(1/C31)*1000</f>
        <v>5</v>
      </c>
      <c r="D32" s="729"/>
      <c r="E32" s="13"/>
      <c r="F32" s="608">
        <v>2</v>
      </c>
      <c r="G32" s="451"/>
      <c r="H32" s="451"/>
      <c r="I32" s="451"/>
      <c r="J32" s="451"/>
      <c r="K32" s="451"/>
      <c r="L32" s="451"/>
      <c r="M32" s="450"/>
      <c r="AJ32" s="8"/>
    </row>
    <row r="33" spans="1:36" ht="15">
      <c r="B33" s="343" t="s">
        <v>646</v>
      </c>
      <c r="C33" s="730">
        <v>50</v>
      </c>
      <c r="D33" s="731"/>
      <c r="E33" s="13"/>
      <c r="F33" s="124"/>
      <c r="G33" s="451"/>
      <c r="H33" s="451"/>
      <c r="I33" s="451"/>
      <c r="J33" s="451"/>
      <c r="K33" s="451"/>
      <c r="L33" s="451"/>
      <c r="M33" s="450"/>
      <c r="AJ33" s="8"/>
    </row>
    <row r="34" spans="1:36" ht="15" customHeight="1" thickBot="1">
      <c r="B34" s="24" t="s">
        <v>648</v>
      </c>
      <c r="C34" s="728">
        <f>ROUNDDOWN((1/C33)*1000, 3)</f>
        <v>20</v>
      </c>
      <c r="D34" s="729"/>
      <c r="E34" s="13"/>
      <c r="F34" s="124"/>
      <c r="G34" s="451"/>
      <c r="H34" s="451"/>
      <c r="I34" s="451"/>
      <c r="J34" s="451"/>
      <c r="K34" s="451"/>
      <c r="L34" s="451"/>
      <c r="M34" s="450"/>
      <c r="AJ34" s="8"/>
    </row>
    <row r="35" spans="1:36" ht="15">
      <c r="B35" s="67" t="s">
        <v>283</v>
      </c>
      <c r="C35" s="732" t="s">
        <v>342</v>
      </c>
      <c r="D35" s="759"/>
      <c r="E35" s="13"/>
      <c r="G35" s="451"/>
      <c r="H35" s="451"/>
      <c r="I35" s="451"/>
      <c r="J35" s="451"/>
      <c r="K35" s="451"/>
      <c r="L35" s="451"/>
      <c r="M35" s="450"/>
      <c r="AJ35" s="8"/>
    </row>
    <row r="36" spans="1:36" ht="15" customHeight="1">
      <c r="B36" s="67" t="s">
        <v>649</v>
      </c>
      <c r="C36" s="732" t="s">
        <v>651</v>
      </c>
      <c r="D36" s="733"/>
      <c r="E36" s="13"/>
      <c r="G36" s="451"/>
      <c r="H36" s="451"/>
      <c r="I36" s="451"/>
      <c r="J36" s="451"/>
      <c r="K36" s="451"/>
      <c r="L36" s="451"/>
      <c r="M36" s="450"/>
      <c r="AJ36" s="8"/>
    </row>
    <row r="37" spans="1:36" ht="15">
      <c r="B37" s="67" t="s">
        <v>650</v>
      </c>
      <c r="C37" s="732" t="s">
        <v>652</v>
      </c>
      <c r="D37" s="759"/>
      <c r="E37" s="13"/>
      <c r="F37" s="47"/>
      <c r="G37" s="451"/>
      <c r="H37" s="451"/>
      <c r="I37" s="451"/>
      <c r="J37" s="451"/>
      <c r="K37" s="451"/>
      <c r="L37" s="451"/>
      <c r="M37" s="450"/>
      <c r="AJ37" s="8"/>
    </row>
    <row r="38" spans="1:36">
      <c r="B38" s="67"/>
      <c r="C38" s="724"/>
      <c r="D38" s="725"/>
      <c r="E38" s="13"/>
      <c r="F38" s="452"/>
      <c r="G38" s="451"/>
      <c r="H38" s="451"/>
      <c r="I38" s="451"/>
      <c r="J38" s="451"/>
      <c r="K38" s="451"/>
      <c r="L38" s="451"/>
      <c r="M38" s="450"/>
      <c r="AJ38" s="8"/>
    </row>
    <row r="39" spans="1:36" ht="24" customHeight="1">
      <c r="B39" s="738" t="s">
        <v>1010</v>
      </c>
      <c r="C39" s="738"/>
      <c r="D39" s="738"/>
      <c r="E39" s="738"/>
      <c r="F39" s="12"/>
      <c r="G39" s="451"/>
      <c r="H39" s="451"/>
      <c r="I39" s="451"/>
      <c r="J39" s="451"/>
      <c r="K39" s="451"/>
      <c r="L39" s="451"/>
      <c r="M39" s="450"/>
      <c r="AJ39" s="8"/>
    </row>
    <row r="40" spans="1:36">
      <c r="B40" s="738" t="s">
        <v>24</v>
      </c>
      <c r="C40" s="738"/>
      <c r="D40" s="738"/>
      <c r="E40" s="738"/>
      <c r="F40" s="12"/>
      <c r="G40" s="739"/>
      <c r="H40" s="739"/>
      <c r="I40" s="739"/>
      <c r="J40" s="739"/>
      <c r="K40" s="739"/>
      <c r="L40" s="450"/>
      <c r="M40" s="450"/>
      <c r="AJ40" s="8"/>
    </row>
    <row r="41" spans="1:36" ht="23.25" customHeight="1">
      <c r="B41" s="740"/>
      <c r="C41" s="741"/>
      <c r="D41" s="741"/>
      <c r="E41" s="13"/>
      <c r="F41" s="12"/>
      <c r="G41" s="29"/>
      <c r="H41" s="13"/>
      <c r="I41" s="13"/>
      <c r="J41" s="8"/>
      <c r="L41" s="41"/>
      <c r="M41" s="41"/>
      <c r="AJ41" s="8"/>
    </row>
    <row r="42" spans="1:36" s="41" customFormat="1" ht="13.5" thickBot="1">
      <c r="B42" s="42"/>
      <c r="C42" s="42"/>
      <c r="D42" s="42"/>
      <c r="E42" s="43"/>
      <c r="F42" s="42"/>
      <c r="G42" s="44"/>
      <c r="H42" s="42"/>
      <c r="I42" s="42"/>
      <c r="L42" s="8"/>
      <c r="M42" s="8"/>
      <c r="AI42" s="6"/>
    </row>
    <row r="43" spans="1:36" ht="39" thickBot="1">
      <c r="B43" s="2" t="s">
        <v>76</v>
      </c>
      <c r="C43" s="2" t="s">
        <v>5</v>
      </c>
      <c r="D43" s="2" t="s">
        <v>7</v>
      </c>
      <c r="E43" s="2" t="s">
        <v>6</v>
      </c>
      <c r="F43" s="4" t="s">
        <v>1</v>
      </c>
      <c r="G43" s="46" t="s">
        <v>3</v>
      </c>
      <c r="H43" s="5" t="s">
        <v>284</v>
      </c>
      <c r="I43" s="5" t="s">
        <v>4</v>
      </c>
      <c r="J43" s="18"/>
      <c r="AJ43" s="8"/>
    </row>
    <row r="44" spans="1:36" ht="3" customHeight="1" thickBot="1">
      <c r="B44" s="37"/>
      <c r="C44" s="37"/>
      <c r="D44" s="37"/>
      <c r="E44" s="37"/>
      <c r="F44" s="38"/>
      <c r="G44" s="39"/>
      <c r="H44" s="39"/>
      <c r="I44" s="39"/>
      <c r="J44" s="18"/>
      <c r="AJ44" s="8"/>
    </row>
    <row r="45" spans="1:36" ht="63.75">
      <c r="B45" s="166" t="s">
        <v>206</v>
      </c>
      <c r="C45" s="167" t="s">
        <v>0</v>
      </c>
      <c r="D45" s="417">
        <v>2</v>
      </c>
      <c r="E45" s="86" t="str">
        <f>DEC2HEX(((D45)*2^30),8)</f>
        <v>80000000</v>
      </c>
      <c r="F45" s="89" t="s">
        <v>347</v>
      </c>
      <c r="G45" s="701" t="s">
        <v>36</v>
      </c>
      <c r="H45" s="701" t="str">
        <f>"0x"&amp;DEC2HEX((HEX2DEC(C35)), 8)</f>
        <v>0x3D400000</v>
      </c>
      <c r="I45" s="705" t="str">
        <f>"0x"&amp;DEC2HEX((HEX2DEC(E45)+HEX2DEC(E46)+HEX2DEC(E47)+HEX2DEC(E48)+HEX2DEC(E49)+HEX2DEC(E50)+HEX2DEC(E51)+HEX2DEC(E52)+HEX2DEC(E53)+HEX2DEC(E54)+HEX2DEC(E55)+HEX2DEC(E56)+HEX2DEC(E57)),8)</f>
        <v>0xA3080020</v>
      </c>
      <c r="J45" s="18"/>
      <c r="AJ45" s="8"/>
    </row>
    <row r="46" spans="1:36" ht="48" customHeight="1">
      <c r="B46" s="168" t="s">
        <v>208</v>
      </c>
      <c r="C46" s="100" t="s">
        <v>0</v>
      </c>
      <c r="D46" s="418">
        <v>1</v>
      </c>
      <c r="E46" s="87" t="str">
        <f>DEC2HEX(((D46)*2^29),8)</f>
        <v>20000000</v>
      </c>
      <c r="F46" s="170" t="s">
        <v>933</v>
      </c>
      <c r="G46" s="702"/>
      <c r="H46" s="702"/>
      <c r="I46" s="706"/>
      <c r="J46" s="18"/>
      <c r="AJ46" s="8"/>
    </row>
    <row r="47" spans="1:36" ht="89.25">
      <c r="A47" s="6"/>
      <c r="B47" s="59" t="s">
        <v>111</v>
      </c>
      <c r="C47" s="100" t="s">
        <v>0</v>
      </c>
      <c r="D47" s="159">
        <f>IF(C22=1, 1, 3)</f>
        <v>3</v>
      </c>
      <c r="E47" s="161" t="str">
        <f>DEC2HEX(((D47)*2^24),8)</f>
        <v>03000000</v>
      </c>
      <c r="F47" s="132" t="s">
        <v>207</v>
      </c>
      <c r="G47" s="703"/>
      <c r="H47" s="703"/>
      <c r="I47" s="706"/>
      <c r="J47" s="18"/>
    </row>
    <row r="48" spans="1:36" ht="111" customHeight="1">
      <c r="B48" s="59" t="s">
        <v>112</v>
      </c>
      <c r="C48" s="61" t="s">
        <v>0</v>
      </c>
      <c r="D48" s="163">
        <f>IF(C17="LPDDR2",2,(IF(C17="LPDDR4",8,4)))</f>
        <v>8</v>
      </c>
      <c r="E48" s="161" t="str">
        <f>DEC2HEX(((D48)*2^16),8)</f>
        <v>00080000</v>
      </c>
      <c r="F48" s="132" t="s">
        <v>212</v>
      </c>
      <c r="G48" s="703"/>
      <c r="H48" s="703"/>
      <c r="I48" s="706"/>
      <c r="J48" s="82"/>
    </row>
    <row r="49" spans="2:11" ht="61.5" customHeight="1">
      <c r="B49" s="59" t="s">
        <v>113</v>
      </c>
      <c r="C49" s="61" t="s">
        <v>0</v>
      </c>
      <c r="D49" s="126">
        <v>0</v>
      </c>
      <c r="E49" s="161" t="str">
        <f>DEC2HEX(((D49)*2^15),8)</f>
        <v>00000000</v>
      </c>
      <c r="F49" s="132" t="s">
        <v>37</v>
      </c>
      <c r="G49" s="703"/>
      <c r="H49" s="703"/>
      <c r="I49" s="706"/>
      <c r="J49" s="18"/>
    </row>
    <row r="50" spans="2:11" ht="102">
      <c r="B50" s="59" t="s">
        <v>114</v>
      </c>
      <c r="C50" s="61" t="s">
        <v>0</v>
      </c>
      <c r="D50" s="125">
        <f>IF(C28= 32, 0, 1)</f>
        <v>0</v>
      </c>
      <c r="E50" s="161" t="str">
        <f>DEC2HEX(((D50)*2^12),8)</f>
        <v>00000000</v>
      </c>
      <c r="F50" s="132" t="s">
        <v>200</v>
      </c>
      <c r="G50" s="703"/>
      <c r="H50" s="703"/>
      <c r="I50" s="706"/>
      <c r="J50" s="18"/>
    </row>
    <row r="51" spans="2:11" ht="76.5">
      <c r="B51" s="59" t="s">
        <v>115</v>
      </c>
      <c r="C51" s="61" t="s">
        <v>0</v>
      </c>
      <c r="D51" s="126">
        <v>0</v>
      </c>
      <c r="E51" s="161" t="str">
        <f>DEC2HEX(((D51)*2^9),8)</f>
        <v>00000000</v>
      </c>
      <c r="F51" s="132" t="s">
        <v>209</v>
      </c>
      <c r="G51" s="703"/>
      <c r="H51" s="703"/>
      <c r="I51" s="706"/>
      <c r="J51" s="18"/>
    </row>
    <row r="52" spans="2:11" ht="51">
      <c r="B52" s="59" t="s">
        <v>116</v>
      </c>
      <c r="C52" s="61" t="s">
        <v>0</v>
      </c>
      <c r="D52" s="126">
        <v>0</v>
      </c>
      <c r="E52" s="161" t="str">
        <f>DEC2HEX(((D52)*2^8),8)</f>
        <v>00000000</v>
      </c>
      <c r="F52" s="132" t="s">
        <v>159</v>
      </c>
      <c r="G52" s="703"/>
      <c r="H52" s="703"/>
      <c r="I52" s="706"/>
      <c r="J52" s="18"/>
    </row>
    <row r="53" spans="2:11" ht="89.25">
      <c r="B53" s="59" t="s">
        <v>203</v>
      </c>
      <c r="C53" s="61" t="s">
        <v>0</v>
      </c>
      <c r="D53" s="159">
        <f>IF(C17 = "lpddr4",1,0)</f>
        <v>1</v>
      </c>
      <c r="E53" s="161" t="str">
        <f>DEC2HEX(((D53)*2^5),8)</f>
        <v>00000020</v>
      </c>
      <c r="F53" s="132" t="s">
        <v>210</v>
      </c>
      <c r="G53" s="703"/>
      <c r="H53" s="703"/>
      <c r="I53" s="706"/>
      <c r="J53" s="18"/>
    </row>
    <row r="54" spans="2:11" ht="89.25">
      <c r="B54" s="59" t="s">
        <v>204</v>
      </c>
      <c r="C54" s="61" t="s">
        <v>0</v>
      </c>
      <c r="D54" s="159">
        <f>IF(C17 = "ddr4",1,0)</f>
        <v>0</v>
      </c>
      <c r="E54" s="161" t="str">
        <f>DEC2HEX(((D54)*2^4),8)</f>
        <v>00000000</v>
      </c>
      <c r="F54" s="132" t="s">
        <v>211</v>
      </c>
      <c r="G54" s="703"/>
      <c r="H54" s="703"/>
      <c r="I54" s="706"/>
      <c r="J54" s="18"/>
    </row>
    <row r="55" spans="2:11" ht="89.25">
      <c r="B55" s="59" t="s">
        <v>35</v>
      </c>
      <c r="C55" s="61" t="s">
        <v>0</v>
      </c>
      <c r="D55" s="159">
        <f>IF(C17 = "lpddr3",1,0)</f>
        <v>0</v>
      </c>
      <c r="E55" s="161" t="str">
        <f>DEC2HEX(((D55)*2^3),8)</f>
        <v>00000000</v>
      </c>
      <c r="F55" s="132" t="s">
        <v>118</v>
      </c>
      <c r="G55" s="703"/>
      <c r="H55" s="703"/>
      <c r="I55" s="706"/>
      <c r="J55" s="18"/>
    </row>
    <row r="56" spans="2:11" ht="89.25">
      <c r="B56" s="59" t="s">
        <v>13</v>
      </c>
      <c r="C56" s="61" t="s">
        <v>0</v>
      </c>
      <c r="D56" s="159">
        <f>IF(C17 = "lpddr2",1,0)</f>
        <v>0</v>
      </c>
      <c r="E56" s="161" t="str">
        <f>DEC2HEX(((D56)*2^2),8)</f>
        <v>00000000</v>
      </c>
      <c r="F56" s="132" t="s">
        <v>119</v>
      </c>
      <c r="G56" s="703"/>
      <c r="H56" s="703"/>
      <c r="I56" s="706"/>
      <c r="J56" s="18"/>
    </row>
    <row r="57" spans="2:11" ht="90" thickBot="1">
      <c r="B57" s="60" t="s">
        <v>117</v>
      </c>
      <c r="C57" s="63" t="s">
        <v>0</v>
      </c>
      <c r="D57" s="115">
        <f>IF(C17 = "ddr3",1,0)</f>
        <v>0</v>
      </c>
      <c r="E57" s="162" t="str">
        <f>DEC2HEX(((D57)*2^0),8)</f>
        <v>00000000</v>
      </c>
      <c r="F57" s="136" t="s">
        <v>120</v>
      </c>
      <c r="G57" s="704"/>
      <c r="H57" s="704"/>
      <c r="I57" s="707"/>
      <c r="J57" s="18"/>
    </row>
    <row r="58" spans="2:11" ht="15.75" thickBot="1">
      <c r="B58" s="76"/>
      <c r="C58" s="77"/>
      <c r="D58" s="119"/>
      <c r="E58" s="36"/>
      <c r="F58" s="139"/>
      <c r="G58" s="76"/>
      <c r="H58" s="76"/>
      <c r="I58" s="76"/>
      <c r="J58" s="18"/>
    </row>
    <row r="59" spans="2:11" ht="128.25" thickBot="1">
      <c r="B59" s="250" t="s">
        <v>934</v>
      </c>
      <c r="C59" s="315" t="s">
        <v>0</v>
      </c>
      <c r="D59" s="409">
        <v>0</v>
      </c>
      <c r="E59" s="253" t="str">
        <f>DEC2HEX(((D59)*2^0),8)</f>
        <v>00000000</v>
      </c>
      <c r="F59" s="254" t="s">
        <v>936</v>
      </c>
      <c r="G59" s="410" t="s">
        <v>935</v>
      </c>
      <c r="H59" s="410" t="str">
        <f>"0x"&amp;DEC2HEX((HEX2DEC(C35) + 40), 8)</f>
        <v>0x3D400028</v>
      </c>
      <c r="I59" s="411" t="str">
        <f>"0x"&amp;DEC2HEX((HEX2DEC(E59)), 8)</f>
        <v>0x00000000</v>
      </c>
      <c r="J59" s="18"/>
    </row>
    <row r="60" spans="2:11" ht="15.75" thickBot="1">
      <c r="B60" s="76"/>
      <c r="C60" s="77"/>
      <c r="D60" s="119"/>
      <c r="E60" s="36"/>
      <c r="F60" s="73"/>
      <c r="G60" s="76"/>
      <c r="H60" s="76"/>
      <c r="I60" s="76"/>
      <c r="J60" s="18"/>
    </row>
    <row r="61" spans="2:11" ht="13.5" thickBot="1">
      <c r="B61" s="672" t="s">
        <v>160</v>
      </c>
      <c r="C61" s="673"/>
      <c r="D61" s="673"/>
      <c r="E61" s="673"/>
      <c r="F61" s="673"/>
      <c r="G61" s="673"/>
      <c r="H61" s="673"/>
      <c r="I61" s="674"/>
      <c r="J61" s="18"/>
      <c r="K61" s="66"/>
    </row>
    <row r="62" spans="2:11" ht="51">
      <c r="B62" s="58" t="s">
        <v>161</v>
      </c>
      <c r="C62" s="65" t="s">
        <v>0</v>
      </c>
      <c r="D62" s="57">
        <v>0</v>
      </c>
      <c r="E62" s="238" t="str">
        <f>DEC2HEX(((D62)*2^8),8)</f>
        <v>00000000</v>
      </c>
      <c r="F62" s="133" t="s">
        <v>96</v>
      </c>
      <c r="G62" s="652" t="s">
        <v>57</v>
      </c>
      <c r="H62" s="652" t="str">
        <f>"0x"&amp;DEC2HEX((HEX2DEC(C35)+512), 8)</f>
        <v>0x3D400200</v>
      </c>
      <c r="I62" s="653" t="str">
        <f>"0x"&amp;DEC2HEX((HEX2DEC(E62)+HEX2DEC(E63)), 8)</f>
        <v>0x00000016</v>
      </c>
      <c r="J62" s="18"/>
      <c r="K62" s="66"/>
    </row>
    <row r="63" spans="2:11" ht="91.5" customHeight="1" thickBot="1">
      <c r="B63" s="60" t="s">
        <v>162</v>
      </c>
      <c r="C63" s="63" t="s">
        <v>0</v>
      </c>
      <c r="D63" s="130">
        <f>IF(C22=1,31,(IF(OR(C20=3,C20=6,C20=12),(C24+C25+C26-6-2-IF(C28=16,1,0)),(C24+C25+C26-6-IF(C28=16,1,0)))-(IF(G27="ENABLED",3,0))))</f>
        <v>22</v>
      </c>
      <c r="E63" s="239" t="str">
        <f>DEC2HEX(((D63)*2^0),8)</f>
        <v>00000016</v>
      </c>
      <c r="F63" s="136" t="s">
        <v>77</v>
      </c>
      <c r="G63" s="625"/>
      <c r="H63" s="625"/>
      <c r="I63" s="630"/>
      <c r="J63" s="18"/>
      <c r="K63" s="66"/>
    </row>
    <row r="64" spans="2:11" ht="3" customHeight="1" thickBot="1">
      <c r="B64" s="69"/>
      <c r="C64" s="70"/>
      <c r="D64" s="71"/>
      <c r="E64" s="72"/>
      <c r="F64" s="139"/>
      <c r="G64" s="36"/>
      <c r="H64" s="36"/>
      <c r="I64" s="55"/>
      <c r="J64" s="18"/>
      <c r="K64" s="66"/>
    </row>
    <row r="65" spans="1:11" ht="86.25" customHeight="1">
      <c r="B65" s="58" t="s">
        <v>163</v>
      </c>
      <c r="C65" s="65" t="s">
        <v>0</v>
      </c>
      <c r="D65" s="116">
        <f>D67</f>
        <v>8</v>
      </c>
      <c r="E65" s="52" t="str">
        <f>DEC2HEX(((D65)*2^16),8)</f>
        <v>00080000</v>
      </c>
      <c r="F65" s="133" t="s">
        <v>78</v>
      </c>
      <c r="G65" s="652" t="s">
        <v>58</v>
      </c>
      <c r="H65" s="652" t="str">
        <f>"0x"&amp;DEC2HEX((HEX2DEC(C35)+516), 8)</f>
        <v>0x3D400204</v>
      </c>
      <c r="I65" s="653" t="str">
        <f>"0x"&amp;DEC2HEX((HEX2DEC(E65)+HEX2DEC(E66)+HEX2DEC(E67)), 8)</f>
        <v>0x00080808</v>
      </c>
      <c r="J65" s="18"/>
      <c r="K65" s="66"/>
    </row>
    <row r="66" spans="1:11" ht="74.25" customHeight="1">
      <c r="B66" s="75" t="s">
        <v>164</v>
      </c>
      <c r="C66" s="61" t="s">
        <v>0</v>
      </c>
      <c r="D66" s="114">
        <f>D67</f>
        <v>8</v>
      </c>
      <c r="E66" s="53" t="str">
        <f>DEC2HEX(((D66)*2^8),8)</f>
        <v>00000800</v>
      </c>
      <c r="F66" s="135" t="s">
        <v>79</v>
      </c>
      <c r="G66" s="627"/>
      <c r="H66" s="627"/>
      <c r="I66" s="629"/>
      <c r="J66" s="18"/>
      <c r="K66" s="66"/>
    </row>
    <row r="67" spans="1:11" ht="76.5" customHeight="1" thickBot="1">
      <c r="B67" s="60" t="s">
        <v>165</v>
      </c>
      <c r="C67" s="63" t="s">
        <v>0</v>
      </c>
      <c r="D67" s="115">
        <f>IF(C28=32, (C25-2), (C25-2-1))-(IF(G27="ENABLED",3,0))</f>
        <v>8</v>
      </c>
      <c r="E67" s="54" t="str">
        <f>DEC2HEX(((D67)*2^0),8)</f>
        <v>00000008</v>
      </c>
      <c r="F67" s="136" t="s">
        <v>80</v>
      </c>
      <c r="G67" s="625"/>
      <c r="H67" s="625"/>
      <c r="I67" s="630"/>
      <c r="J67" s="18"/>
      <c r="K67" s="66"/>
    </row>
    <row r="68" spans="1:11" s="8" customFormat="1" ht="10.5" customHeight="1" thickBot="1">
      <c r="B68" s="276"/>
      <c r="C68" s="276"/>
      <c r="D68" s="156"/>
      <c r="E68" s="612"/>
      <c r="F68" s="277"/>
      <c r="G68" s="278"/>
      <c r="H68" s="278"/>
      <c r="I68" s="278"/>
      <c r="J68" s="18"/>
      <c r="K68" s="66"/>
    </row>
    <row r="69" spans="1:11" ht="140.25">
      <c r="A69" s="618"/>
      <c r="B69" s="58" t="s">
        <v>1226</v>
      </c>
      <c r="C69" s="613" t="s">
        <v>0</v>
      </c>
      <c r="D69" s="92">
        <f>IF(AND(G27="ENABLED",C28=16),1,0)</f>
        <v>0</v>
      </c>
      <c r="E69" s="609" t="str">
        <f>DEC2HEX(((D69)*2^24),8)</f>
        <v>00000000</v>
      </c>
      <c r="F69" s="133" t="s">
        <v>1227</v>
      </c>
      <c r="G69" s="623" t="s">
        <v>1228</v>
      </c>
      <c r="H69" s="626" t="str">
        <f>"0x"&amp;DEC2HEX((HEX2DEC(C35)+520), 8)</f>
        <v>0x3D400208</v>
      </c>
      <c r="I69" s="742" t="str">
        <f>"0x"&amp;DEC2HEX((HEX2DEC(E69)+HEX2DEC(E70)+HEX2DEC(E71)+HEX2DEC(E72)), 8)</f>
        <v>0x00000000</v>
      </c>
      <c r="J69" s="18"/>
      <c r="K69" s="66"/>
    </row>
    <row r="70" spans="1:11" ht="140.25">
      <c r="A70" s="618"/>
      <c r="B70" s="59" t="s">
        <v>1229</v>
      </c>
      <c r="C70" s="614" t="s">
        <v>0</v>
      </c>
      <c r="D70" s="125">
        <f>IF(AND(G27="ENABLED",C28=16),1,0)</f>
        <v>0</v>
      </c>
      <c r="E70" s="610" t="str">
        <f>DEC2HEX(((D70)*2^16),8)</f>
        <v>00000000</v>
      </c>
      <c r="F70" s="132" t="s">
        <v>1230</v>
      </c>
      <c r="G70" s="627"/>
      <c r="H70" s="627"/>
      <c r="I70" s="629"/>
      <c r="J70" s="18"/>
      <c r="K70" s="66"/>
    </row>
    <row r="71" spans="1:11" ht="127.5">
      <c r="A71" s="618"/>
      <c r="B71" s="59" t="s">
        <v>1231</v>
      </c>
      <c r="C71" s="614" t="s">
        <v>0</v>
      </c>
      <c r="D71" s="125">
        <f>IF(AND(G27="ENABLED",C28=16),(8+C24+(C22-1)-(IF(D89=0,0,2))),0)</f>
        <v>0</v>
      </c>
      <c r="E71" s="610" t="str">
        <f>DEC2HEX(((D71)*2^8),8)</f>
        <v>00000000</v>
      </c>
      <c r="F71" s="132" t="s">
        <v>1232</v>
      </c>
      <c r="G71" s="627"/>
      <c r="H71" s="627"/>
      <c r="I71" s="629"/>
      <c r="J71" s="18"/>
      <c r="K71" s="66"/>
    </row>
    <row r="72" spans="1:11" ht="128.25" thickBot="1">
      <c r="A72" s="618"/>
      <c r="B72" s="60" t="s">
        <v>1233</v>
      </c>
      <c r="C72" s="615" t="s">
        <v>0</v>
      </c>
      <c r="D72" s="164">
        <f>IF(AND(G27="ENABLED",C28=16),2,0)</f>
        <v>0</v>
      </c>
      <c r="E72" s="611" t="str">
        <f>DEC2HEX(((D72)*2^0),8)</f>
        <v>00000000</v>
      </c>
      <c r="F72" s="136" t="s">
        <v>1234</v>
      </c>
      <c r="G72" s="625"/>
      <c r="H72" s="625"/>
      <c r="I72" s="630"/>
      <c r="J72" s="18"/>
      <c r="K72" s="66"/>
    </row>
    <row r="73" spans="1:11" s="12" customFormat="1" ht="9.75" customHeight="1" thickBot="1">
      <c r="B73" s="276"/>
      <c r="C73" s="276"/>
      <c r="D73" s="156"/>
      <c r="E73" s="277"/>
      <c r="F73" s="278"/>
      <c r="G73" s="278"/>
      <c r="H73" s="278"/>
      <c r="I73" s="279"/>
    </row>
    <row r="74" spans="1:11" ht="281.25">
      <c r="A74" s="6"/>
      <c r="B74" s="58" t="s">
        <v>336</v>
      </c>
      <c r="C74" s="65" t="s">
        <v>0</v>
      </c>
      <c r="D74" s="92">
        <f>IF(C28=32,D75,31)</f>
        <v>0</v>
      </c>
      <c r="E74" s="268" t="str">
        <f>DEC2HEX(((D74)*2^24),8)</f>
        <v>00000000</v>
      </c>
      <c r="F74" s="280" t="s">
        <v>790</v>
      </c>
      <c r="G74" s="623" t="s">
        <v>337</v>
      </c>
      <c r="H74" s="626" t="str">
        <f>"0x"&amp;DEC2HEX((HEX2DEC(C35)+524), 8)</f>
        <v>0x3D40020C</v>
      </c>
      <c r="I74" s="653" t="str">
        <f>"0x"&amp;DEC2HEX((HEX2DEC(E74)+HEX2DEC(E75)+HEX2DEC(E76)+HEX2DEC(E77)), 8)</f>
        <v>0x00000000</v>
      </c>
      <c r="J74" s="18"/>
      <c r="K74" s="66"/>
    </row>
    <row r="75" spans="1:11" ht="247.5">
      <c r="A75" s="618"/>
      <c r="B75" s="59" t="s">
        <v>338</v>
      </c>
      <c r="C75" s="61" t="s">
        <v>0</v>
      </c>
      <c r="D75" s="232">
        <f>D76</f>
        <v>0</v>
      </c>
      <c r="E75" s="269" t="str">
        <f>DEC2HEX(((D75)*2^16),8)</f>
        <v>00000000</v>
      </c>
      <c r="F75" s="281" t="s">
        <v>791</v>
      </c>
      <c r="G75" s="627"/>
      <c r="H75" s="627"/>
      <c r="I75" s="629"/>
      <c r="J75" s="18"/>
      <c r="K75" s="66"/>
    </row>
    <row r="76" spans="1:11" ht="146.25">
      <c r="A76" s="618"/>
      <c r="B76" s="59" t="s">
        <v>339</v>
      </c>
      <c r="C76" s="61" t="s">
        <v>0</v>
      </c>
      <c r="D76" s="232">
        <f>IF(G27="ENABLED", ((C22-1)+C24+C26)-(IF(D89=0, 0, 2))+(IF(C28=16,2,0)), 0)</f>
        <v>0</v>
      </c>
      <c r="E76" s="269" t="str">
        <f>DEC2HEX(((D76)*2^8),8)</f>
        <v>00000000</v>
      </c>
      <c r="F76" s="281" t="s">
        <v>792</v>
      </c>
      <c r="G76" s="627"/>
      <c r="H76" s="627"/>
      <c r="I76" s="629"/>
      <c r="J76" s="18"/>
      <c r="K76" s="66"/>
    </row>
    <row r="77" spans="1:11" ht="113.25" thickBot="1">
      <c r="A77" s="618"/>
      <c r="B77" s="60" t="s">
        <v>340</v>
      </c>
      <c r="C77" s="63" t="s">
        <v>0</v>
      </c>
      <c r="D77" s="164">
        <f>IF( AND(C28=16, G27="ENABLED"), 1, 0)</f>
        <v>0</v>
      </c>
      <c r="E77" s="270" t="str">
        <f>DEC2HEX(((D77)*2^0),8)</f>
        <v>00000000</v>
      </c>
      <c r="F77" s="282" t="s">
        <v>341</v>
      </c>
      <c r="G77" s="625"/>
      <c r="H77" s="625"/>
      <c r="I77" s="630"/>
      <c r="J77" s="18"/>
      <c r="K77" s="66"/>
    </row>
    <row r="78" spans="1:11" ht="2.25" customHeight="1">
      <c r="A78" s="618"/>
      <c r="B78" s="76"/>
      <c r="C78" s="77"/>
      <c r="D78" s="78"/>
      <c r="E78" s="36"/>
      <c r="F78" s="139"/>
      <c r="G78" s="81"/>
      <c r="H78" s="81"/>
      <c r="I78" s="81"/>
      <c r="J78" s="18"/>
      <c r="K78" s="66"/>
    </row>
    <row r="79" spans="1:11" ht="6.75" customHeight="1" thickBot="1">
      <c r="A79" s="618"/>
      <c r="B79" s="76"/>
      <c r="C79" s="77"/>
      <c r="D79" s="78"/>
      <c r="E79" s="36"/>
      <c r="F79" s="139"/>
      <c r="G79" s="81"/>
      <c r="H79" s="81"/>
      <c r="I79" s="81"/>
      <c r="J79" s="18"/>
      <c r="K79" s="66"/>
    </row>
    <row r="80" spans="1:11" ht="73.5" customHeight="1">
      <c r="A80" s="618"/>
      <c r="B80" s="58" t="s">
        <v>1224</v>
      </c>
      <c r="C80" s="613" t="s">
        <v>0</v>
      </c>
      <c r="D80" s="117">
        <f>IF(AND((C28=16), (G27="ENABLED")), 1, 0)</f>
        <v>0</v>
      </c>
      <c r="E80" s="609" t="str">
        <f>DEC2HEX(((D80)*2^31),8)</f>
        <v>00000000</v>
      </c>
      <c r="F80" s="133" t="s">
        <v>1225</v>
      </c>
      <c r="G80" s="735" t="s">
        <v>93</v>
      </c>
      <c r="H80" s="734" t="str">
        <f>"0x"&amp;DEC2HEX((HEX2DEC(C35)+528), 8)</f>
        <v>0x3D400210</v>
      </c>
      <c r="I80" s="708" t="str">
        <f>"0x"&amp;DEC2HEX((HEX2DEC(E80)+HEX2DEC(E81)+HEX2DEC(E82)), 8)</f>
        <v>0x00001F1F</v>
      </c>
      <c r="J80" s="18"/>
      <c r="K80" s="66"/>
    </row>
    <row r="81" spans="1:11" ht="114.75">
      <c r="B81" s="59" t="s">
        <v>166</v>
      </c>
      <c r="C81" s="61" t="s">
        <v>0</v>
      </c>
      <c r="D81" s="159">
        <f>IF(11&lt;C25,0,15+16)</f>
        <v>31</v>
      </c>
      <c r="E81" s="610" t="str">
        <f>DEC2HEX(((D81)*2^8),8)</f>
        <v>00001F00</v>
      </c>
      <c r="F81" s="132" t="s">
        <v>298</v>
      </c>
      <c r="G81" s="736"/>
      <c r="H81" s="719"/>
      <c r="I81" s="721"/>
      <c r="J81" s="18"/>
      <c r="K81" s="66"/>
    </row>
    <row r="82" spans="1:11" ht="115.5" thickBot="1">
      <c r="B82" s="60" t="s">
        <v>167</v>
      </c>
      <c r="C82" s="63" t="s">
        <v>0</v>
      </c>
      <c r="D82" s="120">
        <f>IF(10&lt;C25,0,15+16)</f>
        <v>31</v>
      </c>
      <c r="E82" s="611" t="str">
        <f>DEC2HEX(((D82)*2^0),8)</f>
        <v>0000001F</v>
      </c>
      <c r="F82" s="136" t="s">
        <v>299</v>
      </c>
      <c r="G82" s="737"/>
      <c r="H82" s="720"/>
      <c r="I82" s="709"/>
      <c r="J82" s="18"/>
      <c r="K82" s="66"/>
    </row>
    <row r="83" spans="1:11" ht="3" customHeight="1" thickBot="1">
      <c r="B83" s="69"/>
      <c r="C83" s="70"/>
      <c r="D83" s="71">
        <v>8</v>
      </c>
      <c r="E83" s="72"/>
      <c r="F83" s="73"/>
      <c r="G83" s="36"/>
      <c r="H83" s="36"/>
      <c r="I83" s="55"/>
      <c r="J83" s="18"/>
      <c r="K83" s="66"/>
    </row>
    <row r="84" spans="1:11" ht="93" customHeight="1">
      <c r="B84" s="58" t="s">
        <v>168</v>
      </c>
      <c r="C84" s="65" t="s">
        <v>0</v>
      </c>
      <c r="D84" s="117">
        <f>D87</f>
        <v>7</v>
      </c>
      <c r="E84" s="52" t="str">
        <f>DEC2HEX(((D84)*2^24),8)</f>
        <v>07000000</v>
      </c>
      <c r="F84" s="133" t="s">
        <v>81</v>
      </c>
      <c r="G84" s="652" t="s">
        <v>59</v>
      </c>
      <c r="H84" s="652" t="str">
        <f>"0x"&amp;DEC2HEX((HEX2DEC(C35)+532), 8)</f>
        <v>0x3D400214</v>
      </c>
      <c r="I84" s="653" t="str">
        <f>"0x"&amp;DEC2HEX((HEX2DEC(E84)+HEX2DEC(E85)+HEX2DEC(E86)+HEX2DEC(E87)), 8)</f>
        <v>0x07070707</v>
      </c>
      <c r="J84" s="18"/>
      <c r="K84" s="66"/>
    </row>
    <row r="85" spans="1:11" ht="114" customHeight="1">
      <c r="B85" s="59" t="s">
        <v>169</v>
      </c>
      <c r="C85" s="61" t="s">
        <v>0</v>
      </c>
      <c r="D85" s="114">
        <f>D87</f>
        <v>7</v>
      </c>
      <c r="E85" s="53" t="str">
        <f>DEC2HEX(((D85)*2^16),8)</f>
        <v>00070000</v>
      </c>
      <c r="F85" s="132" t="s">
        <v>82</v>
      </c>
      <c r="G85" s="627"/>
      <c r="H85" s="627"/>
      <c r="I85" s="629"/>
      <c r="J85" s="18"/>
      <c r="K85" s="66"/>
    </row>
    <row r="86" spans="1:11" ht="79.5" customHeight="1">
      <c r="B86" s="75" t="s">
        <v>170</v>
      </c>
      <c r="C86" s="61" t="s">
        <v>0</v>
      </c>
      <c r="D86" s="114">
        <f>D87</f>
        <v>7</v>
      </c>
      <c r="E86" s="53" t="str">
        <f>DEC2HEX(((D86)*2^8),8)</f>
        <v>00000700</v>
      </c>
      <c r="F86" s="135" t="s">
        <v>83</v>
      </c>
      <c r="G86" s="627"/>
      <c r="H86" s="627"/>
      <c r="I86" s="629"/>
      <c r="J86" s="18"/>
      <c r="K86" s="66"/>
    </row>
    <row r="87" spans="1:11" ht="92.25" customHeight="1" thickBot="1">
      <c r="B87" s="60" t="s">
        <v>171</v>
      </c>
      <c r="C87" s="63" t="s">
        <v>0</v>
      </c>
      <c r="D87" s="115">
        <f>IF(C28=32,  (C25+C26-6), (C25+C26-6-1)) -(IF(G27="ENABLED",3,0))</f>
        <v>7</v>
      </c>
      <c r="E87" s="54" t="str">
        <f>DEC2HEX(((D87)*2^0),8)</f>
        <v>00000007</v>
      </c>
      <c r="F87" s="136" t="s">
        <v>84</v>
      </c>
      <c r="G87" s="625"/>
      <c r="H87" s="625"/>
      <c r="I87" s="630"/>
      <c r="J87" s="18"/>
      <c r="K87" s="66"/>
    </row>
    <row r="88" spans="1:11" ht="3" customHeight="1" thickBot="1">
      <c r="B88" s="69"/>
      <c r="C88" s="70"/>
      <c r="D88" s="71"/>
      <c r="E88" s="72"/>
      <c r="F88" s="73"/>
      <c r="G88" s="36"/>
      <c r="H88" s="36"/>
      <c r="I88" s="55"/>
      <c r="J88" s="18"/>
      <c r="K88" s="66"/>
    </row>
    <row r="89" spans="1:11" ht="195" customHeight="1">
      <c r="A89" s="6"/>
      <c r="B89" s="58" t="s">
        <v>335</v>
      </c>
      <c r="C89" s="93" t="s">
        <v>0</v>
      </c>
      <c r="D89" s="218">
        <f>IF(OR(C20=3, C20=6, C20=12), C24-14, 0)</f>
        <v>3</v>
      </c>
      <c r="E89" s="330" t="str">
        <f>DEC2HEX(((D89)*2^29),8)</f>
        <v>60000000</v>
      </c>
      <c r="F89" s="133" t="s">
        <v>1057</v>
      </c>
      <c r="G89" s="652" t="s">
        <v>1047</v>
      </c>
      <c r="H89" s="652" t="str">
        <f>"0x"&amp;DEC2HEX((HEX2DEC(C35)+536), 8)</f>
        <v>0x3D400218</v>
      </c>
      <c r="I89" s="653" t="str">
        <f>"0x"&amp;DEC2HEX((HEX2DEC(E89)+HEX2DEC(E90)+HEX2DEC(E91)+HEX2DEC(E92)+HEX2DEC(E93)), 8)</f>
        <v>0x68070707</v>
      </c>
      <c r="J89" s="18"/>
      <c r="K89" s="66"/>
    </row>
    <row r="90" spans="1:11" ht="102" customHeight="1">
      <c r="B90" s="59" t="s">
        <v>172</v>
      </c>
      <c r="C90" s="94" t="s">
        <v>0</v>
      </c>
      <c r="D90" s="129">
        <f>IF(C24&gt;15, IF(OR(C20=6,C20=12), (D87+(C22-1)+(IF(G27="ENABLED",3,0))), D87), 15)</f>
        <v>8</v>
      </c>
      <c r="E90" s="331" t="str">
        <f>DEC2HEX(((D90)*2^24),8)</f>
        <v>08000000</v>
      </c>
      <c r="F90" s="132" t="s">
        <v>85</v>
      </c>
      <c r="G90" s="627"/>
      <c r="H90" s="627"/>
      <c r="I90" s="629"/>
      <c r="J90" s="18"/>
      <c r="K90" s="66"/>
    </row>
    <row r="91" spans="1:11" ht="108.6" customHeight="1">
      <c r="B91" s="59" t="s">
        <v>173</v>
      </c>
      <c r="C91" s="94" t="s">
        <v>0</v>
      </c>
      <c r="D91" s="129">
        <f>IF(C24&gt;14, IF(OR(C20=6, C20=3), (D87+(C22-1)+(IF(G27="ENABLED",3,0))), D87), 15)</f>
        <v>7</v>
      </c>
      <c r="E91" s="331" t="str">
        <f>DEC2HEX(((D91)*2^16),8)</f>
        <v>00070000</v>
      </c>
      <c r="F91" s="247" t="s">
        <v>86</v>
      </c>
      <c r="G91" s="627"/>
      <c r="H91" s="627"/>
      <c r="I91" s="629"/>
      <c r="J91" s="18"/>
      <c r="K91" s="66"/>
    </row>
    <row r="92" spans="1:11" ht="87" customHeight="1">
      <c r="B92" s="59" t="s">
        <v>174</v>
      </c>
      <c r="C92" s="94" t="s">
        <v>0</v>
      </c>
      <c r="D92" s="249">
        <f>IF(C24&gt;13,IF(AND(C24&lt;16,(OR(C20=3,C20=6,C20=12))), (D87+(C22-1)+(IF(G27="ENABLED",3,0))), D87), 15)</f>
        <v>7</v>
      </c>
      <c r="E92" s="331" t="str">
        <f>DEC2HEX(((D92)*2^8),8)</f>
        <v>00000700</v>
      </c>
      <c r="F92" s="247" t="s">
        <v>87</v>
      </c>
      <c r="G92" s="627"/>
      <c r="H92" s="627"/>
      <c r="I92" s="629"/>
      <c r="J92" s="18"/>
      <c r="K92" s="66"/>
    </row>
    <row r="93" spans="1:11" ht="89.25" customHeight="1" thickBot="1">
      <c r="B93" s="60" t="s">
        <v>175</v>
      </c>
      <c r="C93" s="97" t="s">
        <v>0</v>
      </c>
      <c r="D93" s="115">
        <f>IF(12&lt;C24,D87,15)</f>
        <v>7</v>
      </c>
      <c r="E93" s="332" t="str">
        <f>DEC2HEX(((D93)*2^0),8)</f>
        <v>00000007</v>
      </c>
      <c r="F93" s="136" t="s">
        <v>88</v>
      </c>
      <c r="G93" s="625"/>
      <c r="H93" s="625"/>
      <c r="I93" s="630"/>
      <c r="J93" s="18"/>
      <c r="K93" s="66"/>
    </row>
    <row r="94" spans="1:11" ht="10.15" customHeight="1" thickBot="1">
      <c r="B94" s="75"/>
      <c r="C94" s="455"/>
      <c r="D94" s="456"/>
      <c r="E94" s="246"/>
      <c r="F94" s="247"/>
      <c r="G94" s="81"/>
      <c r="H94" s="81"/>
      <c r="I94" s="81"/>
      <c r="J94" s="18"/>
      <c r="K94" s="66"/>
    </row>
    <row r="95" spans="1:11" ht="90" customHeight="1">
      <c r="B95" s="58" t="s">
        <v>1050</v>
      </c>
      <c r="C95" s="93" t="s">
        <v>0</v>
      </c>
      <c r="D95" s="457">
        <f>IF(C24&gt;17,D96, 15)</f>
        <v>15</v>
      </c>
      <c r="E95" s="453" t="str">
        <f>DEC2HEX(((D95)*2^8),8)</f>
        <v>00000F00</v>
      </c>
      <c r="F95" s="133" t="s">
        <v>1052</v>
      </c>
      <c r="G95" s="735" t="s">
        <v>1048</v>
      </c>
      <c r="H95" s="734" t="str">
        <f>"0x"&amp;DEC2HEX((HEX2DEC(C35)+540), 8)</f>
        <v>0x3D40021C</v>
      </c>
      <c r="I95" s="708" t="str">
        <f>"0x"&amp;DEC2HEX((HEX2DEC(E95)+HEX2DEC(E96)), 8)</f>
        <v>0x00000F08</v>
      </c>
      <c r="J95" s="18"/>
      <c r="K95" s="66"/>
    </row>
    <row r="96" spans="1:11" ht="89.25" customHeight="1" thickBot="1">
      <c r="B96" s="60" t="s">
        <v>1049</v>
      </c>
      <c r="C96" s="97" t="s">
        <v>0</v>
      </c>
      <c r="D96" s="120">
        <f>IF(C24&gt;16, IF(OR(C20=6,C20=12), (D87+(C22-1)+(IF(G27="ENABLED",3,0))), D87), 15)</f>
        <v>8</v>
      </c>
      <c r="E96" s="454" t="str">
        <f>DEC2HEX(((D96)*2^0),8)</f>
        <v>00000008</v>
      </c>
      <c r="F96" s="136" t="s">
        <v>1051</v>
      </c>
      <c r="G96" s="720"/>
      <c r="H96" s="720"/>
      <c r="I96" s="709"/>
      <c r="J96" s="18"/>
      <c r="K96" s="66"/>
    </row>
    <row r="97" spans="2:22" ht="8.25" customHeight="1" thickBot="1">
      <c r="B97" s="76"/>
      <c r="C97" s="77"/>
      <c r="D97" s="78"/>
      <c r="E97" s="36"/>
      <c r="F97" s="73"/>
      <c r="G97" s="36"/>
      <c r="H97" s="36"/>
      <c r="I97" s="55"/>
      <c r="J97" s="18"/>
      <c r="K97" s="66"/>
    </row>
    <row r="98" spans="2:22" ht="39" thickBot="1">
      <c r="B98" s="14" t="s">
        <v>75</v>
      </c>
      <c r="C98" s="14" t="s">
        <v>2</v>
      </c>
      <c r="D98" s="14" t="s">
        <v>19</v>
      </c>
      <c r="E98" s="14" t="s">
        <v>6</v>
      </c>
      <c r="F98" s="15" t="s">
        <v>1</v>
      </c>
      <c r="G98" s="35" t="s">
        <v>3</v>
      </c>
      <c r="H98" s="16" t="s">
        <v>285</v>
      </c>
      <c r="I98" s="16" t="s">
        <v>4</v>
      </c>
      <c r="J98" s="18"/>
      <c r="K98" s="66"/>
    </row>
    <row r="99" spans="2:22" ht="3.75" customHeight="1" thickBot="1">
      <c r="B99" s="76"/>
      <c r="C99" s="77"/>
      <c r="D99" s="78"/>
      <c r="E99" s="36"/>
      <c r="F99" s="73"/>
      <c r="G99" s="36"/>
      <c r="H99" s="36"/>
      <c r="I99" s="55"/>
      <c r="J99" s="18"/>
      <c r="K99" s="66"/>
    </row>
    <row r="100" spans="2:22" ht="140.25">
      <c r="B100" s="58" t="s">
        <v>287</v>
      </c>
      <c r="C100" s="93" t="s">
        <v>0</v>
      </c>
      <c r="D100" s="57">
        <v>2</v>
      </c>
      <c r="E100" s="229" t="str">
        <f>DEC2HEX(((D100)*2^20),8)</f>
        <v>00200000</v>
      </c>
      <c r="F100" s="33" t="s">
        <v>288</v>
      </c>
      <c r="G100" s="652" t="s">
        <v>286</v>
      </c>
      <c r="H100" s="652" t="str">
        <f>"0x"&amp;DEC2HEX((HEX2DEC(C35)+HEX2DEC(50)), 8)</f>
        <v>0x3D400050</v>
      </c>
      <c r="I100" s="754" t="str">
        <f>"0x"&amp;DEC2HEX((HEX2DEC(E100)+HEX2DEC(E101)+HEX2DEC(E102)+HEX2DEC(E103)), 8)</f>
        <v>0x00210000</v>
      </c>
      <c r="J100" s="760" t="s">
        <v>309</v>
      </c>
      <c r="K100" s="66"/>
    </row>
    <row r="101" spans="2:22" ht="176.25" customHeight="1">
      <c r="B101" s="59" t="s">
        <v>289</v>
      </c>
      <c r="C101" s="94" t="s">
        <v>0</v>
      </c>
      <c r="D101" s="126">
        <v>16</v>
      </c>
      <c r="E101" s="230" t="str">
        <f>DEC2HEX(((D101)*2^12),8)</f>
        <v>00010000</v>
      </c>
      <c r="F101" s="17" t="s">
        <v>290</v>
      </c>
      <c r="G101" s="658"/>
      <c r="H101" s="658"/>
      <c r="I101" s="755"/>
      <c r="J101" s="760"/>
      <c r="K101" s="66"/>
    </row>
    <row r="102" spans="2:22" ht="305.25" customHeight="1">
      <c r="B102" s="59" t="s">
        <v>291</v>
      </c>
      <c r="C102" s="94" t="s">
        <v>0</v>
      </c>
      <c r="D102" s="234">
        <v>0</v>
      </c>
      <c r="E102" s="230" t="str">
        <f>DEC2HEX(((D102)*2^4),8)</f>
        <v>00000000</v>
      </c>
      <c r="F102" s="17" t="s">
        <v>292</v>
      </c>
      <c r="G102" s="658"/>
      <c r="H102" s="658"/>
      <c r="I102" s="755"/>
      <c r="J102" s="760"/>
      <c r="K102" s="66"/>
    </row>
    <row r="103" spans="2:22" ht="102.75" thickBot="1">
      <c r="B103" s="60" t="s">
        <v>293</v>
      </c>
      <c r="C103" s="97" t="s">
        <v>0</v>
      </c>
      <c r="D103" s="235">
        <v>0</v>
      </c>
      <c r="E103" s="231" t="str">
        <f>DEC2HEX(((D103)*2^2),8)</f>
        <v>00000000</v>
      </c>
      <c r="F103" s="34" t="s">
        <v>294</v>
      </c>
      <c r="G103" s="723"/>
      <c r="H103" s="723"/>
      <c r="I103" s="756"/>
      <c r="J103" s="760"/>
      <c r="K103" s="66"/>
    </row>
    <row r="104" spans="2:22" ht="14.25" customHeight="1" thickBot="1">
      <c r="B104" s="76"/>
      <c r="C104" s="77"/>
      <c r="D104" s="78"/>
      <c r="E104" s="36"/>
      <c r="F104" s="73"/>
      <c r="G104" s="36"/>
      <c r="H104" s="36"/>
      <c r="I104" s="55"/>
      <c r="J104" s="18"/>
      <c r="K104" s="66"/>
    </row>
    <row r="105" spans="2:22" ht="331.5">
      <c r="B105" s="127" t="s">
        <v>134</v>
      </c>
      <c r="C105" s="358">
        <v>3904</v>
      </c>
      <c r="D105" s="117">
        <f>ROUNDDOWN(((C105/C30)/64), 0)</f>
        <v>122</v>
      </c>
      <c r="E105" s="242" t="str">
        <f>DEC2HEX(((D105)*2^16),8)</f>
        <v>007A0000</v>
      </c>
      <c r="F105" s="137" t="s">
        <v>310</v>
      </c>
      <c r="G105" s="652" t="s">
        <v>38</v>
      </c>
      <c r="H105" s="652" t="str">
        <f>"0x"&amp;DEC2HEX((HEX2DEC(C35)+HEX2DEC(64)), 8)</f>
        <v>0x3D400064</v>
      </c>
      <c r="I105" s="653" t="str">
        <f>"0x"&amp;DEC2HEX((HEX2DEC(E105)+HEX2DEC(E106)), 8)</f>
        <v>0x007A017C</v>
      </c>
      <c r="J105" s="217" t="s">
        <v>334</v>
      </c>
      <c r="K105" s="66"/>
    </row>
    <row r="106" spans="2:22" ht="217.5" thickBot="1">
      <c r="B106" s="148" t="s">
        <v>135</v>
      </c>
      <c r="C106" s="164">
        <f>IF(F22&gt;0, F22, IF(C20&lt;3,130,IF(C20&lt;6,180,IF(C20&lt;12,280,380))))</f>
        <v>380</v>
      </c>
      <c r="D106" s="115">
        <f>ROUNDUP((C106/C30/2),0)</f>
        <v>380</v>
      </c>
      <c r="E106" s="245" t="str">
        <f>DEC2HEX(((D106)*2^0),8)</f>
        <v>0000017C</v>
      </c>
      <c r="F106" s="138" t="s">
        <v>311</v>
      </c>
      <c r="G106" s="625"/>
      <c r="H106" s="625"/>
      <c r="I106" s="630"/>
      <c r="J106" s="18"/>
      <c r="K106" s="66"/>
    </row>
    <row r="107" spans="2:22" ht="9" customHeight="1" thickBot="1">
      <c r="B107" s="76"/>
      <c r="C107" s="77"/>
      <c r="D107" s="78"/>
      <c r="E107" s="36"/>
      <c r="F107" s="73"/>
      <c r="G107" s="36"/>
      <c r="H107" s="36"/>
      <c r="I107" s="55"/>
      <c r="J107" s="18"/>
      <c r="K107" s="66"/>
    </row>
    <row r="108" spans="2:22" ht="13.5" thickBot="1">
      <c r="B108" s="672" t="s">
        <v>213</v>
      </c>
      <c r="C108" s="673"/>
      <c r="D108" s="673"/>
      <c r="E108" s="673"/>
      <c r="F108" s="673"/>
      <c r="G108" s="673"/>
      <c r="H108" s="673"/>
      <c r="I108" s="674"/>
      <c r="J108" s="18"/>
      <c r="K108" s="66"/>
    </row>
    <row r="109" spans="2:22" ht="127.5" customHeight="1">
      <c r="B109" s="58" t="s">
        <v>97</v>
      </c>
      <c r="C109" s="65" t="s">
        <v>0</v>
      </c>
      <c r="D109" s="57">
        <v>3</v>
      </c>
      <c r="E109" s="52" t="str">
        <f>DEC2HEX(((D109)*2^30),8)</f>
        <v>C0000000</v>
      </c>
      <c r="F109" s="133" t="s">
        <v>89</v>
      </c>
      <c r="G109" s="652" t="s">
        <v>41</v>
      </c>
      <c r="H109" s="761" t="str">
        <f>"0x"&amp;DEC2HEX((HEX2DEC(C35)+208), 8)</f>
        <v>0x3D4000D0</v>
      </c>
      <c r="I109" s="764" t="str">
        <f>"0x"&amp;DEC2HEX((HEX2DEC(E109)+HEX2DEC(E110)+HEX2DEC(E111)), 8)</f>
        <v>0xC00307A3</v>
      </c>
      <c r="J109" s="298" t="s">
        <v>343</v>
      </c>
    </row>
    <row r="110" spans="2:22" ht="306">
      <c r="B110" s="59" t="s">
        <v>98</v>
      </c>
      <c r="C110" s="61">
        <v>2000</v>
      </c>
      <c r="D110" s="114">
        <f>IF(C17="DDR3", 2, ROUNDUP(((C110/C30)/2/1024 +1),0))</f>
        <v>3</v>
      </c>
      <c r="E110" s="53" t="str">
        <f>DEC2HEX(((D110)*2^16),8)</f>
        <v>00030000</v>
      </c>
      <c r="F110" s="132" t="s">
        <v>345</v>
      </c>
      <c r="G110" s="627"/>
      <c r="H110" s="762"/>
      <c r="I110" s="765"/>
      <c r="J110" s="227"/>
      <c r="V110"/>
    </row>
    <row r="111" spans="2:22" ht="192" thickBot="1">
      <c r="B111" s="60" t="s">
        <v>99</v>
      </c>
      <c r="C111" s="63">
        <v>2000000</v>
      </c>
      <c r="D111" s="115">
        <f>ROUNDUP(((C111/C30)/2/1024 +1),0)</f>
        <v>1955</v>
      </c>
      <c r="E111" s="54" t="str">
        <f>DEC2HEX(((D111)*2^0),8)</f>
        <v>000007A3</v>
      </c>
      <c r="F111" s="136" t="s">
        <v>312</v>
      </c>
      <c r="G111" s="625"/>
      <c r="H111" s="763"/>
      <c r="I111" s="766"/>
      <c r="J111" s="713"/>
      <c r="K111" s="714"/>
    </row>
    <row r="112" spans="2:22" ht="8.25" customHeight="1" thickBot="1">
      <c r="B112" s="69"/>
      <c r="C112" s="70"/>
      <c r="D112" s="71"/>
      <c r="E112" s="72"/>
      <c r="F112" s="73"/>
      <c r="G112" s="36"/>
      <c r="H112" s="36"/>
      <c r="I112" s="55"/>
      <c r="J112" s="18"/>
      <c r="K112" s="228"/>
    </row>
    <row r="113" spans="2:11" ht="140.25">
      <c r="B113" s="58" t="s">
        <v>132</v>
      </c>
      <c r="C113" s="65">
        <v>200000</v>
      </c>
      <c r="D113" s="92">
        <f>IF(C17="LPDDR4", ROUNDUP((C113/C30/1024/2 + 1), 0), 1)</f>
        <v>197</v>
      </c>
      <c r="E113" s="160" t="str">
        <f>DEC2HEX(((D113)*2^16),8)</f>
        <v>00C50000</v>
      </c>
      <c r="F113" s="133" t="s">
        <v>297</v>
      </c>
      <c r="G113" s="652" t="s">
        <v>40</v>
      </c>
      <c r="H113" s="652" t="str">
        <f>"0x"&amp;DEC2HEX((HEX2DEC(C35)+212), 8)</f>
        <v>0x3D4000D4</v>
      </c>
      <c r="I113" s="653" t="str">
        <f>"0x"&amp;DEC2HEX((HEX2DEC(E113)+HEX2DEC(E114)), 8)</f>
        <v>0x00C50000</v>
      </c>
      <c r="J113" s="713"/>
      <c r="K113" s="714"/>
    </row>
    <row r="114" spans="2:11" ht="80.25" customHeight="1" thickBot="1">
      <c r="B114" s="60" t="s">
        <v>133</v>
      </c>
      <c r="C114" s="63" t="s">
        <v>0</v>
      </c>
      <c r="D114" s="64">
        <v>0</v>
      </c>
      <c r="E114" s="162" t="str">
        <f>DEC2HEX(((D114)*2^0),8)</f>
        <v>00000000</v>
      </c>
      <c r="F114" s="136" t="s">
        <v>39</v>
      </c>
      <c r="G114" s="625"/>
      <c r="H114" s="625"/>
      <c r="I114" s="630"/>
      <c r="J114" s="18"/>
    </row>
    <row r="115" spans="2:11" ht="7.5" customHeight="1">
      <c r="B115" s="69"/>
      <c r="C115" s="70"/>
      <c r="D115" s="71"/>
      <c r="E115" s="72"/>
      <c r="F115" s="73"/>
      <c r="G115" s="36"/>
      <c r="H115" s="36"/>
      <c r="I115" s="55"/>
      <c r="J115" s="18"/>
    </row>
    <row r="116" spans="2:11" ht="7.5" customHeight="1" thickBot="1">
      <c r="B116" s="69"/>
      <c r="C116" s="70"/>
      <c r="D116" s="71"/>
      <c r="E116" s="72"/>
      <c r="F116" s="73"/>
      <c r="G116" s="36"/>
      <c r="H116" s="36"/>
      <c r="I116" s="55"/>
      <c r="J116" s="18"/>
    </row>
    <row r="117" spans="2:11" ht="13.5" thickBot="1">
      <c r="B117" s="710" t="s">
        <v>177</v>
      </c>
      <c r="C117" s="711"/>
      <c r="D117" s="711"/>
      <c r="E117" s="711"/>
      <c r="F117" s="711"/>
      <c r="G117" s="711"/>
      <c r="H117" s="711"/>
      <c r="I117" s="712"/>
      <c r="J117" s="18"/>
    </row>
    <row r="118" spans="2:11" ht="293.25">
      <c r="B118" s="58" t="s">
        <v>178</v>
      </c>
      <c r="C118" s="616">
        <f>MAX(6,(C165-(IF(C29&lt;=1333,4,IF(C29&lt;=1866,6,8)))-D48+1))</f>
        <v>13</v>
      </c>
      <c r="D118" s="125">
        <f>ROUNDUP( (C118/2), 0)</f>
        <v>7</v>
      </c>
      <c r="E118" s="52" t="str">
        <f>DEC2HEX(((D118)*2^8),8)</f>
        <v>00000700</v>
      </c>
      <c r="F118" s="137" t="s">
        <v>313</v>
      </c>
      <c r="G118" s="652" t="s">
        <v>44</v>
      </c>
      <c r="H118" s="652" t="str">
        <f>"0x"&amp;DEC2HEX((HEX2DEC(C35)+244), 8)</f>
        <v>0x3D4000F4</v>
      </c>
      <c r="I118" s="653" t="str">
        <f>"0x"&amp;DEC2HEX((HEX2DEC(E118)+HEX2DEC(E119)+HEX2DEC(E120)), 8)</f>
        <v>0x00000799</v>
      </c>
      <c r="J118" s="18"/>
    </row>
    <row r="119" spans="2:11" ht="306">
      <c r="B119" s="59" t="s">
        <v>179</v>
      </c>
      <c r="C119" s="94">
        <v>8</v>
      </c>
      <c r="D119" s="125">
        <f>(C119+1)</f>
        <v>9</v>
      </c>
      <c r="E119" s="53" t="str">
        <f>DEC2HEX(((D119)*2^4),8)</f>
        <v>00000090</v>
      </c>
      <c r="F119" s="233" t="s">
        <v>377</v>
      </c>
      <c r="G119" s="627"/>
      <c r="H119" s="627"/>
      <c r="I119" s="629"/>
      <c r="J119" s="18"/>
    </row>
    <row r="120" spans="2:11" ht="304.5" customHeight="1" thickBot="1">
      <c r="B120" s="60" t="s">
        <v>180</v>
      </c>
      <c r="C120" s="63">
        <v>9</v>
      </c>
      <c r="D120" s="64">
        <v>9</v>
      </c>
      <c r="E120" s="54" t="str">
        <f>DEC2HEX(((D120)*2^0),8)</f>
        <v>00000009</v>
      </c>
      <c r="F120" s="138" t="s">
        <v>90</v>
      </c>
      <c r="G120" s="625"/>
      <c r="H120" s="625"/>
      <c r="I120" s="630"/>
      <c r="J120" s="18"/>
    </row>
    <row r="121" spans="2:11" ht="9" customHeight="1" thickBot="1">
      <c r="B121" s="69"/>
      <c r="C121" s="70"/>
      <c r="D121" s="71"/>
      <c r="E121" s="72"/>
      <c r="F121" s="73"/>
      <c r="G121" s="36"/>
      <c r="H121" s="36"/>
      <c r="I121" s="55"/>
      <c r="J121" s="18"/>
    </row>
    <row r="122" spans="2:11" ht="280.5">
      <c r="B122" s="58" t="s">
        <v>181</v>
      </c>
      <c r="C122" s="92">
        <f>MAX(18/C30, 6)</f>
        <v>36</v>
      </c>
      <c r="D122" s="56">
        <f>ROUNDUP((1+C133+D48+ROUNDUP((C122),0))/2, 0)</f>
        <v>32</v>
      </c>
      <c r="E122" s="346" t="str">
        <f>DEC2HEX(((D122)*2^24),8)</f>
        <v>20000000</v>
      </c>
      <c r="F122" s="133" t="s">
        <v>764</v>
      </c>
      <c r="G122" s="652" t="s">
        <v>45</v>
      </c>
      <c r="H122" s="652" t="str">
        <f>"0x"&amp;DEC2HEX((HEX2DEC(C35)+256), 8)</f>
        <v>0x3D400100</v>
      </c>
      <c r="I122" s="653" t="str">
        <f>"0x"&amp;DEC2HEX((HEX2DEC(E122)+HEX2DEC(E123)+HEX2DEC(E124)+HEX2DEC(E125)), 8)</f>
        <v>0x2028222A</v>
      </c>
      <c r="J122" s="82"/>
      <c r="K122" s="25"/>
    </row>
    <row r="123" spans="2:11" ht="140.25">
      <c r="B123" s="74" t="s">
        <v>182</v>
      </c>
      <c r="C123" s="344">
        <v>40</v>
      </c>
      <c r="D123" s="159">
        <f>ROUNDUP(((C123/C30)/2),0)</f>
        <v>40</v>
      </c>
      <c r="E123" s="68" t="str">
        <f>DEC2HEX(((D123)*2^16),8)</f>
        <v>00280000</v>
      </c>
      <c r="F123" s="237" t="s">
        <v>765</v>
      </c>
      <c r="G123" s="658"/>
      <c r="H123" s="658"/>
      <c r="I123" s="676"/>
      <c r="J123" s="18"/>
      <c r="K123" s="25"/>
    </row>
    <row r="124" spans="2:11" ht="114.75">
      <c r="B124" s="59" t="s">
        <v>183</v>
      </c>
      <c r="C124" s="232">
        <f>MIN((9*C105), 70200)</f>
        <v>35136</v>
      </c>
      <c r="D124" s="249">
        <f>MAX(ROUNDDOWN(((C124/C30 - 1)/2/1024),0), 1)</f>
        <v>34</v>
      </c>
      <c r="E124" s="347" t="str">
        <f>DEC2HEX(((D124)*2^8),8)</f>
        <v>00002200</v>
      </c>
      <c r="F124" s="132" t="s">
        <v>314</v>
      </c>
      <c r="G124" s="627"/>
      <c r="H124" s="627"/>
      <c r="I124" s="629"/>
      <c r="J124" s="18"/>
      <c r="K124" s="25"/>
    </row>
    <row r="125" spans="2:11" ht="128.25" thickBot="1">
      <c r="B125" s="148" t="s">
        <v>184</v>
      </c>
      <c r="C125" s="164">
        <f>IF(G40 = "Option 2", MAX((42+1.875)/C30, 3), MAX(42/C30, 3))</f>
        <v>84</v>
      </c>
      <c r="D125" s="158">
        <f>ROUNDUP((C125)/2,0)</f>
        <v>42</v>
      </c>
      <c r="E125" s="154" t="str">
        <f>DEC2HEX(((D125)*2^0),8)</f>
        <v>0000002A</v>
      </c>
      <c r="F125" s="157" t="s">
        <v>766</v>
      </c>
      <c r="G125" s="625"/>
      <c r="H125" s="625"/>
      <c r="I125" s="630"/>
      <c r="J125" s="18"/>
    </row>
    <row r="126" spans="2:11" ht="10.5" customHeight="1" thickBot="1">
      <c r="B126" s="69"/>
      <c r="C126" s="70"/>
      <c r="D126" s="71"/>
      <c r="E126" s="72"/>
      <c r="F126" s="73"/>
      <c r="G126" s="36"/>
      <c r="H126" s="36"/>
      <c r="I126" s="55"/>
      <c r="J126" s="18"/>
    </row>
    <row r="127" spans="2:11" ht="165.75" customHeight="1">
      <c r="B127" s="58" t="s">
        <v>106</v>
      </c>
      <c r="C127" s="116">
        <f>MAX(7.5/C30, 5)</f>
        <v>15</v>
      </c>
      <c r="D127" s="117">
        <f>ROUNDUP((C127)/2, 0)</f>
        <v>8</v>
      </c>
      <c r="E127" s="346" t="str">
        <f>DEC2HEX(((D127)*2^16),8)</f>
        <v>00080000</v>
      </c>
      <c r="F127" s="137" t="s">
        <v>767</v>
      </c>
      <c r="G127" s="660" t="s">
        <v>46</v>
      </c>
      <c r="H127" s="660" t="str">
        <f>"0x"&amp;DEC2HEX((HEX2DEC(C35)+260), 8)</f>
        <v>0x3D400104</v>
      </c>
      <c r="I127" s="663" t="str">
        <f>"0x"&amp;DEC2HEX((HEX2DEC(E127)+HEX2DEC(E128)+HEX2DEC(E129)), 8)</f>
        <v>0x0008083F</v>
      </c>
      <c r="J127" s="18"/>
    </row>
    <row r="128" spans="2:11" ht="242.25">
      <c r="B128" s="59" t="s">
        <v>107</v>
      </c>
      <c r="C128" s="159">
        <f>MAX(7.5/C30, 8)</f>
        <v>15</v>
      </c>
      <c r="D128" s="159">
        <f>ROUNDUP((C128)/2, 0)</f>
        <v>8</v>
      </c>
      <c r="E128" s="347" t="str">
        <f>DEC2HEX(((D128)*2^8),8)</f>
        <v>00000800</v>
      </c>
      <c r="F128" s="348" t="s">
        <v>794</v>
      </c>
      <c r="G128" s="661"/>
      <c r="H128" s="661"/>
      <c r="I128" s="664"/>
      <c r="J128" s="98"/>
    </row>
    <row r="129" spans="1:14" ht="115.5" customHeight="1" thickBot="1">
      <c r="B129" s="60" t="s">
        <v>295</v>
      </c>
      <c r="C129" s="115">
        <f>MAX(21/C30,4)</f>
        <v>42</v>
      </c>
      <c r="D129" s="164">
        <f>ROUNDUP((C129+C125)/2, 0)</f>
        <v>63</v>
      </c>
      <c r="E129" s="349" t="str">
        <f>DEC2HEX(((D129)*2^0),8)</f>
        <v>0000003F</v>
      </c>
      <c r="F129" s="138" t="s">
        <v>795</v>
      </c>
      <c r="G129" s="662"/>
      <c r="H129" s="662"/>
      <c r="I129" s="665"/>
      <c r="J129" s="18"/>
    </row>
    <row r="130" spans="1:14" ht="13.5" thickBot="1">
      <c r="B130" s="76"/>
      <c r="C130" s="95"/>
      <c r="D130" s="78"/>
      <c r="E130" s="36"/>
      <c r="F130" s="73"/>
      <c r="G130" s="81"/>
      <c r="H130" s="81"/>
      <c r="I130" s="81"/>
      <c r="J130" s="18"/>
    </row>
    <row r="131" spans="1:14" ht="51.75" thickBot="1">
      <c r="B131" s="14" t="s">
        <v>75</v>
      </c>
      <c r="C131" s="16" t="s">
        <v>101</v>
      </c>
      <c r="D131" s="96" t="s">
        <v>185</v>
      </c>
      <c r="E131" s="14" t="s">
        <v>6</v>
      </c>
      <c r="F131" s="15" t="s">
        <v>1</v>
      </c>
      <c r="G131" s="35" t="s">
        <v>3</v>
      </c>
      <c r="H131" s="16" t="s">
        <v>285</v>
      </c>
      <c r="I131" s="16" t="s">
        <v>4</v>
      </c>
      <c r="J131" s="18"/>
    </row>
    <row r="132" spans="1:14" ht="4.5" customHeight="1" thickBot="1">
      <c r="B132" s="283"/>
      <c r="C132" s="284"/>
      <c r="D132" s="285"/>
      <c r="E132" s="286"/>
      <c r="F132" s="287"/>
      <c r="G132" s="284"/>
      <c r="H132" s="284"/>
      <c r="I132" s="288"/>
      <c r="J132" s="18"/>
    </row>
    <row r="133" spans="1:14" ht="199.5" customHeight="1">
      <c r="A133" s="6"/>
      <c r="B133" s="58" t="s">
        <v>104</v>
      </c>
      <c r="C133" s="218">
        <f>IF(D221=1,IF(C29&lt;=266,4,IF(C29&lt;=533,8,IF(C29&lt;=800,12,IF(C29&lt;=1066,18,IF(C29&lt;=1333,22,IF(C29&lt;=1600,26,IF(C29&lt;=1866,30,34))))))),IF(C29&lt;=266,4,IF(C29&lt;=533,6,IF(C29&lt;=800,8,IF(C29&lt;=1066,10,IF(C29&lt;=1333,12,IF(C29&lt;=1600,14,IF(C29&lt;=1866,16,18))))))))</f>
        <v>18</v>
      </c>
      <c r="D133" s="117">
        <f>ROUNDUP((C133/2), 0)</f>
        <v>9</v>
      </c>
      <c r="E133" s="346" t="str">
        <f>DEC2HEX(((D133)*2^24),8)</f>
        <v>09000000</v>
      </c>
      <c r="F133" s="133" t="s">
        <v>768</v>
      </c>
      <c r="G133" s="652" t="s">
        <v>47</v>
      </c>
      <c r="H133" s="652" t="str">
        <f>"0x"&amp;DEC2HEX((HEX2DEC(C35)+264), 8)</f>
        <v>0x3D400108</v>
      </c>
      <c r="I133" s="654" t="str">
        <f>"0x"&amp;DEC2HEX((HEX2DEC(E133)+HEX2DEC(E134)+HEX2DEC(E135)+HEX2DEC(E136)), 8)</f>
        <v>0x09121B1C</v>
      </c>
      <c r="J133" s="82"/>
    </row>
    <row r="134" spans="1:14" ht="192" customHeight="1">
      <c r="A134" s="6"/>
      <c r="B134" s="74" t="s">
        <v>105</v>
      </c>
      <c r="C134" s="232">
        <f>IF(D228=1,IF(C29&lt;=266,6,IF(C29&lt;=533,12,IF(C29&lt;=800,16,IF(C29&lt;=1066,22,IF(C29&lt;=1333,28,IF(C29&lt;=1600,32,IF(C29&lt;=1866,36,40))))))),IF(C29&lt;=266,6,IF(C29&lt;=533,10,IF(C29&lt;=800,14,IF(C29&lt;=1066,20,IF(C29&lt;=1333,24,IF(C29&lt;=1600,28,IF(C29&lt;=1866,32,36))))))))</f>
        <v>36</v>
      </c>
      <c r="D134" s="159">
        <f>ROUNDUP((C134/2), 0)</f>
        <v>18</v>
      </c>
      <c r="E134" s="68" t="str">
        <f>DEC2HEX(((D134)*2^16),8)</f>
        <v>00120000</v>
      </c>
      <c r="F134" s="237" t="s">
        <v>769</v>
      </c>
      <c r="G134" s="658"/>
      <c r="H134" s="658"/>
      <c r="I134" s="659"/>
      <c r="J134" s="82"/>
    </row>
    <row r="135" spans="1:14" ht="409.5">
      <c r="A135" s="6"/>
      <c r="B135" s="59" t="s">
        <v>103</v>
      </c>
      <c r="C135" s="357">
        <v>3.6</v>
      </c>
      <c r="D135" s="83">
        <f>ROUNDUP((C134+D48+ROUNDUP(C135/C30, 0) + (0.5+D215) - (IF(C29&lt;=1333, 4, IF(C29&lt;=1866,6,8))) -ROUNDUP((1.5/C30),0) + (C133 - N135)) /2,0)</f>
        <v>27</v>
      </c>
      <c r="E135" s="153" t="str">
        <f>DEC2HEX(((D135)*2^8),8)</f>
        <v>00001B00</v>
      </c>
      <c r="F135" s="132" t="s">
        <v>1016</v>
      </c>
      <c r="G135" s="627"/>
      <c r="H135" s="627"/>
      <c r="I135" s="655"/>
      <c r="J135" s="224"/>
      <c r="M135" s="339" t="s">
        <v>1017</v>
      </c>
      <c r="N135" s="433">
        <f>IF(C133&lt;10, 0, IF(C133&lt;14, 4, IF(C133&lt;18, 6, 8)))</f>
        <v>8</v>
      </c>
    </row>
    <row r="136" spans="1:14" ht="332.25" thickBot="1">
      <c r="B136" s="99" t="s">
        <v>102</v>
      </c>
      <c r="C136" s="164">
        <f>MAX(10/C30, 8)</f>
        <v>20</v>
      </c>
      <c r="D136" s="164">
        <f>ROUNDUP((C133+D48+ C136  + 1 + (C133/2))/2, 0)</f>
        <v>28</v>
      </c>
      <c r="E136" s="350" t="str">
        <f>DEC2HEX(((D136)*2^0),8)</f>
        <v>0000001C</v>
      </c>
      <c r="F136" s="134" t="s">
        <v>1018</v>
      </c>
      <c r="G136" s="625"/>
      <c r="H136" s="625"/>
      <c r="I136" s="656"/>
      <c r="J136" s="224"/>
      <c r="K136" s="25"/>
    </row>
    <row r="137" spans="1:14" ht="13.5" thickBot="1">
      <c r="B137" s="69"/>
      <c r="C137" s="70"/>
      <c r="D137" s="71"/>
      <c r="E137" s="72"/>
      <c r="F137" s="73"/>
      <c r="G137" s="36"/>
      <c r="H137" s="36"/>
      <c r="I137" s="55"/>
      <c r="J137" s="18"/>
    </row>
    <row r="138" spans="1:14" ht="76.5">
      <c r="B138" s="58" t="s">
        <v>108</v>
      </c>
      <c r="C138" s="117">
        <f>MAX(14/C30, 10)</f>
        <v>28</v>
      </c>
      <c r="D138" s="117">
        <f>ROUNDUP((C138)/2, 0)</f>
        <v>14</v>
      </c>
      <c r="E138" s="414" t="str">
        <f>DEC2HEX(((D138)*2^20),8)</f>
        <v>00E00000</v>
      </c>
      <c r="F138" s="33" t="s">
        <v>770</v>
      </c>
      <c r="G138" s="652" t="s">
        <v>48</v>
      </c>
      <c r="H138" s="652" t="str">
        <f>"0x"&amp;DEC2HEX((HEX2DEC(C35)+268), 8)</f>
        <v>0x3D40010C</v>
      </c>
      <c r="I138" s="653" t="str">
        <f>"0x"&amp;DEC2HEX((HEX2DEC(E138)+HEX2DEC(E139)+HEX2DEC(E140)), 8)</f>
        <v>0x00E0E000</v>
      </c>
      <c r="J138" s="18"/>
    </row>
    <row r="139" spans="1:14" ht="140.25">
      <c r="B139" s="128" t="s">
        <v>109</v>
      </c>
      <c r="C139" s="159">
        <f>MAX(14/C30, 10)</f>
        <v>28</v>
      </c>
      <c r="D139" s="159">
        <f>ROUNDUP((C139)/2, 0)</f>
        <v>14</v>
      </c>
      <c r="E139" s="415" t="str">
        <f>DEC2HEX(((D139)*2^12),8)</f>
        <v>0000E000</v>
      </c>
      <c r="F139" s="17" t="s">
        <v>771</v>
      </c>
      <c r="G139" s="627"/>
      <c r="H139" s="627"/>
      <c r="I139" s="629"/>
      <c r="J139" s="18"/>
    </row>
    <row r="140" spans="1:14" ht="166.5" thickBot="1">
      <c r="B140" s="148" t="s">
        <v>110</v>
      </c>
      <c r="C140" s="63">
        <v>0</v>
      </c>
      <c r="D140" s="115">
        <f>(C140/2)</f>
        <v>0</v>
      </c>
      <c r="E140" s="416" t="str">
        <f>DEC2HEX(((D140)*2^0),8)</f>
        <v>00000000</v>
      </c>
      <c r="F140" s="34" t="s">
        <v>296</v>
      </c>
      <c r="G140" s="625"/>
      <c r="H140" s="625"/>
      <c r="I140" s="630"/>
      <c r="J140" s="217"/>
    </row>
    <row r="141" spans="1:14" ht="13.5" customHeight="1" thickBot="1">
      <c r="B141" s="69"/>
      <c r="C141" s="70"/>
      <c r="D141" s="71"/>
      <c r="E141" s="72"/>
      <c r="F141" s="73"/>
      <c r="G141" s="36"/>
      <c r="H141" s="36"/>
      <c r="I141" s="55"/>
      <c r="J141" s="18"/>
    </row>
    <row r="142" spans="1:14" ht="140.25">
      <c r="B142" s="58" t="s">
        <v>121</v>
      </c>
      <c r="C142" s="92">
        <f xml:space="preserve"> MAX(18/C30, 4)</f>
        <v>36</v>
      </c>
      <c r="D142" s="117">
        <f>ROUNDUP(((C142)/2),0)</f>
        <v>18</v>
      </c>
      <c r="E142" s="414" t="str">
        <f>DEC2HEX(((D142)*2^24),8)</f>
        <v>12000000</v>
      </c>
      <c r="F142" s="133" t="s">
        <v>793</v>
      </c>
      <c r="G142" s="652" t="s">
        <v>49</v>
      </c>
      <c r="H142" s="652" t="str">
        <f>"0x"&amp;DEC2HEX((HEX2DEC(C35)+272), 8)</f>
        <v>0x3D400110</v>
      </c>
      <c r="I142" s="654" t="str">
        <f>"0x"&amp;DEC2HEX((HEX2DEC(E142)+HEX2DEC(E143)+HEX2DEC(E144)+HEX2DEC(E145)), 8)</f>
        <v>0x12040A12</v>
      </c>
      <c r="J142" s="18"/>
    </row>
    <row r="143" spans="1:14" ht="102">
      <c r="B143" s="59" t="s">
        <v>122</v>
      </c>
      <c r="C143" s="61">
        <v>8</v>
      </c>
      <c r="D143" s="159">
        <f>ROUNDUP(C143/2, 0)</f>
        <v>4</v>
      </c>
      <c r="E143" s="415" t="str">
        <f>DEC2HEX(((D143)*2^16),8)</f>
        <v>00040000</v>
      </c>
      <c r="F143" s="132" t="s">
        <v>772</v>
      </c>
      <c r="G143" s="627"/>
      <c r="H143" s="627"/>
      <c r="I143" s="655"/>
      <c r="J143" s="18"/>
    </row>
    <row r="144" spans="1:14" ht="102">
      <c r="B144" s="75" t="s">
        <v>123</v>
      </c>
      <c r="C144" s="159">
        <f>MAX(10/C30, 4)</f>
        <v>20</v>
      </c>
      <c r="D144" s="159">
        <f>ROUNDUP(((C144)/2),0)</f>
        <v>10</v>
      </c>
      <c r="E144" s="415" t="str">
        <f>DEC2HEX(((D144)*2^8),8)</f>
        <v>00000A00</v>
      </c>
      <c r="F144" s="247" t="s">
        <v>773</v>
      </c>
      <c r="G144" s="627"/>
      <c r="H144" s="627"/>
      <c r="I144" s="655"/>
      <c r="J144" s="18"/>
    </row>
    <row r="145" spans="1:11" ht="128.25" thickBot="1">
      <c r="A145" s="6"/>
      <c r="B145" s="60" t="s">
        <v>124</v>
      </c>
      <c r="C145" s="120">
        <f>MAX(18/C30, 4)</f>
        <v>36</v>
      </c>
      <c r="D145" s="120">
        <f>ROUNDUP((C145)/2, 0)</f>
        <v>18</v>
      </c>
      <c r="E145" s="154" t="str">
        <f>DEC2HEX(((D145)*2^0),8)</f>
        <v>00000012</v>
      </c>
      <c r="F145" s="136" t="s">
        <v>774</v>
      </c>
      <c r="G145" s="625"/>
      <c r="H145" s="625"/>
      <c r="I145" s="656"/>
      <c r="J145" s="224"/>
    </row>
    <row r="146" spans="1:11" ht="13.5" customHeight="1" thickBot="1">
      <c r="B146" s="69"/>
      <c r="C146" s="70"/>
      <c r="D146" s="71"/>
      <c r="E146" s="72"/>
      <c r="F146" s="73"/>
      <c r="G146" s="36"/>
      <c r="H146" s="36"/>
      <c r="I146" s="55"/>
      <c r="J146" s="18"/>
    </row>
    <row r="147" spans="1:11" ht="178.5">
      <c r="B147" s="58" t="s">
        <v>125</v>
      </c>
      <c r="C147" s="92">
        <f>MAX(1.75/C30, 3)</f>
        <v>3.5</v>
      </c>
      <c r="D147" s="117">
        <f>ROUNDUP(((C147/2)),0)</f>
        <v>2</v>
      </c>
      <c r="E147" s="151" t="str">
        <f>DEC2HEX(((D147)*2^24),8)</f>
        <v>02000000</v>
      </c>
      <c r="F147" s="133" t="s">
        <v>775</v>
      </c>
      <c r="G147" s="652" t="s">
        <v>50</v>
      </c>
      <c r="H147" s="652" t="str">
        <f>"0x"&amp;DEC2HEX((HEX2DEC(C35)+276), 8)</f>
        <v>0x3D400114</v>
      </c>
      <c r="I147" s="653" t="str">
        <f>"0x"&amp;DEC2HEX((HEX2DEC(E147)+HEX2DEC(E148)+HEX2DEC(E149)+HEX2DEC(E150)), 8)</f>
        <v>0x02050F0F</v>
      </c>
      <c r="J147" s="222"/>
    </row>
    <row r="148" spans="1:11" ht="204">
      <c r="B148" s="59" t="s">
        <v>126</v>
      </c>
      <c r="C148" s="232">
        <f>MAX(5/C30, 5)</f>
        <v>10</v>
      </c>
      <c r="D148" s="159">
        <f>ROUNDUP((C148/2),0)</f>
        <v>5</v>
      </c>
      <c r="E148" s="153" t="str">
        <f>DEC2HEX(((D148)*2^16),8)</f>
        <v>00050000</v>
      </c>
      <c r="F148" s="132" t="s">
        <v>776</v>
      </c>
      <c r="G148" s="627"/>
      <c r="H148" s="627"/>
      <c r="I148" s="629"/>
      <c r="J148" s="222"/>
    </row>
    <row r="149" spans="1:11" ht="229.5">
      <c r="B149" s="75" t="s">
        <v>315</v>
      </c>
      <c r="C149" s="232">
        <f>MAX(15/C30, 4)</f>
        <v>30</v>
      </c>
      <c r="D149" s="248">
        <f>ROUNDUP(((C149)/2),0)</f>
        <v>15</v>
      </c>
      <c r="E149" s="246" t="str">
        <f>DEC2HEX(((D149)*2^8),8)</f>
        <v>00000F00</v>
      </c>
      <c r="F149" s="247" t="s">
        <v>777</v>
      </c>
      <c r="G149" s="627"/>
      <c r="H149" s="627"/>
      <c r="I149" s="629"/>
      <c r="J149" s="18"/>
    </row>
    <row r="150" spans="1:11" ht="141" thickBot="1">
      <c r="B150" s="60" t="s">
        <v>316</v>
      </c>
      <c r="C150" s="164">
        <f>MAX(15/C30, 4)</f>
        <v>30</v>
      </c>
      <c r="D150" s="120">
        <f>ROUNDUP(((C150)/2),0)</f>
        <v>15</v>
      </c>
      <c r="E150" s="349" t="str">
        <f>DEC2HEX(((D150)*2^0),8)</f>
        <v>0000000F</v>
      </c>
      <c r="F150" s="136" t="s">
        <v>778</v>
      </c>
      <c r="G150" s="625"/>
      <c r="H150" s="625"/>
      <c r="I150" s="630"/>
      <c r="J150" s="18"/>
    </row>
    <row r="151" spans="1:11" ht="13.5" thickBot="1">
      <c r="J151" s="18"/>
      <c r="K151" s="66"/>
    </row>
    <row r="152" spans="1:11" ht="18.75" customHeight="1" thickBot="1">
      <c r="B152" s="672" t="s">
        <v>232</v>
      </c>
      <c r="C152" s="673"/>
      <c r="D152" s="673"/>
      <c r="E152" s="673"/>
      <c r="F152" s="673"/>
      <c r="G152" s="673"/>
      <c r="H152" s="673"/>
      <c r="I152" s="674"/>
      <c r="J152" s="18"/>
    </row>
    <row r="153" spans="1:11" ht="140.25">
      <c r="B153" s="58" t="s">
        <v>129</v>
      </c>
      <c r="C153" s="101">
        <v>2</v>
      </c>
      <c r="D153" s="57">
        <f>(C153/2)</f>
        <v>1</v>
      </c>
      <c r="E153" s="52" t="str">
        <f>DEC2HEX(((D153)*2^24),8)</f>
        <v>01000000</v>
      </c>
      <c r="F153" s="133" t="s">
        <v>318</v>
      </c>
      <c r="G153" s="623" t="s">
        <v>92</v>
      </c>
      <c r="H153" s="626" t="str">
        <f>"0x"&amp;DEC2HEX((HEX2DEC(C35)+280), 8)</f>
        <v>0x3D400118</v>
      </c>
      <c r="I153" s="628" t="str">
        <f>"0x"&amp;DEC2HEX((HEX2DEC(E153)+HEX2DEC(E154)+HEX2DEC(E155)), 8)</f>
        <v>0x01010009</v>
      </c>
      <c r="J153" s="18"/>
    </row>
    <row r="154" spans="1:11" ht="140.25">
      <c r="B154" s="84" t="s">
        <v>128</v>
      </c>
      <c r="C154" s="100">
        <v>2</v>
      </c>
      <c r="D154" s="62">
        <f>(C154/2)</f>
        <v>1</v>
      </c>
      <c r="E154" s="91" t="str">
        <f>DEC2HEX(((D154)*2^16),8)</f>
        <v>00010000</v>
      </c>
      <c r="F154" s="140" t="s">
        <v>317</v>
      </c>
      <c r="G154" s="624"/>
      <c r="H154" s="627"/>
      <c r="I154" s="629"/>
      <c r="J154" s="18"/>
    </row>
    <row r="155" spans="1:11" ht="179.25" thickBot="1">
      <c r="B155" s="60" t="s">
        <v>127</v>
      </c>
      <c r="C155" s="102" t="s">
        <v>0</v>
      </c>
      <c r="D155" s="115">
        <f>ROUNDUP(((C127)+2)/2,0)</f>
        <v>9</v>
      </c>
      <c r="E155" s="54" t="str">
        <f>DEC2HEX(((D155)*2^0),8)</f>
        <v>00000009</v>
      </c>
      <c r="F155" s="136" t="s">
        <v>779</v>
      </c>
      <c r="G155" s="625"/>
      <c r="H155" s="625"/>
      <c r="I155" s="630"/>
      <c r="J155" s="18"/>
    </row>
    <row r="156" spans="1:11" ht="9.75" customHeight="1" thickBot="1">
      <c r="B156" s="76"/>
      <c r="C156" s="77"/>
      <c r="D156" s="78"/>
      <c r="E156" s="36"/>
      <c r="F156" s="139"/>
      <c r="G156" s="81"/>
      <c r="H156" s="81"/>
      <c r="I156" s="81"/>
      <c r="J156" s="18"/>
    </row>
    <row r="157" spans="1:11" ht="18.75" customHeight="1" thickBot="1">
      <c r="B157" s="672" t="s">
        <v>233</v>
      </c>
      <c r="C157" s="673"/>
      <c r="D157" s="673"/>
      <c r="E157" s="673"/>
      <c r="F157" s="673"/>
      <c r="G157" s="673"/>
      <c r="H157" s="673"/>
      <c r="I157" s="674"/>
      <c r="J157" s="18"/>
    </row>
    <row r="158" spans="1:11" ht="191.25">
      <c r="B158" s="58" t="s">
        <v>130</v>
      </c>
      <c r="C158" s="359">
        <f>MAX(5/C30, 5)</f>
        <v>10</v>
      </c>
      <c r="D158" s="92">
        <f>ROUNDUP((C158)/2,0)</f>
        <v>5</v>
      </c>
      <c r="E158" s="238" t="str">
        <f>DEC2HEX(((D158)*2^8),8)</f>
        <v>00000500</v>
      </c>
      <c r="F158" s="133" t="s">
        <v>780</v>
      </c>
      <c r="G158" s="623" t="s">
        <v>91</v>
      </c>
      <c r="H158" s="626" t="str">
        <f>"0x"&amp;DEC2HEX((HEX2DEC(C35)+284), 8)</f>
        <v>0x3D40011C</v>
      </c>
      <c r="I158" s="628" t="str">
        <f>"0x"&amp;DEC2HEX((HEX2DEC(E158)+HEX2DEC(E159)), 8)</f>
        <v>0x00000502</v>
      </c>
      <c r="J158" s="222"/>
    </row>
    <row r="159" spans="1:11" ht="179.25" thickBot="1">
      <c r="B159" s="60" t="s">
        <v>131</v>
      </c>
      <c r="C159" s="617">
        <f>IF(C17="LPDDR4", MAX(1.75/C30,3),2)</f>
        <v>3.5</v>
      </c>
      <c r="D159" s="164">
        <f>ROUNDUP((C159)/2,0)</f>
        <v>2</v>
      </c>
      <c r="E159" s="239" t="str">
        <f>DEC2HEX(((D159)*2^0),8)</f>
        <v>00000002</v>
      </c>
      <c r="F159" s="136" t="s">
        <v>1223</v>
      </c>
      <c r="G159" s="625"/>
      <c r="H159" s="625"/>
      <c r="I159" s="630"/>
      <c r="J159" s="18"/>
    </row>
    <row r="160" spans="1:11" ht="13.5" thickBot="1">
      <c r="B160" s="69"/>
      <c r="C160" s="70"/>
      <c r="D160" s="71"/>
      <c r="E160" s="72"/>
      <c r="F160" s="139"/>
      <c r="G160" s="36"/>
      <c r="H160" s="36"/>
      <c r="I160" s="55"/>
      <c r="J160" s="18"/>
    </row>
    <row r="161" spans="2:10" ht="102">
      <c r="B161" s="58" t="s">
        <v>234</v>
      </c>
      <c r="C161" s="92">
        <f>MAX(1.75/C30, 3)</f>
        <v>3.5</v>
      </c>
      <c r="D161" s="92">
        <f>ROUNDUP( (C161/2), 0)</f>
        <v>2</v>
      </c>
      <c r="E161" s="346" t="str">
        <f>DEC2HEX(((D161)*2^16),8)</f>
        <v>00020000</v>
      </c>
      <c r="F161" s="133" t="s">
        <v>781</v>
      </c>
      <c r="G161" s="660" t="s">
        <v>236</v>
      </c>
      <c r="H161" s="660" t="str">
        <f>"0x"&amp;DEC2HEX((HEX2DEC(C35)+304), 8)</f>
        <v>0x3D400130</v>
      </c>
      <c r="I161" s="716" t="str">
        <f>"0x"&amp;DEC2HEX((HEX2DEC(E161)+HEX2DEC(E162)+HEX2DEC(E163)), 8)</f>
        <v>0x00020800</v>
      </c>
      <c r="J161" s="220"/>
    </row>
    <row r="162" spans="2:10" ht="89.25">
      <c r="B162" s="59" t="s">
        <v>344</v>
      </c>
      <c r="C162" s="232">
        <f>MAX(7.5/C30,5)</f>
        <v>15</v>
      </c>
      <c r="D162" s="232">
        <f>ROUNDUP( (C162/2), 0)</f>
        <v>8</v>
      </c>
      <c r="E162" s="347" t="str">
        <f>DEC2HEX(((D162)*2^8),8)</f>
        <v>00000800</v>
      </c>
      <c r="F162" s="132" t="s">
        <v>782</v>
      </c>
      <c r="G162" s="661"/>
      <c r="H162" s="661"/>
      <c r="I162" s="717"/>
      <c r="J162" s="18"/>
    </row>
    <row r="163" spans="2:10" ht="90" thickBot="1">
      <c r="B163" s="60" t="s">
        <v>235</v>
      </c>
      <c r="C163" s="203" t="s">
        <v>0</v>
      </c>
      <c r="D163" s="204">
        <v>0</v>
      </c>
      <c r="E163" s="349" t="str">
        <f>DEC2HEX(((D163)*2^0),8)</f>
        <v>00000000</v>
      </c>
      <c r="F163" s="136" t="s">
        <v>354</v>
      </c>
      <c r="G163" s="662"/>
      <c r="H163" s="662"/>
      <c r="I163" s="718"/>
      <c r="J163" s="18"/>
    </row>
    <row r="164" spans="2:10" ht="15.75" thickBot="1">
      <c r="B164" s="76"/>
      <c r="C164" s="205"/>
      <c r="D164" s="171"/>
      <c r="E164" s="36"/>
      <c r="F164" s="139"/>
      <c r="G164" s="36"/>
      <c r="H164" s="36"/>
      <c r="I164" s="55"/>
      <c r="J164" s="18"/>
    </row>
    <row r="165" spans="2:10" ht="114.75">
      <c r="B165" s="58" t="s">
        <v>237</v>
      </c>
      <c r="C165" s="299">
        <f>IF(C29&lt;=1066,20,(IF(C29&lt;=1333,22,IF(C29&lt;=1600,24,IF(C29&lt;=1866,26,28)))))</f>
        <v>28</v>
      </c>
      <c r="D165" s="92">
        <f>ROUNDUP( (C165/2), 0)</f>
        <v>14</v>
      </c>
      <c r="E165" s="290" t="str">
        <f>DEC2HEX(((D165)*2^24),8)</f>
        <v>0E000000</v>
      </c>
      <c r="F165" s="133" t="s">
        <v>319</v>
      </c>
      <c r="G165" s="660" t="s">
        <v>240</v>
      </c>
      <c r="H165" s="660" t="str">
        <f>"0x"&amp;DEC2HEX((HEX2DEC(C35)+308), 8)</f>
        <v>0x3D400134</v>
      </c>
      <c r="I165" s="716" t="str">
        <f>"0x"&amp;DEC2HEX((HEX2DEC(E165)+HEX2DEC(E166)+HEX2DEC(E167)), 8)</f>
        <v>0x0E100002</v>
      </c>
      <c r="J165" s="18"/>
    </row>
    <row r="166" spans="2:10" ht="102">
      <c r="B166" s="59" t="s">
        <v>238</v>
      </c>
      <c r="C166" s="360">
        <v>32</v>
      </c>
      <c r="D166" s="232">
        <f>ROUNDUP( (C166/2), 0)</f>
        <v>16</v>
      </c>
      <c r="E166" s="291" t="str">
        <f>DEC2HEX(((D166)*2^16),8)</f>
        <v>00100000</v>
      </c>
      <c r="F166" s="132" t="s">
        <v>320</v>
      </c>
      <c r="G166" s="661"/>
      <c r="H166" s="661"/>
      <c r="I166" s="717"/>
      <c r="J166" s="18"/>
    </row>
    <row r="167" spans="2:10" ht="77.25" thickBot="1">
      <c r="B167" s="60" t="s">
        <v>239</v>
      </c>
      <c r="C167" s="361">
        <v>4</v>
      </c>
      <c r="D167" s="164">
        <f>ROUNDUP( (C167/2), 0)</f>
        <v>2</v>
      </c>
      <c r="E167" s="292" t="str">
        <f>DEC2HEX(((D167)*2^0),8)</f>
        <v>00000002</v>
      </c>
      <c r="F167" s="136" t="s">
        <v>321</v>
      </c>
      <c r="G167" s="662"/>
      <c r="H167" s="662"/>
      <c r="I167" s="718"/>
      <c r="J167" s="18"/>
    </row>
    <row r="168" spans="2:10" ht="15.75" thickBot="1">
      <c r="B168" s="76"/>
      <c r="C168" s="156"/>
      <c r="D168" s="156"/>
      <c r="E168" s="36"/>
      <c r="F168" s="139"/>
      <c r="G168" s="36"/>
      <c r="H168" s="36"/>
      <c r="I168" s="55"/>
      <c r="J168" s="18"/>
    </row>
    <row r="169" spans="2:10" ht="90" thickBot="1">
      <c r="B169" s="250" t="s">
        <v>202</v>
      </c>
      <c r="C169" s="251">
        <f>MAX((C106+7.5)/C30, 2)</f>
        <v>775</v>
      </c>
      <c r="D169" s="252">
        <f>ROUNDUP((C169)/2,0)</f>
        <v>388</v>
      </c>
      <c r="E169" s="253" t="str">
        <f>DEC2HEX(((D169)*2^0),8)</f>
        <v>00000184</v>
      </c>
      <c r="F169" s="254" t="s">
        <v>783</v>
      </c>
      <c r="G169" s="90" t="s">
        <v>201</v>
      </c>
      <c r="H169" s="79" t="str">
        <f>"0x"&amp;DEC2HEX((HEX2DEC(C35)+312), 8)</f>
        <v>0x3D400138</v>
      </c>
      <c r="I169" s="80" t="str">
        <f>"0x"&amp;DEC2HEX((HEX2DEC(E169)), 8)</f>
        <v>0x00000184</v>
      </c>
      <c r="J169" s="222"/>
    </row>
    <row r="170" spans="2:10" ht="15.75" thickBot="1">
      <c r="B170" s="77"/>
      <c r="C170" s="321"/>
      <c r="D170" s="119"/>
      <c r="E170" s="113"/>
      <c r="F170" s="322"/>
      <c r="G170" s="323"/>
      <c r="H170" s="226"/>
      <c r="I170" s="226"/>
      <c r="J170" s="324"/>
    </row>
    <row r="171" spans="2:10" ht="63.75">
      <c r="B171" s="127" t="s">
        <v>389</v>
      </c>
      <c r="C171" s="236">
        <v>200</v>
      </c>
      <c r="D171" s="117">
        <f>ROUNDUP(((C171/C30)/2),0)</f>
        <v>200</v>
      </c>
      <c r="E171" s="311" t="str">
        <f>DEC2HEX(((D171)*2^16),8)</f>
        <v>00C80000</v>
      </c>
      <c r="F171" s="325" t="s">
        <v>391</v>
      </c>
      <c r="G171" s="643" t="s">
        <v>388</v>
      </c>
      <c r="H171" s="646" t="str">
        <f>"0x"&amp;DEC2HEX((HEX2DEC(C35)+324), 8)</f>
        <v>0x3D400144</v>
      </c>
      <c r="I171" s="649" t="str">
        <f>"0x"&amp;DEC2HEX((HEX2DEC(E171)+HEX2DEC(E172)), 8)</f>
        <v>0x00C80064</v>
      </c>
      <c r="J171" s="324"/>
    </row>
    <row r="172" spans="2:10" ht="64.5" thickBot="1">
      <c r="B172" s="60" t="s">
        <v>390</v>
      </c>
      <c r="C172" s="326">
        <v>100</v>
      </c>
      <c r="D172" s="120">
        <f>ROUNDUP(((C172/C30)/2),0)</f>
        <v>100</v>
      </c>
      <c r="E172" s="313" t="str">
        <f>DEC2HEX(((D172)*2^0),8)</f>
        <v>00000064</v>
      </c>
      <c r="F172" s="136" t="s">
        <v>392</v>
      </c>
      <c r="G172" s="645"/>
      <c r="H172" s="648"/>
      <c r="I172" s="651"/>
      <c r="J172" s="222"/>
    </row>
    <row r="173" spans="2:10" ht="15.75" thickBot="1">
      <c r="B173" s="76"/>
      <c r="C173" s="156"/>
      <c r="D173" s="156"/>
      <c r="E173" s="36"/>
      <c r="F173" s="139"/>
      <c r="G173" s="36"/>
      <c r="H173" s="36"/>
      <c r="I173" s="55"/>
      <c r="J173" s="18"/>
    </row>
    <row r="174" spans="2:10" ht="91.5" customHeight="1">
      <c r="B174" s="58" t="s">
        <v>136</v>
      </c>
      <c r="C174" s="65" t="s">
        <v>0</v>
      </c>
      <c r="D174" s="57">
        <v>0</v>
      </c>
      <c r="E174" s="346" t="str">
        <f>DEC2HEX(((D174)*2^31),8)</f>
        <v>00000000</v>
      </c>
      <c r="F174" s="133" t="s">
        <v>72</v>
      </c>
      <c r="G174" s="652" t="s">
        <v>51</v>
      </c>
      <c r="H174" s="652" t="str">
        <f>"0x"&amp;DEC2HEX((HEX2DEC(C35)+384), 8)</f>
        <v>0x3D400180</v>
      </c>
      <c r="I174" s="653" t="str">
        <f>"0x"&amp;DEC2HEX((HEX2DEC(E174)+HEX2DEC(E175)+HEX2DEC(E176)+HEX2DEC(E178)+HEX2DEC(E179)), 8)</f>
        <v>0x03E8001E</v>
      </c>
      <c r="J174" s="18"/>
    </row>
    <row r="175" spans="2:10" ht="54.75" customHeight="1">
      <c r="B175" s="59" t="s">
        <v>137</v>
      </c>
      <c r="C175" s="61" t="s">
        <v>0</v>
      </c>
      <c r="D175" s="126">
        <v>0</v>
      </c>
      <c r="E175" s="347" t="str">
        <f>DEC2HEX(((D175)*2^30),8)</f>
        <v>00000000</v>
      </c>
      <c r="F175" s="132" t="s">
        <v>73</v>
      </c>
      <c r="G175" s="658"/>
      <c r="H175" s="658"/>
      <c r="I175" s="676"/>
      <c r="J175" s="18"/>
    </row>
    <row r="176" spans="2:10" ht="93" customHeight="1">
      <c r="B176" s="59" t="s">
        <v>138</v>
      </c>
      <c r="C176" s="61" t="s">
        <v>0</v>
      </c>
      <c r="D176" s="125">
        <f>IF(K27="DISABLED", 0, 1)</f>
        <v>0</v>
      </c>
      <c r="E176" s="347" t="str">
        <f>DEC2HEX(((D176)*2^29),8)</f>
        <v>00000000</v>
      </c>
      <c r="F176" s="247" t="s">
        <v>74</v>
      </c>
      <c r="G176" s="658"/>
      <c r="H176" s="658"/>
      <c r="I176" s="676"/>
      <c r="J176" s="18"/>
    </row>
    <row r="177" spans="2:24" ht="93" customHeight="1">
      <c r="B177" s="75" t="s">
        <v>241</v>
      </c>
      <c r="C177" s="94" t="s">
        <v>0</v>
      </c>
      <c r="D177" s="207">
        <v>0</v>
      </c>
      <c r="E177" s="347" t="str">
        <f>DEC2HEX(((D177)*2^28),8)</f>
        <v>00000000</v>
      </c>
      <c r="F177" s="247" t="s">
        <v>242</v>
      </c>
      <c r="G177" s="658"/>
      <c r="H177" s="658"/>
      <c r="I177" s="676"/>
      <c r="J177" s="18"/>
    </row>
    <row r="178" spans="2:24" ht="178.5">
      <c r="B178" s="75" t="s">
        <v>139</v>
      </c>
      <c r="C178" s="61">
        <v>1000</v>
      </c>
      <c r="D178" s="159">
        <f>ROUNDUP(((C178/C30)/2),0)</f>
        <v>1000</v>
      </c>
      <c r="E178" s="347" t="str">
        <f>DEC2HEX(((D178)*2^16),8)</f>
        <v>03E80000</v>
      </c>
      <c r="F178" s="247" t="s">
        <v>784</v>
      </c>
      <c r="G178" s="658"/>
      <c r="H178" s="658"/>
      <c r="I178" s="676"/>
      <c r="J178" s="18"/>
    </row>
    <row r="179" spans="2:24" ht="128.25" thickBot="1">
      <c r="B179" s="60" t="s">
        <v>140</v>
      </c>
      <c r="C179" s="164">
        <f>MAX(30/C30,8)</f>
        <v>60</v>
      </c>
      <c r="D179" s="120">
        <f>ROUNDUP(((C179)/2),0)</f>
        <v>30</v>
      </c>
      <c r="E179" s="349" t="str">
        <f>DEC2HEX(((D179)*2^0),8)</f>
        <v>0000001E</v>
      </c>
      <c r="F179" s="136" t="s">
        <v>785</v>
      </c>
      <c r="G179" s="723"/>
      <c r="H179" s="723"/>
      <c r="I179" s="722"/>
      <c r="J179" s="18"/>
    </row>
    <row r="180" spans="2:24" ht="7.5" customHeight="1" thickBot="1">
      <c r="B180" s="69"/>
      <c r="C180" s="70"/>
      <c r="D180" s="71"/>
      <c r="E180" s="72"/>
      <c r="F180" s="139"/>
      <c r="G180" s="36"/>
      <c r="H180" s="36"/>
      <c r="I180" s="55"/>
      <c r="J180" s="18"/>
    </row>
    <row r="181" spans="2:24" ht="18.75" customHeight="1" thickBot="1">
      <c r="B181" s="672" t="s">
        <v>322</v>
      </c>
      <c r="C181" s="673"/>
      <c r="D181" s="673"/>
      <c r="E181" s="673"/>
      <c r="F181" s="673"/>
      <c r="G181" s="673"/>
      <c r="H181" s="673"/>
      <c r="I181" s="674"/>
      <c r="J181" s="18"/>
    </row>
    <row r="182" spans="2:24" ht="114.75">
      <c r="B182" s="58" t="s">
        <v>141</v>
      </c>
      <c r="C182" s="92">
        <f>MAX(50/C30, 3)</f>
        <v>100</v>
      </c>
      <c r="D182" s="92">
        <f xml:space="preserve"> ROUNDUP((C182)/2,0)</f>
        <v>50</v>
      </c>
      <c r="E182" s="346" t="str">
        <f>DEC2HEX(((D182)*2^20),8)</f>
        <v>03200000</v>
      </c>
      <c r="F182" s="133" t="s">
        <v>786</v>
      </c>
      <c r="G182" s="652" t="s">
        <v>94</v>
      </c>
      <c r="H182" s="652" t="str">
        <f>"0x"&amp;DEC2HEX((HEX2DEC(C35)+388), 8)</f>
        <v>0x3D400184</v>
      </c>
      <c r="I182" s="653" t="str">
        <f>"0x"&amp;DEC2HEX((HEX2DEC(E182)+HEX2DEC(E183)), 8)</f>
        <v>0x03207A12</v>
      </c>
      <c r="J182" s="18"/>
    </row>
    <row r="183" spans="2:24" ht="128.25" thickBot="1">
      <c r="B183" s="60" t="s">
        <v>142</v>
      </c>
      <c r="C183" s="97">
        <v>32</v>
      </c>
      <c r="D183" s="64">
        <f>ROUNDUP((C183*1000000)/2/C30/1024, 0)</f>
        <v>31250</v>
      </c>
      <c r="E183" s="349" t="str">
        <f>DEC2HEX(((D183)*2^0),8)</f>
        <v>00007A12</v>
      </c>
      <c r="F183" s="136" t="s">
        <v>355</v>
      </c>
      <c r="G183" s="625"/>
      <c r="H183" s="625"/>
      <c r="I183" s="630"/>
      <c r="J183" s="18"/>
    </row>
    <row r="184" spans="2:24" ht="11.25" customHeight="1" thickBot="1">
      <c r="B184" s="76"/>
      <c r="C184" s="77"/>
      <c r="D184" s="78"/>
      <c r="E184" s="78"/>
      <c r="F184" s="121"/>
      <c r="G184" s="73"/>
      <c r="H184" s="81"/>
      <c r="I184" s="81"/>
      <c r="J184" s="81"/>
      <c r="K184" s="81"/>
      <c r="L184" s="82"/>
      <c r="W184" s="8"/>
      <c r="X184" s="8"/>
    </row>
    <row r="185" spans="2:24" ht="25.5">
      <c r="B185" s="58" t="s">
        <v>1200</v>
      </c>
      <c r="C185" s="65" t="s">
        <v>1201</v>
      </c>
      <c r="D185" s="598">
        <v>0</v>
      </c>
      <c r="E185" s="351" t="str">
        <f>DEC2HEX(((D185)*2^13),8)</f>
        <v>00000000</v>
      </c>
      <c r="F185" s="33" t="s">
        <v>1202</v>
      </c>
      <c r="G185" s="623" t="s">
        <v>737</v>
      </c>
      <c r="H185" s="626" t="str">
        <f>"0x"&amp;DEC2HEX((HEX2DEC(C35)+32), 8)</f>
        <v>0x3D400020</v>
      </c>
      <c r="I185" s="628" t="str">
        <f>"0x"&amp;DEC2HEX((HEX2DEC(E185)+HEX2DEC(E186)+HEX2DEC(E187)+HEX2DEC(E188)+HEX2DEC(E189)+HEX2DEC(E190)), 8)</f>
        <v>0x00001323</v>
      </c>
      <c r="J185" s="82"/>
    </row>
    <row r="186" spans="2:24" ht="54">
      <c r="B186" s="75" t="s">
        <v>1199</v>
      </c>
      <c r="C186" s="455" t="s">
        <v>0</v>
      </c>
      <c r="D186" s="599">
        <v>1</v>
      </c>
      <c r="E186" s="600" t="str">
        <f>DEC2HEX(((D186)*2^12),8)</f>
        <v>00001000</v>
      </c>
      <c r="F186" s="32" t="s">
        <v>1204</v>
      </c>
      <c r="G186" s="624"/>
      <c r="H186" s="627"/>
      <c r="I186" s="629"/>
      <c r="J186" s="82"/>
    </row>
    <row r="187" spans="2:24" ht="120.75">
      <c r="B187" s="59" t="s">
        <v>736</v>
      </c>
      <c r="C187" s="61">
        <v>3.75</v>
      </c>
      <c r="D187" s="601">
        <f>ROUNDUP(C187/C30/2, 0) - 1</f>
        <v>3</v>
      </c>
      <c r="E187" s="352" t="str">
        <f>DEC2HEX(((D187)*2^8),8)</f>
        <v>00000300</v>
      </c>
      <c r="F187" s="17" t="s">
        <v>1203</v>
      </c>
      <c r="G187" s="624"/>
      <c r="H187" s="627"/>
      <c r="I187" s="629"/>
      <c r="J187" s="82"/>
    </row>
    <row r="188" spans="2:24" ht="51">
      <c r="B188" s="59" t="s">
        <v>738</v>
      </c>
      <c r="C188" s="94" t="s">
        <v>0</v>
      </c>
      <c r="D188" s="428">
        <f>BoardDataBusConfig!AA10</f>
        <v>2</v>
      </c>
      <c r="E188" s="352" t="str">
        <f>DEC2HEX(((D188)*2^4),8)</f>
        <v>00000020</v>
      </c>
      <c r="F188" s="17" t="s">
        <v>739</v>
      </c>
      <c r="G188" s="624"/>
      <c r="H188" s="627"/>
      <c r="I188" s="629"/>
      <c r="J188" s="82"/>
    </row>
    <row r="189" spans="2:24" ht="76.5">
      <c r="B189" s="59" t="s">
        <v>740</v>
      </c>
      <c r="C189" s="61">
        <v>1.875</v>
      </c>
      <c r="D189" s="427">
        <f>ROUNDUP(C189/C30/2, 0) - 1</f>
        <v>1</v>
      </c>
      <c r="E189" s="352" t="str">
        <f>DEC2HEX(((D189)*2^1),8)</f>
        <v>00000002</v>
      </c>
      <c r="F189" s="17" t="s">
        <v>741</v>
      </c>
      <c r="G189" s="624"/>
      <c r="H189" s="627"/>
      <c r="I189" s="629"/>
      <c r="J189" s="82"/>
    </row>
    <row r="190" spans="2:24" ht="64.5" thickBot="1">
      <c r="B190" s="60" t="s">
        <v>742</v>
      </c>
      <c r="C190" s="97" t="s">
        <v>0</v>
      </c>
      <c r="D190" s="607">
        <v>1</v>
      </c>
      <c r="E190" s="353" t="str">
        <f>DEC2HEX(((D190)*2^0),8)</f>
        <v>00000001</v>
      </c>
      <c r="F190" s="34" t="s">
        <v>743</v>
      </c>
      <c r="G190" s="675"/>
      <c r="H190" s="625"/>
      <c r="I190" s="630"/>
      <c r="J190" s="82"/>
    </row>
    <row r="191" spans="2:24" ht="11.25" customHeight="1" thickBot="1">
      <c r="B191" s="76"/>
      <c r="C191" s="77"/>
      <c r="D191" s="78"/>
      <c r="E191" s="78"/>
      <c r="F191" s="121"/>
      <c r="G191" s="73"/>
      <c r="H191" s="81"/>
      <c r="I191" s="81"/>
      <c r="J191" s="81"/>
      <c r="K191" s="81"/>
      <c r="L191" s="82"/>
      <c r="W191" s="8"/>
      <c r="X191" s="8"/>
    </row>
    <row r="192" spans="2:24" ht="64.5" thickBot="1">
      <c r="B192" s="250" t="s">
        <v>744</v>
      </c>
      <c r="C192" s="259">
        <v>32</v>
      </c>
      <c r="D192" s="260">
        <f>ROUNDUP(C192*1000000/C30/2, 0 )</f>
        <v>32000000</v>
      </c>
      <c r="E192" s="354" t="str">
        <f>DEC2HEX(((D192)*2^0),8)</f>
        <v>01E84800</v>
      </c>
      <c r="F192" s="355" t="s">
        <v>745</v>
      </c>
      <c r="G192" s="90" t="s">
        <v>746</v>
      </c>
      <c r="H192" s="79" t="str">
        <f>"0x"&amp;DEC2HEX((HEX2DEC(C35)+36), 8)</f>
        <v>0x3D400024</v>
      </c>
      <c r="I192" s="80" t="str">
        <f>"0x"&amp;DEC2HEX(HEX2DEC(E192), 8)</f>
        <v>0x01E84800</v>
      </c>
      <c r="J192" s="82"/>
    </row>
    <row r="193" spans="2:24" ht="11.25" customHeight="1" thickBot="1">
      <c r="B193" s="76"/>
      <c r="C193" s="77"/>
      <c r="D193" s="78"/>
      <c r="E193" s="78"/>
      <c r="F193" s="121"/>
      <c r="G193" s="73"/>
      <c r="H193" s="81"/>
      <c r="I193" s="81"/>
      <c r="J193" s="81"/>
      <c r="K193" s="81"/>
      <c r="L193" s="82"/>
      <c r="W193" s="8"/>
      <c r="X193" s="8"/>
    </row>
    <row r="194" spans="2:24" ht="13.5" thickBot="1">
      <c r="B194" s="672" t="s">
        <v>195</v>
      </c>
      <c r="C194" s="673"/>
      <c r="D194" s="673"/>
      <c r="E194" s="673"/>
      <c r="F194" s="673"/>
      <c r="G194" s="673"/>
      <c r="H194" s="673"/>
      <c r="I194" s="674"/>
      <c r="J194" s="18"/>
      <c r="K194" s="66"/>
    </row>
    <row r="195" spans="2:24" ht="108.75" customHeight="1">
      <c r="B195" s="58" t="s">
        <v>186</v>
      </c>
      <c r="C195" s="65" t="s">
        <v>0</v>
      </c>
      <c r="D195" s="206">
        <v>0</v>
      </c>
      <c r="E195" s="52" t="str">
        <f>DEC2HEX(((D195)*2^12),8)</f>
        <v>00000000</v>
      </c>
      <c r="F195" s="133" t="s">
        <v>63</v>
      </c>
      <c r="G195" s="660" t="s">
        <v>60</v>
      </c>
      <c r="H195" s="660" t="str">
        <f>"0x"&amp;DEC2HEX((HEX2DEC(C35)+580), 8)</f>
        <v>0x3D400244</v>
      </c>
      <c r="I195" s="716" t="str">
        <f>"0x"&amp;DEC2HEX((HEX2DEC(E195)+HEX2DEC(E196)+HEX2DEC(E197)+HEX2DEC(E198)), 8)</f>
        <v>0x00000000</v>
      </c>
      <c r="J195" s="715"/>
      <c r="K195" s="217"/>
    </row>
    <row r="196" spans="2:24" ht="99.75" customHeight="1">
      <c r="B196" s="59" t="s">
        <v>187</v>
      </c>
      <c r="C196" s="61" t="s">
        <v>0</v>
      </c>
      <c r="D196" s="215">
        <v>0</v>
      </c>
      <c r="E196" s="53" t="str">
        <f>DEC2HEX(((D196)*2^8),8)</f>
        <v>00000000</v>
      </c>
      <c r="F196" s="132" t="s">
        <v>64</v>
      </c>
      <c r="G196" s="719"/>
      <c r="H196" s="719"/>
      <c r="I196" s="721"/>
      <c r="J196" s="715"/>
      <c r="K196" s="217"/>
    </row>
    <row r="197" spans="2:24" ht="102" customHeight="1">
      <c r="B197" s="59" t="s">
        <v>188</v>
      </c>
      <c r="C197" s="61" t="s">
        <v>0</v>
      </c>
      <c r="D197" s="215">
        <v>0</v>
      </c>
      <c r="E197" s="53" t="str">
        <f>DEC2HEX(((D197)*2^4),8)</f>
        <v>00000000</v>
      </c>
      <c r="F197" s="132" t="s">
        <v>62</v>
      </c>
      <c r="G197" s="719"/>
      <c r="H197" s="719"/>
      <c r="I197" s="721"/>
      <c r="J197" s="715"/>
      <c r="K197" s="217"/>
    </row>
    <row r="198" spans="2:24" ht="102.75" customHeight="1" thickBot="1">
      <c r="B198" s="60" t="s">
        <v>189</v>
      </c>
      <c r="C198" s="63" t="s">
        <v>0</v>
      </c>
      <c r="D198" s="216">
        <v>0</v>
      </c>
      <c r="E198" s="54" t="str">
        <f>DEC2HEX(((D198)*2^0),8)</f>
        <v>00000000</v>
      </c>
      <c r="F198" s="136" t="s">
        <v>61</v>
      </c>
      <c r="G198" s="720"/>
      <c r="H198" s="720"/>
      <c r="I198" s="709"/>
      <c r="J198" s="715"/>
      <c r="K198" s="217"/>
    </row>
    <row r="199" spans="2:24" ht="13.5" thickBot="1">
      <c r="B199" s="76"/>
      <c r="C199" s="77"/>
      <c r="D199" s="78"/>
      <c r="E199" s="36"/>
      <c r="F199" s="73"/>
      <c r="G199" s="81"/>
      <c r="H199" s="81"/>
      <c r="I199" s="81"/>
      <c r="J199" s="82"/>
    </row>
    <row r="200" spans="2:24" ht="76.5">
      <c r="B200" s="58" t="s">
        <v>562</v>
      </c>
      <c r="C200" s="93" t="s">
        <v>0</v>
      </c>
      <c r="D200" s="57">
        <v>0</v>
      </c>
      <c r="E200" s="330" t="str">
        <f>DEC2HEX(((D200)*2^8),8)</f>
        <v>00000000</v>
      </c>
      <c r="F200" s="33" t="s">
        <v>579</v>
      </c>
      <c r="G200" s="623" t="s">
        <v>561</v>
      </c>
      <c r="H200" s="626" t="str">
        <f>"0x"&amp;DEC2HEX((HEX2DEC(C35)+48), 8)</f>
        <v>0x3D400030</v>
      </c>
      <c r="I200" s="628" t="str">
        <f>"0x"&amp;DEC2HEX((HEX2DEC(E200)+HEX2DEC(E201)+HEX2DEC(E202)+HEX2DEC(E203)+HEX2DEC(E204)+HEX2DEC(E205)+HEX2DEC(E206)+HEX2DEC(E207)+HEX2DEC(E208)), 8)</f>
        <v>0x000000A8</v>
      </c>
      <c r="J200" s="82"/>
    </row>
    <row r="201" spans="2:24" ht="76.5">
      <c r="B201" s="59" t="s">
        <v>563</v>
      </c>
      <c r="C201" s="94" t="s">
        <v>0</v>
      </c>
      <c r="D201" s="126">
        <v>1</v>
      </c>
      <c r="E201" s="331" t="str">
        <f>DEC2HEX(((D201)*2^7),8)</f>
        <v>00000080</v>
      </c>
      <c r="F201" s="17" t="s">
        <v>578</v>
      </c>
      <c r="G201" s="627"/>
      <c r="H201" s="627"/>
      <c r="I201" s="629"/>
      <c r="J201" s="82"/>
    </row>
    <row r="202" spans="2:24" ht="76.5">
      <c r="B202" s="59" t="s">
        <v>564</v>
      </c>
      <c r="C202" s="94" t="s">
        <v>0</v>
      </c>
      <c r="D202" s="126">
        <v>0</v>
      </c>
      <c r="E202" s="331" t="str">
        <f>DEC2HEX(((D202)*2^6),8)</f>
        <v>00000000</v>
      </c>
      <c r="F202" s="17" t="s">
        <v>577</v>
      </c>
      <c r="G202" s="627"/>
      <c r="H202" s="627"/>
      <c r="I202" s="629"/>
      <c r="J202" s="82"/>
    </row>
    <row r="203" spans="2:24" ht="76.5">
      <c r="B203" s="59" t="s">
        <v>565</v>
      </c>
      <c r="C203" s="94" t="s">
        <v>0</v>
      </c>
      <c r="D203" s="126">
        <v>1</v>
      </c>
      <c r="E203" s="331" t="str">
        <f>DEC2HEX(((D203)*2^5),8)</f>
        <v>00000020</v>
      </c>
      <c r="F203" s="17" t="s">
        <v>576</v>
      </c>
      <c r="G203" s="627"/>
      <c r="H203" s="627"/>
      <c r="I203" s="629"/>
      <c r="J203" s="82"/>
    </row>
    <row r="204" spans="2:24" ht="140.25">
      <c r="B204" s="59" t="s">
        <v>566</v>
      </c>
      <c r="C204" s="94" t="s">
        <v>0</v>
      </c>
      <c r="D204" s="126">
        <v>0</v>
      </c>
      <c r="E204" s="331" t="str">
        <f>DEC2HEX(((D204)*2^4),8)</f>
        <v>00000000</v>
      </c>
      <c r="F204" s="17" t="s">
        <v>575</v>
      </c>
      <c r="G204" s="627"/>
      <c r="H204" s="627"/>
      <c r="I204" s="629"/>
      <c r="J204" s="82"/>
    </row>
    <row r="205" spans="2:24" ht="229.5">
      <c r="B205" s="59" t="s">
        <v>567</v>
      </c>
      <c r="C205" s="94" t="s">
        <v>0</v>
      </c>
      <c r="D205" s="126">
        <v>1</v>
      </c>
      <c r="E205" s="331" t="str">
        <f>DEC2HEX(((D205)*2^3),8)</f>
        <v>00000008</v>
      </c>
      <c r="F205" s="17" t="s">
        <v>574</v>
      </c>
      <c r="G205" s="627"/>
      <c r="H205" s="627"/>
      <c r="I205" s="629"/>
      <c r="J205" s="82"/>
    </row>
    <row r="206" spans="2:24" ht="127.5">
      <c r="B206" s="59" t="s">
        <v>568</v>
      </c>
      <c r="C206" s="94" t="s">
        <v>0</v>
      </c>
      <c r="D206" s="126">
        <v>0</v>
      </c>
      <c r="E206" s="331" t="str">
        <f>DEC2HEX(((D206)*2^2),8)</f>
        <v>00000000</v>
      </c>
      <c r="F206" s="17" t="s">
        <v>573</v>
      </c>
      <c r="G206" s="627"/>
      <c r="H206" s="627"/>
      <c r="I206" s="629"/>
      <c r="J206" s="82"/>
    </row>
    <row r="207" spans="2:24" ht="76.5">
      <c r="B207" s="59" t="s">
        <v>569</v>
      </c>
      <c r="C207" s="94" t="s">
        <v>0</v>
      </c>
      <c r="D207" s="126">
        <v>0</v>
      </c>
      <c r="E207" s="331" t="str">
        <f>DEC2HEX(((D207)*2^1),8)</f>
        <v>00000000</v>
      </c>
      <c r="F207" s="17" t="s">
        <v>572</v>
      </c>
      <c r="G207" s="627"/>
      <c r="H207" s="627"/>
      <c r="I207" s="629"/>
      <c r="J207" s="82"/>
    </row>
    <row r="208" spans="2:24" ht="64.5" thickBot="1">
      <c r="B208" s="60" t="s">
        <v>570</v>
      </c>
      <c r="C208" s="97" t="s">
        <v>0</v>
      </c>
      <c r="D208" s="64">
        <v>0</v>
      </c>
      <c r="E208" s="332" t="str">
        <f>DEC2HEX(((D208)*2^0),8)</f>
        <v>00000000</v>
      </c>
      <c r="F208" s="34" t="s">
        <v>571</v>
      </c>
      <c r="G208" s="625"/>
      <c r="H208" s="625"/>
      <c r="I208" s="630"/>
      <c r="J208" s="82"/>
    </row>
    <row r="209" spans="1:10" ht="13.5" thickBot="1">
      <c r="B209" s="76"/>
      <c r="C209" s="77"/>
      <c r="D209" s="78"/>
      <c r="E209" s="36"/>
      <c r="F209" s="73"/>
      <c r="G209" s="81"/>
      <c r="H209" s="81"/>
      <c r="I209" s="81"/>
      <c r="J209" s="82"/>
    </row>
    <row r="210" spans="1:10" s="8" customFormat="1" ht="13.5" thickBot="1">
      <c r="B210" s="710" t="s">
        <v>190</v>
      </c>
      <c r="C210" s="711"/>
      <c r="D210" s="711"/>
      <c r="E210" s="711"/>
      <c r="F210" s="711"/>
      <c r="G210" s="711"/>
      <c r="H210" s="711"/>
      <c r="I210" s="712"/>
    </row>
    <row r="211" spans="1:10" s="8" customFormat="1" ht="13.5" thickBot="1">
      <c r="B211" s="25"/>
      <c r="E211" s="13"/>
      <c r="G211" s="13"/>
      <c r="H211" s="13"/>
      <c r="I211" s="13"/>
    </row>
    <row r="212" spans="1:10" s="8" customFormat="1" ht="41.25" customHeight="1" thickBot="1">
      <c r="B212" s="669" t="s">
        <v>191</v>
      </c>
      <c r="C212" s="670"/>
      <c r="D212" s="671"/>
      <c r="E212" s="13"/>
      <c r="G212" s="13"/>
      <c r="H212" s="13"/>
      <c r="I212" s="13"/>
    </row>
    <row r="213" spans="1:10" s="8" customFormat="1" ht="64.5" thickBot="1">
      <c r="B213" s="2" t="s">
        <v>258</v>
      </c>
      <c r="C213" s="2" t="s">
        <v>5</v>
      </c>
      <c r="D213" s="2" t="s">
        <v>7</v>
      </c>
      <c r="E213" s="2" t="s">
        <v>6</v>
      </c>
      <c r="F213" s="4" t="s">
        <v>1</v>
      </c>
      <c r="G213" s="46" t="s">
        <v>3</v>
      </c>
      <c r="H213" s="5" t="s">
        <v>284</v>
      </c>
      <c r="I213" s="5" t="s">
        <v>4</v>
      </c>
    </row>
    <row r="214" spans="1:10" s="8" customFormat="1" ht="8.25" customHeight="1" thickBot="1">
      <c r="B214" s="37"/>
      <c r="C214" s="37"/>
      <c r="D214" s="37"/>
      <c r="E214" s="37"/>
      <c r="F214" s="38"/>
      <c r="G214" s="39"/>
      <c r="H214" s="39"/>
      <c r="I214" s="39"/>
    </row>
    <row r="215" spans="1:10" s="8" customFormat="1" ht="76.5">
      <c r="B215" s="182" t="s">
        <v>260</v>
      </c>
      <c r="C215" s="255" t="s">
        <v>0</v>
      </c>
      <c r="D215" s="256">
        <v>1</v>
      </c>
      <c r="E215" s="183" t="str">
        <f>DEC2HEX(((D215)*2^23),8)</f>
        <v>00800000</v>
      </c>
      <c r="F215" s="257" t="s">
        <v>346</v>
      </c>
      <c r="G215" s="693" t="s">
        <v>43</v>
      </c>
      <c r="H215" s="634" t="str">
        <f>"0x"&amp;DEC2HEX((HEX2DEC(C35)+220), 8)</f>
        <v>0x3D4000DC</v>
      </c>
      <c r="I215" s="696" t="str">
        <f>"0x"&amp;DEC2HEX((HEX2DEC(E215)+HEX2DEC(E216)+HEX2DEC(E217)+HEX2DEC(E218)+HEX2DEC(E219)+HEX2DEC(E220)+HEX2DEC(E221)+HEX2DEC(E222)+HEX2DEC(E223)),8)</f>
        <v>0x00F4003F</v>
      </c>
    </row>
    <row r="216" spans="1:10" s="8" customFormat="1" ht="165.75">
      <c r="B216" s="184" t="s">
        <v>261</v>
      </c>
      <c r="C216" s="177" t="s">
        <v>0</v>
      </c>
      <c r="D216" s="129">
        <f>D222</f>
        <v>7</v>
      </c>
      <c r="E216" s="110" t="str">
        <f>DEC2HEX(((D216)*2^20),8)</f>
        <v>00700000</v>
      </c>
      <c r="F216" s="178" t="s">
        <v>300</v>
      </c>
      <c r="G216" s="694"/>
      <c r="H216" s="635"/>
      <c r="I216" s="697"/>
    </row>
    <row r="217" spans="1:10" s="8" customFormat="1" ht="51">
      <c r="B217" s="176" t="s">
        <v>262</v>
      </c>
      <c r="C217" s="177" t="s">
        <v>0</v>
      </c>
      <c r="D217" s="243">
        <v>0</v>
      </c>
      <c r="E217" s="110" t="str">
        <f>DEC2HEX(((D217)*2^19),8)</f>
        <v>00000000</v>
      </c>
      <c r="F217" s="179" t="s">
        <v>214</v>
      </c>
      <c r="G217" s="694"/>
      <c r="H217" s="635"/>
      <c r="I217" s="697"/>
    </row>
    <row r="218" spans="1:10" s="8" customFormat="1" ht="51">
      <c r="B218" s="176" t="s">
        <v>263</v>
      </c>
      <c r="C218" s="177" t="s">
        <v>0</v>
      </c>
      <c r="D218" s="243">
        <v>1</v>
      </c>
      <c r="E218" s="110" t="str">
        <f>DEC2HEX(((D218)*2^18),8)</f>
        <v>00040000</v>
      </c>
      <c r="F218" s="179" t="s">
        <v>215</v>
      </c>
      <c r="G218" s="694"/>
      <c r="H218" s="635"/>
      <c r="I218" s="697"/>
    </row>
    <row r="219" spans="1:10" s="8" customFormat="1" ht="77.25" thickBot="1">
      <c r="B219" s="180" t="s">
        <v>264</v>
      </c>
      <c r="C219" s="181" t="s">
        <v>0</v>
      </c>
      <c r="D219" s="244">
        <v>0</v>
      </c>
      <c r="E219" s="173" t="str">
        <f>DEC2HEX(((D219)*2^16),8)</f>
        <v>00000000</v>
      </c>
      <c r="F219" s="185" t="s">
        <v>216</v>
      </c>
      <c r="G219" s="694"/>
      <c r="H219" s="635"/>
      <c r="I219" s="697"/>
    </row>
    <row r="220" spans="1:10" s="8" customFormat="1" ht="52.5" customHeight="1">
      <c r="B220" s="186" t="s">
        <v>265</v>
      </c>
      <c r="C220" s="187" t="s">
        <v>0</v>
      </c>
      <c r="D220" s="174">
        <v>0</v>
      </c>
      <c r="E220" s="172" t="str">
        <f>DEC2HEX(((D220)*2^7),8)</f>
        <v>00000000</v>
      </c>
      <c r="F220" s="188" t="s">
        <v>217</v>
      </c>
      <c r="G220" s="694"/>
      <c r="H220" s="635"/>
      <c r="I220" s="697"/>
    </row>
    <row r="221" spans="1:10" s="8" customFormat="1" ht="51">
      <c r="B221" s="186" t="s">
        <v>266</v>
      </c>
      <c r="C221" s="177" t="s">
        <v>0</v>
      </c>
      <c r="D221" s="175">
        <v>0</v>
      </c>
      <c r="E221" s="172" t="str">
        <f>DEC2HEX(((D221)*2^6),8)</f>
        <v>00000000</v>
      </c>
      <c r="F221" s="188" t="s">
        <v>218</v>
      </c>
      <c r="G221" s="694"/>
      <c r="H221" s="635"/>
      <c r="I221" s="697"/>
    </row>
    <row r="222" spans="1:10" s="8" customFormat="1" ht="253.5">
      <c r="B222" s="186" t="s">
        <v>267</v>
      </c>
      <c r="C222" s="177" t="s">
        <v>0</v>
      </c>
      <c r="D222" s="129">
        <f>(C133-4)/2</f>
        <v>7</v>
      </c>
      <c r="E222" s="172" t="str">
        <f>DEC2HEX(((D222)*2^3),8)</f>
        <v>00000038</v>
      </c>
      <c r="F222" s="188" t="s">
        <v>323</v>
      </c>
      <c r="G222" s="694"/>
      <c r="H222" s="635"/>
      <c r="I222" s="697"/>
    </row>
    <row r="223" spans="1:10" s="8" customFormat="1" ht="254.25" thickBot="1">
      <c r="B223" s="189" t="s">
        <v>268</v>
      </c>
      <c r="C223" s="181" t="s">
        <v>0</v>
      </c>
      <c r="D223" s="130">
        <f>D222</f>
        <v>7</v>
      </c>
      <c r="E223" s="190" t="str">
        <f>DEC2HEX(((D223)*2^0),8)</f>
        <v>00000007</v>
      </c>
      <c r="F223" s="191" t="s">
        <v>324</v>
      </c>
      <c r="G223" s="695"/>
      <c r="H223" s="636"/>
      <c r="I223" s="698"/>
    </row>
    <row r="224" spans="1:10" s="8" customFormat="1" ht="9" customHeight="1" thickBot="1">
      <c r="A224" s="12"/>
      <c r="B224" s="210"/>
      <c r="C224" s="211"/>
      <c r="D224" s="212"/>
      <c r="E224" s="213"/>
      <c r="F224" s="210"/>
      <c r="G224" s="214"/>
      <c r="H224" s="214"/>
      <c r="I224" s="214"/>
      <c r="J224" s="12"/>
    </row>
    <row r="225" spans="2:10" s="8" customFormat="1" ht="64.5" thickBot="1">
      <c r="B225" s="2" t="s">
        <v>259</v>
      </c>
      <c r="C225" s="2" t="s">
        <v>5</v>
      </c>
      <c r="D225" s="2" t="s">
        <v>7</v>
      </c>
      <c r="E225" s="2" t="s">
        <v>6</v>
      </c>
      <c r="F225" s="4" t="s">
        <v>1</v>
      </c>
      <c r="G225" s="46" t="s">
        <v>3</v>
      </c>
      <c r="H225" s="5" t="s">
        <v>284</v>
      </c>
      <c r="I225" s="5" t="s">
        <v>4</v>
      </c>
    </row>
    <row r="226" spans="2:10" s="8" customFormat="1" ht="3" customHeight="1" thickBot="1">
      <c r="B226" s="37"/>
      <c r="C226" s="37"/>
      <c r="D226" s="37"/>
      <c r="E226" s="37"/>
      <c r="F226" s="38"/>
      <c r="G226" s="39"/>
      <c r="H226" s="39"/>
      <c r="I226" s="39"/>
    </row>
    <row r="227" spans="2:10" s="8" customFormat="1" ht="51">
      <c r="B227" s="195" t="s">
        <v>269</v>
      </c>
      <c r="C227" s="167" t="s">
        <v>0</v>
      </c>
      <c r="D227" s="218">
        <f>D311</f>
        <v>0</v>
      </c>
      <c r="E227" s="294" t="str">
        <f>DEC2HEX(((D227)*2^23),8)</f>
        <v>00000000</v>
      </c>
      <c r="F227" s="196" t="s">
        <v>219</v>
      </c>
      <c r="G227" s="682" t="s">
        <v>42</v>
      </c>
      <c r="H227" s="626" t="str">
        <f>"0x"&amp;DEC2HEX((HEX2DEC(C35)+224), 8)</f>
        <v>0x3D4000E0</v>
      </c>
      <c r="I227" s="628" t="str">
        <f>"0x"&amp;DEC2HEX((HEX2DEC(E227)+HEX2DEC(E228)+HEX2DEC(E229)+HEX2DEC(E230)+HEX2DEC(E231)+HEX2DEC(E232)+HEX2DEC(E233)+HEX2DEC(E234)+HEX2DEC(E235)+HEX2DEC(E236)+HEX2DEC(E237)+HEX2DEC(E238)+HEX2DEC(E239)+HEX2DEC(E240) ), 8)</f>
        <v>0x00330000</v>
      </c>
    </row>
    <row r="228" spans="2:10" s="8" customFormat="1" ht="51">
      <c r="B228" s="108" t="s">
        <v>270</v>
      </c>
      <c r="C228" s="104" t="s">
        <v>0</v>
      </c>
      <c r="D228" s="129">
        <f>D310</f>
        <v>0</v>
      </c>
      <c r="E228" s="88" t="str">
        <f>DEC2HEX(((D228)*2^22),8)</f>
        <v>00000000</v>
      </c>
      <c r="F228" s="109" t="s">
        <v>220</v>
      </c>
      <c r="G228" s="683"/>
      <c r="H228" s="627"/>
      <c r="I228" s="629"/>
    </row>
    <row r="229" spans="2:10" s="8" customFormat="1" ht="127.5">
      <c r="B229" s="108" t="s">
        <v>271</v>
      </c>
      <c r="C229" s="104" t="s">
        <v>0</v>
      </c>
      <c r="D229" s="105">
        <v>6</v>
      </c>
      <c r="E229" s="88" t="str">
        <f>DEC2HEX(((D229)*2^19),8)</f>
        <v>00300000</v>
      </c>
      <c r="F229" s="109" t="s">
        <v>221</v>
      </c>
      <c r="G229" s="683"/>
      <c r="H229" s="627"/>
      <c r="I229" s="629"/>
    </row>
    <row r="230" spans="2:10" s="8" customFormat="1" ht="51">
      <c r="B230" s="108" t="s">
        <v>272</v>
      </c>
      <c r="C230" s="104" t="s">
        <v>0</v>
      </c>
      <c r="D230" s="201">
        <v>0</v>
      </c>
      <c r="E230" s="88" t="str">
        <f>DEC2HEX(((D230)*2^18),8)</f>
        <v>00000000</v>
      </c>
      <c r="F230" s="109" t="s">
        <v>222</v>
      </c>
      <c r="G230" s="683"/>
      <c r="H230" s="627"/>
      <c r="I230" s="629"/>
    </row>
    <row r="231" spans="2:10" s="8" customFormat="1" ht="63.75">
      <c r="B231" s="108" t="s">
        <v>273</v>
      </c>
      <c r="C231" s="104" t="s">
        <v>0</v>
      </c>
      <c r="D231" s="606">
        <f>IF(C29&gt;1600,1,0)</f>
        <v>1</v>
      </c>
      <c r="E231" s="88" t="str">
        <f>DEC2HEX(((D231)*2^17),8)</f>
        <v>00020000</v>
      </c>
      <c r="F231" s="109" t="s">
        <v>223</v>
      </c>
      <c r="G231" s="683"/>
      <c r="H231" s="627"/>
      <c r="I231" s="629"/>
      <c r="J231" s="602"/>
    </row>
    <row r="232" spans="2:10" s="8" customFormat="1" ht="51.75" thickBot="1">
      <c r="B232" s="85" t="s">
        <v>274</v>
      </c>
      <c r="C232" s="106" t="s">
        <v>0</v>
      </c>
      <c r="D232" s="193">
        <v>1</v>
      </c>
      <c r="E232" s="107" t="str">
        <f>DEC2HEX(((D232)*2^16),8)</f>
        <v>00010000</v>
      </c>
      <c r="F232" s="194" t="s">
        <v>224</v>
      </c>
      <c r="G232" s="683"/>
      <c r="H232" s="627"/>
      <c r="I232" s="629"/>
    </row>
    <row r="233" spans="2:10" s="8" customFormat="1" ht="51">
      <c r="B233" s="197" t="s">
        <v>275</v>
      </c>
      <c r="C233" s="169" t="s">
        <v>0</v>
      </c>
      <c r="D233" s="200">
        <v>0</v>
      </c>
      <c r="E233" s="87" t="str">
        <f>DEC2HEX(((D233)*2^7),8)</f>
        <v>00000000</v>
      </c>
      <c r="F233" s="192" t="s">
        <v>225</v>
      </c>
      <c r="G233" s="683"/>
      <c r="H233" s="627"/>
      <c r="I233" s="629"/>
    </row>
    <row r="234" spans="2:10" s="8" customFormat="1" ht="51">
      <c r="B234" s="198" t="s">
        <v>276</v>
      </c>
      <c r="C234" s="104" t="s">
        <v>0</v>
      </c>
      <c r="D234" s="201">
        <v>0</v>
      </c>
      <c r="E234" s="88" t="str">
        <f>DEC2HEX(((D234)*2^6),8)</f>
        <v>00000000</v>
      </c>
      <c r="F234" s="109" t="s">
        <v>226</v>
      </c>
      <c r="G234" s="683"/>
      <c r="H234" s="627"/>
      <c r="I234" s="629"/>
    </row>
    <row r="235" spans="2:10" s="8" customFormat="1" ht="51">
      <c r="B235" s="198" t="s">
        <v>277</v>
      </c>
      <c r="C235" s="104" t="s">
        <v>0</v>
      </c>
      <c r="D235" s="105">
        <v>0</v>
      </c>
      <c r="E235" s="88" t="str">
        <f>DEC2HEX(((D235)*2^5),8)</f>
        <v>00000000</v>
      </c>
      <c r="F235" s="109" t="s">
        <v>227</v>
      </c>
      <c r="G235" s="683"/>
      <c r="H235" s="627"/>
      <c r="I235" s="629"/>
    </row>
    <row r="236" spans="2:10" s="8" customFormat="1" ht="51">
      <c r="B236" s="198" t="s">
        <v>278</v>
      </c>
      <c r="C236" s="104" t="s">
        <v>0</v>
      </c>
      <c r="D236" s="201">
        <v>0</v>
      </c>
      <c r="E236" s="88" t="str">
        <f>DEC2HEX(((D236)*2^4),8)</f>
        <v>00000000</v>
      </c>
      <c r="F236" s="109" t="s">
        <v>228</v>
      </c>
      <c r="G236" s="683"/>
      <c r="H236" s="627"/>
      <c r="I236" s="629"/>
    </row>
    <row r="237" spans="2:10" s="8" customFormat="1" ht="63.75">
      <c r="B237" s="198" t="s">
        <v>279</v>
      </c>
      <c r="C237" s="104" t="s">
        <v>0</v>
      </c>
      <c r="D237" s="201">
        <v>0</v>
      </c>
      <c r="E237" s="88" t="str">
        <f>DEC2HEX(((D237)*2^3),8)</f>
        <v>00000000</v>
      </c>
      <c r="F237" s="109" t="s">
        <v>910</v>
      </c>
      <c r="G237" s="683"/>
      <c r="H237" s="627"/>
      <c r="I237" s="629"/>
    </row>
    <row r="238" spans="2:10" s="8" customFormat="1" ht="51">
      <c r="B238" s="198" t="s">
        <v>280</v>
      </c>
      <c r="C238" s="104" t="s">
        <v>0</v>
      </c>
      <c r="D238" s="201">
        <v>0</v>
      </c>
      <c r="E238" s="88" t="str">
        <f>DEC2HEX(((D238)*2^2),8)</f>
        <v>00000000</v>
      </c>
      <c r="F238" s="109" t="s">
        <v>229</v>
      </c>
      <c r="G238" s="683"/>
      <c r="H238" s="627"/>
      <c r="I238" s="629"/>
    </row>
    <row r="239" spans="2:10" s="8" customFormat="1" ht="51">
      <c r="B239" s="198" t="s">
        <v>281</v>
      </c>
      <c r="C239" s="104" t="s">
        <v>0</v>
      </c>
      <c r="D239" s="201">
        <v>0</v>
      </c>
      <c r="E239" s="88" t="str">
        <f>DEC2HEX(((D239)*2^1),8)</f>
        <v>00000000</v>
      </c>
      <c r="F239" s="109" t="s">
        <v>230</v>
      </c>
      <c r="G239" s="683"/>
      <c r="H239" s="627"/>
      <c r="I239" s="629"/>
    </row>
    <row r="240" spans="2:10" s="8" customFormat="1" ht="51.75" thickBot="1">
      <c r="B240" s="199" t="s">
        <v>282</v>
      </c>
      <c r="C240" s="106" t="s">
        <v>0</v>
      </c>
      <c r="D240" s="202">
        <v>0</v>
      </c>
      <c r="E240" s="107" t="str">
        <f>DEC2HEX(((D240)*2^0),8)</f>
        <v>00000000</v>
      </c>
      <c r="F240" s="194" t="s">
        <v>231</v>
      </c>
      <c r="G240" s="684"/>
      <c r="H240" s="625"/>
      <c r="I240" s="630"/>
    </row>
    <row r="241" spans="1:10" s="8" customFormat="1" ht="6.75" customHeight="1" thickBot="1">
      <c r="E241" s="13"/>
      <c r="G241" s="13"/>
      <c r="H241" s="13"/>
      <c r="I241" s="13"/>
    </row>
    <row r="242" spans="1:10" s="8" customFormat="1" ht="127.5">
      <c r="B242" s="301" t="s">
        <v>349</v>
      </c>
      <c r="C242" s="167" t="s">
        <v>0</v>
      </c>
      <c r="D242" s="223">
        <v>6</v>
      </c>
      <c r="E242" s="294" t="str">
        <f>DEC2HEX(((D242)*2^20),8)</f>
        <v>00600000</v>
      </c>
      <c r="F242" s="302" t="s">
        <v>353</v>
      </c>
      <c r="G242" s="685" t="s">
        <v>348</v>
      </c>
      <c r="H242" s="688" t="str">
        <f>"0x"&amp;DEC2HEX((HEX2DEC(C35)+232), 8)</f>
        <v>0x3D4000E8</v>
      </c>
      <c r="I242" s="679" t="str">
        <f>"0x"&amp;DEC2HEX((HEX2DEC(E242)+HEX2DEC(E243)+HEX2DEC(E244)+HEX2DEC(E245)), 8)</f>
        <v>0x00660048</v>
      </c>
    </row>
    <row r="243" spans="1:10" s="8" customFormat="1" ht="114.75">
      <c r="B243" s="303" t="s">
        <v>350</v>
      </c>
      <c r="C243" s="104" t="s">
        <v>0</v>
      </c>
      <c r="D243" s="221">
        <v>6</v>
      </c>
      <c r="E243" s="87" t="str">
        <f>DEC2HEX(((D243)*2^16),8)</f>
        <v>00060000</v>
      </c>
      <c r="F243" s="300" t="s">
        <v>362</v>
      </c>
      <c r="G243" s="686"/>
      <c r="H243" s="686"/>
      <c r="I243" s="680"/>
    </row>
    <row r="244" spans="1:10" s="8" customFormat="1" ht="38.25">
      <c r="B244" s="303" t="s">
        <v>351</v>
      </c>
      <c r="C244" s="104" t="s">
        <v>0</v>
      </c>
      <c r="D244" s="620">
        <v>1</v>
      </c>
      <c r="E244" s="87" t="str">
        <f>DEC2HEX(((D244)*2^6),8)</f>
        <v>00000040</v>
      </c>
      <c r="F244" s="300" t="s">
        <v>363</v>
      </c>
      <c r="G244" s="686"/>
      <c r="H244" s="686"/>
      <c r="I244" s="680"/>
    </row>
    <row r="245" spans="1:10" s="8" customFormat="1" ht="39" thickBot="1">
      <c r="B245" s="304" t="s">
        <v>352</v>
      </c>
      <c r="C245" s="106" t="s">
        <v>0</v>
      </c>
      <c r="D245" s="621">
        <v>8</v>
      </c>
      <c r="E245" s="293" t="str">
        <f>DEC2HEX(((D245)*2^0),8)</f>
        <v>00000008</v>
      </c>
      <c r="F245" s="431" t="s">
        <v>1012</v>
      </c>
      <c r="G245" s="687"/>
      <c r="H245" s="687"/>
      <c r="I245" s="681"/>
    </row>
    <row r="246" spans="1:10" s="8" customFormat="1" ht="8.25" customHeight="1" thickBot="1">
      <c r="B246" s="306"/>
      <c r="C246" s="307"/>
      <c r="D246" s="278"/>
      <c r="E246" s="308"/>
      <c r="F246" s="309"/>
      <c r="G246" s="278"/>
      <c r="H246" s="278"/>
      <c r="I246" s="278"/>
    </row>
    <row r="247" spans="1:10" s="8" customFormat="1" ht="38.25">
      <c r="B247" s="301" t="s">
        <v>365</v>
      </c>
      <c r="C247" s="167" t="s">
        <v>0</v>
      </c>
      <c r="D247" s="223">
        <v>0</v>
      </c>
      <c r="E247" s="294" t="str">
        <f>DEC2HEX(((D247)*2^21),8)</f>
        <v>00000000</v>
      </c>
      <c r="F247" s="310" t="s">
        <v>376</v>
      </c>
      <c r="G247" s="690" t="s">
        <v>364</v>
      </c>
      <c r="H247" s="796" t="str">
        <f>"0x"&amp;DEC2HEX((HEX2DEC(C35)+236), 8)</f>
        <v>0x3D4000EC</v>
      </c>
      <c r="I247" s="797" t="str">
        <f>"0x"&amp;DEC2HEX((HEX2DEC(E247)+HEX2DEC(E248)+HEX2DEC(E249)+HEX2DEC(E250)+HEX2DEC(E251)+HEX2DEC(E252)), 8)</f>
        <v>0x00160048</v>
      </c>
    </row>
    <row r="248" spans="1:10" s="8" customFormat="1" ht="38.25">
      <c r="B248" s="303" t="s">
        <v>366</v>
      </c>
      <c r="C248" s="104" t="s">
        <v>0</v>
      </c>
      <c r="D248" s="221">
        <v>1</v>
      </c>
      <c r="E248" s="87" t="str">
        <f>DEC2HEX(((D248)*2^20),8)</f>
        <v>00100000</v>
      </c>
      <c r="F248" s="300" t="s">
        <v>375</v>
      </c>
      <c r="G248" s="691"/>
      <c r="H248" s="691"/>
      <c r="I248" s="798"/>
    </row>
    <row r="249" spans="1:10" s="8" customFormat="1" ht="38.25">
      <c r="B249" s="303" t="s">
        <v>367</v>
      </c>
      <c r="C249" s="104" t="s">
        <v>0</v>
      </c>
      <c r="D249" s="221">
        <v>0</v>
      </c>
      <c r="E249" s="87" t="str">
        <f>DEC2HEX(((D249)*2^19),8)</f>
        <v>00000000</v>
      </c>
      <c r="F249" s="300" t="s">
        <v>374</v>
      </c>
      <c r="G249" s="691"/>
      <c r="H249" s="691"/>
      <c r="I249" s="798"/>
    </row>
    <row r="250" spans="1:10" s="8" customFormat="1" ht="114.75">
      <c r="B250" s="303" t="s">
        <v>368</v>
      </c>
      <c r="C250" s="104" t="s">
        <v>0</v>
      </c>
      <c r="D250" s="221">
        <v>6</v>
      </c>
      <c r="E250" s="87" t="str">
        <f>DEC2HEX(((D250)*2^16),8)</f>
        <v>00060000</v>
      </c>
      <c r="F250" s="300" t="s">
        <v>373</v>
      </c>
      <c r="G250" s="691"/>
      <c r="H250" s="691"/>
      <c r="I250" s="798"/>
    </row>
    <row r="251" spans="1:10" s="8" customFormat="1" ht="38.25">
      <c r="B251" s="303" t="s">
        <v>369</v>
      </c>
      <c r="C251" s="104" t="s">
        <v>0</v>
      </c>
      <c r="D251" s="620">
        <v>1</v>
      </c>
      <c r="E251" s="87" t="str">
        <f>DEC2HEX(((D251)*2^6),8)</f>
        <v>00000040</v>
      </c>
      <c r="F251" s="300" t="s">
        <v>371</v>
      </c>
      <c r="G251" s="691"/>
      <c r="H251" s="691"/>
      <c r="I251" s="798"/>
    </row>
    <row r="252" spans="1:10" s="8" customFormat="1" ht="26.25" thickBot="1">
      <c r="B252" s="304" t="s">
        <v>370</v>
      </c>
      <c r="C252" s="106" t="s">
        <v>0</v>
      </c>
      <c r="D252" s="621">
        <v>8</v>
      </c>
      <c r="E252" s="293" t="str">
        <f>DEC2HEX(((D252)*2^0),8)</f>
        <v>00000008</v>
      </c>
      <c r="F252" s="305" t="s">
        <v>372</v>
      </c>
      <c r="G252" s="692"/>
      <c r="H252" s="692"/>
      <c r="I252" s="799"/>
    </row>
    <row r="253" spans="1:10" s="8" customFormat="1" ht="13.5" thickBot="1">
      <c r="B253" s="306"/>
      <c r="C253" s="307"/>
      <c r="D253" s="278"/>
      <c r="E253" s="308"/>
      <c r="F253" s="309"/>
      <c r="G253" s="278"/>
      <c r="H253" s="278"/>
      <c r="I253" s="278"/>
    </row>
    <row r="254" spans="1:10" s="8" customFormat="1" ht="76.5">
      <c r="B254" s="542" t="s">
        <v>1130</v>
      </c>
      <c r="C254" s="167" t="s">
        <v>0</v>
      </c>
      <c r="D254" s="555">
        <f>IF(D89=0, ECC_Config_BinaryAligned!B64,ECC_Config_nonBinaryAligned!B129)</f>
        <v>0</v>
      </c>
      <c r="E254" s="294" t="str">
        <f>DEC2HEX(((D254)*2^30),8)</f>
        <v>00000000</v>
      </c>
      <c r="F254" s="556" t="s">
        <v>1131</v>
      </c>
      <c r="G254" s="682" t="s">
        <v>1132</v>
      </c>
      <c r="H254" s="623" t="s">
        <v>1167</v>
      </c>
      <c r="I254" s="628" t="str">
        <f>"0x"&amp;DEC2HEX((HEX2DEC(E254)+HEX2DEC(E255)+HEX2DEC(E256)+HEX2DEC(E257)+HEX2DEC(E258)+HEX2DEC(E259)+HEX2DEC(E260)+HEX2DEC(E261)+HEX2DEC(E262)+HEX2DEC(E263)+HEX2DEC(E264) ), 8)</f>
        <v>0x07027F90</v>
      </c>
      <c r="J254"/>
    </row>
    <row r="255" spans="1:10" s="8" customFormat="1" ht="90" customHeight="1">
      <c r="B255" s="108" t="s">
        <v>1133</v>
      </c>
      <c r="C255" s="104" t="s">
        <v>0</v>
      </c>
      <c r="D255" s="544">
        <f>IF(D89=0, ECC_Config_BinaryAligned!B66, ECC_Config_nonBinaryAligned!B131)</f>
        <v>0</v>
      </c>
      <c r="E255" s="88" t="str">
        <f>DEC2HEX(((D255)*2^29),8)</f>
        <v>00000000</v>
      </c>
      <c r="F255" s="545" t="s">
        <v>1134</v>
      </c>
      <c r="G255" s="683"/>
      <c r="H255" s="627"/>
      <c r="I255" s="629"/>
      <c r="J255"/>
    </row>
    <row r="256" spans="1:10" s="8" customFormat="1" ht="114.75">
      <c r="A256" s="618"/>
      <c r="B256" s="108" t="s">
        <v>1135</v>
      </c>
      <c r="C256" s="104" t="s">
        <v>0</v>
      </c>
      <c r="D256" s="384">
        <f>IF(D50=0, 7, 3)</f>
        <v>7</v>
      </c>
      <c r="E256" s="88" t="str">
        <f>DEC2HEX(((D256)*2^24),8)</f>
        <v>07000000</v>
      </c>
      <c r="F256" s="545" t="s">
        <v>1136</v>
      </c>
      <c r="G256" s="683"/>
      <c r="H256" s="627"/>
      <c r="I256" s="629"/>
      <c r="J256" s="603"/>
    </row>
    <row r="257" spans="1:10" s="8" customFormat="1" ht="191.25">
      <c r="B257" s="108" t="s">
        <v>1137</v>
      </c>
      <c r="C257" s="104" t="s">
        <v>0</v>
      </c>
      <c r="D257" s="201">
        <v>2</v>
      </c>
      <c r="E257" s="88" t="str">
        <f>DEC2HEX(((D257)*2^16),8)</f>
        <v>00020000</v>
      </c>
      <c r="F257" s="545" t="s">
        <v>1138</v>
      </c>
      <c r="G257" s="683"/>
      <c r="H257" s="627"/>
      <c r="I257" s="629"/>
      <c r="J257" s="6"/>
    </row>
    <row r="258" spans="1:10" s="8" customFormat="1" ht="264.75" customHeight="1">
      <c r="B258" s="108" t="s">
        <v>1139</v>
      </c>
      <c r="C258" s="104" t="s">
        <v>0</v>
      </c>
      <c r="D258" s="544">
        <f>IF(D89=0, ECC_Config_BinaryAligned!B75, ECC_Config_nonBinaryAligned!B140)</f>
        <v>127</v>
      </c>
      <c r="E258" s="88" t="str">
        <f>DEC2HEX(((D258)*2^8),8)</f>
        <v>00007F00</v>
      </c>
      <c r="F258" s="545" t="s">
        <v>1140</v>
      </c>
      <c r="G258" s="683"/>
      <c r="H258" s="627"/>
      <c r="I258" s="629"/>
      <c r="J258"/>
    </row>
    <row r="259" spans="1:10" s="8" customFormat="1" ht="63.75">
      <c r="B259" s="108" t="s">
        <v>1141</v>
      </c>
      <c r="C259" s="104" t="s">
        <v>0</v>
      </c>
      <c r="D259" s="606">
        <v>1</v>
      </c>
      <c r="E259" s="88" t="str">
        <f>DEC2HEX(((D259)*2^7),8)</f>
        <v>00000080</v>
      </c>
      <c r="F259" s="545" t="s">
        <v>1219</v>
      </c>
      <c r="G259" s="683"/>
      <c r="H259" s="627"/>
      <c r="I259" s="629"/>
      <c r="J259" s="3"/>
    </row>
    <row r="260" spans="1:10" s="8" customFormat="1" ht="63.75">
      <c r="B260" s="108" t="s">
        <v>1142</v>
      </c>
      <c r="C260" s="104" t="s">
        <v>0</v>
      </c>
      <c r="D260" s="546">
        <f>IF(G27 ="ENABLED", 1, 0)</f>
        <v>0</v>
      </c>
      <c r="E260" s="88" t="str">
        <f>DEC2HEX(((D260)*2^6),8)</f>
        <v>00000000</v>
      </c>
      <c r="F260" s="545" t="s">
        <v>1143</v>
      </c>
      <c r="G260" s="683"/>
      <c r="H260" s="627"/>
      <c r="I260" s="629"/>
      <c r="J260"/>
    </row>
    <row r="261" spans="1:10" s="8" customFormat="1" ht="89.25">
      <c r="B261" s="547" t="s">
        <v>1144</v>
      </c>
      <c r="C261" s="548" t="s">
        <v>0</v>
      </c>
      <c r="D261" s="201">
        <v>0</v>
      </c>
      <c r="E261" s="88" t="str">
        <f>DEC2HEX(((D261)*2^5),8)</f>
        <v>00000000</v>
      </c>
      <c r="F261" s="545" t="s">
        <v>1145</v>
      </c>
      <c r="G261" s="683"/>
      <c r="H261" s="627"/>
      <c r="I261" s="629"/>
      <c r="J261"/>
    </row>
    <row r="262" spans="1:10" s="8" customFormat="1" ht="63.75">
      <c r="B262" s="547" t="s">
        <v>1146</v>
      </c>
      <c r="C262" s="548" t="s">
        <v>0</v>
      </c>
      <c r="D262" s="201">
        <v>1</v>
      </c>
      <c r="E262" s="88" t="str">
        <f>DEC2HEX(((D262)*2^4),8)</f>
        <v>00000010</v>
      </c>
      <c r="F262" s="545" t="s">
        <v>1147</v>
      </c>
      <c r="G262" s="683"/>
      <c r="H262" s="627"/>
      <c r="I262" s="629"/>
      <c r="J262"/>
    </row>
    <row r="263" spans="1:10" s="8" customFormat="1" ht="154.5" customHeight="1">
      <c r="A263" s="549"/>
      <c r="B263" s="108" t="s">
        <v>1148</v>
      </c>
      <c r="C263" s="104" t="s">
        <v>0</v>
      </c>
      <c r="D263" s="200">
        <v>0</v>
      </c>
      <c r="E263" s="87" t="str">
        <f>DEC2HEX(((D263)*2^3),8)</f>
        <v>00000000</v>
      </c>
      <c r="F263" s="550" t="s">
        <v>1149</v>
      </c>
      <c r="G263" s="683"/>
      <c r="H263" s="627"/>
      <c r="I263" s="629"/>
      <c r="J263"/>
    </row>
    <row r="264" spans="1:10" s="8" customFormat="1" ht="77.25" thickBot="1">
      <c r="B264" s="85" t="s">
        <v>1150</v>
      </c>
      <c r="C264" s="106" t="s">
        <v>0</v>
      </c>
      <c r="D264" s="551">
        <f>IF(G27 ="ENABLED", 4, 0)</f>
        <v>0</v>
      </c>
      <c r="E264" s="107" t="str">
        <f>DEC2HEX(((D264)*2^0),8)</f>
        <v>00000000</v>
      </c>
      <c r="F264" s="552" t="s">
        <v>1151</v>
      </c>
      <c r="G264" s="684"/>
      <c r="H264" s="625"/>
      <c r="I264" s="630"/>
      <c r="J264"/>
    </row>
    <row r="265" spans="1:10" s="8" customFormat="1" ht="13.5" thickBot="1">
      <c r="D265" s="553"/>
      <c r="E265" s="13"/>
      <c r="F265" s="553"/>
      <c r="G265" s="13"/>
      <c r="H265" s="13"/>
      <c r="I265" s="13"/>
    </row>
    <row r="266" spans="1:10" s="8" customFormat="1" ht="76.5">
      <c r="B266" s="542" t="s">
        <v>1152</v>
      </c>
      <c r="C266" s="167" t="s">
        <v>0</v>
      </c>
      <c r="D266" s="200">
        <v>7</v>
      </c>
      <c r="E266" s="294" t="str">
        <f>DEC2HEX(((D266)*2^8),8)</f>
        <v>00000700</v>
      </c>
      <c r="F266" s="543" t="s">
        <v>1153</v>
      </c>
      <c r="G266" s="682" t="s">
        <v>1154</v>
      </c>
      <c r="H266" s="623" t="s">
        <v>1169</v>
      </c>
      <c r="I266" s="628" t="str">
        <f>"0x"&amp;DEC2HEX((HEX2DEC(E266)+HEX2DEC(E267)+HEX2DEC(E268)+HEX2DEC(E269)+HEX2DEC(E270)+HEX2DEC(E271)+HEX2DEC(E272) ), 8)</f>
        <v>0x00000790</v>
      </c>
      <c r="J266"/>
    </row>
    <row r="267" spans="1:10" s="8" customFormat="1" ht="102">
      <c r="B267" s="108" t="s">
        <v>1155</v>
      </c>
      <c r="C267" s="104" t="s">
        <v>0</v>
      </c>
      <c r="D267" s="201">
        <v>1</v>
      </c>
      <c r="E267" s="88" t="str">
        <f>DEC2HEX(((D267)*2^7),8)</f>
        <v>00000080</v>
      </c>
      <c r="F267" s="545" t="s">
        <v>1156</v>
      </c>
      <c r="G267" s="683"/>
      <c r="H267" s="627"/>
      <c r="I267" s="629"/>
      <c r="J267"/>
    </row>
    <row r="268" spans="1:10" s="8" customFormat="1" ht="89.25">
      <c r="B268" s="108" t="s">
        <v>1157</v>
      </c>
      <c r="C268" s="104" t="s">
        <v>0</v>
      </c>
      <c r="D268" s="606">
        <v>0</v>
      </c>
      <c r="E268" s="88" t="str">
        <f>DEC2HEX(((D268)*2^5),8)</f>
        <v>00000000</v>
      </c>
      <c r="F268" s="545" t="s">
        <v>1158</v>
      </c>
      <c r="G268" s="683"/>
      <c r="H268" s="627"/>
      <c r="I268" s="629"/>
      <c r="J268" s="3"/>
    </row>
    <row r="269" spans="1:10" s="8" customFormat="1" ht="102">
      <c r="B269" s="108" t="s">
        <v>1159</v>
      </c>
      <c r="C269" s="104" t="s">
        <v>0</v>
      </c>
      <c r="D269" s="201">
        <v>1</v>
      </c>
      <c r="E269" s="88" t="str">
        <f>DEC2HEX(((D269)*2^4),8)</f>
        <v>00000010</v>
      </c>
      <c r="F269" s="545" t="s">
        <v>1160</v>
      </c>
      <c r="G269" s="683"/>
      <c r="H269" s="627"/>
      <c r="I269" s="629"/>
      <c r="J269"/>
    </row>
    <row r="270" spans="1:10" s="8" customFormat="1" ht="89.25">
      <c r="B270" s="108" t="s">
        <v>1161</v>
      </c>
      <c r="C270" s="104" t="s">
        <v>0</v>
      </c>
      <c r="D270" s="201">
        <v>0</v>
      </c>
      <c r="E270" s="88" t="str">
        <f>DEC2HEX(((D270)*2^2),8)</f>
        <v>00000000</v>
      </c>
      <c r="F270" s="545" t="s">
        <v>1162</v>
      </c>
      <c r="G270" s="683"/>
      <c r="H270" s="627"/>
      <c r="I270" s="629"/>
      <c r="J270"/>
    </row>
    <row r="271" spans="1:10" s="8" customFormat="1" ht="63.75">
      <c r="B271" s="547" t="s">
        <v>1163</v>
      </c>
      <c r="C271" s="548" t="s">
        <v>0</v>
      </c>
      <c r="D271" s="201">
        <v>0</v>
      </c>
      <c r="E271" s="88" t="str">
        <f>DEC2HEX(((D271)*2^1),8)</f>
        <v>00000000</v>
      </c>
      <c r="F271" s="545" t="s">
        <v>1164</v>
      </c>
      <c r="G271" s="683"/>
      <c r="H271" s="627"/>
      <c r="I271" s="629"/>
      <c r="J271"/>
    </row>
    <row r="272" spans="1:10" s="8" customFormat="1" ht="39" thickBot="1">
      <c r="B272" s="85" t="s">
        <v>1165</v>
      </c>
      <c r="C272" s="106" t="s">
        <v>0</v>
      </c>
      <c r="D272" s="554">
        <v>0</v>
      </c>
      <c r="E272" s="107" t="str">
        <f>DEC2HEX(((D272)*2^0),8)</f>
        <v>00000000</v>
      </c>
      <c r="F272" s="552" t="s">
        <v>1166</v>
      </c>
      <c r="G272" s="684"/>
      <c r="H272" s="625"/>
      <c r="I272" s="630"/>
      <c r="J272"/>
    </row>
    <row r="273" spans="2:13" s="8" customFormat="1">
      <c r="B273" s="306"/>
      <c r="C273" s="307"/>
      <c r="D273" s="278"/>
      <c r="E273" s="308"/>
      <c r="F273" s="309"/>
      <c r="G273" s="278"/>
      <c r="H273" s="278"/>
      <c r="I273" s="278"/>
    </row>
    <row r="274" spans="2:13" ht="13.5" thickBot="1">
      <c r="B274" s="76"/>
      <c r="C274" s="77"/>
      <c r="D274" s="78"/>
      <c r="E274" s="36"/>
      <c r="F274" s="73"/>
      <c r="G274" s="81"/>
      <c r="H274" s="81"/>
      <c r="I274" s="81"/>
      <c r="J274" s="82"/>
    </row>
    <row r="275" spans="2:13" ht="13.5" thickBot="1">
      <c r="B275" s="710" t="s">
        <v>176</v>
      </c>
      <c r="C275" s="711"/>
      <c r="D275" s="711"/>
      <c r="E275" s="711"/>
      <c r="F275" s="711"/>
      <c r="G275" s="711"/>
      <c r="H275" s="711"/>
      <c r="I275" s="712"/>
      <c r="J275" s="82"/>
      <c r="L275" s="111"/>
      <c r="M275" s="111"/>
    </row>
    <row r="276" spans="2:13" s="111" customFormat="1" ht="4.5" customHeight="1" thickBot="1">
      <c r="B276" s="112"/>
      <c r="C276" s="112"/>
      <c r="D276" s="112"/>
      <c r="E276" s="112"/>
      <c r="F276" s="112"/>
      <c r="G276" s="112"/>
      <c r="H276" s="112"/>
      <c r="I276" s="112"/>
      <c r="J276" s="113"/>
      <c r="L276" s="8"/>
      <c r="M276" s="8"/>
    </row>
    <row r="277" spans="2:13" ht="39" thickBot="1">
      <c r="B277" s="14" t="s">
        <v>75</v>
      </c>
      <c r="C277" s="16" t="s">
        <v>101</v>
      </c>
      <c r="D277" s="96" t="s">
        <v>100</v>
      </c>
      <c r="E277" s="14" t="s">
        <v>6</v>
      </c>
      <c r="F277" s="15" t="s">
        <v>1</v>
      </c>
      <c r="G277" s="35" t="s">
        <v>3</v>
      </c>
      <c r="H277" s="16" t="s">
        <v>285</v>
      </c>
      <c r="I277" s="16" t="s">
        <v>4</v>
      </c>
      <c r="J277" s="18"/>
    </row>
    <row r="278" spans="2:13" ht="102">
      <c r="B278" s="58" t="s">
        <v>143</v>
      </c>
      <c r="C278" s="65"/>
      <c r="D278" s="125">
        <f>IF(C29&lt;800, 3, 4)</f>
        <v>4</v>
      </c>
      <c r="E278" s="147" t="str">
        <f>DEC2HEX(((D278)*2^24),8)</f>
        <v>04000000</v>
      </c>
      <c r="F278" s="33" t="s">
        <v>357</v>
      </c>
      <c r="G278" s="652" t="s">
        <v>52</v>
      </c>
      <c r="H278" s="652" t="str">
        <f>"0x"&amp;DEC2HEX((HEX2DEC(C35)+400), 8)</f>
        <v>0x3D400190</v>
      </c>
      <c r="I278" s="654" t="str">
        <f>"0x"&amp;DEC2HEX((HEX2DEC(E278)+HEX2DEC(E279)+HEX2DEC(E280)+HEX2DEC(E281)+HEX2DEC(E282)+HEX2DEC(E283)), 8)</f>
        <v>0x049F820E</v>
      </c>
      <c r="J278" s="18"/>
    </row>
    <row r="279" spans="2:13" ht="106.5" customHeight="1">
      <c r="B279" s="59" t="s">
        <v>144</v>
      </c>
      <c r="C279" s="61"/>
      <c r="D279" s="126">
        <v>1</v>
      </c>
      <c r="E279" s="145" t="str">
        <f>DEC2HEX(((D279)*2^23),8)</f>
        <v>00800000</v>
      </c>
      <c r="F279" s="17" t="s">
        <v>325</v>
      </c>
      <c r="G279" s="627"/>
      <c r="H279" s="627"/>
      <c r="I279" s="655"/>
      <c r="J279" s="18"/>
    </row>
    <row r="280" spans="2:13" ht="140.25">
      <c r="B280" s="59" t="s">
        <v>145</v>
      </c>
      <c r="C280" s="61"/>
      <c r="D280" s="125">
        <f>(C134 - 5)</f>
        <v>31</v>
      </c>
      <c r="E280" s="145" t="str">
        <f>DEC2HEX(((D280)*2^16),8)</f>
        <v>001F0000</v>
      </c>
      <c r="F280" s="32" t="s">
        <v>356</v>
      </c>
      <c r="G280" s="627"/>
      <c r="H280" s="627"/>
      <c r="I280" s="655"/>
      <c r="J280" s="208"/>
    </row>
    <row r="281" spans="2:13" ht="140.25">
      <c r="B281" s="59" t="s">
        <v>146</v>
      </c>
      <c r="C281" s="61"/>
      <c r="D281" s="126">
        <v>1</v>
      </c>
      <c r="E281" s="145" t="str">
        <f>DEC2HEX(((D281)*2^15),8)</f>
        <v>00008000</v>
      </c>
      <c r="F281" s="32" t="s">
        <v>326</v>
      </c>
      <c r="G281" s="627"/>
      <c r="H281" s="627"/>
      <c r="I281" s="655"/>
      <c r="J281" s="18"/>
    </row>
    <row r="282" spans="2:13" ht="100.5" customHeight="1">
      <c r="B282" s="75" t="s">
        <v>147</v>
      </c>
      <c r="C282" s="61"/>
      <c r="D282" s="126">
        <v>2</v>
      </c>
      <c r="E282" s="145" t="str">
        <f>DEC2HEX(((D282)*2^8),8)</f>
        <v>00000200</v>
      </c>
      <c r="F282" s="32" t="s">
        <v>71</v>
      </c>
      <c r="G282" s="627"/>
      <c r="H282" s="627"/>
      <c r="I282" s="655"/>
      <c r="J282" s="18"/>
    </row>
    <row r="283" spans="2:13" ht="90" thickBot="1">
      <c r="B283" s="148" t="s">
        <v>148</v>
      </c>
      <c r="C283" s="63"/>
      <c r="D283" s="144">
        <f>C133+1-5</f>
        <v>14</v>
      </c>
      <c r="E283" s="146" t="str">
        <f>DEC2HEX(((D283)*2^0),8)</f>
        <v>0000000E</v>
      </c>
      <c r="F283" s="34" t="s">
        <v>361</v>
      </c>
      <c r="G283" s="625"/>
      <c r="H283" s="625"/>
      <c r="I283" s="656"/>
      <c r="J283" s="208"/>
    </row>
    <row r="284" spans="2:13" ht="6.75" customHeight="1" thickBot="1">
      <c r="B284" s="69"/>
      <c r="C284" s="70"/>
      <c r="D284" s="71"/>
      <c r="E284" s="72"/>
      <c r="F284" s="73"/>
      <c r="G284" s="36"/>
      <c r="H284" s="36"/>
      <c r="I284" s="55"/>
      <c r="J284" s="18"/>
    </row>
    <row r="285" spans="2:13" ht="89.25">
      <c r="B285" s="58" t="s">
        <v>243</v>
      </c>
      <c r="C285" s="65" t="s">
        <v>0</v>
      </c>
      <c r="D285" s="57">
        <v>0</v>
      </c>
      <c r="E285" s="52" t="str">
        <f>DEC2HEX(((D285)*2^28),8)</f>
        <v>00000000</v>
      </c>
      <c r="F285" s="33" t="s">
        <v>244</v>
      </c>
      <c r="G285" s="652" t="s">
        <v>53</v>
      </c>
      <c r="H285" s="652" t="str">
        <f>"0x"&amp;DEC2HEX((HEX2DEC(C35)+404), 8)</f>
        <v>0x3D400194</v>
      </c>
      <c r="I285" s="653" t="str">
        <f>"0x"&amp;DEC2HEX((HEX2DEC(E285)+HEX2DEC(E286)+HEX2DEC(E287)+HEX2DEC(E288)+HEX2DEC(E289)), 8)</f>
        <v>0x00080303</v>
      </c>
      <c r="J285" s="18"/>
    </row>
    <row r="286" spans="2:13" ht="51">
      <c r="B286" s="59" t="s">
        <v>245</v>
      </c>
      <c r="C286" s="61" t="s">
        <v>0</v>
      </c>
      <c r="D286" s="62">
        <v>0</v>
      </c>
      <c r="E286" s="53" t="str">
        <f>DEC2HEX(((D286)*2^24),8)</f>
        <v>00000000</v>
      </c>
      <c r="F286" s="17" t="s">
        <v>246</v>
      </c>
      <c r="G286" s="627"/>
      <c r="H286" s="627"/>
      <c r="I286" s="629"/>
      <c r="J286" s="18"/>
    </row>
    <row r="287" spans="2:13" ht="204">
      <c r="B287" s="59" t="s">
        <v>149</v>
      </c>
      <c r="C287" s="61" t="s">
        <v>0</v>
      </c>
      <c r="D287" s="125">
        <f>ROUNDUP((6 + D48 + D281)/2, 0)</f>
        <v>8</v>
      </c>
      <c r="E287" s="53" t="str">
        <f>DEC2HEX(((D287)*2^16),8)</f>
        <v>00080000</v>
      </c>
      <c r="F287" s="32" t="s">
        <v>960</v>
      </c>
      <c r="G287" s="627"/>
      <c r="H287" s="627"/>
      <c r="I287" s="629"/>
      <c r="J287" s="18"/>
    </row>
    <row r="288" spans="2:13" ht="91.5" customHeight="1">
      <c r="B288" s="59" t="s">
        <v>150</v>
      </c>
      <c r="C288" s="61" t="s">
        <v>0</v>
      </c>
      <c r="D288" s="62">
        <v>3</v>
      </c>
      <c r="E288" s="53" t="str">
        <f>DEC2HEX(((D288)*2^8),8)</f>
        <v>00000300</v>
      </c>
      <c r="F288" s="32" t="s">
        <v>961</v>
      </c>
      <c r="G288" s="627"/>
      <c r="H288" s="627"/>
      <c r="I288" s="629"/>
      <c r="J288" s="18"/>
    </row>
    <row r="289" spans="1:11" ht="96.75" customHeight="1" thickBot="1">
      <c r="B289" s="60" t="s">
        <v>151</v>
      </c>
      <c r="C289" s="63" t="s">
        <v>0</v>
      </c>
      <c r="D289" s="64">
        <v>3</v>
      </c>
      <c r="E289" s="54" t="str">
        <f>DEC2HEX(((D289)*2^0),8)</f>
        <v>00000003</v>
      </c>
      <c r="F289" s="34" t="s">
        <v>962</v>
      </c>
      <c r="G289" s="625"/>
      <c r="H289" s="625"/>
      <c r="I289" s="630"/>
      <c r="J289" s="18"/>
    </row>
    <row r="290" spans="1:11" ht="8.25" customHeight="1" thickBot="1">
      <c r="B290" s="76"/>
      <c r="C290" s="77"/>
      <c r="D290" s="78"/>
      <c r="E290" s="36"/>
      <c r="F290" s="73"/>
      <c r="G290" s="81"/>
      <c r="H290" s="81"/>
      <c r="I290" s="81"/>
      <c r="J290" s="18"/>
    </row>
    <row r="291" spans="1:11" ht="63.75">
      <c r="A291" s="240"/>
      <c r="B291" s="58" t="s">
        <v>248</v>
      </c>
      <c r="C291" s="93" t="s">
        <v>0</v>
      </c>
      <c r="D291" s="92">
        <f>(C134-5)</f>
        <v>31</v>
      </c>
      <c r="E291" s="238" t="str">
        <f>DEC2HEX(((D291)*2^8),8)</f>
        <v>00001F00</v>
      </c>
      <c r="F291" s="33" t="s">
        <v>359</v>
      </c>
      <c r="G291" s="626" t="s">
        <v>247</v>
      </c>
      <c r="H291" s="626" t="str">
        <f>"0x"&amp;DEC2HEX((HEX2DEC(C35)+436), 8)</f>
        <v>0x3D4001B4</v>
      </c>
      <c r="I291" s="653" t="str">
        <f>"0x"&amp;DEC2HEX((HEX2DEC(E291)+HEX2DEC(E292)), 8)</f>
        <v>0x00001F0E</v>
      </c>
      <c r="J291" s="18"/>
    </row>
    <row r="292" spans="1:11" ht="77.25" thickBot="1">
      <c r="A292" s="240"/>
      <c r="B292" s="60" t="s">
        <v>249</v>
      </c>
      <c r="C292" s="97" t="s">
        <v>0</v>
      </c>
      <c r="D292" s="164">
        <f>(C133+1-5)</f>
        <v>14</v>
      </c>
      <c r="E292" s="239" t="str">
        <f>DEC2HEX(((D292)*2^0),8)</f>
        <v>0000000E</v>
      </c>
      <c r="F292" s="34" t="s">
        <v>360</v>
      </c>
      <c r="G292" s="625"/>
      <c r="H292" s="625"/>
      <c r="I292" s="630"/>
      <c r="J292" s="18"/>
    </row>
    <row r="293" spans="1:11" ht="9" customHeight="1" thickBot="1">
      <c r="B293" s="76"/>
      <c r="C293" s="103"/>
      <c r="D293" s="78"/>
      <c r="E293" s="36"/>
      <c r="F293" s="73"/>
      <c r="G293" s="81"/>
      <c r="H293" s="81"/>
      <c r="I293" s="81"/>
      <c r="J293" s="18"/>
    </row>
    <row r="294" spans="1:11" ht="63.75">
      <c r="B294" s="58" t="s">
        <v>380</v>
      </c>
      <c r="C294" s="93" t="s">
        <v>0</v>
      </c>
      <c r="D294" s="57">
        <v>1</v>
      </c>
      <c r="E294" s="295" t="str">
        <f>DEC2HEX(((D294)*2^4),8)</f>
        <v>00000010</v>
      </c>
      <c r="F294" s="33" t="s">
        <v>358</v>
      </c>
      <c r="G294" s="626" t="s">
        <v>250</v>
      </c>
      <c r="H294" s="626" t="str">
        <f>"0x"&amp;DEC2HEX((HEX2DEC(C35)+432), 8)</f>
        <v>0x3D4001B0</v>
      </c>
      <c r="I294" s="628" t="str">
        <f>"0x"&amp;DEC2HEX((HEX2DEC(E295)+HEX2DEC(E296)+HEX2DEC(E297)+HEX2DEC(E294)), 8)</f>
        <v>0x00000011</v>
      </c>
      <c r="J294" s="18"/>
    </row>
    <row r="295" spans="1:11" ht="51">
      <c r="B295" s="59" t="s">
        <v>251</v>
      </c>
      <c r="C295" s="94" t="s">
        <v>0</v>
      </c>
      <c r="D295" s="126">
        <v>0</v>
      </c>
      <c r="E295" s="296" t="str">
        <f>DEC2HEX(((D295)*2^2),8)</f>
        <v>00000000</v>
      </c>
      <c r="F295" s="17" t="s">
        <v>254</v>
      </c>
      <c r="G295" s="627"/>
      <c r="H295" s="627"/>
      <c r="I295" s="629"/>
      <c r="J295" s="668"/>
      <c r="K295" s="666"/>
    </row>
    <row r="296" spans="1:11" ht="63.75">
      <c r="B296" s="59" t="s">
        <v>252</v>
      </c>
      <c r="C296" s="94" t="s">
        <v>0</v>
      </c>
      <c r="D296" s="126">
        <v>0</v>
      </c>
      <c r="E296" s="296" t="str">
        <f>DEC2HEX(((D296)*2^1),8)</f>
        <v>00000000</v>
      </c>
      <c r="F296" s="17" t="s">
        <v>255</v>
      </c>
      <c r="G296" s="627"/>
      <c r="H296" s="627"/>
      <c r="I296" s="629"/>
      <c r="J296" s="668"/>
      <c r="K296" s="666"/>
    </row>
    <row r="297" spans="1:11" ht="51.75" thickBot="1">
      <c r="B297" s="60" t="s">
        <v>253</v>
      </c>
      <c r="C297" s="97" t="s">
        <v>0</v>
      </c>
      <c r="D297" s="64">
        <v>1</v>
      </c>
      <c r="E297" s="297" t="str">
        <f>DEC2HEX(((D297)*2^0),8)</f>
        <v>00000001</v>
      </c>
      <c r="F297" s="34" t="s">
        <v>256</v>
      </c>
      <c r="G297" s="625"/>
      <c r="H297" s="625"/>
      <c r="I297" s="630"/>
      <c r="J297" s="668"/>
      <c r="K297" s="666"/>
    </row>
    <row r="298" spans="1:11" ht="6.75" customHeight="1" thickBot="1">
      <c r="B298" s="69"/>
      <c r="C298" s="70"/>
      <c r="D298" s="71"/>
      <c r="E298" s="72"/>
      <c r="F298" s="73"/>
      <c r="G298" s="36"/>
      <c r="H298" s="36"/>
      <c r="I298" s="55"/>
      <c r="J298" s="18"/>
    </row>
    <row r="299" spans="1:11" ht="102">
      <c r="B299" s="58" t="s">
        <v>152</v>
      </c>
      <c r="C299" s="65" t="s">
        <v>0</v>
      </c>
      <c r="D299" s="57">
        <v>1</v>
      </c>
      <c r="E299" s="52" t="str">
        <f>DEC2HEX(((D299)*2^31),8)</f>
        <v>80000000</v>
      </c>
      <c r="F299" s="133" t="s">
        <v>70</v>
      </c>
      <c r="G299" s="652" t="s">
        <v>54</v>
      </c>
      <c r="H299" s="652" t="str">
        <f>"0x"&amp;DEC2HEX((HEX2DEC(C35)+416), 8)</f>
        <v>0x3D4001A0</v>
      </c>
      <c r="I299" s="653" t="str">
        <f>"0x"&amp;DEC2HEX((HEX2DEC(E299)+HEX2DEC(E300)+HEX2DEC(E301)+HEX2DEC(E302)+HEX2DEC(E303)), 8)</f>
        <v>0xE0400018</v>
      </c>
      <c r="J299" s="18"/>
    </row>
    <row r="300" spans="1:11" ht="102">
      <c r="B300" s="59" t="s">
        <v>153</v>
      </c>
      <c r="C300" s="61" t="s">
        <v>0</v>
      </c>
      <c r="D300" s="62">
        <v>1</v>
      </c>
      <c r="E300" s="53" t="str">
        <f>DEC2HEX(((D300)*2^30),8)</f>
        <v>40000000</v>
      </c>
      <c r="F300" s="17" t="s">
        <v>69</v>
      </c>
      <c r="G300" s="627"/>
      <c r="H300" s="627"/>
      <c r="I300" s="629"/>
      <c r="J300" s="18"/>
    </row>
    <row r="301" spans="1:11" ht="76.5">
      <c r="B301" s="59" t="s">
        <v>381</v>
      </c>
      <c r="C301" s="61" t="s">
        <v>0</v>
      </c>
      <c r="D301" s="126">
        <v>1</v>
      </c>
      <c r="E301" s="312" t="str">
        <f>DEC2HEX(((D301)*2^29),8)</f>
        <v>20000000</v>
      </c>
      <c r="F301" s="247" t="s">
        <v>382</v>
      </c>
      <c r="G301" s="627"/>
      <c r="H301" s="627"/>
      <c r="I301" s="629"/>
      <c r="J301" s="18"/>
    </row>
    <row r="302" spans="1:11" ht="63.75">
      <c r="B302" s="75" t="s">
        <v>154</v>
      </c>
      <c r="C302" s="61" t="s">
        <v>0</v>
      </c>
      <c r="D302" s="62">
        <v>64</v>
      </c>
      <c r="E302" s="53" t="str">
        <f>DEC2HEX(((D302)*2^16),8)</f>
        <v>00400000</v>
      </c>
      <c r="F302" s="32" t="s">
        <v>67</v>
      </c>
      <c r="G302" s="627"/>
      <c r="H302" s="627"/>
      <c r="I302" s="629"/>
      <c r="J302" s="18"/>
    </row>
    <row r="303" spans="1:11" ht="105.75" customHeight="1" thickBot="1">
      <c r="B303" s="60" t="s">
        <v>155</v>
      </c>
      <c r="C303" s="63" t="s">
        <v>0</v>
      </c>
      <c r="D303" s="64">
        <v>24</v>
      </c>
      <c r="E303" s="54" t="str">
        <f>DEC2HEX(((D303)*2^0),8)</f>
        <v>00000018</v>
      </c>
      <c r="F303" s="34" t="s">
        <v>68</v>
      </c>
      <c r="G303" s="625"/>
      <c r="H303" s="625"/>
      <c r="I303" s="630"/>
      <c r="J303" s="18"/>
    </row>
    <row r="304" spans="1:11" ht="6" customHeight="1" thickBot="1">
      <c r="B304" s="69"/>
      <c r="C304" s="70"/>
      <c r="D304" s="71"/>
      <c r="E304" s="72"/>
      <c r="F304" s="73"/>
      <c r="G304" s="36"/>
      <c r="H304" s="36"/>
      <c r="I304" s="55"/>
      <c r="J304" s="18"/>
    </row>
    <row r="305" spans="2:10" ht="102">
      <c r="B305" s="58" t="s">
        <v>156</v>
      </c>
      <c r="C305" s="65" t="s">
        <v>0</v>
      </c>
      <c r="D305" s="209">
        <v>223</v>
      </c>
      <c r="E305" s="52" t="str">
        <f>DEC2HEX(((D305)*2^16),8)</f>
        <v>00DF0000</v>
      </c>
      <c r="F305" s="33" t="s">
        <v>66</v>
      </c>
      <c r="G305" s="652" t="s">
        <v>55</v>
      </c>
      <c r="H305" s="652" t="str">
        <f>"0x"&amp;DEC2HEX((HEX2DEC(C35)+420), 8)</f>
        <v>0x3D4001A4</v>
      </c>
      <c r="I305" s="653" t="str">
        <f>"0x"&amp;DEC2HEX((HEX2DEC(E305)+HEX2DEC(E306)), 8)</f>
        <v>0x00DF00E4</v>
      </c>
      <c r="J305" s="18"/>
    </row>
    <row r="306" spans="2:10" ht="153.75" thickBot="1">
      <c r="B306" s="60" t="s">
        <v>157</v>
      </c>
      <c r="C306" s="63" t="s">
        <v>0</v>
      </c>
      <c r="D306" s="64">
        <v>228</v>
      </c>
      <c r="E306" s="54" t="str">
        <f>DEC2HEX(((D306)*2^0),8)</f>
        <v>000000E4</v>
      </c>
      <c r="F306" s="34" t="s">
        <v>257</v>
      </c>
      <c r="G306" s="625"/>
      <c r="H306" s="625"/>
      <c r="I306" s="630"/>
      <c r="J306" s="18"/>
    </row>
    <row r="307" spans="2:10" ht="6.75" customHeight="1" thickBot="1">
      <c r="B307" s="69"/>
      <c r="C307" s="70"/>
      <c r="D307" s="71"/>
      <c r="E307" s="72"/>
      <c r="F307" s="73"/>
      <c r="G307" s="36"/>
      <c r="H307" s="36"/>
      <c r="I307" s="55"/>
      <c r="J307" s="18"/>
    </row>
    <row r="308" spans="2:10" ht="68.25" customHeight="1" thickBot="1">
      <c r="B308" s="258" t="s">
        <v>158</v>
      </c>
      <c r="C308" s="259" t="s">
        <v>0</v>
      </c>
      <c r="D308" s="260">
        <v>1</v>
      </c>
      <c r="E308" s="261" t="str">
        <f>DEC2HEX(((D308)*2^31),8)</f>
        <v>80000000</v>
      </c>
      <c r="F308" s="262" t="s">
        <v>65</v>
      </c>
      <c r="G308" s="261" t="s">
        <v>56</v>
      </c>
      <c r="H308" s="261" t="str">
        <f>"0x"&amp;DEC2HEX((HEX2DEC(C35)+424), 8)</f>
        <v>0x3D4001A8</v>
      </c>
      <c r="I308" s="263" t="str">
        <f>"0x"&amp;DEC2HEX((HEX2DEC(E308)), 8)</f>
        <v>0x80000000</v>
      </c>
      <c r="J308" s="340"/>
    </row>
    <row r="309" spans="2:10" ht="13.5" thickBot="1">
      <c r="B309" s="77"/>
      <c r="C309" s="77"/>
      <c r="D309" s="78"/>
      <c r="E309" s="113"/>
      <c r="F309" s="225"/>
      <c r="G309" s="226"/>
      <c r="H309" s="226"/>
      <c r="I309" s="226"/>
      <c r="J309" s="18"/>
    </row>
    <row r="310" spans="2:10" ht="102">
      <c r="B310" s="127" t="s">
        <v>302</v>
      </c>
      <c r="C310" s="93" t="s">
        <v>0</v>
      </c>
      <c r="D310" s="92">
        <f>IF(J27="Enabled", 1, 0)</f>
        <v>0</v>
      </c>
      <c r="E310" s="151" t="str">
        <f>DEC2HEX(((D310)*2^2),8)</f>
        <v>00000000</v>
      </c>
      <c r="F310" s="152" t="s">
        <v>305</v>
      </c>
      <c r="G310" s="657" t="s">
        <v>301</v>
      </c>
      <c r="H310" s="657" t="str">
        <f>"0x"&amp;DEC2HEX((HEX2DEC(C35)+448), 8)</f>
        <v>0x3D4001C0</v>
      </c>
      <c r="I310" s="689" t="str">
        <f>"0x"&amp;DEC2HEX((HEX2DEC(E310)+HEX2DEC(E311)+HEX2DEC(E312)), 8)</f>
        <v>0x00000001</v>
      </c>
      <c r="J310" s="18"/>
    </row>
    <row r="311" spans="2:10" ht="102">
      <c r="B311" s="128" t="s">
        <v>303</v>
      </c>
      <c r="C311" s="94" t="s">
        <v>0</v>
      </c>
      <c r="D311" s="232">
        <f>IF(J27="ENABLED", 1, 0)</f>
        <v>0</v>
      </c>
      <c r="E311" s="153" t="str">
        <f>DEC2HEX(((D311)*2^1),8)</f>
        <v>00000000</v>
      </c>
      <c r="F311" s="241" t="s">
        <v>306</v>
      </c>
      <c r="G311" s="638"/>
      <c r="H311" s="638"/>
      <c r="I311" s="641"/>
      <c r="J311" s="18"/>
    </row>
    <row r="312" spans="2:10" ht="115.5" thickBot="1">
      <c r="B312" s="148" t="s">
        <v>304</v>
      </c>
      <c r="C312" s="97" t="s">
        <v>0</v>
      </c>
      <c r="D312" s="64">
        <v>1</v>
      </c>
      <c r="E312" s="154" t="str">
        <f>DEC2HEX(((D312)*2^0),8)</f>
        <v>00000001</v>
      </c>
      <c r="F312" s="155" t="s">
        <v>307</v>
      </c>
      <c r="G312" s="639"/>
      <c r="H312" s="639"/>
      <c r="I312" s="642"/>
      <c r="J312" s="18"/>
    </row>
    <row r="313" spans="2:10" ht="6.75" customHeight="1" thickBot="1">
      <c r="B313" s="77"/>
      <c r="C313" s="103"/>
      <c r="D313" s="78"/>
      <c r="E313" s="113"/>
      <c r="F313" s="225"/>
      <c r="G313" s="226"/>
      <c r="H313" s="226"/>
      <c r="I313" s="226"/>
      <c r="J313" s="18"/>
    </row>
    <row r="314" spans="2:10" ht="51.75" thickBot="1">
      <c r="B314" s="258" t="s">
        <v>379</v>
      </c>
      <c r="C314" s="315" t="s">
        <v>0</v>
      </c>
      <c r="D314" s="260">
        <v>1</v>
      </c>
      <c r="E314" s="261" t="str">
        <f>DEC2HEX(((D314)*2^0),8)</f>
        <v>00000001</v>
      </c>
      <c r="F314" s="262" t="s">
        <v>1015</v>
      </c>
      <c r="G314" s="316" t="s">
        <v>378</v>
      </c>
      <c r="H314" s="317" t="str">
        <f>"0x"&amp;DEC2HEX((HEX2DEC(C35)+452), 8)</f>
        <v>0x3D4001C4</v>
      </c>
      <c r="I314" s="318" t="str">
        <f>"0x"&amp;DEC2HEX((HEX2DEC(E314)), 8)</f>
        <v>0x00000001</v>
      </c>
      <c r="J314" s="18"/>
    </row>
    <row r="315" spans="2:10" ht="13.5" thickBot="1">
      <c r="B315" s="77"/>
      <c r="C315" s="103"/>
      <c r="D315" s="78"/>
      <c r="E315" s="113"/>
      <c r="F315" s="225"/>
      <c r="G315" s="323"/>
      <c r="H315" s="226"/>
      <c r="I315" s="226"/>
      <c r="J315" s="18"/>
    </row>
    <row r="316" spans="2:10" ht="140.25">
      <c r="B316" s="127" t="s">
        <v>816</v>
      </c>
      <c r="C316" s="93" t="s">
        <v>0</v>
      </c>
      <c r="D316" s="57">
        <v>0</v>
      </c>
      <c r="E316" s="151" t="str">
        <f>DEC2HEX(((D316)*2^24),8)</f>
        <v>00000000</v>
      </c>
      <c r="F316" s="385" t="s">
        <v>827</v>
      </c>
      <c r="G316" s="634" t="s">
        <v>815</v>
      </c>
      <c r="H316" s="637" t="str">
        <f>"0x"&amp;DEC2HEX((HEX2DEC(C35)+592), 8)</f>
        <v>0x3D400250</v>
      </c>
      <c r="I316" s="640" t="str">
        <f>"0x"&amp;DEC2HEX((HEX2DEC(E316)+HEX2DEC(E317)+HEX2DEC(E318)+HEX2DEC(E319)+HEX2DEC(E320)+HEX2DEC(E321) ), 8)</f>
        <v>0x00001705</v>
      </c>
      <c r="J316" s="18"/>
    </row>
    <row r="317" spans="2:10" ht="25.5">
      <c r="B317" s="128" t="s">
        <v>817</v>
      </c>
      <c r="C317" s="94" t="s">
        <v>0</v>
      </c>
      <c r="D317" s="126">
        <v>0</v>
      </c>
      <c r="E317" s="153" t="str">
        <f>DEC2HEX(((D317)*2^16),8)</f>
        <v>00000000</v>
      </c>
      <c r="F317" s="386" t="s">
        <v>826</v>
      </c>
      <c r="G317" s="635"/>
      <c r="H317" s="638"/>
      <c r="I317" s="641"/>
      <c r="J317" s="18"/>
    </row>
    <row r="318" spans="2:10" ht="153">
      <c r="B318" s="128" t="s">
        <v>818</v>
      </c>
      <c r="C318" s="94" t="s">
        <v>0</v>
      </c>
      <c r="D318" s="126">
        <v>23</v>
      </c>
      <c r="E318" s="153" t="str">
        <f>DEC2HEX(((D318)*2^8),8)</f>
        <v>00001700</v>
      </c>
      <c r="F318" s="386" t="s">
        <v>825</v>
      </c>
      <c r="G318" s="635"/>
      <c r="H318" s="638"/>
      <c r="I318" s="641"/>
      <c r="J318" s="18"/>
    </row>
    <row r="319" spans="2:10" ht="216.75">
      <c r="B319" s="128" t="s">
        <v>819</v>
      </c>
      <c r="C319" s="94" t="s">
        <v>0</v>
      </c>
      <c r="D319" s="126">
        <v>1</v>
      </c>
      <c r="E319" s="153" t="str">
        <f>DEC2HEX(((D319)*2^2),8)</f>
        <v>00000004</v>
      </c>
      <c r="F319" s="386" t="s">
        <v>824</v>
      </c>
      <c r="G319" s="635"/>
      <c r="H319" s="638"/>
      <c r="I319" s="641"/>
      <c r="J319" s="18"/>
    </row>
    <row r="320" spans="2:10" ht="38.25">
      <c r="B320" s="128" t="s">
        <v>820</v>
      </c>
      <c r="C320" s="94" t="s">
        <v>0</v>
      </c>
      <c r="D320" s="126">
        <v>0</v>
      </c>
      <c r="E320" s="153" t="str">
        <f>DEC2HEX(((D320)*2^1),8)</f>
        <v>00000000</v>
      </c>
      <c r="F320" s="386" t="s">
        <v>823</v>
      </c>
      <c r="G320" s="635"/>
      <c r="H320" s="638"/>
      <c r="I320" s="641"/>
      <c r="J320" s="18"/>
    </row>
    <row r="321" spans="2:10" ht="115.5" thickBot="1">
      <c r="B321" s="148" t="s">
        <v>821</v>
      </c>
      <c r="C321" s="97" t="s">
        <v>0</v>
      </c>
      <c r="D321" s="64">
        <v>1</v>
      </c>
      <c r="E321" s="154" t="str">
        <f>DEC2HEX(((D321)*2^0),8)</f>
        <v>00000001</v>
      </c>
      <c r="F321" s="387" t="s">
        <v>822</v>
      </c>
      <c r="G321" s="636"/>
      <c r="H321" s="639"/>
      <c r="I321" s="642"/>
      <c r="J321" s="18"/>
    </row>
    <row r="322" spans="2:10" ht="13.5" thickBot="1">
      <c r="B322" s="77"/>
      <c r="C322" s="103"/>
      <c r="D322" s="78"/>
      <c r="E322" s="113"/>
      <c r="F322" s="225"/>
      <c r="G322" s="323"/>
      <c r="H322" s="226"/>
      <c r="I322" s="226"/>
      <c r="J322" s="18"/>
    </row>
    <row r="323" spans="2:10" ht="204.75" thickBot="1">
      <c r="B323" s="258" t="s">
        <v>828</v>
      </c>
      <c r="C323" s="315" t="s">
        <v>0</v>
      </c>
      <c r="D323" s="260">
        <v>44</v>
      </c>
      <c r="E323" s="261" t="str">
        <f>DEC2HEX(((D323)*2^0),8)</f>
        <v>0000002C</v>
      </c>
      <c r="F323" s="388" t="s">
        <v>829</v>
      </c>
      <c r="G323" s="316" t="s">
        <v>830</v>
      </c>
      <c r="H323" s="317" t="str">
        <f>"0x"&amp;DEC2HEX((HEX2DEC(C35)+596), 8)</f>
        <v>0x3D400254</v>
      </c>
      <c r="I323" s="318" t="str">
        <f>"0x"&amp;DEC2HEX((HEX2DEC(E323)), 8)</f>
        <v>0x0000002C</v>
      </c>
      <c r="J323" s="18"/>
    </row>
    <row r="324" spans="2:10" ht="13.5" thickBot="1">
      <c r="B324" s="77"/>
      <c r="C324" s="103"/>
      <c r="D324" s="78"/>
      <c r="E324" s="113"/>
      <c r="F324" s="389"/>
      <c r="G324" s="323"/>
      <c r="H324" s="226"/>
      <c r="I324" s="226"/>
      <c r="J324" s="18"/>
    </row>
    <row r="325" spans="2:10" ht="92.25">
      <c r="B325" s="127" t="s">
        <v>1206</v>
      </c>
      <c r="C325" s="93" t="s">
        <v>0</v>
      </c>
      <c r="D325" s="57">
        <v>4</v>
      </c>
      <c r="E325" s="151" t="str">
        <f>DEC2HEX(((D325)*2^24),8)</f>
        <v>04000000</v>
      </c>
      <c r="F325" s="385" t="s">
        <v>1208</v>
      </c>
      <c r="G325" s="643" t="s">
        <v>1210</v>
      </c>
      <c r="H325" s="646" t="str">
        <f>"0x"&amp;DEC2HEX((HEX2DEC(C35)+604), 8)</f>
        <v>0x3D40025C</v>
      </c>
      <c r="I325" s="649" t="str">
        <f>"0x"&amp;DEC2HEX((HEX2DEC(E325)+HEX2DEC(E326)), 8)</f>
        <v>0x04000030</v>
      </c>
      <c r="J325" s="18"/>
    </row>
    <row r="326" spans="2:10" ht="90" thickBot="1">
      <c r="B326" s="148" t="s">
        <v>1207</v>
      </c>
      <c r="C326" s="97" t="s">
        <v>0</v>
      </c>
      <c r="D326" s="64">
        <v>48</v>
      </c>
      <c r="E326" s="154" t="str">
        <f>DEC2HEX(((D326)*2^0),8)</f>
        <v>00000030</v>
      </c>
      <c r="F326" s="387" t="s">
        <v>1209</v>
      </c>
      <c r="G326" s="645"/>
      <c r="H326" s="648"/>
      <c r="I326" s="651"/>
      <c r="J326" s="18"/>
    </row>
    <row r="327" spans="2:10" ht="13.5" thickBot="1">
      <c r="B327" s="77"/>
      <c r="C327" s="103"/>
      <c r="D327" s="78"/>
      <c r="E327" s="113"/>
      <c r="F327" s="389"/>
      <c r="G327" s="323"/>
      <c r="H327" s="226"/>
      <c r="I327" s="226"/>
      <c r="J327" s="18"/>
    </row>
    <row r="328" spans="2:10" ht="89.25">
      <c r="B328" s="127" t="s">
        <v>832</v>
      </c>
      <c r="C328" s="93" t="s">
        <v>0</v>
      </c>
      <c r="D328" s="57">
        <v>144</v>
      </c>
      <c r="E328" s="151" t="str">
        <f>DEC2HEX(((D328)*2^24),8)</f>
        <v>90000000</v>
      </c>
      <c r="F328" s="385" t="s">
        <v>834</v>
      </c>
      <c r="G328" s="643" t="s">
        <v>831</v>
      </c>
      <c r="H328" s="646" t="str">
        <f>"0x"&amp;DEC2HEX((HEX2DEC(C35)+612), 8)</f>
        <v>0x3D400264</v>
      </c>
      <c r="I328" s="649" t="str">
        <f>"0x"&amp;DEC2HEX((HEX2DEC(E328)+HEX2DEC(E329)), 8)</f>
        <v>0x900093E7</v>
      </c>
      <c r="J328" s="18"/>
    </row>
    <row r="329" spans="2:10" ht="90" thickBot="1">
      <c r="B329" s="148" t="s">
        <v>833</v>
      </c>
      <c r="C329" s="97" t="s">
        <v>0</v>
      </c>
      <c r="D329" s="64">
        <v>37863</v>
      </c>
      <c r="E329" s="154" t="str">
        <f>DEC2HEX(((D329)*2^0),8)</f>
        <v>000093E7</v>
      </c>
      <c r="F329" s="387" t="s">
        <v>835</v>
      </c>
      <c r="G329" s="645"/>
      <c r="H329" s="648"/>
      <c r="I329" s="651"/>
      <c r="J329" s="18"/>
    </row>
    <row r="330" spans="2:10" ht="13.5" thickBot="1">
      <c r="B330" s="77"/>
      <c r="C330" s="103"/>
      <c r="D330" s="78"/>
      <c r="E330" s="113"/>
      <c r="F330" s="389"/>
      <c r="G330" s="323"/>
      <c r="H330" s="226"/>
      <c r="I330" s="226"/>
      <c r="J330" s="18"/>
    </row>
    <row r="331" spans="2:10" ht="89.25">
      <c r="B331" s="127" t="s">
        <v>837</v>
      </c>
      <c r="C331" s="93" t="s">
        <v>0</v>
      </c>
      <c r="D331" s="57">
        <v>2</v>
      </c>
      <c r="E331" s="151" t="str">
        <f>DEC2HEX(((D331)*2^24),8)</f>
        <v>02000000</v>
      </c>
      <c r="F331" s="385" t="s">
        <v>839</v>
      </c>
      <c r="G331" s="643" t="s">
        <v>836</v>
      </c>
      <c r="H331" s="646" t="str">
        <f>"0x"&amp;DEC2HEX((HEX2DEC(C35)+620), 8)</f>
        <v>0x3D40026C</v>
      </c>
      <c r="I331" s="649" t="str">
        <f>"0x"&amp;DEC2HEX((HEX2DEC(E331)+HEX2DEC(E332)), 8)</f>
        <v>0x02005574</v>
      </c>
      <c r="J331" s="18"/>
    </row>
    <row r="332" spans="2:10" ht="90" thickBot="1">
      <c r="B332" s="148" t="s">
        <v>838</v>
      </c>
      <c r="C332" s="97" t="s">
        <v>0</v>
      </c>
      <c r="D332" s="64">
        <v>21876</v>
      </c>
      <c r="E332" s="154" t="str">
        <f>DEC2HEX(((D332)*2^0),8)</f>
        <v>00005574</v>
      </c>
      <c r="F332" s="387" t="s">
        <v>840</v>
      </c>
      <c r="G332" s="645"/>
      <c r="H332" s="648"/>
      <c r="I332" s="651"/>
      <c r="J332" s="18"/>
    </row>
    <row r="333" spans="2:10" ht="13.5" thickBot="1">
      <c r="B333" s="77"/>
      <c r="C333" s="103"/>
      <c r="D333" s="78"/>
      <c r="E333" s="113"/>
      <c r="F333" s="389"/>
      <c r="G333" s="323"/>
      <c r="H333" s="226"/>
      <c r="I333" s="226"/>
      <c r="J333" s="18"/>
    </row>
    <row r="334" spans="2:10" ht="246" customHeight="1">
      <c r="B334" s="127" t="s">
        <v>842</v>
      </c>
      <c r="C334" s="93" t="s">
        <v>0</v>
      </c>
      <c r="D334" s="57">
        <v>1</v>
      </c>
      <c r="E334" s="151" t="str">
        <f>DEC2HEX(((D334)*2^8),8)</f>
        <v>00000100</v>
      </c>
      <c r="F334" s="385" t="s">
        <v>847</v>
      </c>
      <c r="G334" s="634" t="s">
        <v>841</v>
      </c>
      <c r="H334" s="637" t="str">
        <f>"0x"&amp;DEC2HEX((HEX2DEC(C35)+1024), 8)</f>
        <v>0x3D400400</v>
      </c>
      <c r="I334" s="640" t="str">
        <f>"0x"&amp;DEC2HEX((HEX2DEC(E334)+HEX2DEC(E335)+HEX2DEC(E336)), 8)</f>
        <v>0x00000111</v>
      </c>
      <c r="J334" s="18"/>
    </row>
    <row r="335" spans="2:10" ht="63.75">
      <c r="B335" s="128" t="s">
        <v>843</v>
      </c>
      <c r="C335" s="94" t="s">
        <v>0</v>
      </c>
      <c r="D335" s="126">
        <v>1</v>
      </c>
      <c r="E335" s="153" t="str">
        <f>DEC2HEX(((D335)*2^4),8)</f>
        <v>00000010</v>
      </c>
      <c r="F335" s="386" t="s">
        <v>846</v>
      </c>
      <c r="G335" s="635"/>
      <c r="H335" s="638"/>
      <c r="I335" s="641"/>
      <c r="J335" s="18"/>
    </row>
    <row r="336" spans="2:10" ht="90" thickBot="1">
      <c r="B336" s="148" t="s">
        <v>844</v>
      </c>
      <c r="C336" s="97" t="s">
        <v>0</v>
      </c>
      <c r="D336" s="64">
        <v>1</v>
      </c>
      <c r="E336" s="154" t="str">
        <f>DEC2HEX(((D336)*2^0),8)</f>
        <v>00000001</v>
      </c>
      <c r="F336" s="387" t="s">
        <v>845</v>
      </c>
      <c r="G336" s="636"/>
      <c r="H336" s="639"/>
      <c r="I336" s="642"/>
      <c r="J336" s="18"/>
    </row>
    <row r="337" spans="2:10" ht="13.5" thickBot="1">
      <c r="B337" s="77"/>
      <c r="C337" s="103"/>
      <c r="D337" s="78"/>
      <c r="E337" s="113"/>
      <c r="F337" s="389"/>
      <c r="G337" s="323"/>
      <c r="H337" s="226"/>
      <c r="I337" s="226"/>
      <c r="J337" s="18"/>
    </row>
    <row r="338" spans="2:10" ht="114.75">
      <c r="B338" s="127" t="s">
        <v>943</v>
      </c>
      <c r="C338" s="93" t="s">
        <v>0</v>
      </c>
      <c r="D338" s="57">
        <v>0</v>
      </c>
      <c r="E338" s="151" t="str">
        <f>DEC2HEX(((D338)*2^16),8)</f>
        <v>00000000</v>
      </c>
      <c r="F338" s="385" t="s">
        <v>949</v>
      </c>
      <c r="G338" s="634" t="s">
        <v>955</v>
      </c>
      <c r="H338" s="637" t="str">
        <f>"0x"&amp;DEC2HEX((HEX2DEC(C35)+1028), 8)</f>
        <v>0x3D400404</v>
      </c>
      <c r="I338" s="640" t="str">
        <f>"0x"&amp;DEC2HEX((HEX2DEC(E338)+HEX2DEC(E339)+HEX2DEC(E340)+HEX2DEC(E341)+HEX2DEC(E342)+HEX2DEC(E343)), 8)</f>
        <v>0x000072FF</v>
      </c>
      <c r="J338" s="18"/>
    </row>
    <row r="339" spans="2:10" ht="51">
      <c r="B339" s="128" t="s">
        <v>944</v>
      </c>
      <c r="C339" s="94" t="s">
        <v>0</v>
      </c>
      <c r="D339" s="126">
        <v>1</v>
      </c>
      <c r="E339" s="153" t="str">
        <f>DEC2HEX(((D339)*2^14),8)</f>
        <v>00004000</v>
      </c>
      <c r="F339" s="386" t="s">
        <v>950</v>
      </c>
      <c r="G339" s="635"/>
      <c r="H339" s="638"/>
      <c r="I339" s="641"/>
      <c r="J339" s="18"/>
    </row>
    <row r="340" spans="2:10" ht="89.25">
      <c r="B340" s="128" t="s">
        <v>945</v>
      </c>
      <c r="C340" s="94" t="s">
        <v>0</v>
      </c>
      <c r="D340" s="126">
        <v>1</v>
      </c>
      <c r="E340" s="153" t="str">
        <f>DEC2HEX(((D340)*2^13),8)</f>
        <v>00002000</v>
      </c>
      <c r="F340" s="386" t="s">
        <v>951</v>
      </c>
      <c r="G340" s="635"/>
      <c r="H340" s="638"/>
      <c r="I340" s="641"/>
      <c r="J340" s="18"/>
    </row>
    <row r="341" spans="2:10">
      <c r="B341" s="128" t="s">
        <v>946</v>
      </c>
      <c r="C341" s="94" t="s">
        <v>0</v>
      </c>
      <c r="D341" s="126">
        <v>1</v>
      </c>
      <c r="E341" s="153" t="str">
        <f>DEC2HEX(((D341)*2^12),8)</f>
        <v>00001000</v>
      </c>
      <c r="F341" s="386" t="s">
        <v>952</v>
      </c>
      <c r="G341" s="635"/>
      <c r="H341" s="638"/>
      <c r="I341" s="641"/>
      <c r="J341" s="18"/>
    </row>
    <row r="342" spans="2:10" ht="25.5">
      <c r="B342" s="128" t="s">
        <v>947</v>
      </c>
      <c r="C342" s="94" t="s">
        <v>0</v>
      </c>
      <c r="D342" s="126">
        <v>0</v>
      </c>
      <c r="E342" s="153" t="str">
        <f>DEC2HEX(((D342)*2^11),8)</f>
        <v>00000000</v>
      </c>
      <c r="F342" s="386" t="s">
        <v>953</v>
      </c>
      <c r="G342" s="635"/>
      <c r="H342" s="638"/>
      <c r="I342" s="641"/>
      <c r="J342" s="18"/>
    </row>
    <row r="343" spans="2:10" ht="217.5" thickBot="1">
      <c r="B343" s="148" t="s">
        <v>948</v>
      </c>
      <c r="C343" s="97" t="s">
        <v>0</v>
      </c>
      <c r="D343" s="64">
        <v>767</v>
      </c>
      <c r="E343" s="154" t="str">
        <f>DEC2HEX(((D343)*2^0),8)</f>
        <v>000002FF</v>
      </c>
      <c r="F343" s="387" t="s">
        <v>954</v>
      </c>
      <c r="G343" s="636"/>
      <c r="H343" s="639"/>
      <c r="I343" s="642"/>
      <c r="J343" s="18"/>
    </row>
    <row r="344" spans="2:10">
      <c r="B344" s="77"/>
      <c r="C344" s="103"/>
      <c r="D344" s="78"/>
      <c r="E344" s="113"/>
      <c r="F344" s="389"/>
      <c r="G344" s="323"/>
      <c r="H344" s="226"/>
      <c r="I344" s="226"/>
      <c r="J344" s="18"/>
    </row>
    <row r="345" spans="2:10" ht="13.5" thickBot="1">
      <c r="B345" s="77"/>
      <c r="C345" s="103"/>
      <c r="D345" s="78"/>
      <c r="E345" s="113"/>
      <c r="F345" s="389"/>
      <c r="G345" s="323"/>
      <c r="H345" s="226"/>
      <c r="I345" s="226"/>
      <c r="J345" s="18"/>
    </row>
    <row r="346" spans="2:10" ht="63.75">
      <c r="B346" s="127" t="s">
        <v>848</v>
      </c>
      <c r="C346" s="93" t="s">
        <v>0</v>
      </c>
      <c r="D346" s="57">
        <v>1</v>
      </c>
      <c r="E346" s="151" t="str">
        <f>DEC2HEX(((D346)*2^14),8)</f>
        <v>00004000</v>
      </c>
      <c r="F346" s="385" t="s">
        <v>852</v>
      </c>
      <c r="G346" s="634" t="s">
        <v>856</v>
      </c>
      <c r="H346" s="637" t="str">
        <f>"0x"&amp;DEC2HEX((HEX2DEC(C35)+1032), 8)</f>
        <v>0x3D400408</v>
      </c>
      <c r="I346" s="640" t="str">
        <f>"0x"&amp;DEC2HEX((HEX2DEC(E346)+HEX2DEC(E347)+HEX2DEC(E348)+HEX2DEC(E349)), 8)</f>
        <v>0x000072FF</v>
      </c>
      <c r="J346" s="18"/>
    </row>
    <row r="347" spans="2:10" ht="102">
      <c r="B347" s="128" t="s">
        <v>849</v>
      </c>
      <c r="C347" s="94" t="s">
        <v>0</v>
      </c>
      <c r="D347" s="126">
        <v>1</v>
      </c>
      <c r="E347" s="153" t="str">
        <f>DEC2HEX(((D347)*2^13),8)</f>
        <v>00002000</v>
      </c>
      <c r="F347" s="386" t="s">
        <v>853</v>
      </c>
      <c r="G347" s="635"/>
      <c r="H347" s="638"/>
      <c r="I347" s="641"/>
      <c r="J347" s="18"/>
    </row>
    <row r="348" spans="2:10" ht="25.5">
      <c r="B348" s="128" t="s">
        <v>850</v>
      </c>
      <c r="C348" s="94" t="s">
        <v>0</v>
      </c>
      <c r="D348" s="126">
        <v>1</v>
      </c>
      <c r="E348" s="153" t="str">
        <f>DEC2HEX(((D348)*2^12),8)</f>
        <v>00001000</v>
      </c>
      <c r="F348" s="390" t="s">
        <v>855</v>
      </c>
      <c r="G348" s="635"/>
      <c r="H348" s="638"/>
      <c r="I348" s="641"/>
      <c r="J348" s="18"/>
    </row>
    <row r="349" spans="2:10" ht="192" thickBot="1">
      <c r="B349" s="148" t="s">
        <v>851</v>
      </c>
      <c r="C349" s="97" t="s">
        <v>0</v>
      </c>
      <c r="D349" s="64">
        <v>767</v>
      </c>
      <c r="E349" s="154" t="str">
        <f>DEC2HEX(((D349)*2^0),8)</f>
        <v>000002FF</v>
      </c>
      <c r="F349" s="387" t="s">
        <v>854</v>
      </c>
      <c r="G349" s="636"/>
      <c r="H349" s="639"/>
      <c r="I349" s="642"/>
      <c r="J349" s="18"/>
    </row>
    <row r="350" spans="2:10" ht="13.5" thickBot="1">
      <c r="B350" s="77"/>
      <c r="C350" s="103"/>
      <c r="D350" s="78"/>
      <c r="E350" s="113"/>
      <c r="F350" s="389"/>
      <c r="G350" s="323"/>
      <c r="H350" s="226"/>
      <c r="I350" s="226"/>
      <c r="J350" s="18"/>
    </row>
    <row r="351" spans="2:10" ht="89.25">
      <c r="B351" s="127" t="s">
        <v>858</v>
      </c>
      <c r="C351" s="93" t="s">
        <v>0</v>
      </c>
      <c r="D351" s="57">
        <v>2</v>
      </c>
      <c r="E351" s="151" t="str">
        <f>DEC2HEX(((D351)*2^24),8)</f>
        <v>02000000</v>
      </c>
      <c r="F351" s="385" t="s">
        <v>859</v>
      </c>
      <c r="G351" s="634" t="s">
        <v>857</v>
      </c>
      <c r="H351" s="637" t="str">
        <f>"0x"&amp;DEC2HEX((HEX2DEC(C35)+1172), 8)</f>
        <v>0x3D400494</v>
      </c>
      <c r="I351" s="640" t="str">
        <f>"0x"&amp;DEC2HEX((HEX2DEC(E351)+HEX2DEC(E352)+HEX2DEC(E353)+HEX2DEC(E354)+HEX2DEC(E355)), 8)</f>
        <v>0x02100E07</v>
      </c>
      <c r="J351" s="18"/>
    </row>
    <row r="352" spans="2:10" ht="127.5">
      <c r="B352" s="128" t="s">
        <v>860</v>
      </c>
      <c r="C352" s="94" t="s">
        <v>0</v>
      </c>
      <c r="D352" s="126">
        <v>1</v>
      </c>
      <c r="E352" s="153" t="str">
        <f>DEC2HEX(((D352)*2^20),8)</f>
        <v>00100000</v>
      </c>
      <c r="F352" s="386" t="s">
        <v>865</v>
      </c>
      <c r="G352" s="635"/>
      <c r="H352" s="638"/>
      <c r="I352" s="641"/>
      <c r="J352" s="18"/>
    </row>
    <row r="353" spans="1:10" ht="127.5">
      <c r="B353" s="128" t="s">
        <v>861</v>
      </c>
      <c r="C353" s="94" t="s">
        <v>0</v>
      </c>
      <c r="D353" s="126">
        <v>0</v>
      </c>
      <c r="E353" s="153" t="str">
        <f>DEC2HEX(((D353)*2^16),8)</f>
        <v>00000000</v>
      </c>
      <c r="F353" s="386" t="s">
        <v>866</v>
      </c>
      <c r="G353" s="635"/>
      <c r="H353" s="638"/>
      <c r="I353" s="641"/>
      <c r="J353" s="18"/>
    </row>
    <row r="354" spans="1:10" ht="89.25">
      <c r="B354" s="128" t="s">
        <v>862</v>
      </c>
      <c r="C354" s="94" t="s">
        <v>0</v>
      </c>
      <c r="D354" s="126">
        <v>14</v>
      </c>
      <c r="E354" s="153" t="str">
        <f>DEC2HEX(((D354)*2^8),8)</f>
        <v>00000E00</v>
      </c>
      <c r="F354" s="386" t="s">
        <v>867</v>
      </c>
      <c r="G354" s="635"/>
      <c r="H354" s="638"/>
      <c r="I354" s="641"/>
      <c r="J354" s="18"/>
    </row>
    <row r="355" spans="1:10" ht="90" thickBot="1">
      <c r="B355" s="148" t="s">
        <v>863</v>
      </c>
      <c r="C355" s="97" t="s">
        <v>0</v>
      </c>
      <c r="D355" s="64">
        <v>7</v>
      </c>
      <c r="E355" s="154" t="str">
        <f>DEC2HEX(((D355)*2^0),8)</f>
        <v>00000007</v>
      </c>
      <c r="F355" s="387" t="s">
        <v>864</v>
      </c>
      <c r="G355" s="636"/>
      <c r="H355" s="639"/>
      <c r="I355" s="642"/>
      <c r="J355" s="18"/>
    </row>
    <row r="356" spans="1:10" ht="13.5" thickBot="1">
      <c r="B356" s="77"/>
      <c r="C356" s="103"/>
      <c r="D356" s="78"/>
      <c r="E356" s="113"/>
      <c r="F356" s="389"/>
      <c r="G356" s="323"/>
      <c r="H356" s="226"/>
      <c r="I356" s="226"/>
      <c r="J356" s="18"/>
    </row>
    <row r="357" spans="1:10" ht="38.25">
      <c r="B357" s="127" t="s">
        <v>869</v>
      </c>
      <c r="C357" s="93" t="s">
        <v>0</v>
      </c>
      <c r="D357" s="57">
        <v>98</v>
      </c>
      <c r="E357" s="151" t="str">
        <f>DEC2HEX(((D357)*2^16),8)</f>
        <v>00620000</v>
      </c>
      <c r="F357" s="385" t="s">
        <v>871</v>
      </c>
      <c r="G357" s="634" t="s">
        <v>868</v>
      </c>
      <c r="H357" s="637" t="str">
        <f>"0x"&amp;DEC2HEX((HEX2DEC(C35)+1176), 8)</f>
        <v>0x3D400498</v>
      </c>
      <c r="I357" s="640" t="str">
        <f>"0x"&amp;DEC2HEX((HEX2DEC(E357)+HEX2DEC(E358)), 8)</f>
        <v>0x00620096</v>
      </c>
      <c r="J357" s="18"/>
    </row>
    <row r="358" spans="1:10" ht="39" thickBot="1">
      <c r="B358" s="148" t="s">
        <v>870</v>
      </c>
      <c r="C358" s="97" t="s">
        <v>0</v>
      </c>
      <c r="D358" s="64">
        <v>150</v>
      </c>
      <c r="E358" s="154" t="str">
        <f>DEC2HEX(((D358)*2^0),8)</f>
        <v>00000096</v>
      </c>
      <c r="F358" s="387" t="s">
        <v>872</v>
      </c>
      <c r="G358" s="636"/>
      <c r="H358" s="639"/>
      <c r="I358" s="642"/>
      <c r="J358" s="18"/>
    </row>
    <row r="359" spans="1:10" ht="13.5" thickBot="1">
      <c r="B359" s="77"/>
      <c r="C359" s="103"/>
      <c r="D359" s="78"/>
      <c r="E359" s="113"/>
      <c r="F359" s="389"/>
      <c r="G359" s="323"/>
      <c r="H359" s="226"/>
      <c r="I359" s="226"/>
      <c r="J359" s="18"/>
    </row>
    <row r="360" spans="1:10" ht="76.5">
      <c r="B360" s="127" t="s">
        <v>1060</v>
      </c>
      <c r="C360" s="93" t="s">
        <v>0</v>
      </c>
      <c r="D360" s="57">
        <v>1</v>
      </c>
      <c r="E360" s="151" t="str">
        <f>DEC2HEX(((D360)*2^24),8)</f>
        <v>01000000</v>
      </c>
      <c r="F360" s="385" t="s">
        <v>1061</v>
      </c>
      <c r="G360" s="643" t="s">
        <v>879</v>
      </c>
      <c r="H360" s="646" t="str">
        <f>"0x"&amp;DEC2HEX((HEX2DEC(C35)+1180), 8)</f>
        <v>0x3D40049C</v>
      </c>
      <c r="I360" s="649" t="str">
        <f>"0x"&amp;DEC2HEX((HEX2DEC(E360)+HEX2DEC(E361)+HEX2DEC(E362)+HEX2DEC(E363)), 8)</f>
        <v>0x01100E07</v>
      </c>
      <c r="J360" s="18"/>
    </row>
    <row r="361" spans="1:10" ht="76.5">
      <c r="B361" s="128" t="s">
        <v>873</v>
      </c>
      <c r="C361" s="94" t="s">
        <v>0</v>
      </c>
      <c r="D361" s="126">
        <v>1</v>
      </c>
      <c r="E361" s="153" t="str">
        <f>DEC2HEX(((D361)*2^20),8)</f>
        <v>00100000</v>
      </c>
      <c r="F361" s="386" t="s">
        <v>878</v>
      </c>
      <c r="G361" s="644"/>
      <c r="H361" s="647"/>
      <c r="I361" s="650"/>
      <c r="J361" s="18"/>
    </row>
    <row r="362" spans="1:10" ht="76.5">
      <c r="B362" s="128" t="s">
        <v>874</v>
      </c>
      <c r="C362" s="94" t="s">
        <v>0</v>
      </c>
      <c r="D362" s="126">
        <v>0</v>
      </c>
      <c r="E362" s="153" t="str">
        <f>DEC2HEX(((D362)*2^16),8)</f>
        <v>00000000</v>
      </c>
      <c r="F362" s="386" t="s">
        <v>877</v>
      </c>
      <c r="G362" s="644"/>
      <c r="H362" s="647"/>
      <c r="I362" s="650"/>
      <c r="J362" s="18"/>
    </row>
    <row r="363" spans="1:10" ht="64.5" thickBot="1">
      <c r="B363" s="148" t="s">
        <v>875</v>
      </c>
      <c r="C363" s="97" t="s">
        <v>0</v>
      </c>
      <c r="D363" s="64">
        <v>3591</v>
      </c>
      <c r="E363" s="154" t="str">
        <f>DEC2HEX(((D363)*2^0),8)</f>
        <v>00000E07</v>
      </c>
      <c r="F363" s="387" t="s">
        <v>876</v>
      </c>
      <c r="G363" s="645"/>
      <c r="H363" s="648"/>
      <c r="I363" s="651"/>
      <c r="J363" s="18"/>
    </row>
    <row r="364" spans="1:10" ht="13.5" thickBot="1">
      <c r="B364" s="77"/>
      <c r="C364" s="103"/>
      <c r="D364" s="78"/>
      <c r="E364" s="113"/>
      <c r="F364" s="389"/>
      <c r="G364" s="323"/>
      <c r="H364" s="226"/>
      <c r="I364" s="226"/>
      <c r="J364" s="18"/>
    </row>
    <row r="365" spans="1:10" ht="26.25" thickBot="1">
      <c r="B365" s="258" t="s">
        <v>880</v>
      </c>
      <c r="C365" s="315" t="s">
        <v>0</v>
      </c>
      <c r="D365" s="260">
        <v>13107500</v>
      </c>
      <c r="E365" s="261" t="str">
        <f>DEC2HEX(((D365)*2^0),8)</f>
        <v>00C8012C</v>
      </c>
      <c r="F365" s="388" t="s">
        <v>881</v>
      </c>
      <c r="G365" s="316" t="s">
        <v>1059</v>
      </c>
      <c r="H365" s="317" t="str">
        <f>"0x"&amp;DEC2HEX((HEX2DEC(C35)+1184), 8)</f>
        <v>0x3D4004A0</v>
      </c>
      <c r="I365" s="318" t="str">
        <f>"0x"&amp;DEC2HEX((HEX2DEC(E365)), 8)</f>
        <v>0x00C8012C</v>
      </c>
      <c r="J365" s="18"/>
    </row>
    <row r="366" spans="1:10">
      <c r="B366" s="77"/>
      <c r="C366" s="103"/>
      <c r="D366" s="78"/>
      <c r="E366" s="113"/>
      <c r="F366" s="389"/>
      <c r="G366" s="323"/>
      <c r="H366" s="226"/>
      <c r="I366" s="226"/>
      <c r="J366" s="18"/>
    </row>
    <row r="367" spans="1:10" ht="13.5" thickBot="1">
      <c r="B367" s="77"/>
      <c r="C367" s="103"/>
      <c r="D367" s="78"/>
      <c r="E367" s="113"/>
      <c r="F367" s="225"/>
      <c r="G367" s="323"/>
      <c r="H367" s="226"/>
      <c r="I367" s="226"/>
      <c r="J367" s="18"/>
    </row>
    <row r="368" spans="1:10" ht="15.75" thickBot="1">
      <c r="A368" s="367"/>
      <c r="B368" s="631" t="s">
        <v>653</v>
      </c>
      <c r="C368" s="632"/>
      <c r="D368" s="632"/>
      <c r="E368" s="632"/>
      <c r="F368" s="632"/>
      <c r="G368" s="632"/>
      <c r="H368" s="632"/>
      <c r="I368" s="633"/>
    </row>
    <row r="369" spans="1:11" ht="13.5" thickBot="1">
      <c r="A369" s="367"/>
      <c r="B369" s="368"/>
      <c r="C369" s="369"/>
      <c r="D369" s="370"/>
      <c r="E369" s="371"/>
      <c r="F369" s="372"/>
      <c r="G369" s="373"/>
      <c r="H369" s="374"/>
      <c r="I369" s="374"/>
      <c r="J369" s="18"/>
    </row>
    <row r="370" spans="1:11" ht="15">
      <c r="A370" s="367"/>
      <c r="B370" s="58" t="s">
        <v>181</v>
      </c>
      <c r="C370" s="92">
        <f>MAX(18/C32, 6)</f>
        <v>6</v>
      </c>
      <c r="D370" s="56">
        <f>ROUNDUP((1+C379+D48+ROUNDUP((C370),0))/2, 0)</f>
        <v>10</v>
      </c>
      <c r="E370" s="346" t="str">
        <f>DEC2HEX(((D370)*2^24),8)</f>
        <v>0A000000</v>
      </c>
      <c r="F370" s="133" t="s">
        <v>763</v>
      </c>
      <c r="G370" s="652" t="s">
        <v>654</v>
      </c>
      <c r="H370" s="652" t="str">
        <f>"0x"&amp;DEC2HEX((HEX2DEC(C36)+256), 8)</f>
        <v>0x3D402100</v>
      </c>
      <c r="I370" s="653" t="str">
        <f>"0x"&amp;DEC2HEX((HEX2DEC(E370)+HEX2DEC(E371)+HEX2DEC(E372)+HEX2DEC(E373)), 8)</f>
        <v>0x0A040305</v>
      </c>
      <c r="J370" s="82"/>
      <c r="K370" s="25"/>
    </row>
    <row r="371" spans="1:11" ht="15">
      <c r="A371" s="367"/>
      <c r="B371" s="74" t="s">
        <v>182</v>
      </c>
      <c r="C371" s="232">
        <f>C123</f>
        <v>40</v>
      </c>
      <c r="D371" s="159">
        <f>ROUNDUP(((C371/C32)/2),0)</f>
        <v>4</v>
      </c>
      <c r="E371" s="68" t="str">
        <f>DEC2HEX(((D371)*2^16),8)</f>
        <v>00040000</v>
      </c>
      <c r="F371" s="237" t="s">
        <v>763</v>
      </c>
      <c r="G371" s="658"/>
      <c r="H371" s="658"/>
      <c r="I371" s="676"/>
      <c r="J371" s="18"/>
      <c r="K371" s="25"/>
    </row>
    <row r="372" spans="1:11" ht="15">
      <c r="A372" s="367"/>
      <c r="B372" s="59" t="s">
        <v>183</v>
      </c>
      <c r="C372" s="232">
        <f>C124</f>
        <v>35136</v>
      </c>
      <c r="D372" s="249">
        <f>IF(ROUNDDOWN(((C372/C32 - 1)/2/1024),0)&lt;1, 1, ROUNDDOWN(((C372/C32 - 1)/2/1024),0))</f>
        <v>3</v>
      </c>
      <c r="E372" s="347" t="str">
        <f>DEC2HEX(((D372)*2^8),8)</f>
        <v>00000300</v>
      </c>
      <c r="F372" s="132" t="s">
        <v>763</v>
      </c>
      <c r="G372" s="627"/>
      <c r="H372" s="627"/>
      <c r="I372" s="629"/>
      <c r="J372" s="18"/>
      <c r="K372" s="25"/>
    </row>
    <row r="373" spans="1:11" ht="15.75" thickBot="1">
      <c r="A373" s="367"/>
      <c r="B373" s="148" t="s">
        <v>184</v>
      </c>
      <c r="C373" s="164">
        <f xml:space="preserve"> MAX(42/C32, 3)</f>
        <v>8.4</v>
      </c>
      <c r="D373" s="158">
        <f>ROUNDUP((C373)/2,0)</f>
        <v>5</v>
      </c>
      <c r="E373" s="154" t="str">
        <f>DEC2HEX(((D373)*2^0),8)</f>
        <v>00000005</v>
      </c>
      <c r="F373" s="157" t="s">
        <v>763</v>
      </c>
      <c r="G373" s="625"/>
      <c r="H373" s="625"/>
      <c r="I373" s="630"/>
      <c r="J373" s="18"/>
    </row>
    <row r="374" spans="1:11" ht="11.25" customHeight="1" thickBot="1">
      <c r="A374" s="367"/>
      <c r="B374" s="77"/>
      <c r="C374" s="119"/>
      <c r="D374" s="119"/>
      <c r="E374" s="113"/>
      <c r="F374" s="322"/>
      <c r="G374" s="81"/>
      <c r="H374" s="81"/>
      <c r="I374" s="81"/>
      <c r="J374" s="18"/>
    </row>
    <row r="375" spans="1:11" ht="15">
      <c r="A375" s="367"/>
      <c r="B375" s="58" t="s">
        <v>106</v>
      </c>
      <c r="C375" s="92">
        <f>MAX(7.5/C32, 5)</f>
        <v>5</v>
      </c>
      <c r="D375" s="117">
        <f>ROUNDUP((C375)/2, 0)</f>
        <v>3</v>
      </c>
      <c r="E375" s="346" t="str">
        <f>DEC2HEX(((D375)*2^16),8)</f>
        <v>00030000</v>
      </c>
      <c r="F375" s="137" t="s">
        <v>763</v>
      </c>
      <c r="G375" s="660" t="s">
        <v>762</v>
      </c>
      <c r="H375" s="660" t="str">
        <f>"0x"&amp;DEC2HEX((HEX2DEC(C36)+260), 8)</f>
        <v>0x3D402104</v>
      </c>
      <c r="I375" s="663" t="str">
        <f>"0x"&amp;DEC2HEX((HEX2DEC(E375)+HEX2DEC(E376)+HEX2DEC(E377)), 8)</f>
        <v>0x00030407</v>
      </c>
      <c r="J375" s="18"/>
    </row>
    <row r="376" spans="1:11" ht="15">
      <c r="A376" s="367"/>
      <c r="B376" s="59" t="s">
        <v>107</v>
      </c>
      <c r="C376" s="232">
        <f>MAX(7.5/C32, 8)</f>
        <v>8</v>
      </c>
      <c r="D376" s="159">
        <f>ROUNDUP((C376)/2,0)</f>
        <v>4</v>
      </c>
      <c r="E376" s="347" t="str">
        <f>DEC2HEX(((D376)*2^8),8)</f>
        <v>00000400</v>
      </c>
      <c r="F376" s="348" t="s">
        <v>763</v>
      </c>
      <c r="G376" s="661"/>
      <c r="H376" s="661"/>
      <c r="I376" s="664"/>
      <c r="J376" s="98"/>
    </row>
    <row r="377" spans="1:11" ht="15.75" thickBot="1">
      <c r="A377" s="367"/>
      <c r="B377" s="60" t="s">
        <v>295</v>
      </c>
      <c r="C377" s="164">
        <f xml:space="preserve"> MAX(21/C32, 4)</f>
        <v>4.2</v>
      </c>
      <c r="D377" s="164">
        <f>ROUNDUP(((C377+C373)/2),0)</f>
        <v>7</v>
      </c>
      <c r="E377" s="349" t="str">
        <f>DEC2HEX(((D377)*2^0),8)</f>
        <v>00000007</v>
      </c>
      <c r="F377" s="138" t="s">
        <v>763</v>
      </c>
      <c r="G377" s="662"/>
      <c r="H377" s="662"/>
      <c r="I377" s="665"/>
      <c r="J377" s="18"/>
    </row>
    <row r="378" spans="1:11" ht="13.5" thickBot="1">
      <c r="A378" s="367"/>
      <c r="B378" s="77"/>
      <c r="C378" s="103"/>
      <c r="D378" s="78"/>
      <c r="E378" s="113"/>
      <c r="F378" s="225"/>
      <c r="G378" s="323"/>
      <c r="H378" s="226"/>
      <c r="I378" s="226"/>
      <c r="J378" s="18"/>
    </row>
    <row r="379" spans="1:11" ht="15">
      <c r="A379" s="367"/>
      <c r="B379" s="58" t="s">
        <v>104</v>
      </c>
      <c r="C379" s="218">
        <f>IF(C31&lt;201,4,(IF(C31&lt;534,6,IF(C31&lt;801,8,IF(C31&lt;1066,10,IF(C31&lt;1333,12,14))))))</f>
        <v>4</v>
      </c>
      <c r="D379" s="117">
        <f>ROUNDUP((C379/2), 0)</f>
        <v>2</v>
      </c>
      <c r="E379" s="406" t="str">
        <f>DEC2HEX(((D379)*2^24),8)</f>
        <v>02000000</v>
      </c>
      <c r="F379" s="137" t="s">
        <v>763</v>
      </c>
      <c r="G379" s="652" t="s">
        <v>655</v>
      </c>
      <c r="H379" s="652" t="str">
        <f>"0x"&amp;DEC2HEX((HEX2DEC(C36)+264), 8)</f>
        <v>0x3D402108</v>
      </c>
      <c r="I379" s="654" t="str">
        <f>"0x"&amp;DEC2HEX((HEX2DEC(E379)+HEX2DEC(E380)+HEX2DEC(E381)+HEX2DEC(E382)), 8)</f>
        <v>0x0203060B</v>
      </c>
      <c r="J379" s="82"/>
    </row>
    <row r="380" spans="1:11" ht="15">
      <c r="A380" s="367"/>
      <c r="B380" s="74" t="s">
        <v>105</v>
      </c>
      <c r="C380" s="129">
        <f>IF(C31&lt;201, 6,  IF(D228=1, IF(C31&lt;534, 12, IF(C31&lt;801, 16, IF(C31&lt;1066, 22, IF(C31&lt;1333, 28, 32)))), IF(C31&lt;534, 10, IF(C31&lt;801, 14, IF(C31&lt;1066, 20, IF(C31&lt;1333, 24, 28))))))</f>
        <v>6</v>
      </c>
      <c r="D380" s="159">
        <f>ROUNDUP((C380/2), 0)</f>
        <v>3</v>
      </c>
      <c r="E380" s="68" t="str">
        <f>DEC2HEX(((D380)*2^16),8)</f>
        <v>00030000</v>
      </c>
      <c r="F380" s="408" t="s">
        <v>763</v>
      </c>
      <c r="G380" s="658"/>
      <c r="H380" s="658"/>
      <c r="I380" s="659"/>
      <c r="J380" s="82"/>
    </row>
    <row r="381" spans="1:11" ht="15">
      <c r="A381" s="367"/>
      <c r="B381" s="59" t="s">
        <v>103</v>
      </c>
      <c r="C381" s="125">
        <f>C135</f>
        <v>3.6</v>
      </c>
      <c r="D381" s="83">
        <f>ROUNDUP((C380+D48+ROUNDUP(C381/C32, 0) + (0.5+D458) - (IF(C31&lt;1333, 4, 6)) -ROUNDUP((1.5/C32),0) ) /2,0)</f>
        <v>6</v>
      </c>
      <c r="E381" s="153" t="str">
        <f>DEC2HEX(((D381)*2^8),8)</f>
        <v>00000600</v>
      </c>
      <c r="F381" s="408" t="s">
        <v>763</v>
      </c>
      <c r="G381" s="627"/>
      <c r="H381" s="627"/>
      <c r="I381" s="655"/>
      <c r="J381" s="224"/>
    </row>
    <row r="382" spans="1:11" ht="15.75" thickBot="1">
      <c r="A382" s="367"/>
      <c r="B382" s="99" t="s">
        <v>102</v>
      </c>
      <c r="C382" s="164">
        <f>MAX(10/C32, 8)</f>
        <v>8</v>
      </c>
      <c r="D382" s="164">
        <f>ROUNDUP((C379+D48+ C382  + 1)/2, 0)</f>
        <v>11</v>
      </c>
      <c r="E382" s="407" t="str">
        <f>DEC2HEX(((D382)*2^0),8)</f>
        <v>0000000B</v>
      </c>
      <c r="F382" s="138" t="s">
        <v>763</v>
      </c>
      <c r="G382" s="625"/>
      <c r="H382" s="625"/>
      <c r="I382" s="656"/>
      <c r="J382" s="224"/>
      <c r="K382" s="25"/>
    </row>
    <row r="383" spans="1:11" ht="13.5" thickBot="1">
      <c r="A383" s="367"/>
      <c r="B383" s="77"/>
      <c r="C383" s="103"/>
      <c r="D383" s="78"/>
      <c r="E383" s="113"/>
      <c r="F383" s="225"/>
      <c r="G383" s="323"/>
      <c r="H383" s="226"/>
      <c r="I383" s="226"/>
      <c r="J383" s="18"/>
    </row>
    <row r="384" spans="1:11" ht="15">
      <c r="A384" s="367"/>
      <c r="B384" s="58" t="s">
        <v>108</v>
      </c>
      <c r="C384" s="92">
        <f>MAX(14/C32, 10)</f>
        <v>10</v>
      </c>
      <c r="D384" s="92">
        <f>ROUNDUP((C384)/2, 0)</f>
        <v>5</v>
      </c>
      <c r="E384" s="346" t="str">
        <f>DEC2HEX(((D384)*2^20),8)</f>
        <v>00500000</v>
      </c>
      <c r="F384" s="137" t="s">
        <v>763</v>
      </c>
      <c r="G384" s="652" t="s">
        <v>761</v>
      </c>
      <c r="H384" s="652" t="str">
        <f>"0x"&amp;DEC2HEX((HEX2DEC(C36)+268), 8)</f>
        <v>0x3D40210C</v>
      </c>
      <c r="I384" s="653" t="str">
        <f>"0x"&amp;DEC2HEX((HEX2DEC(E384)+HEX2DEC(E385)+HEX2DEC(E386)), 8)</f>
        <v>0x00505000</v>
      </c>
      <c r="J384" s="18"/>
    </row>
    <row r="385" spans="1:10" ht="15">
      <c r="A385" s="367"/>
      <c r="B385" s="128" t="s">
        <v>109</v>
      </c>
      <c r="C385" s="232">
        <f>MAX(14/C32, 10)</f>
        <v>10</v>
      </c>
      <c r="D385" s="118">
        <f>ROUNDUP((C385)/2, 0)</f>
        <v>5</v>
      </c>
      <c r="E385" s="347" t="str">
        <f>DEC2HEX(((D385)*2^12),8)</f>
        <v>00005000</v>
      </c>
      <c r="F385" s="348" t="s">
        <v>763</v>
      </c>
      <c r="G385" s="627"/>
      <c r="H385" s="627"/>
      <c r="I385" s="629"/>
      <c r="J385" s="18"/>
    </row>
    <row r="386" spans="1:10" ht="15.75" thickBot="1">
      <c r="A386" s="367"/>
      <c r="B386" s="148" t="s">
        <v>110</v>
      </c>
      <c r="C386" s="63">
        <v>0</v>
      </c>
      <c r="D386" s="115">
        <f>(C386/2)</f>
        <v>0</v>
      </c>
      <c r="E386" s="349" t="str">
        <f>DEC2HEX(((D386)*2^0),8)</f>
        <v>00000000</v>
      </c>
      <c r="F386" s="363" t="s">
        <v>763</v>
      </c>
      <c r="G386" s="625"/>
      <c r="H386" s="625"/>
      <c r="I386" s="630"/>
      <c r="J386" s="217"/>
    </row>
    <row r="387" spans="1:10" ht="13.5" thickBot="1">
      <c r="A387" s="367"/>
      <c r="B387" s="77"/>
      <c r="C387" s="103"/>
      <c r="D387" s="78"/>
      <c r="E387" s="113"/>
      <c r="F387" s="225"/>
      <c r="G387" s="323"/>
      <c r="H387" s="226"/>
      <c r="I387" s="226"/>
      <c r="J387" s="18"/>
    </row>
    <row r="388" spans="1:10" ht="15">
      <c r="A388" s="367"/>
      <c r="B388" s="58" t="s">
        <v>121</v>
      </c>
      <c r="C388" s="92">
        <f xml:space="preserve"> MAX(18/C32, 4)</f>
        <v>4</v>
      </c>
      <c r="D388" s="117">
        <f>ROUNDUP(((C388)/2),0)</f>
        <v>2</v>
      </c>
      <c r="E388" s="346" t="str">
        <f>DEC2HEX(((D388)*2^24),8)</f>
        <v>02000000</v>
      </c>
      <c r="F388" s="137" t="s">
        <v>763</v>
      </c>
      <c r="G388" s="652" t="s">
        <v>760</v>
      </c>
      <c r="H388" s="652" t="str">
        <f>"0x"&amp;DEC2HEX((HEX2DEC(C36)+272), 8)</f>
        <v>0x3D402110</v>
      </c>
      <c r="I388" s="654" t="str">
        <f>"0x"&amp;DEC2HEX((HEX2DEC(E388)+HEX2DEC(E389)+HEX2DEC(E390)+HEX2DEC(E391)), 8)</f>
        <v>0x02040202</v>
      </c>
      <c r="J388" s="18"/>
    </row>
    <row r="389" spans="1:10" ht="15">
      <c r="A389" s="367"/>
      <c r="B389" s="59" t="s">
        <v>122</v>
      </c>
      <c r="C389" s="61">
        <v>8</v>
      </c>
      <c r="D389" s="159">
        <f>ROUNDUP(C389/2, 0)</f>
        <v>4</v>
      </c>
      <c r="E389" s="347" t="str">
        <f>DEC2HEX(((D389)*2^16),8)</f>
        <v>00040000</v>
      </c>
      <c r="F389" s="348" t="s">
        <v>763</v>
      </c>
      <c r="G389" s="627"/>
      <c r="H389" s="627"/>
      <c r="I389" s="655"/>
      <c r="J389" s="18"/>
    </row>
    <row r="390" spans="1:10" ht="15">
      <c r="A390" s="367"/>
      <c r="B390" s="75" t="s">
        <v>123</v>
      </c>
      <c r="C390" s="232">
        <f>MAX(10/C32, 4)</f>
        <v>4</v>
      </c>
      <c r="D390" s="249">
        <f>ROUNDUP(((C390)/2),0)</f>
        <v>2</v>
      </c>
      <c r="E390" s="347" t="str">
        <f>DEC2HEX(((D390)*2^8),8)</f>
        <v>00000200</v>
      </c>
      <c r="F390" s="348" t="s">
        <v>763</v>
      </c>
      <c r="G390" s="627"/>
      <c r="H390" s="627"/>
      <c r="I390" s="655"/>
      <c r="J390" s="18"/>
    </row>
    <row r="391" spans="1:10" ht="15.75" thickBot="1">
      <c r="A391" s="367"/>
      <c r="B391" s="60" t="s">
        <v>124</v>
      </c>
      <c r="C391" s="164">
        <f>MAX(18/C32, 4)</f>
        <v>4</v>
      </c>
      <c r="D391" s="115">
        <f>ROUNDUP((C391)/2, 0)</f>
        <v>2</v>
      </c>
      <c r="E391" s="154" t="str">
        <f>DEC2HEX(((D391)*2^0),8)</f>
        <v>00000002</v>
      </c>
      <c r="F391" s="138" t="s">
        <v>763</v>
      </c>
      <c r="G391" s="625"/>
      <c r="H391" s="625"/>
      <c r="I391" s="656"/>
      <c r="J391" s="224"/>
    </row>
    <row r="392" spans="1:10" ht="13.5" customHeight="1" thickBot="1">
      <c r="A392" s="367"/>
      <c r="B392" s="69"/>
      <c r="C392" s="70"/>
      <c r="D392" s="71"/>
      <c r="E392" s="72"/>
      <c r="F392" s="73"/>
      <c r="G392" s="36"/>
      <c r="H392" s="36"/>
      <c r="I392" s="55"/>
      <c r="J392" s="18"/>
    </row>
    <row r="393" spans="1:10" ht="15">
      <c r="A393" s="367"/>
      <c r="B393" s="58" t="s">
        <v>125</v>
      </c>
      <c r="C393" s="92">
        <f>MAX(1.75/C32, 3)</f>
        <v>3</v>
      </c>
      <c r="D393" s="117">
        <f>ROUNDUP(((C393/2)),0)</f>
        <v>2</v>
      </c>
      <c r="E393" s="151" t="str">
        <f>DEC2HEX(((D393)*2^24),8)</f>
        <v>02000000</v>
      </c>
      <c r="F393" s="137" t="s">
        <v>763</v>
      </c>
      <c r="G393" s="652" t="s">
        <v>759</v>
      </c>
      <c r="H393" s="652" t="str">
        <f>"0x"&amp;DEC2HEX((HEX2DEC(C36)+276), 8)</f>
        <v>0x3D402114</v>
      </c>
      <c r="I393" s="653" t="str">
        <f>"0x"&amp;DEC2HEX((HEX2DEC(E393)+HEX2DEC(E394)+HEX2DEC(E395)+HEX2DEC(E396)), 8)</f>
        <v>0x02030202</v>
      </c>
      <c r="J393" s="222"/>
    </row>
    <row r="394" spans="1:10" ht="15">
      <c r="A394" s="367"/>
      <c r="B394" s="59" t="s">
        <v>126</v>
      </c>
      <c r="C394" s="232">
        <f>MAX(5/C32, 5)</f>
        <v>5</v>
      </c>
      <c r="D394" s="159">
        <f>ROUNDUP(((C394)/2),0)</f>
        <v>3</v>
      </c>
      <c r="E394" s="153" t="str">
        <f>DEC2HEX(((D394)*2^16),8)</f>
        <v>00030000</v>
      </c>
      <c r="F394" s="348" t="s">
        <v>763</v>
      </c>
      <c r="G394" s="627"/>
      <c r="H394" s="627"/>
      <c r="I394" s="629"/>
      <c r="J394" s="222"/>
    </row>
    <row r="395" spans="1:10" ht="15">
      <c r="A395" s="367"/>
      <c r="B395" s="75" t="s">
        <v>315</v>
      </c>
      <c r="C395" s="232">
        <f>MAX(15/C32, 4)</f>
        <v>4</v>
      </c>
      <c r="D395" s="248">
        <f>ROUNDUP(((C395)/2),0)</f>
        <v>2</v>
      </c>
      <c r="E395" s="246" t="str">
        <f>DEC2HEX(((D395)*2^8),8)</f>
        <v>00000200</v>
      </c>
      <c r="F395" s="348" t="s">
        <v>763</v>
      </c>
      <c r="G395" s="627"/>
      <c r="H395" s="627"/>
      <c r="I395" s="629"/>
      <c r="J395" s="18"/>
    </row>
    <row r="396" spans="1:10" ht="15.75" thickBot="1">
      <c r="A396" s="367"/>
      <c r="B396" s="60" t="s">
        <v>316</v>
      </c>
      <c r="C396" s="164">
        <f>MAX(15/C32, 4)</f>
        <v>4</v>
      </c>
      <c r="D396" s="120">
        <f>ROUNDUP(((C396)/2),0)</f>
        <v>2</v>
      </c>
      <c r="E396" s="349" t="str">
        <f>DEC2HEX(((D396)*2^0),8)</f>
        <v>00000002</v>
      </c>
      <c r="F396" s="138" t="s">
        <v>763</v>
      </c>
      <c r="G396" s="625"/>
      <c r="H396" s="625"/>
      <c r="I396" s="630"/>
      <c r="J396" s="18"/>
    </row>
    <row r="397" spans="1:10" ht="13.5" thickBot="1">
      <c r="A397" s="367"/>
      <c r="B397" s="77"/>
      <c r="C397" s="103"/>
      <c r="D397" s="78"/>
      <c r="E397" s="113"/>
      <c r="F397" s="225"/>
      <c r="G397" s="323"/>
      <c r="H397" s="226"/>
      <c r="I397" s="226"/>
      <c r="J397" s="18"/>
    </row>
    <row r="398" spans="1:10">
      <c r="A398" s="367"/>
      <c r="B398" s="58" t="s">
        <v>129</v>
      </c>
      <c r="C398" s="101">
        <v>2</v>
      </c>
      <c r="D398" s="57">
        <f>(C398/2)</f>
        <v>1</v>
      </c>
      <c r="E398" s="346" t="str">
        <f>DEC2HEX(((D398)*2^24),8)</f>
        <v>01000000</v>
      </c>
      <c r="F398" s="137" t="s">
        <v>763</v>
      </c>
      <c r="G398" s="623" t="s">
        <v>758</v>
      </c>
      <c r="H398" s="626" t="str">
        <f>"0x"&amp;DEC2HEX((HEX2DEC(C36)+280), 8)</f>
        <v>0x3D402118</v>
      </c>
      <c r="I398" s="628" t="str">
        <f>"0x"&amp;DEC2HEX((HEX2DEC(E398)+HEX2DEC(E399)+HEX2DEC(E400)), 8)</f>
        <v>0x01010004</v>
      </c>
      <c r="J398" s="18"/>
    </row>
    <row r="399" spans="1:10">
      <c r="A399" s="367"/>
      <c r="B399" s="84" t="s">
        <v>128</v>
      </c>
      <c r="C399" s="100">
        <v>2</v>
      </c>
      <c r="D399" s="126">
        <f>(C399/2)</f>
        <v>1</v>
      </c>
      <c r="E399" s="345" t="str">
        <f>DEC2HEX(((D399)*2^16),8)</f>
        <v>00010000</v>
      </c>
      <c r="F399" s="348" t="s">
        <v>763</v>
      </c>
      <c r="G399" s="624"/>
      <c r="H399" s="627"/>
      <c r="I399" s="629"/>
      <c r="J399" s="18"/>
    </row>
    <row r="400" spans="1:10" ht="15.75" thickBot="1">
      <c r="A400" s="367"/>
      <c r="B400" s="60" t="s">
        <v>127</v>
      </c>
      <c r="C400" s="102" t="s">
        <v>0</v>
      </c>
      <c r="D400" s="115">
        <f>ROUNDUP(((C375)+2)/2,0)</f>
        <v>4</v>
      </c>
      <c r="E400" s="349" t="str">
        <f>DEC2HEX(((D400)*2^0),8)</f>
        <v>00000004</v>
      </c>
      <c r="F400" s="363" t="s">
        <v>763</v>
      </c>
      <c r="G400" s="625"/>
      <c r="H400" s="625"/>
      <c r="I400" s="630"/>
      <c r="J400" s="18"/>
    </row>
    <row r="401" spans="1:10" ht="13.5" thickBot="1">
      <c r="A401" s="367"/>
      <c r="B401" s="77"/>
      <c r="C401" s="103"/>
      <c r="D401" s="78"/>
      <c r="E401" s="113"/>
      <c r="F401" s="225"/>
      <c r="G401" s="323"/>
      <c r="H401" s="226"/>
      <c r="I401" s="226"/>
      <c r="J401" s="18"/>
    </row>
    <row r="402" spans="1:10" ht="15">
      <c r="A402" s="367"/>
      <c r="B402" s="58" t="s">
        <v>130</v>
      </c>
      <c r="C402" s="364">
        <f>MAX(5/C32, 5)</f>
        <v>5</v>
      </c>
      <c r="D402" s="92">
        <f>ROUNDUP((C402)/2,0)</f>
        <v>3</v>
      </c>
      <c r="E402" s="346" t="str">
        <f>DEC2HEX(((D402)*2^8),8)</f>
        <v>00000300</v>
      </c>
      <c r="F402" s="365" t="s">
        <v>763</v>
      </c>
      <c r="G402" s="623" t="s">
        <v>757</v>
      </c>
      <c r="H402" s="626" t="str">
        <f>"0x"&amp;DEC2HEX((HEX2DEC(C36)+284), 8)</f>
        <v>0x3D40211C</v>
      </c>
      <c r="I402" s="628" t="str">
        <f>"0x"&amp;DEC2HEX((HEX2DEC(E402)+HEX2DEC(E403)), 8)</f>
        <v>0x00000302</v>
      </c>
      <c r="J402" s="222"/>
    </row>
    <row r="403" spans="1:10" ht="15.75" thickBot="1">
      <c r="A403" s="367"/>
      <c r="B403" s="60" t="s">
        <v>131</v>
      </c>
      <c r="C403" s="617">
        <f>IF(C17="LPDDR4", MAX(1.75/C32,3),2)</f>
        <v>3</v>
      </c>
      <c r="D403" s="164">
        <f>ROUNDUP((C403)/2,0)</f>
        <v>2</v>
      </c>
      <c r="E403" s="349" t="str">
        <f>DEC2HEX(((D403)*2^0),8)</f>
        <v>00000002</v>
      </c>
      <c r="F403" s="363" t="s">
        <v>763</v>
      </c>
      <c r="G403" s="625"/>
      <c r="H403" s="625"/>
      <c r="I403" s="630"/>
      <c r="J403" s="18"/>
    </row>
    <row r="404" spans="1:10" ht="15.75" thickBot="1">
      <c r="A404" s="367"/>
      <c r="B404" s="76"/>
      <c r="C404" s="404"/>
      <c r="D404" s="119"/>
      <c r="E404" s="36"/>
      <c r="F404" s="403"/>
      <c r="G404" s="81"/>
      <c r="H404" s="81"/>
      <c r="I404" s="81"/>
      <c r="J404" s="18"/>
    </row>
    <row r="405" spans="1:10" ht="15">
      <c r="A405" s="367"/>
      <c r="B405" s="58" t="s">
        <v>234</v>
      </c>
      <c r="C405" s="92">
        <f>MAX(1.75/C32, 3)</f>
        <v>3</v>
      </c>
      <c r="D405" s="92">
        <f>ROUNDUP( (C405/2), 0)</f>
        <v>2</v>
      </c>
      <c r="E405" s="397" t="str">
        <f>DEC2HEX(((D405)*2^16),8)</f>
        <v>00020000</v>
      </c>
      <c r="F405" s="137" t="s">
        <v>763</v>
      </c>
      <c r="G405" s="660" t="s">
        <v>917</v>
      </c>
      <c r="H405" s="660" t="str">
        <f>"0x"&amp;DEC2HEX((HEX2DEC(C36)+304), 8)</f>
        <v>0x3D402130</v>
      </c>
      <c r="I405" s="716" t="str">
        <f>"0x"&amp;DEC2HEX((HEX2DEC(E405)+HEX2DEC(E406)+HEX2DEC(E407)), 8)</f>
        <v>0x00020300</v>
      </c>
      <c r="J405" s="220"/>
    </row>
    <row r="406" spans="1:10" ht="15">
      <c r="A406" s="367"/>
      <c r="B406" s="59" t="s">
        <v>344</v>
      </c>
      <c r="C406" s="232">
        <f>MAX(7.5/C32,5)</f>
        <v>5</v>
      </c>
      <c r="D406" s="232">
        <f>ROUNDUP( (C406/2), 0)</f>
        <v>3</v>
      </c>
      <c r="E406" s="398" t="str">
        <f>DEC2HEX(((D406)*2^8),8)</f>
        <v>00000300</v>
      </c>
      <c r="F406" s="400" t="s">
        <v>763</v>
      </c>
      <c r="G406" s="661"/>
      <c r="H406" s="661"/>
      <c r="I406" s="717"/>
      <c r="J406" s="18"/>
    </row>
    <row r="407" spans="1:10" ht="15.75" thickBot="1">
      <c r="A407" s="367"/>
      <c r="B407" s="60" t="s">
        <v>235</v>
      </c>
      <c r="C407" s="203" t="s">
        <v>0</v>
      </c>
      <c r="D407" s="204">
        <v>0</v>
      </c>
      <c r="E407" s="399" t="str">
        <f>DEC2HEX(((D407)*2^0),8)</f>
        <v>00000000</v>
      </c>
      <c r="F407" s="363" t="s">
        <v>763</v>
      </c>
      <c r="G407" s="662"/>
      <c r="H407" s="662"/>
      <c r="I407" s="718"/>
      <c r="J407" s="18"/>
    </row>
    <row r="408" spans="1:10" ht="15.75" thickBot="1">
      <c r="A408" s="367"/>
      <c r="B408" s="76"/>
      <c r="C408" s="205"/>
      <c r="D408" s="171"/>
      <c r="E408" s="36"/>
      <c r="F408" s="139"/>
      <c r="G408" s="36"/>
      <c r="H408" s="36"/>
      <c r="I408" s="55"/>
      <c r="J408" s="18"/>
    </row>
    <row r="409" spans="1:10" ht="15">
      <c r="A409" s="367"/>
      <c r="B409" s="58" t="s">
        <v>237</v>
      </c>
      <c r="C409" s="299">
        <f>IF(C31&lt;=1066,20,(IF(C31&lt;=1333,22,IF(C31&lt;=1600,24,IF(C31&lt;=1866,26,28)))))</f>
        <v>20</v>
      </c>
      <c r="D409" s="92">
        <f>ROUNDUP( (C409/2), 0)</f>
        <v>10</v>
      </c>
      <c r="E409" s="397" t="str">
        <f>DEC2HEX(((D409)*2^24),8)</f>
        <v>0A000000</v>
      </c>
      <c r="F409" s="137" t="s">
        <v>763</v>
      </c>
      <c r="G409" s="660" t="s">
        <v>918</v>
      </c>
      <c r="H409" s="660" t="str">
        <f>"0x"&amp;DEC2HEX((HEX2DEC(C36)+308), 8)</f>
        <v>0x3D402134</v>
      </c>
      <c r="I409" s="716" t="str">
        <f>"0x"&amp;DEC2HEX((HEX2DEC(E409)+HEX2DEC(E410)+HEX2DEC(E411)), 8)</f>
        <v>0x0A100002</v>
      </c>
      <c r="J409" s="18"/>
    </row>
    <row r="410" spans="1:10" ht="15">
      <c r="A410" s="367"/>
      <c r="B410" s="59" t="s">
        <v>238</v>
      </c>
      <c r="C410" s="360">
        <v>32</v>
      </c>
      <c r="D410" s="232">
        <f>ROUNDUP( (C410/2), 0)</f>
        <v>16</v>
      </c>
      <c r="E410" s="398" t="str">
        <f>DEC2HEX(((D410)*2^16),8)</f>
        <v>00100000</v>
      </c>
      <c r="F410" s="400" t="s">
        <v>763</v>
      </c>
      <c r="G410" s="661"/>
      <c r="H410" s="661"/>
      <c r="I410" s="717"/>
      <c r="J410" s="18"/>
    </row>
    <row r="411" spans="1:10" ht="15.75" thickBot="1">
      <c r="A411" s="367"/>
      <c r="B411" s="60" t="s">
        <v>239</v>
      </c>
      <c r="C411" s="361">
        <v>4</v>
      </c>
      <c r="D411" s="164">
        <f>ROUNDUP( (C411/2), 0)</f>
        <v>2</v>
      </c>
      <c r="E411" s="399" t="str">
        <f>DEC2HEX(((D411)*2^0),8)</f>
        <v>00000002</v>
      </c>
      <c r="F411" s="363" t="s">
        <v>763</v>
      </c>
      <c r="G411" s="662"/>
      <c r="H411" s="662"/>
      <c r="I411" s="718"/>
      <c r="J411" s="18"/>
    </row>
    <row r="412" spans="1:10" ht="13.5" thickBot="1">
      <c r="A412" s="367"/>
      <c r="B412" s="77"/>
      <c r="C412" s="103"/>
      <c r="D412" s="78"/>
      <c r="E412" s="113"/>
      <c r="F412" s="225"/>
      <c r="G412" s="323"/>
      <c r="H412" s="226"/>
      <c r="I412" s="226"/>
      <c r="J412" s="18"/>
    </row>
    <row r="413" spans="1:10" ht="15.75" thickBot="1">
      <c r="A413" s="367"/>
      <c r="B413" s="250" t="s">
        <v>202</v>
      </c>
      <c r="C413" s="251">
        <f>MAX((C106+7.5)/C32, 2)</f>
        <v>77.5</v>
      </c>
      <c r="D413" s="252">
        <f>ROUNDUP((C413)/2,0)</f>
        <v>39</v>
      </c>
      <c r="E413" s="253" t="str">
        <f>DEC2HEX(((D413)*2^0),8)</f>
        <v>00000027</v>
      </c>
      <c r="F413" s="366" t="s">
        <v>763</v>
      </c>
      <c r="G413" s="90" t="s">
        <v>756</v>
      </c>
      <c r="H413" s="79" t="str">
        <f>"0x"&amp;DEC2HEX((HEX2DEC(C36)+312), 8)</f>
        <v>0x3D402138</v>
      </c>
      <c r="I413" s="80" t="str">
        <f>"0x"&amp;DEC2HEX((HEX2DEC(E413)), 8)</f>
        <v>0x00000027</v>
      </c>
      <c r="J413" s="222"/>
    </row>
    <row r="414" spans="1:10" ht="15.75" thickBot="1">
      <c r="A414" s="367"/>
      <c r="B414" s="77"/>
      <c r="C414" s="321"/>
      <c r="D414" s="119"/>
      <c r="E414" s="113"/>
      <c r="F414" s="322"/>
      <c r="G414" s="323"/>
      <c r="H414" s="226"/>
      <c r="I414" s="226"/>
      <c r="J414" s="324"/>
    </row>
    <row r="415" spans="1:10" ht="15">
      <c r="A415" s="367"/>
      <c r="B415" s="127" t="s">
        <v>389</v>
      </c>
      <c r="C415" s="236">
        <v>200</v>
      </c>
      <c r="D415" s="117">
        <f>ROUNDUP(((C415/C32)/2),0)</f>
        <v>20</v>
      </c>
      <c r="E415" s="346" t="str">
        <f>DEC2HEX(((D415)*2^16),8)</f>
        <v>00140000</v>
      </c>
      <c r="F415" s="365" t="s">
        <v>763</v>
      </c>
      <c r="G415" s="643" t="s">
        <v>755</v>
      </c>
      <c r="H415" s="646" t="str">
        <f>"0x"&amp;DEC2HEX((HEX2DEC(C36)+324), 8)</f>
        <v>0x3D402144</v>
      </c>
      <c r="I415" s="649" t="str">
        <f>"0x"&amp;DEC2HEX((HEX2DEC(E415)+HEX2DEC(E416)), 8)</f>
        <v>0x0014000A</v>
      </c>
      <c r="J415" s="324"/>
    </row>
    <row r="416" spans="1:10" ht="15.75" thickBot="1">
      <c r="A416" s="367"/>
      <c r="B416" s="60" t="s">
        <v>390</v>
      </c>
      <c r="C416" s="326">
        <v>100</v>
      </c>
      <c r="D416" s="120">
        <f>ROUNDUP(((C416/C32)/2),0)</f>
        <v>10</v>
      </c>
      <c r="E416" s="349" t="str">
        <f>DEC2HEX(((D416)*2^0),8)</f>
        <v>0000000A</v>
      </c>
      <c r="F416" s="363" t="s">
        <v>763</v>
      </c>
      <c r="G416" s="645"/>
      <c r="H416" s="648"/>
      <c r="I416" s="651"/>
      <c r="J416" s="222"/>
    </row>
    <row r="417" spans="1:22" ht="15.75" thickBot="1">
      <c r="A417" s="367"/>
      <c r="B417" s="76"/>
      <c r="C417" s="401"/>
      <c r="D417" s="119"/>
      <c r="E417" s="36"/>
      <c r="F417" s="403"/>
      <c r="G417" s="323"/>
      <c r="H417" s="226"/>
      <c r="I417" s="226"/>
      <c r="J417" s="222"/>
    </row>
    <row r="418" spans="1:22" ht="15">
      <c r="B418" s="58" t="s">
        <v>1200</v>
      </c>
      <c r="C418" s="65" t="s">
        <v>1201</v>
      </c>
      <c r="D418" s="206">
        <v>0</v>
      </c>
      <c r="E418" s="351" t="str">
        <f>DEC2HEX(((D418)*2^13),8)</f>
        <v>00000000</v>
      </c>
      <c r="F418" s="137" t="s">
        <v>763</v>
      </c>
      <c r="G418" s="735" t="s">
        <v>915</v>
      </c>
      <c r="H418" s="734" t="str">
        <f>"0x"&amp;DEC2HEX((HEX2DEC(C36)+32), 8)</f>
        <v>0x3D402020</v>
      </c>
      <c r="I418" s="708" t="str">
        <f>"0x"&amp;DEC2HEX((HEX2DEC(E418)+HEX2DEC(E419)+HEX2DEC(E420)+HEX2DEC(E421)+HEX2DEC(E422)+HEX2DEC(E423)), 8)</f>
        <v>0x00001021</v>
      </c>
      <c r="J418" s="82"/>
    </row>
    <row r="419" spans="1:22" ht="15">
      <c r="B419" s="59" t="s">
        <v>1199</v>
      </c>
      <c r="C419" s="94" t="s">
        <v>0</v>
      </c>
      <c r="D419" s="215">
        <v>1</v>
      </c>
      <c r="E419" s="352" t="str">
        <f>DEC2HEX(((D419)*2^12),8)</f>
        <v>00001000</v>
      </c>
      <c r="F419" s="233" t="s">
        <v>763</v>
      </c>
      <c r="G419" s="736"/>
      <c r="H419" s="719"/>
      <c r="I419" s="721"/>
      <c r="J419" s="82"/>
    </row>
    <row r="420" spans="1:22" ht="15">
      <c r="A420" s="367"/>
      <c r="B420" s="59" t="s">
        <v>736</v>
      </c>
      <c r="C420" s="61">
        <v>3.75</v>
      </c>
      <c r="D420" s="159">
        <f>ROUNDUP(C420/C32/2, 0) - 1</f>
        <v>0</v>
      </c>
      <c r="E420" s="352" t="str">
        <f>DEC2HEX(((D420)*2^8),8)</f>
        <v>00000000</v>
      </c>
      <c r="F420" s="233" t="s">
        <v>763</v>
      </c>
      <c r="G420" s="736"/>
      <c r="H420" s="719"/>
      <c r="I420" s="721"/>
      <c r="J420" s="82"/>
    </row>
    <row r="421" spans="1:22" ht="15">
      <c r="A421" s="367"/>
      <c r="B421" s="59" t="s">
        <v>738</v>
      </c>
      <c r="C421" s="94" t="s">
        <v>0</v>
      </c>
      <c r="D421" s="159">
        <f>D188</f>
        <v>2</v>
      </c>
      <c r="E421" s="352" t="str">
        <f>DEC2HEX(((D421)*2^4),8)</f>
        <v>00000020</v>
      </c>
      <c r="F421" s="597" t="s">
        <v>763</v>
      </c>
      <c r="G421" s="736"/>
      <c r="H421" s="719"/>
      <c r="I421" s="721"/>
      <c r="J421" s="82"/>
    </row>
    <row r="422" spans="1:22" ht="15">
      <c r="A422" s="367"/>
      <c r="B422" s="59" t="s">
        <v>740</v>
      </c>
      <c r="C422" s="61">
        <v>1.875</v>
      </c>
      <c r="D422" s="159">
        <f>ROUNDUP(C422/C32/2, 0) - 1</f>
        <v>0</v>
      </c>
      <c r="E422" s="352" t="str">
        <f>DEC2HEX(((D422)*2^1),8)</f>
        <v>00000000</v>
      </c>
      <c r="F422" s="597" t="s">
        <v>763</v>
      </c>
      <c r="G422" s="736"/>
      <c r="H422" s="719"/>
      <c r="I422" s="721"/>
      <c r="J422" s="82"/>
    </row>
    <row r="423" spans="1:22" ht="15.75" thickBot="1">
      <c r="A423" s="367"/>
      <c r="B423" s="60" t="s">
        <v>742</v>
      </c>
      <c r="C423" s="97" t="s">
        <v>0</v>
      </c>
      <c r="D423" s="120">
        <f>D190</f>
        <v>1</v>
      </c>
      <c r="E423" s="353" t="str">
        <f>DEC2HEX(((D423)*2^0),8)</f>
        <v>00000001</v>
      </c>
      <c r="F423" s="138" t="s">
        <v>763</v>
      </c>
      <c r="G423" s="737"/>
      <c r="H423" s="720"/>
      <c r="I423" s="709"/>
      <c r="J423" s="82"/>
    </row>
    <row r="424" spans="1:22" ht="13.5" thickBot="1">
      <c r="A424" s="367"/>
      <c r="B424" s="77"/>
      <c r="C424" s="103"/>
      <c r="D424" s="78"/>
      <c r="E424" s="113"/>
      <c r="F424" s="225"/>
      <c r="G424" s="323"/>
      <c r="H424" s="226"/>
      <c r="I424" s="226"/>
      <c r="J424" s="18"/>
    </row>
    <row r="425" spans="1:22" ht="15.75" thickBot="1">
      <c r="A425" s="367"/>
      <c r="B425" s="250" t="s">
        <v>744</v>
      </c>
      <c r="C425" s="259">
        <v>32</v>
      </c>
      <c r="D425" s="413">
        <f>ROUNDUP(C425*1000000/C32/2, 0 )</f>
        <v>3200000</v>
      </c>
      <c r="E425" s="354" t="str">
        <f>DEC2HEX(((D425)*2^0),8)</f>
        <v>0030D400</v>
      </c>
      <c r="F425" s="366" t="s">
        <v>763</v>
      </c>
      <c r="G425" s="90" t="s">
        <v>747</v>
      </c>
      <c r="H425" s="79" t="str">
        <f>"0x"&amp;DEC2HEX((HEX2DEC(C36)+36), 8)</f>
        <v>0x3D402024</v>
      </c>
      <c r="I425" s="80" t="str">
        <f>"0x"&amp;DEC2HEX(HEX2DEC(E425), 8)</f>
        <v>0x0030D400</v>
      </c>
      <c r="J425" s="82"/>
    </row>
    <row r="426" spans="1:22" ht="13.5" thickBot="1">
      <c r="A426" s="367"/>
      <c r="B426" s="77"/>
      <c r="C426" s="103"/>
      <c r="D426" s="78"/>
      <c r="E426" s="113"/>
      <c r="F426" s="225"/>
      <c r="G426" s="323"/>
      <c r="H426" s="226"/>
      <c r="I426" s="226"/>
      <c r="J426" s="18"/>
    </row>
    <row r="427" spans="1:22" ht="12.75" customHeight="1">
      <c r="A427" s="367"/>
      <c r="B427" s="58" t="s">
        <v>287</v>
      </c>
      <c r="C427" s="93" t="s">
        <v>0</v>
      </c>
      <c r="D427" s="57">
        <v>2</v>
      </c>
      <c r="E427" s="346" t="str">
        <f>DEC2HEX(((D427)*2^20),8)</f>
        <v>00200000</v>
      </c>
      <c r="F427" s="137" t="s">
        <v>763</v>
      </c>
      <c r="G427" s="652" t="s">
        <v>1213</v>
      </c>
      <c r="H427" s="652" t="str">
        <f>"0x"&amp;DEC2HEX((HEX2DEC(C36)+HEX2DEC(50)), 8)</f>
        <v>0x3D402050</v>
      </c>
      <c r="I427" s="653" t="str">
        <f>"0x"&amp;DEC2HEX((HEX2DEC(E427)+HEX2DEC(E428)+HEX2DEC(E429)+HEX2DEC(E430)), 8)</f>
        <v>0x0020D000</v>
      </c>
      <c r="J427" s="66"/>
      <c r="V427"/>
    </row>
    <row r="428" spans="1:22">
      <c r="A428" s="367"/>
      <c r="B428" s="59" t="s">
        <v>289</v>
      </c>
      <c r="C428" s="94" t="s">
        <v>0</v>
      </c>
      <c r="D428" s="126">
        <v>13</v>
      </c>
      <c r="E428" s="347" t="str">
        <f>DEC2HEX(((D428)*2^12),8)</f>
        <v>0000D000</v>
      </c>
      <c r="F428" s="348" t="s">
        <v>763</v>
      </c>
      <c r="G428" s="658"/>
      <c r="H428" s="658"/>
      <c r="I428" s="676"/>
      <c r="J428" s="66"/>
      <c r="V428"/>
    </row>
    <row r="429" spans="1:22">
      <c r="A429" s="367"/>
      <c r="B429" s="59" t="s">
        <v>291</v>
      </c>
      <c r="C429" s="94" t="s">
        <v>0</v>
      </c>
      <c r="D429" s="126">
        <v>0</v>
      </c>
      <c r="E429" s="347" t="str">
        <f>DEC2HEX(((D429)*2^4),8)</f>
        <v>00000000</v>
      </c>
      <c r="F429" s="348" t="s">
        <v>763</v>
      </c>
      <c r="G429" s="658"/>
      <c r="H429" s="658"/>
      <c r="I429" s="676"/>
      <c r="J429" s="66"/>
      <c r="V429"/>
    </row>
    <row r="430" spans="1:22" ht="13.5" thickBot="1">
      <c r="A430" s="367"/>
      <c r="B430" s="60" t="s">
        <v>293</v>
      </c>
      <c r="C430" s="97" t="s">
        <v>0</v>
      </c>
      <c r="D430" s="64">
        <v>0</v>
      </c>
      <c r="E430" s="349" t="str">
        <f>DEC2HEX(((D430)*2^2),8)</f>
        <v>00000000</v>
      </c>
      <c r="F430" s="138" t="s">
        <v>763</v>
      </c>
      <c r="G430" s="723"/>
      <c r="H430" s="723"/>
      <c r="I430" s="722"/>
      <c r="J430" s="66"/>
      <c r="V430"/>
    </row>
    <row r="431" spans="1:22" ht="13.5" thickBot="1">
      <c r="A431" s="367"/>
      <c r="B431" s="76"/>
      <c r="C431" s="103"/>
      <c r="D431" s="78"/>
      <c r="E431" s="36"/>
      <c r="F431" s="405"/>
      <c r="G431" s="36"/>
      <c r="H431" s="36"/>
      <c r="I431" s="55"/>
      <c r="J431" s="66"/>
      <c r="V431"/>
    </row>
    <row r="432" spans="1:22">
      <c r="A432" s="367"/>
      <c r="B432" s="58" t="s">
        <v>136</v>
      </c>
      <c r="C432" s="65" t="s">
        <v>0</v>
      </c>
      <c r="D432" s="57">
        <v>0</v>
      </c>
      <c r="E432" s="397" t="str">
        <f>DEC2HEX(((D432)*2^31),8)</f>
        <v>00000000</v>
      </c>
      <c r="F432" s="365" t="s">
        <v>763</v>
      </c>
      <c r="G432" s="652" t="s">
        <v>922</v>
      </c>
      <c r="H432" s="652" t="str">
        <f>"0x"&amp;DEC2HEX((HEX2DEC(C36)+384), 8)</f>
        <v>0x3D402180</v>
      </c>
      <c r="I432" s="653" t="str">
        <f>"0x"&amp;DEC2HEX((HEX2DEC(E432)+HEX2DEC(E433)+HEX2DEC(E434)+HEX2DEC(E436)+HEX2DEC(E437)), 8)</f>
        <v>0x00640004</v>
      </c>
      <c r="J432" s="18"/>
    </row>
    <row r="433" spans="1:10">
      <c r="A433" s="367"/>
      <c r="B433" s="59" t="s">
        <v>137</v>
      </c>
      <c r="C433" s="61" t="s">
        <v>0</v>
      </c>
      <c r="D433" s="126">
        <v>0</v>
      </c>
      <c r="E433" s="398" t="str">
        <f>DEC2HEX(((D433)*2^30),8)</f>
        <v>00000000</v>
      </c>
      <c r="F433" s="400" t="s">
        <v>763</v>
      </c>
      <c r="G433" s="658"/>
      <c r="H433" s="658"/>
      <c r="I433" s="676"/>
      <c r="J433" s="18"/>
    </row>
    <row r="434" spans="1:10" ht="15">
      <c r="A434" s="367"/>
      <c r="B434" s="59" t="s">
        <v>138</v>
      </c>
      <c r="C434" s="61" t="s">
        <v>0</v>
      </c>
      <c r="D434" s="125">
        <f>D176</f>
        <v>0</v>
      </c>
      <c r="E434" s="398" t="str">
        <f>DEC2HEX(((D434)*2^29),8)</f>
        <v>00000000</v>
      </c>
      <c r="F434" s="400" t="s">
        <v>763</v>
      </c>
      <c r="G434" s="658"/>
      <c r="H434" s="658"/>
      <c r="I434" s="676"/>
      <c r="J434" s="18"/>
    </row>
    <row r="435" spans="1:10" ht="15">
      <c r="A435" s="367"/>
      <c r="B435" s="75" t="s">
        <v>241</v>
      </c>
      <c r="C435" s="94" t="s">
        <v>0</v>
      </c>
      <c r="D435" s="207">
        <v>0</v>
      </c>
      <c r="E435" s="398" t="str">
        <f>DEC2HEX(((D435)*2^28),8)</f>
        <v>00000000</v>
      </c>
      <c r="F435" s="400" t="s">
        <v>763</v>
      </c>
      <c r="G435" s="658"/>
      <c r="H435" s="658"/>
      <c r="I435" s="676"/>
      <c r="J435" s="18"/>
    </row>
    <row r="436" spans="1:10" ht="15">
      <c r="A436" s="367"/>
      <c r="B436" s="75" t="s">
        <v>139</v>
      </c>
      <c r="C436" s="61">
        <v>1000</v>
      </c>
      <c r="D436" s="159">
        <f>ROUNDUP(((C436/C32)/2),0)</f>
        <v>100</v>
      </c>
      <c r="E436" s="398" t="str">
        <f>DEC2HEX(((D436)*2^16),8)</f>
        <v>00640000</v>
      </c>
      <c r="F436" s="400" t="s">
        <v>763</v>
      </c>
      <c r="G436" s="658"/>
      <c r="H436" s="658"/>
      <c r="I436" s="676"/>
      <c r="J436" s="18"/>
    </row>
    <row r="437" spans="1:10" ht="15.75" thickBot="1">
      <c r="A437" s="367"/>
      <c r="B437" s="60" t="s">
        <v>140</v>
      </c>
      <c r="C437" s="164">
        <f>MAX(30/C32,8)</f>
        <v>8</v>
      </c>
      <c r="D437" s="120">
        <f>ROUNDUP(((C437)/2),0)</f>
        <v>4</v>
      </c>
      <c r="E437" s="399" t="str">
        <f>DEC2HEX(((D437)*2^0),8)</f>
        <v>00000004</v>
      </c>
      <c r="F437" s="363" t="s">
        <v>763</v>
      </c>
      <c r="G437" s="723"/>
      <c r="H437" s="723"/>
      <c r="I437" s="722"/>
      <c r="J437" s="18"/>
    </row>
    <row r="438" spans="1:10" ht="13.5" thickBot="1">
      <c r="A438" s="367"/>
      <c r="B438" s="77"/>
      <c r="C438" s="103"/>
      <c r="D438" s="78"/>
      <c r="E438" s="113"/>
      <c r="F438" s="225"/>
      <c r="G438" s="323"/>
      <c r="H438" s="226"/>
      <c r="I438" s="226"/>
      <c r="J438" s="18"/>
    </row>
    <row r="439" spans="1:10">
      <c r="A439" s="367"/>
      <c r="B439" s="58" t="s">
        <v>143</v>
      </c>
      <c r="C439" s="65"/>
      <c r="D439" s="209">
        <v>3</v>
      </c>
      <c r="E439" s="346" t="str">
        <f>DEC2HEX(((D439)*2^24),8)</f>
        <v>03000000</v>
      </c>
      <c r="F439" s="365" t="s">
        <v>763</v>
      </c>
      <c r="G439" s="652" t="s">
        <v>748</v>
      </c>
      <c r="H439" s="652" t="str">
        <f>"0x"&amp;DEC2HEX((HEX2DEC(C36)+400), 8)</f>
        <v>0x3D402190</v>
      </c>
      <c r="I439" s="654" t="str">
        <f>"0x"&amp;DEC2HEX((HEX2DEC(E439)+HEX2DEC(E440)+HEX2DEC(E441)+HEX2DEC(E442)+HEX2DEC(E443)+HEX2DEC(E444)), 8)</f>
        <v>0x03818200</v>
      </c>
      <c r="J439" s="18"/>
    </row>
    <row r="440" spans="1:10">
      <c r="A440" s="367"/>
      <c r="B440" s="59" t="s">
        <v>144</v>
      </c>
      <c r="C440" s="61"/>
      <c r="D440" s="126">
        <v>1</v>
      </c>
      <c r="E440" s="347" t="str">
        <f>DEC2HEX(((D440)*2^23),8)</f>
        <v>00800000</v>
      </c>
      <c r="F440" s="348" t="s">
        <v>763</v>
      </c>
      <c r="G440" s="627"/>
      <c r="H440" s="627"/>
      <c r="I440" s="655"/>
      <c r="J440" s="18"/>
    </row>
    <row r="441" spans="1:10" ht="15.75">
      <c r="A441" s="367"/>
      <c r="B441" s="59" t="s">
        <v>145</v>
      </c>
      <c r="C441" s="61"/>
      <c r="D441" s="232">
        <f>(C380 - 5)</f>
        <v>1</v>
      </c>
      <c r="E441" s="347" t="str">
        <f>DEC2HEX(((D441)*2^16),8)</f>
        <v>00010000</v>
      </c>
      <c r="F441" s="348" t="s">
        <v>763</v>
      </c>
      <c r="G441" s="627"/>
      <c r="H441" s="627"/>
      <c r="I441" s="655"/>
      <c r="J441" s="208"/>
    </row>
    <row r="442" spans="1:10">
      <c r="A442" s="367"/>
      <c r="B442" s="59" t="s">
        <v>146</v>
      </c>
      <c r="C442" s="61"/>
      <c r="D442" s="126">
        <v>1</v>
      </c>
      <c r="E442" s="347" t="str">
        <f>DEC2HEX(((D442)*2^15),8)</f>
        <v>00008000</v>
      </c>
      <c r="F442" s="348" t="s">
        <v>763</v>
      </c>
      <c r="G442" s="627"/>
      <c r="H442" s="627"/>
      <c r="I442" s="655"/>
      <c r="J442" s="18"/>
    </row>
    <row r="443" spans="1:10">
      <c r="A443" s="367"/>
      <c r="B443" s="75" t="s">
        <v>147</v>
      </c>
      <c r="C443" s="61"/>
      <c r="D443" s="126">
        <v>2</v>
      </c>
      <c r="E443" s="347" t="str">
        <f>DEC2HEX(((D443)*2^8),8)</f>
        <v>00000200</v>
      </c>
      <c r="F443" s="348" t="s">
        <v>763</v>
      </c>
      <c r="G443" s="627"/>
      <c r="H443" s="627"/>
      <c r="I443" s="655"/>
      <c r="J443" s="18"/>
    </row>
    <row r="444" spans="1:10" ht="16.5" thickBot="1">
      <c r="A444" s="367"/>
      <c r="B444" s="148" t="s">
        <v>148</v>
      </c>
      <c r="C444" s="63"/>
      <c r="D444" s="164">
        <f>C379+1-5</f>
        <v>0</v>
      </c>
      <c r="E444" s="349" t="str">
        <f>DEC2HEX(((D444)*2^0),8)</f>
        <v>00000000</v>
      </c>
      <c r="F444" s="363" t="s">
        <v>763</v>
      </c>
      <c r="G444" s="625"/>
      <c r="H444" s="625"/>
      <c r="I444" s="656"/>
      <c r="J444" s="208"/>
    </row>
    <row r="445" spans="1:10" ht="16.5" thickBot="1">
      <c r="A445" s="367"/>
      <c r="B445" s="77"/>
      <c r="C445" s="77"/>
      <c r="D445" s="119"/>
      <c r="E445" s="36"/>
      <c r="F445" s="403"/>
      <c r="G445" s="81"/>
      <c r="H445" s="81"/>
      <c r="I445" s="391"/>
      <c r="J445" s="208"/>
    </row>
    <row r="446" spans="1:10">
      <c r="A446" s="367"/>
      <c r="B446" s="58" t="s">
        <v>243</v>
      </c>
      <c r="C446" s="65" t="s">
        <v>0</v>
      </c>
      <c r="D446" s="57">
        <v>0</v>
      </c>
      <c r="E446" s="397" t="str">
        <f>DEC2HEX(((D446)*2^28),8)</f>
        <v>00000000</v>
      </c>
      <c r="F446" s="365" t="s">
        <v>763</v>
      </c>
      <c r="G446" s="652" t="s">
        <v>921</v>
      </c>
      <c r="H446" s="652" t="str">
        <f>"0x"&amp;DEC2HEX((HEX2DEC(C36)+404), 8)</f>
        <v>0x3D402194</v>
      </c>
      <c r="I446" s="653" t="str">
        <f>"0x"&amp;DEC2HEX((HEX2DEC(E446)+HEX2DEC(E447)+HEX2DEC(E448)+HEX2DEC(E449)+HEX2DEC(E450)), 8)</f>
        <v>0x00080303</v>
      </c>
      <c r="J446" s="18"/>
    </row>
    <row r="447" spans="1:10">
      <c r="A447" s="367"/>
      <c r="B447" s="59" t="s">
        <v>245</v>
      </c>
      <c r="C447" s="61" t="s">
        <v>0</v>
      </c>
      <c r="D447" s="126">
        <v>0</v>
      </c>
      <c r="E447" s="398" t="str">
        <f>DEC2HEX(((D447)*2^24),8)</f>
        <v>00000000</v>
      </c>
      <c r="F447" s="400" t="s">
        <v>763</v>
      </c>
      <c r="G447" s="627"/>
      <c r="H447" s="627"/>
      <c r="I447" s="629"/>
      <c r="J447" s="18"/>
    </row>
    <row r="448" spans="1:10" ht="15">
      <c r="A448" s="367"/>
      <c r="B448" s="59" t="s">
        <v>149</v>
      </c>
      <c r="C448" s="61" t="s">
        <v>0</v>
      </c>
      <c r="D448" s="125">
        <f>ROUNDUP((6 + D48 + D281)/2, 0)</f>
        <v>8</v>
      </c>
      <c r="E448" s="398" t="str">
        <f>DEC2HEX(((D448)*2^16),8)</f>
        <v>00080000</v>
      </c>
      <c r="F448" s="400" t="s">
        <v>763</v>
      </c>
      <c r="G448" s="627"/>
      <c r="H448" s="627"/>
      <c r="I448" s="629"/>
      <c r="J448" s="18"/>
    </row>
    <row r="449" spans="1:11">
      <c r="A449" s="367"/>
      <c r="B449" s="59" t="s">
        <v>150</v>
      </c>
      <c r="C449" s="61" t="s">
        <v>0</v>
      </c>
      <c r="D449" s="126">
        <v>3</v>
      </c>
      <c r="E449" s="398" t="str">
        <f>DEC2HEX(((D449)*2^8),8)</f>
        <v>00000300</v>
      </c>
      <c r="F449" s="400" t="s">
        <v>763</v>
      </c>
      <c r="G449" s="627"/>
      <c r="H449" s="627"/>
      <c r="I449" s="629"/>
      <c r="J449" s="18"/>
    </row>
    <row r="450" spans="1:11" ht="13.5" thickBot="1">
      <c r="A450" s="367"/>
      <c r="B450" s="60" t="s">
        <v>151</v>
      </c>
      <c r="C450" s="63" t="s">
        <v>0</v>
      </c>
      <c r="D450" s="64">
        <v>3</v>
      </c>
      <c r="E450" s="399" t="str">
        <f>DEC2HEX(((D450)*2^0),8)</f>
        <v>00000003</v>
      </c>
      <c r="F450" s="363" t="s">
        <v>763</v>
      </c>
      <c r="G450" s="625"/>
      <c r="H450" s="625"/>
      <c r="I450" s="630"/>
      <c r="J450" s="18"/>
    </row>
    <row r="451" spans="1:11" ht="13.5" thickBot="1">
      <c r="A451" s="367"/>
      <c r="B451" s="77"/>
      <c r="C451" s="103"/>
      <c r="D451" s="78"/>
      <c r="E451" s="113"/>
      <c r="F451" s="225"/>
      <c r="G451" s="323"/>
      <c r="H451" s="226"/>
      <c r="I451" s="226"/>
      <c r="J451" s="18"/>
    </row>
    <row r="452" spans="1:11" ht="15">
      <c r="A452" s="375"/>
      <c r="B452" s="58" t="s">
        <v>248</v>
      </c>
      <c r="C452" s="93" t="s">
        <v>0</v>
      </c>
      <c r="D452" s="92">
        <f>(C380-5)</f>
        <v>1</v>
      </c>
      <c r="E452" s="346" t="str">
        <f>DEC2HEX(((D452)*2^8),8)</f>
        <v>00000100</v>
      </c>
      <c r="F452" s="365" t="s">
        <v>763</v>
      </c>
      <c r="G452" s="626" t="s">
        <v>749</v>
      </c>
      <c r="H452" s="626" t="str">
        <f>"0x"&amp;DEC2HEX((HEX2DEC(C36)+436), 8)</f>
        <v>0x3D4021B4</v>
      </c>
      <c r="I452" s="653" t="str">
        <f>"0x"&amp;DEC2HEX((HEX2DEC(E452)+HEX2DEC(E453)), 8)</f>
        <v>0x00000100</v>
      </c>
      <c r="J452" s="18"/>
    </row>
    <row r="453" spans="1:11" ht="15.75" thickBot="1">
      <c r="A453" s="375"/>
      <c r="B453" s="60" t="s">
        <v>249</v>
      </c>
      <c r="C453" s="97" t="s">
        <v>0</v>
      </c>
      <c r="D453" s="164">
        <f>(C379+1-5)</f>
        <v>0</v>
      </c>
      <c r="E453" s="349" t="str">
        <f>DEC2HEX(((D453)*2^0),8)</f>
        <v>00000000</v>
      </c>
      <c r="F453" s="363" t="s">
        <v>763</v>
      </c>
      <c r="G453" s="625"/>
      <c r="H453" s="625"/>
      <c r="I453" s="630"/>
      <c r="J453" s="18"/>
    </row>
    <row r="454" spans="1:11" ht="13.5" thickBot="1">
      <c r="A454" s="367"/>
      <c r="B454" s="77"/>
      <c r="C454" s="103"/>
      <c r="D454" s="78"/>
      <c r="E454" s="113"/>
      <c r="F454" s="225"/>
      <c r="G454" s="323"/>
      <c r="H454" s="226"/>
      <c r="I454" s="226"/>
      <c r="J454" s="18"/>
    </row>
    <row r="455" spans="1:11" ht="15">
      <c r="A455" s="367"/>
      <c r="B455" s="127" t="s">
        <v>134</v>
      </c>
      <c r="C455" s="92">
        <f>C105</f>
        <v>3904</v>
      </c>
      <c r="D455" s="117">
        <f>MAX(ROUNDDOWN(((C455/C32)/64), 0), 3)</f>
        <v>12</v>
      </c>
      <c r="E455" s="444" t="str">
        <f>DEC2HEX(((D455)*2^16),8)</f>
        <v>000C0000</v>
      </c>
      <c r="F455" s="365" t="s">
        <v>763</v>
      </c>
      <c r="G455" s="652" t="s">
        <v>753</v>
      </c>
      <c r="H455" s="652" t="str">
        <f>"0x"&amp;DEC2HEX((HEX2DEC(C36)+HEX2DEC(64)), 8)</f>
        <v>0x3D402064</v>
      </c>
      <c r="I455" s="653" t="str">
        <f>"0x"&amp;DEC2HEX((HEX2DEC(E455)+HEX2DEC(E456)), 8)</f>
        <v>0x000C0026</v>
      </c>
      <c r="J455" s="217"/>
      <c r="K455" s="66"/>
    </row>
    <row r="456" spans="1:11" ht="15.75" thickBot="1">
      <c r="A456" s="367"/>
      <c r="B456" s="148" t="s">
        <v>135</v>
      </c>
      <c r="C456" s="164">
        <f>C106</f>
        <v>380</v>
      </c>
      <c r="D456" s="115">
        <f>ROUNDUP((C456/C32/2),0)</f>
        <v>38</v>
      </c>
      <c r="E456" s="445" t="str">
        <f>DEC2HEX(((D456)*2^0),8)</f>
        <v>00000026</v>
      </c>
      <c r="F456" s="363" t="s">
        <v>763</v>
      </c>
      <c r="G456" s="625"/>
      <c r="H456" s="625"/>
      <c r="I456" s="630"/>
      <c r="J456" s="18"/>
      <c r="K456" s="66"/>
    </row>
    <row r="457" spans="1:11" ht="13.5" thickBot="1">
      <c r="A457" s="367"/>
      <c r="B457" s="77"/>
      <c r="C457" s="103"/>
      <c r="D457" s="78"/>
      <c r="E457" s="113"/>
      <c r="F457" s="225"/>
      <c r="G457" s="323"/>
      <c r="H457" s="226"/>
      <c r="I457" s="226"/>
      <c r="J457" s="18"/>
    </row>
    <row r="458" spans="1:11" s="8" customFormat="1" ht="38.25">
      <c r="A458" s="367"/>
      <c r="B458" s="182" t="s">
        <v>260</v>
      </c>
      <c r="C458" s="255" t="s">
        <v>0</v>
      </c>
      <c r="D458" s="256">
        <v>1</v>
      </c>
      <c r="E458" s="183" t="str">
        <f>DEC2HEX(((D458)*2^23),8)</f>
        <v>00800000</v>
      </c>
      <c r="F458" s="365" t="s">
        <v>763</v>
      </c>
      <c r="G458" s="693" t="s">
        <v>754</v>
      </c>
      <c r="H458" s="634" t="str">
        <f>"0x"&amp;DEC2HEX((HEX2DEC(C36)+220), 8)</f>
        <v>0x3D4020DC</v>
      </c>
      <c r="I458" s="696" t="str">
        <f>"0x"&amp;DEC2HEX((HEX2DEC(E458)+HEX2DEC(E459)+HEX2DEC(E460)+HEX2DEC(E461)+HEX2DEC(E462)+HEX2DEC(E463)+HEX2DEC(E464)+HEX2DEC(E465)+HEX2DEC(E466)),8)</f>
        <v>0x00840000</v>
      </c>
    </row>
    <row r="459" spans="1:11" s="8" customFormat="1" ht="38.25">
      <c r="A459" s="367"/>
      <c r="B459" s="184" t="s">
        <v>261</v>
      </c>
      <c r="C459" s="177" t="s">
        <v>0</v>
      </c>
      <c r="D459" s="129">
        <f>D465</f>
        <v>0</v>
      </c>
      <c r="E459" s="110" t="str">
        <f>DEC2HEX(((D459)*2^20),8)</f>
        <v>00000000</v>
      </c>
      <c r="F459" s="348" t="s">
        <v>763</v>
      </c>
      <c r="G459" s="694"/>
      <c r="H459" s="635"/>
      <c r="I459" s="697"/>
    </row>
    <row r="460" spans="1:11" s="8" customFormat="1" ht="38.25">
      <c r="A460" s="367"/>
      <c r="B460" s="176" t="s">
        <v>262</v>
      </c>
      <c r="C460" s="177" t="s">
        <v>0</v>
      </c>
      <c r="D460" s="243">
        <v>0</v>
      </c>
      <c r="E460" s="110" t="str">
        <f>DEC2HEX(((D460)*2^19),8)</f>
        <v>00000000</v>
      </c>
      <c r="F460" s="348" t="s">
        <v>763</v>
      </c>
      <c r="G460" s="694"/>
      <c r="H460" s="635"/>
      <c r="I460" s="697"/>
    </row>
    <row r="461" spans="1:11" s="8" customFormat="1" ht="38.25">
      <c r="A461" s="367"/>
      <c r="B461" s="176" t="s">
        <v>263</v>
      </c>
      <c r="C461" s="177" t="s">
        <v>0</v>
      </c>
      <c r="D461" s="243">
        <v>1</v>
      </c>
      <c r="E461" s="110" t="str">
        <f>DEC2HEX(((D461)*2^18),8)</f>
        <v>00040000</v>
      </c>
      <c r="F461" s="348" t="s">
        <v>763</v>
      </c>
      <c r="G461" s="694"/>
      <c r="H461" s="635"/>
      <c r="I461" s="697"/>
    </row>
    <row r="462" spans="1:11" s="8" customFormat="1" ht="26.25" thickBot="1">
      <c r="A462" s="367"/>
      <c r="B462" s="180" t="s">
        <v>264</v>
      </c>
      <c r="C462" s="181" t="s">
        <v>0</v>
      </c>
      <c r="D462" s="350">
        <v>0</v>
      </c>
      <c r="E462" s="173" t="str">
        <f>DEC2HEX(((D462)*2^16),8)</f>
        <v>00000000</v>
      </c>
      <c r="F462" s="363" t="s">
        <v>763</v>
      </c>
      <c r="G462" s="694"/>
      <c r="H462" s="635"/>
      <c r="I462" s="697"/>
    </row>
    <row r="463" spans="1:11" s="8" customFormat="1" ht="25.5">
      <c r="A463" s="367"/>
      <c r="B463" s="186" t="s">
        <v>265</v>
      </c>
      <c r="C463" s="187" t="s">
        <v>0</v>
      </c>
      <c r="D463" s="174">
        <v>0</v>
      </c>
      <c r="E463" s="172" t="str">
        <f>DEC2HEX(((D463)*2^7),8)</f>
        <v>00000000</v>
      </c>
      <c r="F463" s="365" t="s">
        <v>763</v>
      </c>
      <c r="G463" s="694"/>
      <c r="H463" s="635"/>
      <c r="I463" s="697"/>
    </row>
    <row r="464" spans="1:11" s="8" customFormat="1" ht="25.5">
      <c r="A464" s="367"/>
      <c r="B464" s="186" t="s">
        <v>266</v>
      </c>
      <c r="C464" s="177" t="s">
        <v>0</v>
      </c>
      <c r="D464" s="175">
        <v>0</v>
      </c>
      <c r="E464" s="172" t="str">
        <f>DEC2HEX(((D464)*2^6),8)</f>
        <v>00000000</v>
      </c>
      <c r="F464" s="348" t="s">
        <v>763</v>
      </c>
      <c r="G464" s="694"/>
      <c r="H464" s="635"/>
      <c r="I464" s="697"/>
    </row>
    <row r="465" spans="1:10" s="8" customFormat="1" ht="25.5">
      <c r="A465" s="367"/>
      <c r="B465" s="186" t="s">
        <v>267</v>
      </c>
      <c r="C465" s="177" t="s">
        <v>0</v>
      </c>
      <c r="D465" s="129">
        <f>(C379-4)/2</f>
        <v>0</v>
      </c>
      <c r="E465" s="172" t="str">
        <f>DEC2HEX(((D465)*2^3),8)</f>
        <v>00000000</v>
      </c>
      <c r="F465" s="348" t="s">
        <v>763</v>
      </c>
      <c r="G465" s="694"/>
      <c r="H465" s="635"/>
      <c r="I465" s="697"/>
    </row>
    <row r="466" spans="1:10" s="8" customFormat="1" ht="26.25" thickBot="1">
      <c r="A466" s="367"/>
      <c r="B466" s="189" t="s">
        <v>268</v>
      </c>
      <c r="C466" s="181" t="s">
        <v>0</v>
      </c>
      <c r="D466" s="130">
        <f>D465</f>
        <v>0</v>
      </c>
      <c r="E466" s="190" t="str">
        <f>DEC2HEX(((D466)*2^0),8)</f>
        <v>00000000</v>
      </c>
      <c r="F466" s="363" t="s">
        <v>763</v>
      </c>
      <c r="G466" s="695"/>
      <c r="H466" s="636"/>
      <c r="I466" s="698"/>
    </row>
    <row r="467" spans="1:10" ht="13.5" thickBot="1">
      <c r="A467" s="367"/>
      <c r="B467" s="77"/>
      <c r="C467" s="103"/>
      <c r="D467" s="78"/>
      <c r="E467" s="113"/>
      <c r="F467" s="225"/>
      <c r="G467" s="323"/>
      <c r="H467" s="226"/>
      <c r="I467" s="226"/>
      <c r="J467" s="18"/>
    </row>
    <row r="468" spans="1:10" s="8" customFormat="1">
      <c r="A468" s="367"/>
      <c r="B468" s="301" t="s">
        <v>349</v>
      </c>
      <c r="C468" s="167" t="s">
        <v>0</v>
      </c>
      <c r="D468" s="223">
        <v>6</v>
      </c>
      <c r="E468" s="294" t="str">
        <f>DEC2HEX(((D468)*2^20),8)</f>
        <v>00600000</v>
      </c>
      <c r="F468" s="365" t="s">
        <v>763</v>
      </c>
      <c r="G468" s="685" t="s">
        <v>750</v>
      </c>
      <c r="H468" s="688" t="str">
        <f>"0x"&amp;DEC2HEX((HEX2DEC(C36)+232), 8)</f>
        <v>0x3D4020E8</v>
      </c>
      <c r="I468" s="679" t="str">
        <f>"0x"&amp;DEC2HEX((HEX2DEC(E468)+HEX2DEC(E469)+HEX2DEC(E470)+HEX2DEC(E471)), 8)</f>
        <v>0x00660048</v>
      </c>
    </row>
    <row r="469" spans="1:10" s="8" customFormat="1">
      <c r="A469" s="367"/>
      <c r="B469" s="303" t="s">
        <v>1243</v>
      </c>
      <c r="C469" s="104" t="s">
        <v>0</v>
      </c>
      <c r="D469" s="221">
        <v>6</v>
      </c>
      <c r="E469" s="87" t="str">
        <f>DEC2HEX(((D469)*2^16),8)</f>
        <v>00060000</v>
      </c>
      <c r="F469" s="429" t="s">
        <v>763</v>
      </c>
      <c r="G469" s="686"/>
      <c r="H469" s="686"/>
      <c r="I469" s="680"/>
    </row>
    <row r="470" spans="1:10" s="8" customFormat="1" ht="15">
      <c r="A470" s="367"/>
      <c r="B470" s="303" t="s">
        <v>1245</v>
      </c>
      <c r="C470" s="104" t="s">
        <v>0</v>
      </c>
      <c r="D470" s="129">
        <f>D244</f>
        <v>1</v>
      </c>
      <c r="E470" s="87" t="str">
        <f>DEC2HEX(((D470)*2^6),8)</f>
        <v>00000040</v>
      </c>
      <c r="F470" s="429" t="s">
        <v>763</v>
      </c>
      <c r="G470" s="686"/>
      <c r="H470" s="686"/>
      <c r="I470" s="680"/>
    </row>
    <row r="471" spans="1:10" s="8" customFormat="1" ht="15.75" thickBot="1">
      <c r="A471" s="367"/>
      <c r="B471" s="304" t="s">
        <v>1247</v>
      </c>
      <c r="C471" s="106" t="s">
        <v>0</v>
      </c>
      <c r="D471" s="130">
        <f>D245</f>
        <v>8</v>
      </c>
      <c r="E471" s="293" t="str">
        <f>DEC2HEX(((D471)*2^0),8)</f>
        <v>00000008</v>
      </c>
      <c r="F471" s="363" t="s">
        <v>763</v>
      </c>
      <c r="G471" s="687"/>
      <c r="H471" s="687"/>
      <c r="I471" s="681"/>
    </row>
    <row r="472" spans="1:10" ht="13.5" thickBot="1">
      <c r="A472" s="367"/>
      <c r="B472" s="77"/>
      <c r="C472" s="103"/>
      <c r="D472" s="78"/>
      <c r="E472" s="113"/>
      <c r="F472" s="225"/>
      <c r="G472" s="323"/>
      <c r="H472" s="226"/>
      <c r="I472" s="226"/>
      <c r="J472" s="18"/>
    </row>
    <row r="473" spans="1:10" s="8" customFormat="1">
      <c r="A473" s="367"/>
      <c r="B473" s="301" t="s">
        <v>365</v>
      </c>
      <c r="C473" s="167" t="s">
        <v>0</v>
      </c>
      <c r="D473" s="223">
        <v>0</v>
      </c>
      <c r="E473" s="294" t="str">
        <f>DEC2HEX(((D473)*2^21),8)</f>
        <v>00000000</v>
      </c>
      <c r="F473" s="365" t="s">
        <v>763</v>
      </c>
      <c r="G473" s="690" t="s">
        <v>751</v>
      </c>
      <c r="H473" s="796" t="str">
        <f>"0x"&amp;DEC2HEX((HEX2DEC(C36)+236), 8)</f>
        <v>0x3D4020EC</v>
      </c>
      <c r="I473" s="797" t="str">
        <f>"0x"&amp;DEC2HEX((HEX2DEC(E473)+HEX2DEC(E474)+HEX2DEC(E475)+HEX2DEC(E476)+HEX2DEC(E477)+HEX2DEC(E478)), 8)</f>
        <v>0x00160048</v>
      </c>
    </row>
    <row r="474" spans="1:10" s="8" customFormat="1">
      <c r="A474" s="367"/>
      <c r="B474" s="303" t="s">
        <v>366</v>
      </c>
      <c r="C474" s="104" t="s">
        <v>0</v>
      </c>
      <c r="D474" s="221">
        <v>1</v>
      </c>
      <c r="E474" s="87" t="str">
        <f>DEC2HEX(((D474)*2^20),8)</f>
        <v>00100000</v>
      </c>
      <c r="F474" s="429" t="s">
        <v>763</v>
      </c>
      <c r="G474" s="691"/>
      <c r="H474" s="691"/>
      <c r="I474" s="798"/>
    </row>
    <row r="475" spans="1:10" s="8" customFormat="1">
      <c r="A475" s="367"/>
      <c r="B475" s="303" t="s">
        <v>367</v>
      </c>
      <c r="C475" s="104" t="s">
        <v>0</v>
      </c>
      <c r="D475" s="221">
        <v>0</v>
      </c>
      <c r="E475" s="87" t="str">
        <f>DEC2HEX(((D475)*2^19),8)</f>
        <v>00000000</v>
      </c>
      <c r="F475" s="429" t="s">
        <v>763</v>
      </c>
      <c r="G475" s="691"/>
      <c r="H475" s="691"/>
      <c r="I475" s="798"/>
    </row>
    <row r="476" spans="1:10" s="8" customFormat="1">
      <c r="A476" s="367"/>
      <c r="B476" s="303" t="s">
        <v>1239</v>
      </c>
      <c r="C476" s="104" t="s">
        <v>0</v>
      </c>
      <c r="D476" s="221">
        <v>6</v>
      </c>
      <c r="E476" s="87" t="str">
        <f>DEC2HEX(((D476)*2^16),8)</f>
        <v>00060000</v>
      </c>
      <c r="F476" s="429" t="s">
        <v>763</v>
      </c>
      <c r="G476" s="691"/>
      <c r="H476" s="691"/>
      <c r="I476" s="798"/>
    </row>
    <row r="477" spans="1:10" s="8" customFormat="1" ht="15">
      <c r="A477" s="367"/>
      <c r="B477" s="303" t="s">
        <v>1249</v>
      </c>
      <c r="C477" s="104" t="s">
        <v>0</v>
      </c>
      <c r="D477" s="129">
        <f>D251</f>
        <v>1</v>
      </c>
      <c r="E477" s="87" t="str">
        <f>DEC2HEX(((D477)*2^6),8)</f>
        <v>00000040</v>
      </c>
      <c r="F477" s="429" t="s">
        <v>763</v>
      </c>
      <c r="G477" s="691"/>
      <c r="H477" s="691"/>
      <c r="I477" s="798"/>
    </row>
    <row r="478" spans="1:10" s="8" customFormat="1" ht="15.75" thickBot="1">
      <c r="A478" s="367"/>
      <c r="B478" s="304" t="s">
        <v>1251</v>
      </c>
      <c r="C478" s="106" t="s">
        <v>0</v>
      </c>
      <c r="D478" s="130">
        <f>D252</f>
        <v>8</v>
      </c>
      <c r="E478" s="293" t="str">
        <f>DEC2HEX(((D478)*2^0),8)</f>
        <v>00000008</v>
      </c>
      <c r="F478" s="363" t="s">
        <v>763</v>
      </c>
      <c r="G478" s="692"/>
      <c r="H478" s="692"/>
      <c r="I478" s="799"/>
    </row>
    <row r="479" spans="1:10" ht="13.5" thickBot="1">
      <c r="A479" s="367"/>
      <c r="B479" s="77"/>
      <c r="C479" s="103"/>
      <c r="D479" s="78"/>
      <c r="E479" s="113"/>
      <c r="F479" s="225"/>
      <c r="G479" s="323"/>
      <c r="H479" s="226"/>
      <c r="I479" s="226"/>
      <c r="J479" s="18"/>
    </row>
    <row r="480" spans="1:10" s="8" customFormat="1" ht="38.25">
      <c r="A480" s="367"/>
      <c r="B480" s="195" t="s">
        <v>269</v>
      </c>
      <c r="C480" s="167" t="s">
        <v>0</v>
      </c>
      <c r="D480" s="218">
        <f>D227</f>
        <v>0</v>
      </c>
      <c r="E480" s="294" t="str">
        <f>DEC2HEX(((D480)*2^23),8)</f>
        <v>00000000</v>
      </c>
      <c r="F480" s="365" t="s">
        <v>763</v>
      </c>
      <c r="G480" s="682" t="s">
        <v>752</v>
      </c>
      <c r="H480" s="626" t="str">
        <f>"0x"&amp;DEC2HEX((HEX2DEC(C36)+224), 8)</f>
        <v>0x3D4020E0</v>
      </c>
      <c r="I480" s="628" t="str">
        <f>"0x"&amp;DEC2HEX((HEX2DEC(E480)+HEX2DEC(E481)+HEX2DEC(E482)+HEX2DEC(E483)+HEX2DEC(E484)+HEX2DEC(E485)+HEX2DEC(E486)+HEX2DEC(E487)+HEX2DEC(E488)+HEX2DEC(E489)+HEX2DEC(E490)+HEX2DEC(E491)+HEX2DEC(E492)+HEX2DEC(E493) ), 8)</f>
        <v>0x00330000</v>
      </c>
    </row>
    <row r="481" spans="1:10" s="8" customFormat="1" ht="38.25">
      <c r="A481" s="367"/>
      <c r="B481" s="108" t="s">
        <v>270</v>
      </c>
      <c r="C481" s="104" t="s">
        <v>0</v>
      </c>
      <c r="D481" s="129">
        <f>D228</f>
        <v>0</v>
      </c>
      <c r="E481" s="88" t="str">
        <f>DEC2HEX(((D481)*2^22),8)</f>
        <v>00000000</v>
      </c>
      <c r="F481" s="395" t="s">
        <v>763</v>
      </c>
      <c r="G481" s="683"/>
      <c r="H481" s="627"/>
      <c r="I481" s="629"/>
    </row>
    <row r="482" spans="1:10" s="8" customFormat="1" ht="38.25">
      <c r="A482" s="367"/>
      <c r="B482" s="108" t="s">
        <v>1238</v>
      </c>
      <c r="C482" s="104" t="s">
        <v>0</v>
      </c>
      <c r="D482" s="105">
        <v>6</v>
      </c>
      <c r="E482" s="88" t="str">
        <f>DEC2HEX(((D482)*2^19),8)</f>
        <v>00300000</v>
      </c>
      <c r="F482" s="395" t="s">
        <v>763</v>
      </c>
      <c r="G482" s="683"/>
      <c r="H482" s="627"/>
      <c r="I482" s="629"/>
    </row>
    <row r="483" spans="1:10" s="8" customFormat="1" ht="38.25">
      <c r="A483" s="367"/>
      <c r="B483" s="108" t="s">
        <v>272</v>
      </c>
      <c r="C483" s="104" t="s">
        <v>0</v>
      </c>
      <c r="D483" s="201">
        <v>0</v>
      </c>
      <c r="E483" s="88" t="str">
        <f>DEC2HEX(((D483)*2^18),8)</f>
        <v>00000000</v>
      </c>
      <c r="F483" s="395" t="s">
        <v>763</v>
      </c>
      <c r="G483" s="683"/>
      <c r="H483" s="627"/>
      <c r="I483" s="629"/>
    </row>
    <row r="484" spans="1:10" s="8" customFormat="1" ht="38.25">
      <c r="A484" s="367"/>
      <c r="B484" s="108" t="s">
        <v>273</v>
      </c>
      <c r="C484" s="104" t="s">
        <v>0</v>
      </c>
      <c r="D484" s="606">
        <v>1</v>
      </c>
      <c r="E484" s="88" t="str">
        <f>DEC2HEX(((D484)*2^17),8)</f>
        <v>00020000</v>
      </c>
      <c r="F484" s="395" t="s">
        <v>763</v>
      </c>
      <c r="G484" s="683"/>
      <c r="H484" s="627"/>
      <c r="I484" s="629"/>
    </row>
    <row r="485" spans="1:10" s="8" customFormat="1" ht="39" thickBot="1">
      <c r="A485" s="367"/>
      <c r="B485" s="85" t="s">
        <v>274</v>
      </c>
      <c r="C485" s="106" t="s">
        <v>0</v>
      </c>
      <c r="D485" s="193">
        <v>1</v>
      </c>
      <c r="E485" s="107" t="str">
        <f>DEC2HEX(((D485)*2^16),8)</f>
        <v>00010000</v>
      </c>
      <c r="F485" s="363" t="s">
        <v>763</v>
      </c>
      <c r="G485" s="683"/>
      <c r="H485" s="627"/>
      <c r="I485" s="629"/>
    </row>
    <row r="486" spans="1:10" s="8" customFormat="1" ht="38.25">
      <c r="A486" s="367"/>
      <c r="B486" s="197" t="s">
        <v>275</v>
      </c>
      <c r="C486" s="169" t="s">
        <v>0</v>
      </c>
      <c r="D486" s="200">
        <v>0</v>
      </c>
      <c r="E486" s="87" t="str">
        <f>DEC2HEX(((D486)*2^7),8)</f>
        <v>00000000</v>
      </c>
      <c r="F486" s="365" t="s">
        <v>763</v>
      </c>
      <c r="G486" s="683"/>
      <c r="H486" s="627"/>
      <c r="I486" s="629"/>
    </row>
    <row r="487" spans="1:10" s="8" customFormat="1" ht="38.25">
      <c r="A487" s="367"/>
      <c r="B487" s="198" t="s">
        <v>276</v>
      </c>
      <c r="C487" s="104" t="s">
        <v>0</v>
      </c>
      <c r="D487" s="201">
        <v>0</v>
      </c>
      <c r="E487" s="88" t="str">
        <f>DEC2HEX(((D487)*2^6),8)</f>
        <v>00000000</v>
      </c>
      <c r="F487" s="395" t="s">
        <v>763</v>
      </c>
      <c r="G487" s="683"/>
      <c r="H487" s="627"/>
      <c r="I487" s="629"/>
    </row>
    <row r="488" spans="1:10" s="8" customFormat="1" ht="25.5">
      <c r="A488" s="367"/>
      <c r="B488" s="198" t="s">
        <v>277</v>
      </c>
      <c r="C488" s="104" t="s">
        <v>0</v>
      </c>
      <c r="D488" s="105">
        <v>0</v>
      </c>
      <c r="E488" s="88" t="str">
        <f>DEC2HEX(((D488)*2^5),8)</f>
        <v>00000000</v>
      </c>
      <c r="F488" s="395" t="s">
        <v>763</v>
      </c>
      <c r="G488" s="683"/>
      <c r="H488" s="627"/>
      <c r="I488" s="629"/>
    </row>
    <row r="489" spans="1:10" s="8" customFormat="1" ht="25.5">
      <c r="A489" s="367"/>
      <c r="B489" s="198" t="s">
        <v>278</v>
      </c>
      <c r="C489" s="104" t="s">
        <v>0</v>
      </c>
      <c r="D489" s="201">
        <v>0</v>
      </c>
      <c r="E489" s="88" t="str">
        <f>DEC2HEX(((D489)*2^4),8)</f>
        <v>00000000</v>
      </c>
      <c r="F489" s="395" t="s">
        <v>763</v>
      </c>
      <c r="G489" s="683"/>
      <c r="H489" s="627"/>
      <c r="I489" s="629"/>
    </row>
    <row r="490" spans="1:10" s="8" customFormat="1" ht="38.25">
      <c r="A490" s="367"/>
      <c r="B490" s="198" t="s">
        <v>279</v>
      </c>
      <c r="C490" s="104" t="s">
        <v>0</v>
      </c>
      <c r="D490" s="384">
        <f>D237</f>
        <v>0</v>
      </c>
      <c r="E490" s="88" t="str">
        <f>DEC2HEX(((D490)*2^3),8)</f>
        <v>00000000</v>
      </c>
      <c r="F490" s="395" t="s">
        <v>763</v>
      </c>
      <c r="G490" s="683"/>
      <c r="H490" s="627"/>
      <c r="I490" s="629"/>
    </row>
    <row r="491" spans="1:10" s="8" customFormat="1" ht="25.5">
      <c r="A491" s="367"/>
      <c r="B491" s="198" t="s">
        <v>280</v>
      </c>
      <c r="C491" s="104" t="s">
        <v>0</v>
      </c>
      <c r="D491" s="201">
        <v>0</v>
      </c>
      <c r="E491" s="88" t="str">
        <f>DEC2HEX(((D491)*2^2),8)</f>
        <v>00000000</v>
      </c>
      <c r="F491" s="395" t="s">
        <v>763</v>
      </c>
      <c r="G491" s="683"/>
      <c r="H491" s="627"/>
      <c r="I491" s="629"/>
    </row>
    <row r="492" spans="1:10" s="8" customFormat="1" ht="38.25">
      <c r="A492" s="367"/>
      <c r="B492" s="198" t="s">
        <v>281</v>
      </c>
      <c r="C492" s="104" t="s">
        <v>0</v>
      </c>
      <c r="D492" s="201">
        <v>0</v>
      </c>
      <c r="E492" s="88" t="str">
        <f>DEC2HEX(((D492)*2^1),8)</f>
        <v>00000000</v>
      </c>
      <c r="F492" s="395" t="s">
        <v>763</v>
      </c>
      <c r="G492" s="683"/>
      <c r="H492" s="627"/>
      <c r="I492" s="629"/>
    </row>
    <row r="493" spans="1:10" s="8" customFormat="1" ht="39" thickBot="1">
      <c r="A493" s="367"/>
      <c r="B493" s="199" t="s">
        <v>282</v>
      </c>
      <c r="C493" s="106" t="s">
        <v>0</v>
      </c>
      <c r="D493" s="202">
        <v>0</v>
      </c>
      <c r="E493" s="107" t="str">
        <f>DEC2HEX(((D493)*2^0),8)</f>
        <v>00000000</v>
      </c>
      <c r="F493" s="363" t="s">
        <v>763</v>
      </c>
      <c r="G493" s="684"/>
      <c r="H493" s="625"/>
      <c r="I493" s="630"/>
    </row>
    <row r="494" spans="1:10" ht="13.5" thickBot="1">
      <c r="A494" s="367"/>
      <c r="B494" s="77"/>
      <c r="C494" s="103"/>
      <c r="D494" s="78"/>
      <c r="E494" s="113"/>
      <c r="F494" s="225"/>
      <c r="G494" s="323"/>
      <c r="H494" s="226"/>
      <c r="I494" s="226"/>
      <c r="J494" s="18"/>
    </row>
    <row r="495" spans="1:10" ht="15">
      <c r="A495" s="367"/>
      <c r="B495" s="58" t="s">
        <v>178</v>
      </c>
      <c r="C495" s="619">
        <f>MAX(6,(C409-(IF(C31&lt;=1333,4,IF(C31&lt;=1866,6,8)))-D48+1))</f>
        <v>9</v>
      </c>
      <c r="D495" s="92">
        <f>ROUNDUP( (C495/2), 0)</f>
        <v>5</v>
      </c>
      <c r="E495" s="438" t="str">
        <f>DEC2HEX(((D495)*2^8),8)</f>
        <v>00000500</v>
      </c>
      <c r="F495" s="441" t="s">
        <v>763</v>
      </c>
      <c r="G495" s="652" t="s">
        <v>1036</v>
      </c>
      <c r="H495" s="652" t="str">
        <f>"0x"&amp;DEC2HEX((HEX2DEC(C36)+244), 8)</f>
        <v>0x3D4020F4</v>
      </c>
      <c r="I495" s="653" t="str">
        <f>"0x"&amp;DEC2HEX((HEX2DEC(E495)+HEX2DEC(E496)+HEX2DEC(E497)), 8)</f>
        <v>0x00000599</v>
      </c>
      <c r="J495" s="18"/>
    </row>
    <row r="496" spans="1:10" ht="15">
      <c r="A496" s="367"/>
      <c r="B496" s="59" t="s">
        <v>179</v>
      </c>
      <c r="C496" s="94">
        <v>8</v>
      </c>
      <c r="D496" s="232">
        <f>(C496+1)</f>
        <v>9</v>
      </c>
      <c r="E496" s="439" t="str">
        <f>DEC2HEX(((D496)*2^4),8)</f>
        <v>00000090</v>
      </c>
      <c r="F496" s="442" t="s">
        <v>763</v>
      </c>
      <c r="G496" s="627"/>
      <c r="H496" s="627"/>
      <c r="I496" s="629"/>
      <c r="J496" s="18"/>
    </row>
    <row r="497" spans="1:11" ht="13.5" thickBot="1">
      <c r="A497" s="367"/>
      <c r="B497" s="60" t="s">
        <v>180</v>
      </c>
      <c r="C497" s="63">
        <v>9</v>
      </c>
      <c r="D497" s="64">
        <v>9</v>
      </c>
      <c r="E497" s="440" t="str">
        <f>DEC2HEX(((D497)*2^0),8)</f>
        <v>00000009</v>
      </c>
      <c r="F497" s="443" t="s">
        <v>763</v>
      </c>
      <c r="G497" s="625"/>
      <c r="H497" s="625"/>
      <c r="I497" s="630"/>
      <c r="J497" s="18"/>
    </row>
    <row r="498" spans="1:11">
      <c r="A498" s="367"/>
      <c r="B498" s="76"/>
      <c r="C498" s="77"/>
      <c r="D498" s="78"/>
      <c r="E498" s="36"/>
      <c r="F498" s="73"/>
      <c r="G498" s="81"/>
      <c r="H498" s="81"/>
      <c r="I498" s="81"/>
      <c r="J498" s="18"/>
    </row>
    <row r="499" spans="1:11" ht="13.5" thickBot="1">
      <c r="A499" s="367"/>
      <c r="B499" s="368"/>
      <c r="C499" s="369"/>
      <c r="D499" s="370"/>
      <c r="E499" s="371"/>
      <c r="F499" s="372"/>
      <c r="G499" s="373"/>
      <c r="H499" s="374"/>
      <c r="I499" s="374"/>
      <c r="J499" s="18"/>
    </row>
    <row r="500" spans="1:11" ht="15.75" thickBot="1">
      <c r="A500" s="376"/>
      <c r="B500" s="801" t="s">
        <v>787</v>
      </c>
      <c r="C500" s="802"/>
      <c r="D500" s="802"/>
      <c r="E500" s="802"/>
      <c r="F500" s="802"/>
      <c r="G500" s="802"/>
      <c r="H500" s="802"/>
      <c r="I500" s="803"/>
      <c r="J500" s="18"/>
    </row>
    <row r="501" spans="1:11" ht="15">
      <c r="A501" s="376"/>
      <c r="B501" s="58" t="s">
        <v>181</v>
      </c>
      <c r="C501" s="92">
        <f>MAX(18/C34, 6)</f>
        <v>6</v>
      </c>
      <c r="D501" s="56">
        <f>ROUNDUP((1+C510+D48+ROUNDUP((C501),0))/2, 0)</f>
        <v>10</v>
      </c>
      <c r="E501" s="346" t="str">
        <f>DEC2HEX(((D501)*2^24),8)</f>
        <v>0A000000</v>
      </c>
      <c r="F501" s="133" t="s">
        <v>763</v>
      </c>
      <c r="G501" s="652" t="s">
        <v>788</v>
      </c>
      <c r="H501" s="652" t="str">
        <f>"0x"&amp;DEC2HEX((HEX2DEC(C37)+256), 8)</f>
        <v>0x3D403100</v>
      </c>
      <c r="I501" s="653" t="str">
        <f>"0x"&amp;DEC2HEX((HEX2DEC(E501)+HEX2DEC(E502)+HEX2DEC(E503)+HEX2DEC(E504)), 8)</f>
        <v>0x0A010102</v>
      </c>
      <c r="J501" s="82"/>
      <c r="K501" s="25"/>
    </row>
    <row r="502" spans="1:11" ht="15">
      <c r="A502" s="376"/>
      <c r="B502" s="74" t="s">
        <v>182</v>
      </c>
      <c r="C502" s="232">
        <f>C123</f>
        <v>40</v>
      </c>
      <c r="D502" s="159">
        <f>ROUNDUP(((C502/C34)/2),0)</f>
        <v>1</v>
      </c>
      <c r="E502" s="68" t="str">
        <f>DEC2HEX(((D502)*2^16),8)</f>
        <v>00010000</v>
      </c>
      <c r="F502" s="237" t="s">
        <v>763</v>
      </c>
      <c r="G502" s="658"/>
      <c r="H502" s="658"/>
      <c r="I502" s="676"/>
      <c r="J502" s="18"/>
      <c r="K502" s="25"/>
    </row>
    <row r="503" spans="1:11" ht="15">
      <c r="A503" s="376"/>
      <c r="B503" s="59" t="s">
        <v>183</v>
      </c>
      <c r="C503" s="232">
        <f>C124</f>
        <v>35136</v>
      </c>
      <c r="D503" s="249">
        <f>IF(ROUNDDOWN(((C503/C34 - 1)/2/1024),0)&lt;1, 1, ROUNDDOWN(((C503/C34 - 1)/2/1024),0))</f>
        <v>1</v>
      </c>
      <c r="E503" s="347" t="str">
        <f>DEC2HEX(((D503)*2^8),8)</f>
        <v>00000100</v>
      </c>
      <c r="F503" s="132" t="s">
        <v>763</v>
      </c>
      <c r="G503" s="627"/>
      <c r="H503" s="627"/>
      <c r="I503" s="629"/>
      <c r="J503" s="18"/>
      <c r="K503" s="25"/>
    </row>
    <row r="504" spans="1:11" ht="15.75" thickBot="1">
      <c r="A504" s="376"/>
      <c r="B504" s="148" t="s">
        <v>184</v>
      </c>
      <c r="C504" s="164">
        <f>MAX(42/C34, 3)</f>
        <v>3</v>
      </c>
      <c r="D504" s="158">
        <f>ROUNDUP((C504)/2,0)</f>
        <v>2</v>
      </c>
      <c r="E504" s="154" t="str">
        <f>DEC2HEX(((D504)*2^0),8)</f>
        <v>00000002</v>
      </c>
      <c r="F504" s="157" t="s">
        <v>763</v>
      </c>
      <c r="G504" s="625"/>
      <c r="H504" s="625"/>
      <c r="I504" s="630"/>
      <c r="J504" s="18"/>
    </row>
    <row r="505" spans="1:11" ht="11.25" customHeight="1" thickBot="1">
      <c r="A505" s="376"/>
      <c r="B505" s="77"/>
      <c r="C505" s="119"/>
      <c r="D505" s="119"/>
      <c r="E505" s="113"/>
      <c r="F505" s="322"/>
      <c r="G505" s="81"/>
      <c r="H505" s="81"/>
      <c r="I505" s="81"/>
      <c r="J505" s="18"/>
    </row>
    <row r="506" spans="1:11" ht="15">
      <c r="A506" s="376"/>
      <c r="B506" s="58" t="s">
        <v>106</v>
      </c>
      <c r="C506" s="92">
        <f>MAX(7.5/C34, 5)</f>
        <v>5</v>
      </c>
      <c r="D506" s="117">
        <f>ROUNDUP((C506)/2, 0)</f>
        <v>3</v>
      </c>
      <c r="E506" s="346" t="str">
        <f>DEC2HEX(((D506)*2^16),8)</f>
        <v>00030000</v>
      </c>
      <c r="F506" s="137" t="s">
        <v>763</v>
      </c>
      <c r="G506" s="660" t="s">
        <v>890</v>
      </c>
      <c r="H506" s="660" t="str">
        <f>"0x"&amp;DEC2HEX((HEX2DEC(C37)+260), 8)</f>
        <v>0x3D403104</v>
      </c>
      <c r="I506" s="663" t="str">
        <f>"0x"&amp;DEC2HEX((HEX2DEC(E506)+HEX2DEC(E507)+HEX2DEC(E508)), 8)</f>
        <v>0x00030404</v>
      </c>
      <c r="J506" s="18"/>
    </row>
    <row r="507" spans="1:11" ht="15">
      <c r="A507" s="376"/>
      <c r="B507" s="59" t="s">
        <v>107</v>
      </c>
      <c r="C507" s="232">
        <f>MAX(7.5/C34, 8)</f>
        <v>8</v>
      </c>
      <c r="D507" s="159">
        <f>ROUNDUP((C507)/2,0)</f>
        <v>4</v>
      </c>
      <c r="E507" s="347" t="str">
        <f>DEC2HEX(((D507)*2^8),8)</f>
        <v>00000400</v>
      </c>
      <c r="F507" s="348" t="s">
        <v>763</v>
      </c>
      <c r="G507" s="661"/>
      <c r="H507" s="661"/>
      <c r="I507" s="664"/>
      <c r="J507" s="98"/>
    </row>
    <row r="508" spans="1:11" ht="15.75" thickBot="1">
      <c r="A508" s="376"/>
      <c r="B508" s="60" t="s">
        <v>295</v>
      </c>
      <c r="C508" s="164">
        <f>MAX(21/C34, 4)</f>
        <v>4</v>
      </c>
      <c r="D508" s="164">
        <f>ROUNDUP(((C508+C504)/2),0)</f>
        <v>4</v>
      </c>
      <c r="E508" s="349" t="str">
        <f>DEC2HEX(((D508)*2^0),8)</f>
        <v>00000004</v>
      </c>
      <c r="F508" s="138" t="s">
        <v>763</v>
      </c>
      <c r="G508" s="662"/>
      <c r="H508" s="662"/>
      <c r="I508" s="665"/>
      <c r="J508" s="18"/>
    </row>
    <row r="509" spans="1:11" ht="13.5" thickBot="1">
      <c r="A509" s="376"/>
      <c r="B509" s="77"/>
      <c r="C509" s="103"/>
      <c r="D509" s="78"/>
      <c r="E509" s="113"/>
      <c r="F509" s="225"/>
      <c r="G509" s="323"/>
      <c r="H509" s="226"/>
      <c r="I509" s="226"/>
      <c r="J509" s="18"/>
    </row>
    <row r="510" spans="1:11" ht="15">
      <c r="A510" s="376"/>
      <c r="B510" s="58" t="s">
        <v>104</v>
      </c>
      <c r="C510" s="362">
        <v>4</v>
      </c>
      <c r="D510" s="117">
        <f>ROUNDUP((C510/2), 0)</f>
        <v>2</v>
      </c>
      <c r="E510" s="346" t="str">
        <f>DEC2HEX(((D510)*2^24),8)</f>
        <v>02000000</v>
      </c>
      <c r="F510" s="137" t="s">
        <v>763</v>
      </c>
      <c r="G510" s="652" t="s">
        <v>891</v>
      </c>
      <c r="H510" s="652" t="str">
        <f>"0x"&amp;DEC2HEX((HEX2DEC(C37)+264), 8)</f>
        <v>0x3D403108</v>
      </c>
      <c r="I510" s="654" t="str">
        <f>"0x"&amp;DEC2HEX((HEX2DEC(E510)+HEX2DEC(E511)+HEX2DEC(E512)+HEX2DEC(E513)), 8)</f>
        <v>0x0203060B</v>
      </c>
      <c r="J510" s="82"/>
    </row>
    <row r="511" spans="1:11" ht="15">
      <c r="A511" s="376"/>
      <c r="B511" s="74" t="s">
        <v>105</v>
      </c>
      <c r="C511" s="356">
        <v>6</v>
      </c>
      <c r="D511" s="159">
        <f>ROUNDUP((C511/2), 0)</f>
        <v>3</v>
      </c>
      <c r="E511" s="68" t="str">
        <f>DEC2HEX(((D511)*2^16),8)</f>
        <v>00030000</v>
      </c>
      <c r="F511" s="348" t="s">
        <v>763</v>
      </c>
      <c r="G511" s="658"/>
      <c r="H511" s="658"/>
      <c r="I511" s="659"/>
      <c r="J511" s="82"/>
    </row>
    <row r="512" spans="1:11" ht="15">
      <c r="A512" s="376"/>
      <c r="B512" s="59" t="s">
        <v>103</v>
      </c>
      <c r="C512" s="125">
        <f>C135</f>
        <v>3.6</v>
      </c>
      <c r="D512" s="83">
        <f>ROUNDUP((C511+D48+ROUNDUP(C512/C34, 0) + (0.5+D215) - (IF(C33&lt;1333, 4, 6)) -ROUNDUP((1.5/C34),0) ) /2,0)</f>
        <v>6</v>
      </c>
      <c r="E512" s="153" t="str">
        <f>DEC2HEX(((D512)*2^8),8)</f>
        <v>00000600</v>
      </c>
      <c r="F512" s="348" t="s">
        <v>763</v>
      </c>
      <c r="G512" s="627"/>
      <c r="H512" s="627"/>
      <c r="I512" s="655"/>
      <c r="J512" s="224"/>
    </row>
    <row r="513" spans="1:11" ht="15.75" thickBot="1">
      <c r="A513" s="376"/>
      <c r="B513" s="99" t="s">
        <v>102</v>
      </c>
      <c r="C513" s="164">
        <f>MAX(10/C34, 8)</f>
        <v>8</v>
      </c>
      <c r="D513" s="164">
        <f>ROUNDUP((C510+D48+ C513  + 1)/2, 0)</f>
        <v>11</v>
      </c>
      <c r="E513" s="350" t="str">
        <f>DEC2HEX(((D513)*2^0),8)</f>
        <v>0000000B</v>
      </c>
      <c r="F513" s="138" t="s">
        <v>763</v>
      </c>
      <c r="G513" s="625"/>
      <c r="H513" s="625"/>
      <c r="I513" s="656"/>
      <c r="J513" s="224"/>
      <c r="K513" s="25"/>
    </row>
    <row r="514" spans="1:11" ht="13.5" thickBot="1">
      <c r="A514" s="376"/>
      <c r="B514" s="77"/>
      <c r="C514" s="103"/>
      <c r="D514" s="78"/>
      <c r="E514" s="113"/>
      <c r="F514" s="225"/>
      <c r="G514" s="323"/>
      <c r="H514" s="226"/>
      <c r="I514" s="226"/>
      <c r="J514" s="18"/>
    </row>
    <row r="515" spans="1:11" ht="15">
      <c r="A515" s="376"/>
      <c r="B515" s="58" t="s">
        <v>108</v>
      </c>
      <c r="C515" s="92">
        <f>MAX(14/C34, 10)</f>
        <v>10</v>
      </c>
      <c r="D515" s="92">
        <f>ROUNDUP((C515)/2, 0)</f>
        <v>5</v>
      </c>
      <c r="E515" s="346" t="str">
        <f>DEC2HEX(((D515)*2^20),8)</f>
        <v>00500000</v>
      </c>
      <c r="F515" s="137" t="s">
        <v>763</v>
      </c>
      <c r="G515" s="652" t="s">
        <v>892</v>
      </c>
      <c r="H515" s="652" t="str">
        <f>"0x"&amp;DEC2HEX((HEX2DEC(C37)+268), 8)</f>
        <v>0x3D40310C</v>
      </c>
      <c r="I515" s="653" t="str">
        <f>"0x"&amp;DEC2HEX((HEX2DEC(E515)+HEX2DEC(E516)+HEX2DEC(E517)), 8)</f>
        <v>0x00505000</v>
      </c>
      <c r="J515" s="18"/>
    </row>
    <row r="516" spans="1:11" ht="15">
      <c r="A516" s="376"/>
      <c r="B516" s="128" t="s">
        <v>109</v>
      </c>
      <c r="C516" s="232">
        <f>MAX(14/C34, 10)</f>
        <v>10</v>
      </c>
      <c r="D516" s="118">
        <f>ROUNDUP((C516)/2, 0)</f>
        <v>5</v>
      </c>
      <c r="E516" s="347" t="str">
        <f>DEC2HEX(((D516)*2^12),8)</f>
        <v>00005000</v>
      </c>
      <c r="F516" s="348" t="s">
        <v>763</v>
      </c>
      <c r="G516" s="627"/>
      <c r="H516" s="627"/>
      <c r="I516" s="629"/>
      <c r="J516" s="18"/>
    </row>
    <row r="517" spans="1:11" ht="15.75" thickBot="1">
      <c r="A517" s="376"/>
      <c r="B517" s="148" t="s">
        <v>110</v>
      </c>
      <c r="C517" s="63">
        <v>0</v>
      </c>
      <c r="D517" s="115">
        <f>(C517/2)</f>
        <v>0</v>
      </c>
      <c r="E517" s="349" t="str">
        <f>DEC2HEX(((D517)*2^0),8)</f>
        <v>00000000</v>
      </c>
      <c r="F517" s="363" t="s">
        <v>763</v>
      </c>
      <c r="G517" s="625"/>
      <c r="H517" s="625"/>
      <c r="I517" s="630"/>
      <c r="J517" s="217"/>
    </row>
    <row r="518" spans="1:11" ht="13.5" thickBot="1">
      <c r="A518" s="376"/>
      <c r="B518" s="77"/>
      <c r="C518" s="103"/>
      <c r="D518" s="78"/>
      <c r="E518" s="113"/>
      <c r="F518" s="225"/>
      <c r="G518" s="323"/>
      <c r="H518" s="226"/>
      <c r="I518" s="226"/>
      <c r="J518" s="18"/>
    </row>
    <row r="519" spans="1:11" ht="15">
      <c r="A519" s="376"/>
      <c r="B519" s="58" t="s">
        <v>121</v>
      </c>
      <c r="C519" s="92">
        <f>MAX(18/C34, 4)</f>
        <v>4</v>
      </c>
      <c r="D519" s="117">
        <f>ROUNDUP(((C519)/2),0)</f>
        <v>2</v>
      </c>
      <c r="E519" s="346" t="str">
        <f>DEC2HEX(((D519)*2^24),8)</f>
        <v>02000000</v>
      </c>
      <c r="F519" s="137" t="s">
        <v>763</v>
      </c>
      <c r="G519" s="652" t="s">
        <v>893</v>
      </c>
      <c r="H519" s="652" t="str">
        <f>"0x"&amp;DEC2HEX((HEX2DEC(C37)+272), 8)</f>
        <v>0x3D403110</v>
      </c>
      <c r="I519" s="654" t="str">
        <f>"0x"&amp;DEC2HEX((HEX2DEC(E519)+HEX2DEC(E520)+HEX2DEC(E521)+HEX2DEC(E522)), 8)</f>
        <v>0x02040202</v>
      </c>
      <c r="J519" s="18"/>
    </row>
    <row r="520" spans="1:11" ht="15">
      <c r="A520" s="376"/>
      <c r="B520" s="59" t="s">
        <v>122</v>
      </c>
      <c r="C520" s="61">
        <v>8</v>
      </c>
      <c r="D520" s="159">
        <f>ROUNDUP(C520/2, 0)</f>
        <v>4</v>
      </c>
      <c r="E520" s="347" t="str">
        <f>DEC2HEX(((D520)*2^16),8)</f>
        <v>00040000</v>
      </c>
      <c r="F520" s="348" t="s">
        <v>763</v>
      </c>
      <c r="G520" s="627"/>
      <c r="H520" s="627"/>
      <c r="I520" s="655"/>
      <c r="J520" s="18"/>
    </row>
    <row r="521" spans="1:11" ht="15">
      <c r="A521" s="376"/>
      <c r="B521" s="75" t="s">
        <v>123</v>
      </c>
      <c r="C521" s="232">
        <f xml:space="preserve"> MAX(10/C34, 4)</f>
        <v>4</v>
      </c>
      <c r="D521" s="249">
        <f>ROUNDUP(((C521)/2),0)</f>
        <v>2</v>
      </c>
      <c r="E521" s="347" t="str">
        <f>DEC2HEX(((D521)*2^8),8)</f>
        <v>00000200</v>
      </c>
      <c r="F521" s="348" t="s">
        <v>763</v>
      </c>
      <c r="G521" s="627"/>
      <c r="H521" s="627"/>
      <c r="I521" s="655"/>
      <c r="J521" s="18"/>
    </row>
    <row r="522" spans="1:11" ht="15.75" thickBot="1">
      <c r="A522" s="376"/>
      <c r="B522" s="60" t="s">
        <v>124</v>
      </c>
      <c r="C522" s="164">
        <f>MAX(18/C34, 4)</f>
        <v>4</v>
      </c>
      <c r="D522" s="115">
        <f>ROUNDUP((C522)/2, 0)</f>
        <v>2</v>
      </c>
      <c r="E522" s="154" t="str">
        <f>DEC2HEX(((D522)*2^0),8)</f>
        <v>00000002</v>
      </c>
      <c r="F522" s="138" t="s">
        <v>763</v>
      </c>
      <c r="G522" s="625"/>
      <c r="H522" s="625"/>
      <c r="I522" s="656"/>
      <c r="J522" s="224"/>
    </row>
    <row r="523" spans="1:11" ht="13.5" customHeight="1" thickBot="1">
      <c r="A523" s="376"/>
      <c r="B523" s="69"/>
      <c r="C523" s="70"/>
      <c r="D523" s="71"/>
      <c r="E523" s="72"/>
      <c r="F523" s="73"/>
      <c r="G523" s="36"/>
      <c r="H523" s="36"/>
      <c r="I523" s="55"/>
      <c r="J523" s="18"/>
    </row>
    <row r="524" spans="1:11" ht="15">
      <c r="A524" s="376"/>
      <c r="B524" s="58" t="s">
        <v>125</v>
      </c>
      <c r="C524" s="92">
        <f>MAX(1.75/C34, 3)</f>
        <v>3</v>
      </c>
      <c r="D524" s="117">
        <f>ROUNDUP(((C524/2)),0)</f>
        <v>2</v>
      </c>
      <c r="E524" s="151" t="str">
        <f>DEC2HEX(((D524)*2^24),8)</f>
        <v>02000000</v>
      </c>
      <c r="F524" s="137" t="s">
        <v>763</v>
      </c>
      <c r="G524" s="652" t="s">
        <v>894</v>
      </c>
      <c r="H524" s="652" t="str">
        <f>"0x"&amp;DEC2HEX((HEX2DEC(C37)+276), 8)</f>
        <v>0x3D403114</v>
      </c>
      <c r="I524" s="653" t="str">
        <f>"0x"&amp;DEC2HEX((HEX2DEC(E524)+HEX2DEC(E525)+HEX2DEC(E526)+HEX2DEC(E527)), 8)</f>
        <v>0x02030202</v>
      </c>
      <c r="J524" s="222"/>
    </row>
    <row r="525" spans="1:11" ht="15">
      <c r="A525" s="376"/>
      <c r="B525" s="59" t="s">
        <v>126</v>
      </c>
      <c r="C525" s="232">
        <f>MAX(5/C34, 5)</f>
        <v>5</v>
      </c>
      <c r="D525" s="159">
        <f>ROUNDUP(((C525)/2),0)</f>
        <v>3</v>
      </c>
      <c r="E525" s="153" t="str">
        <f>DEC2HEX(((D525)*2^16),8)</f>
        <v>00030000</v>
      </c>
      <c r="F525" s="348" t="s">
        <v>763</v>
      </c>
      <c r="G525" s="627"/>
      <c r="H525" s="627"/>
      <c r="I525" s="629"/>
      <c r="J525" s="222"/>
    </row>
    <row r="526" spans="1:11" ht="15">
      <c r="A526" s="376"/>
      <c r="B526" s="75" t="s">
        <v>315</v>
      </c>
      <c r="C526" s="232">
        <f>MAX(15/C34, 4)</f>
        <v>4</v>
      </c>
      <c r="D526" s="248">
        <f>ROUNDUP(((C526)/2),0)</f>
        <v>2</v>
      </c>
      <c r="E526" s="246" t="str">
        <f>DEC2HEX(((D526)*2^8),8)</f>
        <v>00000200</v>
      </c>
      <c r="F526" s="348" t="s">
        <v>763</v>
      </c>
      <c r="G526" s="627"/>
      <c r="H526" s="627"/>
      <c r="I526" s="629"/>
      <c r="J526" s="18"/>
    </row>
    <row r="527" spans="1:11" ht="15.75" thickBot="1">
      <c r="A527" s="376"/>
      <c r="B527" s="60" t="s">
        <v>316</v>
      </c>
      <c r="C527" s="164">
        <f>MAX(15/C34, 4)</f>
        <v>4</v>
      </c>
      <c r="D527" s="120">
        <f>ROUNDUP(((C527)/2),0)</f>
        <v>2</v>
      </c>
      <c r="E527" s="349" t="str">
        <f>DEC2HEX(((D527)*2^0),8)</f>
        <v>00000002</v>
      </c>
      <c r="F527" s="138" t="s">
        <v>763</v>
      </c>
      <c r="G527" s="625"/>
      <c r="H527" s="625"/>
      <c r="I527" s="630"/>
      <c r="J527" s="18"/>
    </row>
    <row r="528" spans="1:11" ht="13.5" thickBot="1">
      <c r="A528" s="376"/>
      <c r="B528" s="77"/>
      <c r="C528" s="103"/>
      <c r="D528" s="78"/>
      <c r="E528" s="113"/>
      <c r="F528" s="225"/>
      <c r="G528" s="323"/>
      <c r="H528" s="226"/>
      <c r="I528" s="226"/>
      <c r="J528" s="18"/>
    </row>
    <row r="529" spans="1:10">
      <c r="A529" s="376"/>
      <c r="B529" s="58" t="s">
        <v>129</v>
      </c>
      <c r="C529" s="101">
        <v>2</v>
      </c>
      <c r="D529" s="57">
        <f>(C529/2)</f>
        <v>1</v>
      </c>
      <c r="E529" s="346" t="str">
        <f>DEC2HEX(((D529)*2^24),8)</f>
        <v>01000000</v>
      </c>
      <c r="F529" s="137" t="s">
        <v>763</v>
      </c>
      <c r="G529" s="623" t="s">
        <v>895</v>
      </c>
      <c r="H529" s="626" t="str">
        <f>"0x"&amp;DEC2HEX((HEX2DEC(C37)+280), 8)</f>
        <v>0x3D403118</v>
      </c>
      <c r="I529" s="628" t="str">
        <f>"0x"&amp;DEC2HEX((HEX2DEC(E529)+HEX2DEC(E530)+HEX2DEC(E531)), 8)</f>
        <v>0x01010004</v>
      </c>
      <c r="J529" s="18"/>
    </row>
    <row r="530" spans="1:10">
      <c r="A530" s="376"/>
      <c r="B530" s="84" t="s">
        <v>128</v>
      </c>
      <c r="C530" s="100">
        <v>2</v>
      </c>
      <c r="D530" s="126">
        <f>(C530/2)</f>
        <v>1</v>
      </c>
      <c r="E530" s="345" t="str">
        <f>DEC2HEX(((D530)*2^16),8)</f>
        <v>00010000</v>
      </c>
      <c r="F530" s="348" t="s">
        <v>763</v>
      </c>
      <c r="G530" s="624"/>
      <c r="H530" s="627"/>
      <c r="I530" s="629"/>
      <c r="J530" s="18"/>
    </row>
    <row r="531" spans="1:10" ht="15.75" thickBot="1">
      <c r="A531" s="376"/>
      <c r="B531" s="60" t="s">
        <v>127</v>
      </c>
      <c r="C531" s="102" t="s">
        <v>0</v>
      </c>
      <c r="D531" s="115">
        <f>ROUNDUP(((C506)+2)/2,0)</f>
        <v>4</v>
      </c>
      <c r="E531" s="349" t="str">
        <f>DEC2HEX(((D531)*2^0),8)</f>
        <v>00000004</v>
      </c>
      <c r="F531" s="363" t="s">
        <v>763</v>
      </c>
      <c r="G531" s="625"/>
      <c r="H531" s="625"/>
      <c r="I531" s="630"/>
      <c r="J531" s="18"/>
    </row>
    <row r="532" spans="1:10" ht="13.5" thickBot="1">
      <c r="A532" s="376"/>
      <c r="B532" s="77"/>
      <c r="C532" s="103"/>
      <c r="D532" s="78"/>
      <c r="E532" s="113"/>
      <c r="F532" s="225"/>
      <c r="G532" s="323"/>
      <c r="H532" s="226"/>
      <c r="I532" s="226"/>
      <c r="J532" s="18"/>
    </row>
    <row r="533" spans="1:10" ht="15">
      <c r="A533" s="376"/>
      <c r="B533" s="58" t="s">
        <v>130</v>
      </c>
      <c r="C533" s="364">
        <f>MAX(5/C34, 5)</f>
        <v>5</v>
      </c>
      <c r="D533" s="92">
        <f>ROUNDUP((C533)/2,0)</f>
        <v>3</v>
      </c>
      <c r="E533" s="346" t="str">
        <f>DEC2HEX(((D533)*2^8),8)</f>
        <v>00000300</v>
      </c>
      <c r="F533" s="365" t="s">
        <v>763</v>
      </c>
      <c r="G533" s="623" t="s">
        <v>896</v>
      </c>
      <c r="H533" s="626" t="str">
        <f>"0x"&amp;DEC2HEX((HEX2DEC(C37)+284), 8)</f>
        <v>0x3D40311C</v>
      </c>
      <c r="I533" s="628" t="str">
        <f>"0x"&amp;DEC2HEX((HEX2DEC(E533)+HEX2DEC(E534)), 8)</f>
        <v>0x00000302</v>
      </c>
      <c r="J533" s="222"/>
    </row>
    <row r="534" spans="1:10" ht="15.75" thickBot="1">
      <c r="A534" s="376"/>
      <c r="B534" s="60" t="s">
        <v>131</v>
      </c>
      <c r="C534" s="617">
        <f>IF(C17="LPDDR4", MAX(1.75/C34,3),2)</f>
        <v>3</v>
      </c>
      <c r="D534" s="164">
        <f>ROUNDUP((C534)/2,0)</f>
        <v>2</v>
      </c>
      <c r="E534" s="349" t="str">
        <f>DEC2HEX(((D534)*2^0),8)</f>
        <v>00000002</v>
      </c>
      <c r="F534" s="363" t="s">
        <v>763</v>
      </c>
      <c r="G534" s="625"/>
      <c r="H534" s="625"/>
      <c r="I534" s="630"/>
      <c r="J534" s="18"/>
    </row>
    <row r="535" spans="1:10" ht="15.75" thickBot="1">
      <c r="A535" s="376"/>
      <c r="B535" s="76"/>
      <c r="C535" s="404"/>
      <c r="D535" s="119"/>
      <c r="E535" s="36"/>
      <c r="F535" s="403"/>
      <c r="G535" s="81"/>
      <c r="H535" s="81"/>
      <c r="I535" s="81"/>
      <c r="J535" s="18"/>
    </row>
    <row r="536" spans="1:10" ht="15">
      <c r="A536" s="376"/>
      <c r="B536" s="58" t="s">
        <v>234</v>
      </c>
      <c r="C536" s="92">
        <f>MAX(1.75/C34, 3)</f>
        <v>3</v>
      </c>
      <c r="D536" s="92">
        <f>ROUNDUP( (C536/2), 0)</f>
        <v>2</v>
      </c>
      <c r="E536" s="397" t="str">
        <f>DEC2HEX(((D536)*2^16),8)</f>
        <v>00020000</v>
      </c>
      <c r="F536" s="137" t="s">
        <v>763</v>
      </c>
      <c r="G536" s="660" t="s">
        <v>919</v>
      </c>
      <c r="H536" s="660" t="str">
        <f>"0x"&amp;DEC2HEX((HEX2DEC(C37)+304), 8)</f>
        <v>0x3D403130</v>
      </c>
      <c r="I536" s="716" t="str">
        <f>"0x"&amp;DEC2HEX((HEX2DEC(E536)+HEX2DEC(E537)+HEX2DEC(E538)), 8)</f>
        <v>0x00020300</v>
      </c>
      <c r="J536" s="220"/>
    </row>
    <row r="537" spans="1:10" ht="15">
      <c r="A537" s="376"/>
      <c r="B537" s="59" t="s">
        <v>344</v>
      </c>
      <c r="C537" s="232">
        <f>MAX(7.5/C34,5)</f>
        <v>5</v>
      </c>
      <c r="D537" s="232">
        <f>ROUNDUP( (C537/2), 0)</f>
        <v>3</v>
      </c>
      <c r="E537" s="398" t="str">
        <f>DEC2HEX(((D537)*2^8),8)</f>
        <v>00000300</v>
      </c>
      <c r="F537" s="400" t="s">
        <v>763</v>
      </c>
      <c r="G537" s="661"/>
      <c r="H537" s="661"/>
      <c r="I537" s="717"/>
      <c r="J537" s="18"/>
    </row>
    <row r="538" spans="1:10" ht="15.75" thickBot="1">
      <c r="A538" s="376"/>
      <c r="B538" s="60" t="s">
        <v>235</v>
      </c>
      <c r="C538" s="203" t="s">
        <v>0</v>
      </c>
      <c r="D538" s="204">
        <v>0</v>
      </c>
      <c r="E538" s="399" t="str">
        <f>DEC2HEX(((D538)*2^0),8)</f>
        <v>00000000</v>
      </c>
      <c r="F538" s="363" t="s">
        <v>763</v>
      </c>
      <c r="G538" s="662"/>
      <c r="H538" s="662"/>
      <c r="I538" s="718"/>
      <c r="J538" s="18"/>
    </row>
    <row r="539" spans="1:10" ht="15.75" thickBot="1">
      <c r="A539" s="376"/>
      <c r="B539" s="76"/>
      <c r="C539" s="205"/>
      <c r="D539" s="171"/>
      <c r="E539" s="36"/>
      <c r="F539" s="139"/>
      <c r="G539" s="36"/>
      <c r="H539" s="36"/>
      <c r="I539" s="55"/>
      <c r="J539" s="18"/>
    </row>
    <row r="540" spans="1:10" ht="15">
      <c r="A540" s="376"/>
      <c r="B540" s="58" t="s">
        <v>237</v>
      </c>
      <c r="C540" s="299">
        <f>IF(C33&lt;=1066,20,(IF(C33&lt;=1333,22,IF(C33&lt;=1600,24,IF(C33&lt;=1866,26,28)))))</f>
        <v>20</v>
      </c>
      <c r="D540" s="92">
        <f>ROUNDUP( (C540/2), 0)</f>
        <v>10</v>
      </c>
      <c r="E540" s="397" t="str">
        <f>DEC2HEX(((D540)*2^24),8)</f>
        <v>0A000000</v>
      </c>
      <c r="F540" s="137" t="s">
        <v>763</v>
      </c>
      <c r="G540" s="660" t="s">
        <v>920</v>
      </c>
      <c r="H540" s="660" t="str">
        <f>"0x"&amp;DEC2HEX((HEX2DEC(C37)+308), 8)</f>
        <v>0x3D403134</v>
      </c>
      <c r="I540" s="716" t="str">
        <f>"0x"&amp;DEC2HEX((HEX2DEC(E540)+HEX2DEC(E541)+HEX2DEC(E542)), 8)</f>
        <v>0x0A100002</v>
      </c>
      <c r="J540" s="18"/>
    </row>
    <row r="541" spans="1:10" ht="15">
      <c r="A541" s="376"/>
      <c r="B541" s="59" t="s">
        <v>238</v>
      </c>
      <c r="C541" s="360">
        <v>32</v>
      </c>
      <c r="D541" s="232">
        <f>ROUNDUP( (C541/2), 0)</f>
        <v>16</v>
      </c>
      <c r="E541" s="398" t="str">
        <f>DEC2HEX(((D541)*2^16),8)</f>
        <v>00100000</v>
      </c>
      <c r="F541" s="400" t="s">
        <v>763</v>
      </c>
      <c r="G541" s="661"/>
      <c r="H541" s="661"/>
      <c r="I541" s="717"/>
      <c r="J541" s="18"/>
    </row>
    <row r="542" spans="1:10" ht="15.75" thickBot="1">
      <c r="A542" s="376"/>
      <c r="B542" s="60" t="s">
        <v>239</v>
      </c>
      <c r="C542" s="361">
        <v>4</v>
      </c>
      <c r="D542" s="164">
        <f>ROUNDUP( (C542/2), 0)</f>
        <v>2</v>
      </c>
      <c r="E542" s="399" t="str">
        <f>DEC2HEX(((D542)*2^0),8)</f>
        <v>00000002</v>
      </c>
      <c r="F542" s="363" t="s">
        <v>763</v>
      </c>
      <c r="G542" s="662"/>
      <c r="H542" s="662"/>
      <c r="I542" s="718"/>
      <c r="J542" s="18"/>
    </row>
    <row r="543" spans="1:10" ht="15.75" thickBot="1">
      <c r="A543" s="376"/>
      <c r="B543" s="76"/>
      <c r="C543" s="404"/>
      <c r="D543" s="402"/>
      <c r="E543" s="36"/>
      <c r="F543" s="403"/>
      <c r="G543" s="81"/>
      <c r="H543" s="81"/>
      <c r="I543" s="81"/>
      <c r="J543" s="18"/>
    </row>
    <row r="544" spans="1:10" ht="15.75" thickBot="1">
      <c r="A544" s="376"/>
      <c r="B544" s="250" t="s">
        <v>202</v>
      </c>
      <c r="C544" s="251">
        <f>MAX((C106+7.5)/C34, 2)</f>
        <v>19.375</v>
      </c>
      <c r="D544" s="252">
        <f>ROUNDUP((C544)/2,0)</f>
        <v>10</v>
      </c>
      <c r="E544" s="253" t="str">
        <f>DEC2HEX(((D544)*2^0),8)</f>
        <v>0000000A</v>
      </c>
      <c r="F544" s="366" t="s">
        <v>763</v>
      </c>
      <c r="G544" s="90" t="s">
        <v>897</v>
      </c>
      <c r="H544" s="79" t="str">
        <f>"0x"&amp;DEC2HEX((HEX2DEC(C37)+312), 8)</f>
        <v>0x3D403138</v>
      </c>
      <c r="I544" s="80" t="str">
        <f>"0x"&amp;DEC2HEX((HEX2DEC(E544)), 8)</f>
        <v>0x0000000A</v>
      </c>
      <c r="J544" s="222"/>
    </row>
    <row r="545" spans="1:22" ht="15.75" thickBot="1">
      <c r="A545" s="376"/>
      <c r="B545" s="77"/>
      <c r="C545" s="321"/>
      <c r="D545" s="119"/>
      <c r="E545" s="113"/>
      <c r="F545" s="322"/>
      <c r="G545" s="323"/>
      <c r="H545" s="226"/>
      <c r="I545" s="226"/>
      <c r="J545" s="324"/>
    </row>
    <row r="546" spans="1:22" ht="15">
      <c r="A546" s="376"/>
      <c r="B546" s="127" t="s">
        <v>389</v>
      </c>
      <c r="C546" s="236">
        <v>200</v>
      </c>
      <c r="D546" s="117">
        <f>ROUNDUP(((C546/C34)/2),0)</f>
        <v>5</v>
      </c>
      <c r="E546" s="346" t="str">
        <f>DEC2HEX(((D546)*2^16),8)</f>
        <v>00050000</v>
      </c>
      <c r="F546" s="365" t="s">
        <v>763</v>
      </c>
      <c r="G546" s="643" t="s">
        <v>898</v>
      </c>
      <c r="H546" s="646" t="str">
        <f>"0x"&amp;DEC2HEX((HEX2DEC(C37)+324), 8)</f>
        <v>0x3D403144</v>
      </c>
      <c r="I546" s="649" t="str">
        <f>"0x"&amp;DEC2HEX((HEX2DEC(E546)+HEX2DEC(E547)), 8)</f>
        <v>0x00050003</v>
      </c>
      <c r="J546" s="324"/>
    </row>
    <row r="547" spans="1:22" ht="15.75" thickBot="1">
      <c r="A547" s="376"/>
      <c r="B547" s="60" t="s">
        <v>390</v>
      </c>
      <c r="C547" s="326">
        <v>100</v>
      </c>
      <c r="D547" s="120">
        <f>ROUNDUP(((C547/C34)/2),0)</f>
        <v>3</v>
      </c>
      <c r="E547" s="349" t="str">
        <f>DEC2HEX(((D547)*2^0),8)</f>
        <v>00000003</v>
      </c>
      <c r="F547" s="363" t="s">
        <v>763</v>
      </c>
      <c r="G547" s="645"/>
      <c r="H547" s="648"/>
      <c r="I547" s="651"/>
      <c r="J547" s="222"/>
    </row>
    <row r="548" spans="1:22" ht="15.75" thickBot="1">
      <c r="A548" s="376"/>
      <c r="B548" s="76"/>
      <c r="C548" s="401"/>
      <c r="D548" s="119"/>
      <c r="E548" s="36"/>
      <c r="F548" s="403"/>
      <c r="G548" s="323"/>
      <c r="H548" s="226"/>
      <c r="I548" s="226"/>
      <c r="J548" s="222"/>
    </row>
    <row r="549" spans="1:22" ht="15">
      <c r="B549" s="58" t="s">
        <v>1200</v>
      </c>
      <c r="C549" s="65" t="s">
        <v>1201</v>
      </c>
      <c r="D549" s="206">
        <v>0</v>
      </c>
      <c r="E549" s="351" t="str">
        <f>DEC2HEX(((D549)*2^13),8)</f>
        <v>00000000</v>
      </c>
      <c r="F549" s="137" t="s">
        <v>763</v>
      </c>
      <c r="G549" s="735" t="s">
        <v>916</v>
      </c>
      <c r="H549" s="734" t="str">
        <f>"0x"&amp;DEC2HEX((HEX2DEC(C37)+32), 8)</f>
        <v>0x3D403020</v>
      </c>
      <c r="I549" s="708" t="str">
        <f>"0x"&amp;DEC2HEX((HEX2DEC(E549)+HEX2DEC(E550)+HEX2DEC(E551)+HEX2DEC(E552)+HEX2DEC(E553)+HEX2DEC(E554)), 8)</f>
        <v>0x00001021</v>
      </c>
      <c r="J549" s="82"/>
    </row>
    <row r="550" spans="1:22" ht="15">
      <c r="B550" s="59" t="s">
        <v>1199</v>
      </c>
      <c r="C550" s="94" t="s">
        <v>0</v>
      </c>
      <c r="D550" s="215">
        <v>1</v>
      </c>
      <c r="E550" s="352" t="str">
        <f>DEC2HEX(((D550)*2^12),8)</f>
        <v>00001000</v>
      </c>
      <c r="F550" s="233" t="s">
        <v>763</v>
      </c>
      <c r="G550" s="736"/>
      <c r="H550" s="719"/>
      <c r="I550" s="721"/>
      <c r="J550" s="82"/>
    </row>
    <row r="551" spans="1:22" ht="15">
      <c r="A551" s="376"/>
      <c r="B551" s="59" t="s">
        <v>736</v>
      </c>
      <c r="C551" s="61">
        <v>3.75</v>
      </c>
      <c r="D551" s="159">
        <f>ROUNDUP(C551/C34/2, 0) - 1</f>
        <v>0</v>
      </c>
      <c r="E551" s="352" t="str">
        <f>DEC2HEX(((D551)*2^8),8)</f>
        <v>00000000</v>
      </c>
      <c r="F551" s="233" t="s">
        <v>763</v>
      </c>
      <c r="G551" s="736"/>
      <c r="H551" s="719"/>
      <c r="I551" s="721"/>
      <c r="J551" s="82"/>
    </row>
    <row r="552" spans="1:22" ht="15">
      <c r="A552" s="376"/>
      <c r="B552" s="59" t="s">
        <v>738</v>
      </c>
      <c r="C552" s="94" t="s">
        <v>0</v>
      </c>
      <c r="D552" s="159">
        <f>D188</f>
        <v>2</v>
      </c>
      <c r="E552" s="352" t="str">
        <f>DEC2HEX(((D552)*2^4),8)</f>
        <v>00000020</v>
      </c>
      <c r="F552" s="597" t="s">
        <v>763</v>
      </c>
      <c r="G552" s="736"/>
      <c r="H552" s="719"/>
      <c r="I552" s="721"/>
      <c r="J552" s="82"/>
    </row>
    <row r="553" spans="1:22" ht="15">
      <c r="A553" s="376"/>
      <c r="B553" s="59" t="s">
        <v>740</v>
      </c>
      <c r="C553" s="61">
        <v>1.875</v>
      </c>
      <c r="D553" s="159">
        <f>ROUNDUP(C553/C34/2, 0) - 1</f>
        <v>0</v>
      </c>
      <c r="E553" s="352" t="str">
        <f>DEC2HEX(((D553)*2^1),8)</f>
        <v>00000000</v>
      </c>
      <c r="F553" s="597" t="s">
        <v>763</v>
      </c>
      <c r="G553" s="736"/>
      <c r="H553" s="719"/>
      <c r="I553" s="721"/>
      <c r="J553" s="82"/>
    </row>
    <row r="554" spans="1:22" ht="15.75" thickBot="1">
      <c r="A554" s="376"/>
      <c r="B554" s="60" t="s">
        <v>742</v>
      </c>
      <c r="C554" s="97" t="s">
        <v>0</v>
      </c>
      <c r="D554" s="120">
        <f>D190</f>
        <v>1</v>
      </c>
      <c r="E554" s="353" t="str">
        <f>DEC2HEX(((D554)*2^0),8)</f>
        <v>00000001</v>
      </c>
      <c r="F554" s="138" t="s">
        <v>763</v>
      </c>
      <c r="G554" s="737"/>
      <c r="H554" s="720"/>
      <c r="I554" s="709"/>
      <c r="J554" s="82"/>
    </row>
    <row r="555" spans="1:22" ht="13.5" thickBot="1">
      <c r="A555" s="376"/>
      <c r="B555" s="77"/>
      <c r="C555" s="103"/>
      <c r="D555" s="78"/>
      <c r="E555" s="113"/>
      <c r="F555" s="225"/>
      <c r="G555" s="323"/>
      <c r="H555" s="226"/>
      <c r="I555" s="226"/>
      <c r="J555" s="18"/>
    </row>
    <row r="556" spans="1:22" ht="15.75" thickBot="1">
      <c r="A556" s="376"/>
      <c r="B556" s="250" t="s">
        <v>744</v>
      </c>
      <c r="C556" s="259">
        <v>32</v>
      </c>
      <c r="D556" s="413">
        <f>ROUNDUP(C556*1000000/C34/2, 0 )</f>
        <v>800000</v>
      </c>
      <c r="E556" s="354" t="str">
        <f>DEC2HEX(((D556)*2^0),8)</f>
        <v>000C3500</v>
      </c>
      <c r="F556" s="366" t="s">
        <v>763</v>
      </c>
      <c r="G556" s="90" t="s">
        <v>899</v>
      </c>
      <c r="H556" s="79" t="str">
        <f>"0x"&amp;DEC2HEX((HEX2DEC(C37)+36), 8)</f>
        <v>0x3D403024</v>
      </c>
      <c r="I556" s="80" t="str">
        <f>"0x"&amp;DEC2HEX(HEX2DEC(E556), 8)</f>
        <v>0x000C3500</v>
      </c>
      <c r="J556" s="82"/>
    </row>
    <row r="557" spans="1:22" ht="13.5" thickBot="1">
      <c r="A557" s="376"/>
      <c r="B557" s="77"/>
      <c r="C557" s="103"/>
      <c r="D557" s="78"/>
      <c r="E557" s="113"/>
      <c r="F557" s="225"/>
      <c r="G557" s="323"/>
      <c r="H557" s="226"/>
      <c r="I557" s="226"/>
      <c r="J557" s="18"/>
    </row>
    <row r="558" spans="1:22" ht="12.75" customHeight="1">
      <c r="A558" s="376"/>
      <c r="B558" s="58" t="s">
        <v>287</v>
      </c>
      <c r="C558" s="93" t="s">
        <v>0</v>
      </c>
      <c r="D558" s="57">
        <v>2</v>
      </c>
      <c r="E558" s="346" t="str">
        <f>DEC2HEX(((D558)*2^20),8)</f>
        <v>00200000</v>
      </c>
      <c r="F558" s="137" t="s">
        <v>763</v>
      </c>
      <c r="G558" s="652" t="s">
        <v>900</v>
      </c>
      <c r="H558" s="652" t="str">
        <f>"0x"&amp;DEC2HEX((HEX2DEC(C37)+HEX2DEC(50)), 8)</f>
        <v>0x3D403050</v>
      </c>
      <c r="I558" s="653" t="str">
        <f>"0x"&amp;DEC2HEX((HEX2DEC(E558)+HEX2DEC(E559)+HEX2DEC(E560)+HEX2DEC(E561)), 8)</f>
        <v>0x0020D000</v>
      </c>
      <c r="J558" s="66"/>
      <c r="V558"/>
    </row>
    <row r="559" spans="1:22">
      <c r="A559" s="376"/>
      <c r="B559" s="59" t="s">
        <v>289</v>
      </c>
      <c r="C559" s="94" t="s">
        <v>0</v>
      </c>
      <c r="D559" s="126">
        <v>13</v>
      </c>
      <c r="E559" s="347" t="str">
        <f>DEC2HEX(((D559)*2^12),8)</f>
        <v>0000D000</v>
      </c>
      <c r="F559" s="348" t="s">
        <v>763</v>
      </c>
      <c r="G559" s="658"/>
      <c r="H559" s="658"/>
      <c r="I559" s="676"/>
      <c r="J559" s="66"/>
      <c r="V559"/>
    </row>
    <row r="560" spans="1:22">
      <c r="A560" s="376"/>
      <c r="B560" s="59" t="s">
        <v>291</v>
      </c>
      <c r="C560" s="94" t="s">
        <v>0</v>
      </c>
      <c r="D560" s="126">
        <v>0</v>
      </c>
      <c r="E560" s="347" t="str">
        <f>DEC2HEX(((D560)*2^4),8)</f>
        <v>00000000</v>
      </c>
      <c r="F560" s="348" t="s">
        <v>763</v>
      </c>
      <c r="G560" s="658"/>
      <c r="H560" s="658"/>
      <c r="I560" s="676"/>
      <c r="J560" s="66"/>
      <c r="V560"/>
    </row>
    <row r="561" spans="1:22" ht="13.5" thickBot="1">
      <c r="A561" s="376"/>
      <c r="B561" s="60" t="s">
        <v>293</v>
      </c>
      <c r="C561" s="97" t="s">
        <v>0</v>
      </c>
      <c r="D561" s="64">
        <v>0</v>
      </c>
      <c r="E561" s="349" t="str">
        <f>DEC2HEX(((D561)*2^2),8)</f>
        <v>00000000</v>
      </c>
      <c r="F561" s="138" t="s">
        <v>763</v>
      </c>
      <c r="G561" s="723"/>
      <c r="H561" s="723"/>
      <c r="I561" s="722"/>
      <c r="J561" s="66"/>
      <c r="V561"/>
    </row>
    <row r="562" spans="1:22" ht="13.5" thickBot="1">
      <c r="A562" s="376"/>
      <c r="B562" s="76"/>
      <c r="C562" s="103"/>
      <c r="D562" s="78"/>
      <c r="E562" s="36"/>
      <c r="F562" s="405"/>
      <c r="G562" s="36"/>
      <c r="H562" s="36"/>
      <c r="I562" s="55"/>
      <c r="J562" s="66"/>
      <c r="V562"/>
    </row>
    <row r="563" spans="1:22">
      <c r="A563" s="376"/>
      <c r="B563" s="58" t="s">
        <v>136</v>
      </c>
      <c r="C563" s="65" t="s">
        <v>0</v>
      </c>
      <c r="D563" s="57">
        <v>0</v>
      </c>
      <c r="E563" s="397" t="str">
        <f>DEC2HEX(((D563)*2^31),8)</f>
        <v>00000000</v>
      </c>
      <c r="F563" s="365" t="s">
        <v>763</v>
      </c>
      <c r="G563" s="652" t="s">
        <v>923</v>
      </c>
      <c r="H563" s="652" t="str">
        <f>"0x"&amp;DEC2HEX((HEX2DEC(C37)+384), 8)</f>
        <v>0x3D403180</v>
      </c>
      <c r="I563" s="653" t="str">
        <f>"0x"&amp;DEC2HEX((HEX2DEC(E563)+HEX2DEC(E564)+HEX2DEC(E565)+HEX2DEC(E567)+HEX2DEC(E568)), 8)</f>
        <v>0x00190004</v>
      </c>
      <c r="J563" s="18"/>
    </row>
    <row r="564" spans="1:22">
      <c r="A564" s="376"/>
      <c r="B564" s="59" t="s">
        <v>137</v>
      </c>
      <c r="C564" s="61" t="s">
        <v>0</v>
      </c>
      <c r="D564" s="126">
        <v>0</v>
      </c>
      <c r="E564" s="398" t="str">
        <f>DEC2HEX(((D564)*2^30),8)</f>
        <v>00000000</v>
      </c>
      <c r="F564" s="400" t="s">
        <v>763</v>
      </c>
      <c r="G564" s="658"/>
      <c r="H564" s="658"/>
      <c r="I564" s="676"/>
      <c r="J564" s="18"/>
    </row>
    <row r="565" spans="1:22" ht="15">
      <c r="A565" s="376"/>
      <c r="B565" s="59" t="s">
        <v>138</v>
      </c>
      <c r="C565" s="61" t="s">
        <v>0</v>
      </c>
      <c r="D565" s="125">
        <f>D176</f>
        <v>0</v>
      </c>
      <c r="E565" s="398" t="str">
        <f>DEC2HEX(((D565)*2^29),8)</f>
        <v>00000000</v>
      </c>
      <c r="F565" s="400" t="s">
        <v>763</v>
      </c>
      <c r="G565" s="658"/>
      <c r="H565" s="658"/>
      <c r="I565" s="676"/>
      <c r="J565" s="18"/>
    </row>
    <row r="566" spans="1:22" ht="15">
      <c r="A566" s="376"/>
      <c r="B566" s="75" t="s">
        <v>241</v>
      </c>
      <c r="C566" s="94" t="s">
        <v>0</v>
      </c>
      <c r="D566" s="207">
        <v>0</v>
      </c>
      <c r="E566" s="398" t="str">
        <f>DEC2HEX(((D566)*2^28),8)</f>
        <v>00000000</v>
      </c>
      <c r="F566" s="400" t="s">
        <v>763</v>
      </c>
      <c r="G566" s="658"/>
      <c r="H566" s="658"/>
      <c r="I566" s="676"/>
      <c r="J566" s="18"/>
    </row>
    <row r="567" spans="1:22" ht="15">
      <c r="A567" s="376"/>
      <c r="B567" s="75" t="s">
        <v>139</v>
      </c>
      <c r="C567" s="61">
        <v>1000</v>
      </c>
      <c r="D567" s="159">
        <f>ROUNDUP(((C567/C34)/2),0)</f>
        <v>25</v>
      </c>
      <c r="E567" s="398" t="str">
        <f>DEC2HEX(((D567)*2^16),8)</f>
        <v>00190000</v>
      </c>
      <c r="F567" s="400" t="s">
        <v>763</v>
      </c>
      <c r="G567" s="658"/>
      <c r="H567" s="658"/>
      <c r="I567" s="676"/>
      <c r="J567" s="18"/>
    </row>
    <row r="568" spans="1:22" ht="15.75" thickBot="1">
      <c r="A568" s="376"/>
      <c r="B568" s="60" t="s">
        <v>140</v>
      </c>
      <c r="C568" s="164">
        <f>MAX(30/C34,8)</f>
        <v>8</v>
      </c>
      <c r="D568" s="120">
        <f>ROUNDUP(((C568)/2),0)</f>
        <v>4</v>
      </c>
      <c r="E568" s="399" t="str">
        <f>DEC2HEX(((D568)*2^0),8)</f>
        <v>00000004</v>
      </c>
      <c r="F568" s="363" t="s">
        <v>763</v>
      </c>
      <c r="G568" s="723"/>
      <c r="H568" s="723"/>
      <c r="I568" s="722"/>
      <c r="J568" s="18"/>
    </row>
    <row r="569" spans="1:22" ht="13.5" thickBot="1">
      <c r="A569" s="376"/>
      <c r="B569" s="77"/>
      <c r="C569" s="103"/>
      <c r="D569" s="78"/>
      <c r="E569" s="113"/>
      <c r="F569" s="225"/>
      <c r="G569" s="323"/>
      <c r="H569" s="226"/>
      <c r="I569" s="226"/>
      <c r="J569" s="18"/>
    </row>
    <row r="570" spans="1:22">
      <c r="A570" s="376"/>
      <c r="B570" s="58" t="s">
        <v>143</v>
      </c>
      <c r="C570" s="65"/>
      <c r="D570" s="209">
        <v>3</v>
      </c>
      <c r="E570" s="346" t="str">
        <f>DEC2HEX(((D570)*2^24),8)</f>
        <v>03000000</v>
      </c>
      <c r="F570" s="365" t="s">
        <v>763</v>
      </c>
      <c r="G570" s="652" t="s">
        <v>901</v>
      </c>
      <c r="H570" s="652" t="str">
        <f>"0x"&amp;DEC2HEX((HEX2DEC(C37)+400), 8)</f>
        <v>0x3D403190</v>
      </c>
      <c r="I570" s="654" t="str">
        <f>"0x"&amp;DEC2HEX((HEX2DEC(E570)+HEX2DEC(E571)+HEX2DEC(E572)+HEX2DEC(E573)+HEX2DEC(E574)+HEX2DEC(E575)), 8)</f>
        <v>0x03818200</v>
      </c>
      <c r="J570" s="18"/>
    </row>
    <row r="571" spans="1:22">
      <c r="A571" s="376"/>
      <c r="B571" s="59" t="s">
        <v>144</v>
      </c>
      <c r="C571" s="61"/>
      <c r="D571" s="126">
        <v>1</v>
      </c>
      <c r="E571" s="347" t="str">
        <f>DEC2HEX(((D571)*2^23),8)</f>
        <v>00800000</v>
      </c>
      <c r="F571" s="348" t="s">
        <v>763</v>
      </c>
      <c r="G571" s="627"/>
      <c r="H571" s="627"/>
      <c r="I571" s="655"/>
      <c r="J571" s="18"/>
    </row>
    <row r="572" spans="1:22" ht="15.75">
      <c r="A572" s="376"/>
      <c r="B572" s="59" t="s">
        <v>145</v>
      </c>
      <c r="C572" s="61"/>
      <c r="D572" s="232">
        <f>(C511 - 5)</f>
        <v>1</v>
      </c>
      <c r="E572" s="347" t="str">
        <f>DEC2HEX(((D572)*2^16),8)</f>
        <v>00010000</v>
      </c>
      <c r="F572" s="348" t="s">
        <v>763</v>
      </c>
      <c r="G572" s="627"/>
      <c r="H572" s="627"/>
      <c r="I572" s="655"/>
      <c r="J572" s="208"/>
    </row>
    <row r="573" spans="1:22">
      <c r="A573" s="376"/>
      <c r="B573" s="59" t="s">
        <v>146</v>
      </c>
      <c r="C573" s="61"/>
      <c r="D573" s="126">
        <v>1</v>
      </c>
      <c r="E573" s="347" t="str">
        <f>DEC2HEX(((D573)*2^15),8)</f>
        <v>00008000</v>
      </c>
      <c r="F573" s="348" t="s">
        <v>763</v>
      </c>
      <c r="G573" s="627"/>
      <c r="H573" s="627"/>
      <c r="I573" s="655"/>
      <c r="J573" s="18"/>
    </row>
    <row r="574" spans="1:22">
      <c r="A574" s="376"/>
      <c r="B574" s="75" t="s">
        <v>147</v>
      </c>
      <c r="C574" s="61"/>
      <c r="D574" s="126">
        <v>2</v>
      </c>
      <c r="E574" s="347" t="str">
        <f>DEC2HEX(((D574)*2^8),8)</f>
        <v>00000200</v>
      </c>
      <c r="F574" s="348" t="s">
        <v>763</v>
      </c>
      <c r="G574" s="627"/>
      <c r="H574" s="627"/>
      <c r="I574" s="655"/>
      <c r="J574" s="18"/>
    </row>
    <row r="575" spans="1:22" ht="16.5" thickBot="1">
      <c r="A575" s="376"/>
      <c r="B575" s="148" t="s">
        <v>148</v>
      </c>
      <c r="C575" s="63"/>
      <c r="D575" s="164">
        <f>C510+1-5</f>
        <v>0</v>
      </c>
      <c r="E575" s="349" t="str">
        <f>DEC2HEX(((D575)*2^0),8)</f>
        <v>00000000</v>
      </c>
      <c r="F575" s="363" t="s">
        <v>763</v>
      </c>
      <c r="G575" s="625"/>
      <c r="H575" s="625"/>
      <c r="I575" s="656"/>
      <c r="J575" s="208"/>
    </row>
    <row r="576" spans="1:22" ht="16.5" thickBot="1">
      <c r="A576" s="376"/>
      <c r="B576" s="77"/>
      <c r="C576" s="77"/>
      <c r="D576" s="119"/>
      <c r="E576" s="36"/>
      <c r="F576" s="403"/>
      <c r="G576" s="81"/>
      <c r="H576" s="81"/>
      <c r="I576" s="391"/>
      <c r="J576" s="208"/>
    </row>
    <row r="577" spans="1:11">
      <c r="A577" s="376"/>
      <c r="B577" s="58" t="s">
        <v>243</v>
      </c>
      <c r="C577" s="65" t="s">
        <v>0</v>
      </c>
      <c r="D577" s="57">
        <v>0</v>
      </c>
      <c r="E577" s="397" t="str">
        <f>DEC2HEX(((D577)*2^28),8)</f>
        <v>00000000</v>
      </c>
      <c r="F577" s="365" t="s">
        <v>763</v>
      </c>
      <c r="G577" s="652" t="s">
        <v>928</v>
      </c>
      <c r="H577" s="652" t="str">
        <f>"0x"&amp;DEC2HEX((HEX2DEC(C37)+404), 8)</f>
        <v>0x3D403194</v>
      </c>
      <c r="I577" s="653" t="str">
        <f>"0x"&amp;DEC2HEX((HEX2DEC(E577)+HEX2DEC(E578)+HEX2DEC(E579)+HEX2DEC(E580)+HEX2DEC(E581)), 8)</f>
        <v>0x00080303</v>
      </c>
      <c r="J577" s="18"/>
    </row>
    <row r="578" spans="1:11">
      <c r="A578" s="376"/>
      <c r="B578" s="59" t="s">
        <v>245</v>
      </c>
      <c r="C578" s="61" t="s">
        <v>0</v>
      </c>
      <c r="D578" s="126">
        <v>0</v>
      </c>
      <c r="E578" s="398" t="str">
        <f>DEC2HEX(((D578)*2^24),8)</f>
        <v>00000000</v>
      </c>
      <c r="F578" s="400" t="s">
        <v>763</v>
      </c>
      <c r="G578" s="627"/>
      <c r="H578" s="627"/>
      <c r="I578" s="629"/>
      <c r="J578" s="18"/>
    </row>
    <row r="579" spans="1:11" ht="15">
      <c r="A579" s="376"/>
      <c r="B579" s="59" t="s">
        <v>149</v>
      </c>
      <c r="C579" s="61" t="s">
        <v>0</v>
      </c>
      <c r="D579" s="125">
        <f>ROUNDUP((6 + D48 + D281)/2, 0)</f>
        <v>8</v>
      </c>
      <c r="E579" s="398" t="str">
        <f>DEC2HEX(((D579)*2^16),8)</f>
        <v>00080000</v>
      </c>
      <c r="F579" s="400" t="s">
        <v>763</v>
      </c>
      <c r="G579" s="627"/>
      <c r="H579" s="627"/>
      <c r="I579" s="629"/>
      <c r="J579" s="18"/>
    </row>
    <row r="580" spans="1:11">
      <c r="A580" s="376"/>
      <c r="B580" s="59" t="s">
        <v>150</v>
      </c>
      <c r="C580" s="61" t="s">
        <v>0</v>
      </c>
      <c r="D580" s="126">
        <v>3</v>
      </c>
      <c r="E580" s="398" t="str">
        <f>DEC2HEX(((D580)*2^8),8)</f>
        <v>00000300</v>
      </c>
      <c r="F580" s="400" t="s">
        <v>763</v>
      </c>
      <c r="G580" s="627"/>
      <c r="H580" s="627"/>
      <c r="I580" s="629"/>
      <c r="J580" s="18"/>
    </row>
    <row r="581" spans="1:11" ht="13.5" thickBot="1">
      <c r="A581" s="376"/>
      <c r="B581" s="60" t="s">
        <v>151</v>
      </c>
      <c r="C581" s="63" t="s">
        <v>0</v>
      </c>
      <c r="D581" s="64">
        <v>3</v>
      </c>
      <c r="E581" s="399" t="str">
        <f>DEC2HEX(((D581)*2^0),8)</f>
        <v>00000003</v>
      </c>
      <c r="F581" s="363" t="s">
        <v>763</v>
      </c>
      <c r="G581" s="625"/>
      <c r="H581" s="625"/>
      <c r="I581" s="630"/>
      <c r="J581" s="18"/>
    </row>
    <row r="582" spans="1:11" ht="16.5" thickBot="1">
      <c r="A582" s="376"/>
      <c r="B582" s="77"/>
      <c r="C582" s="77"/>
      <c r="D582" s="119"/>
      <c r="E582" s="36"/>
      <c r="F582" s="403"/>
      <c r="G582" s="81"/>
      <c r="H582" s="81"/>
      <c r="I582" s="391"/>
      <c r="J582" s="208"/>
    </row>
    <row r="583" spans="1:11" ht="15">
      <c r="A583" s="376"/>
      <c r="B583" s="58" t="s">
        <v>248</v>
      </c>
      <c r="C583" s="93" t="s">
        <v>0</v>
      </c>
      <c r="D583" s="92">
        <f>(C511-5)</f>
        <v>1</v>
      </c>
      <c r="E583" s="397" t="str">
        <f>DEC2HEX(((D583)*2^8),8)</f>
        <v>00000100</v>
      </c>
      <c r="F583" s="365" t="s">
        <v>763</v>
      </c>
      <c r="G583" s="626" t="s">
        <v>902</v>
      </c>
      <c r="H583" s="626" t="str">
        <f>"0x"&amp;DEC2HEX((HEX2DEC(C37)+436), 8)</f>
        <v>0x3D4031B4</v>
      </c>
      <c r="I583" s="653" t="str">
        <f>"0x"&amp;DEC2HEX((HEX2DEC(E583)+HEX2DEC(E584)), 8)</f>
        <v>0x00000100</v>
      </c>
      <c r="J583" s="18"/>
    </row>
    <row r="584" spans="1:11" ht="15.75" thickBot="1">
      <c r="A584" s="376"/>
      <c r="B584" s="60" t="s">
        <v>249</v>
      </c>
      <c r="C584" s="97" t="s">
        <v>0</v>
      </c>
      <c r="D584" s="164">
        <f>(C510+1-5)</f>
        <v>0</v>
      </c>
      <c r="E584" s="399" t="str">
        <f>DEC2HEX(((D584)*2^0),8)</f>
        <v>00000000</v>
      </c>
      <c r="F584" s="363" t="s">
        <v>763</v>
      </c>
      <c r="G584" s="625"/>
      <c r="H584" s="625"/>
      <c r="I584" s="722"/>
      <c r="J584" s="18"/>
    </row>
    <row r="585" spans="1:11" ht="13.5" thickBot="1">
      <c r="A585" s="376"/>
      <c r="B585" s="77"/>
      <c r="C585" s="103"/>
      <c r="D585" s="78"/>
      <c r="E585" s="113"/>
      <c r="F585" s="225"/>
      <c r="G585" s="323"/>
      <c r="H585" s="226"/>
      <c r="I585" s="226"/>
      <c r="J585" s="18"/>
    </row>
    <row r="586" spans="1:11" ht="15">
      <c r="A586" s="376"/>
      <c r="B586" s="127" t="s">
        <v>134</v>
      </c>
      <c r="C586" s="92">
        <f>C105</f>
        <v>3904</v>
      </c>
      <c r="D586" s="117">
        <f>MAX(ROUNDDOWN(((C586/C34)/64), 0), 3)</f>
        <v>3</v>
      </c>
      <c r="E586" s="444" t="str">
        <f>DEC2HEX(((D586)*2^16),8)</f>
        <v>00030000</v>
      </c>
      <c r="F586" s="365" t="s">
        <v>763</v>
      </c>
      <c r="G586" s="652" t="s">
        <v>903</v>
      </c>
      <c r="H586" s="652" t="str">
        <f>"0x"&amp;DEC2HEX((HEX2DEC(C37)+HEX2DEC(64)), 8)</f>
        <v>0x3D403064</v>
      </c>
      <c r="I586" s="653" t="str">
        <f>"0x"&amp;DEC2HEX((HEX2DEC(E586)+HEX2DEC(E587)), 8)</f>
        <v>0x0003000A</v>
      </c>
      <c r="J586" s="217"/>
      <c r="K586" s="66"/>
    </row>
    <row r="587" spans="1:11" ht="15.75" thickBot="1">
      <c r="A587" s="376"/>
      <c r="B587" s="148" t="s">
        <v>135</v>
      </c>
      <c r="C587" s="164">
        <f>C106</f>
        <v>380</v>
      </c>
      <c r="D587" s="115">
        <f>ROUNDUP((C587/C34/2),0)</f>
        <v>10</v>
      </c>
      <c r="E587" s="445" t="str">
        <f>DEC2HEX(((D587)*2^0),8)</f>
        <v>0000000A</v>
      </c>
      <c r="F587" s="363" t="s">
        <v>763</v>
      </c>
      <c r="G587" s="625"/>
      <c r="H587" s="625"/>
      <c r="I587" s="630"/>
      <c r="J587" s="18"/>
      <c r="K587" s="66"/>
    </row>
    <row r="588" spans="1:11" ht="13.5" thickBot="1">
      <c r="A588" s="376"/>
      <c r="B588" s="77"/>
      <c r="C588" s="103"/>
      <c r="D588" s="78"/>
      <c r="E588" s="113"/>
      <c r="F588" s="225"/>
      <c r="G588" s="323"/>
      <c r="H588" s="226"/>
      <c r="I588" s="226"/>
      <c r="J588" s="18"/>
    </row>
    <row r="589" spans="1:11" s="8" customFormat="1" ht="38.25">
      <c r="A589" s="376"/>
      <c r="B589" s="182" t="s">
        <v>260</v>
      </c>
      <c r="C589" s="255" t="s">
        <v>0</v>
      </c>
      <c r="D589" s="256">
        <v>1</v>
      </c>
      <c r="E589" s="183" t="str">
        <f>DEC2HEX(((D589)*2^23),8)</f>
        <v>00800000</v>
      </c>
      <c r="F589" s="365" t="s">
        <v>763</v>
      </c>
      <c r="G589" s="693" t="s">
        <v>904</v>
      </c>
      <c r="H589" s="634" t="str">
        <f>"0x"&amp;DEC2HEX((HEX2DEC(C37)+220), 8)</f>
        <v>0x3D4030DC</v>
      </c>
      <c r="I589" s="696" t="str">
        <f>"0x"&amp;DEC2HEX((HEX2DEC(E589)+HEX2DEC(E590)+HEX2DEC(E591)+HEX2DEC(E592)+HEX2DEC(E593)+HEX2DEC(E594)+HEX2DEC(E595)+HEX2DEC(E596)+HEX2DEC(E597)),8)</f>
        <v>0x00840000</v>
      </c>
    </row>
    <row r="590" spans="1:11" s="8" customFormat="1" ht="38.25">
      <c r="A590" s="376"/>
      <c r="B590" s="184" t="s">
        <v>261</v>
      </c>
      <c r="C590" s="177" t="s">
        <v>0</v>
      </c>
      <c r="D590" s="129">
        <f>D596</f>
        <v>0</v>
      </c>
      <c r="E590" s="110" t="str">
        <f>DEC2HEX(((D590)*2^20),8)</f>
        <v>00000000</v>
      </c>
      <c r="F590" s="348" t="s">
        <v>763</v>
      </c>
      <c r="G590" s="694"/>
      <c r="H590" s="635"/>
      <c r="I590" s="697"/>
    </row>
    <row r="591" spans="1:11" s="8" customFormat="1" ht="38.25">
      <c r="A591" s="376"/>
      <c r="B591" s="176" t="s">
        <v>262</v>
      </c>
      <c r="C591" s="177" t="s">
        <v>0</v>
      </c>
      <c r="D591" s="243">
        <v>0</v>
      </c>
      <c r="E591" s="110" t="str">
        <f>DEC2HEX(((D591)*2^19),8)</f>
        <v>00000000</v>
      </c>
      <c r="F591" s="348" t="s">
        <v>763</v>
      </c>
      <c r="G591" s="694"/>
      <c r="H591" s="635"/>
      <c r="I591" s="697"/>
    </row>
    <row r="592" spans="1:11" s="8" customFormat="1" ht="38.25">
      <c r="A592" s="376"/>
      <c r="B592" s="176" t="s">
        <v>263</v>
      </c>
      <c r="C592" s="177" t="s">
        <v>0</v>
      </c>
      <c r="D592" s="243">
        <v>1</v>
      </c>
      <c r="E592" s="110" t="str">
        <f>DEC2HEX(((D592)*2^18),8)</f>
        <v>00040000</v>
      </c>
      <c r="F592" s="348" t="s">
        <v>763</v>
      </c>
      <c r="G592" s="694"/>
      <c r="H592" s="635"/>
      <c r="I592" s="697"/>
    </row>
    <row r="593" spans="1:10" s="8" customFormat="1" ht="26.25" thickBot="1">
      <c r="A593" s="376"/>
      <c r="B593" s="180" t="s">
        <v>264</v>
      </c>
      <c r="C593" s="181" t="s">
        <v>0</v>
      </c>
      <c r="D593" s="350">
        <v>0</v>
      </c>
      <c r="E593" s="173" t="str">
        <f>DEC2HEX(((D593)*2^16),8)</f>
        <v>00000000</v>
      </c>
      <c r="F593" s="363" t="s">
        <v>763</v>
      </c>
      <c r="G593" s="694"/>
      <c r="H593" s="635"/>
      <c r="I593" s="697"/>
    </row>
    <row r="594" spans="1:10" s="8" customFormat="1" ht="25.5">
      <c r="A594" s="376"/>
      <c r="B594" s="186" t="s">
        <v>265</v>
      </c>
      <c r="C594" s="187" t="s">
        <v>0</v>
      </c>
      <c r="D594" s="174">
        <v>0</v>
      </c>
      <c r="E594" s="172" t="str">
        <f>DEC2HEX(((D594)*2^7),8)</f>
        <v>00000000</v>
      </c>
      <c r="F594" s="365" t="s">
        <v>763</v>
      </c>
      <c r="G594" s="694"/>
      <c r="H594" s="635"/>
      <c r="I594" s="697"/>
    </row>
    <row r="595" spans="1:10" s="8" customFormat="1" ht="25.5">
      <c r="A595" s="376"/>
      <c r="B595" s="186" t="s">
        <v>266</v>
      </c>
      <c r="C595" s="177" t="s">
        <v>0</v>
      </c>
      <c r="D595" s="175">
        <v>0</v>
      </c>
      <c r="E595" s="172" t="str">
        <f>DEC2HEX(((D595)*2^6),8)</f>
        <v>00000000</v>
      </c>
      <c r="F595" s="348" t="s">
        <v>763</v>
      </c>
      <c r="G595" s="694"/>
      <c r="H595" s="635"/>
      <c r="I595" s="697"/>
    </row>
    <row r="596" spans="1:10" s="8" customFormat="1" ht="25.5">
      <c r="A596" s="376"/>
      <c r="B596" s="186" t="s">
        <v>267</v>
      </c>
      <c r="C596" s="177" t="s">
        <v>0</v>
      </c>
      <c r="D596" s="129">
        <f>(C510-4)/2</f>
        <v>0</v>
      </c>
      <c r="E596" s="172" t="str">
        <f>DEC2HEX(((D596)*2^3),8)</f>
        <v>00000000</v>
      </c>
      <c r="F596" s="348" t="s">
        <v>763</v>
      </c>
      <c r="G596" s="694"/>
      <c r="H596" s="635"/>
      <c r="I596" s="697"/>
    </row>
    <row r="597" spans="1:10" s="8" customFormat="1" ht="26.25" thickBot="1">
      <c r="A597" s="376"/>
      <c r="B597" s="189" t="s">
        <v>268</v>
      </c>
      <c r="C597" s="181" t="s">
        <v>0</v>
      </c>
      <c r="D597" s="130">
        <f>D596</f>
        <v>0</v>
      </c>
      <c r="E597" s="190" t="str">
        <f>DEC2HEX(((D597)*2^0),8)</f>
        <v>00000000</v>
      </c>
      <c r="F597" s="363" t="s">
        <v>763</v>
      </c>
      <c r="G597" s="695"/>
      <c r="H597" s="636"/>
      <c r="I597" s="698"/>
    </row>
    <row r="598" spans="1:10" ht="13.5" thickBot="1">
      <c r="A598" s="376"/>
      <c r="B598" s="77"/>
      <c r="C598" s="103"/>
      <c r="D598" s="78"/>
      <c r="E598" s="113"/>
      <c r="F598" s="225"/>
      <c r="G598" s="323"/>
      <c r="H598" s="226"/>
      <c r="I598" s="226"/>
      <c r="J598" s="18"/>
    </row>
    <row r="599" spans="1:10" s="8" customFormat="1">
      <c r="A599" s="376"/>
      <c r="B599" s="301" t="s">
        <v>1244</v>
      </c>
      <c r="C599" s="167" t="s">
        <v>0</v>
      </c>
      <c r="D599" s="223">
        <v>6</v>
      </c>
      <c r="E599" s="294" t="str">
        <f>DEC2HEX(((D599)*2^20),8)</f>
        <v>00600000</v>
      </c>
      <c r="F599" s="365" t="s">
        <v>763</v>
      </c>
      <c r="G599" s="685" t="s">
        <v>905</v>
      </c>
      <c r="H599" s="688" t="str">
        <f>"0x"&amp;DEC2HEX((HEX2DEC(C37)+232), 8)</f>
        <v>0x3D4030E8</v>
      </c>
      <c r="I599" s="679" t="str">
        <f>"0x"&amp;DEC2HEX((HEX2DEC(E599)+HEX2DEC(E600)+HEX2DEC(E601)+HEX2DEC(E602)), 8)</f>
        <v>0x00660048</v>
      </c>
    </row>
    <row r="600" spans="1:10" s="8" customFormat="1">
      <c r="A600" s="376"/>
      <c r="B600" s="303" t="s">
        <v>350</v>
      </c>
      <c r="C600" s="104" t="s">
        <v>0</v>
      </c>
      <c r="D600" s="221">
        <v>6</v>
      </c>
      <c r="E600" s="87" t="str">
        <f>DEC2HEX(((D600)*2^16),8)</f>
        <v>00060000</v>
      </c>
      <c r="F600" s="348" t="s">
        <v>763</v>
      </c>
      <c r="G600" s="686"/>
      <c r="H600" s="686"/>
      <c r="I600" s="680"/>
    </row>
    <row r="601" spans="1:10" s="8" customFormat="1" ht="15">
      <c r="A601" s="376"/>
      <c r="B601" s="303" t="s">
        <v>1246</v>
      </c>
      <c r="C601" s="104" t="s">
        <v>0</v>
      </c>
      <c r="D601" s="129">
        <f>D244</f>
        <v>1</v>
      </c>
      <c r="E601" s="87" t="str">
        <f>DEC2HEX(((D601)*2^6),8)</f>
        <v>00000040</v>
      </c>
      <c r="F601" s="348" t="s">
        <v>763</v>
      </c>
      <c r="G601" s="686"/>
      <c r="H601" s="686"/>
      <c r="I601" s="680"/>
    </row>
    <row r="602" spans="1:10" s="8" customFormat="1" ht="15.75" thickBot="1">
      <c r="A602" s="376"/>
      <c r="B602" s="304" t="s">
        <v>1248</v>
      </c>
      <c r="C602" s="106" t="s">
        <v>0</v>
      </c>
      <c r="D602" s="130">
        <f>D245</f>
        <v>8</v>
      </c>
      <c r="E602" s="293" t="str">
        <f>DEC2HEX(((D602)*2^0),8)</f>
        <v>00000008</v>
      </c>
      <c r="F602" s="363" t="s">
        <v>763</v>
      </c>
      <c r="G602" s="687"/>
      <c r="H602" s="687"/>
      <c r="I602" s="681"/>
    </row>
    <row r="603" spans="1:10" ht="13.5" thickBot="1">
      <c r="A603" s="376"/>
      <c r="B603" s="77"/>
      <c r="C603" s="103"/>
      <c r="D603" s="78"/>
      <c r="E603" s="113"/>
      <c r="F603" s="225"/>
      <c r="G603" s="323"/>
      <c r="H603" s="226"/>
      <c r="I603" s="226"/>
      <c r="J603" s="18"/>
    </row>
    <row r="604" spans="1:10" s="8" customFormat="1">
      <c r="A604" s="376"/>
      <c r="B604" s="301" t="s">
        <v>365</v>
      </c>
      <c r="C604" s="167" t="s">
        <v>0</v>
      </c>
      <c r="D604" s="223">
        <v>0</v>
      </c>
      <c r="E604" s="294" t="str">
        <f>DEC2HEX(((D604)*2^21),8)</f>
        <v>00000000</v>
      </c>
      <c r="F604" s="365" t="s">
        <v>763</v>
      </c>
      <c r="G604" s="690" t="s">
        <v>906</v>
      </c>
      <c r="H604" s="796" t="str">
        <f>"0x"&amp;DEC2HEX((HEX2DEC(C37)+236), 8)</f>
        <v>0x3D4030EC</v>
      </c>
      <c r="I604" s="797" t="str">
        <f>"0x"&amp;DEC2HEX((HEX2DEC(E604)+HEX2DEC(E605)+HEX2DEC(E606)+HEX2DEC(E607)+HEX2DEC(E608)+HEX2DEC(E609)), 8)</f>
        <v>0x00160048</v>
      </c>
    </row>
    <row r="605" spans="1:10" s="8" customFormat="1">
      <c r="A605" s="376"/>
      <c r="B605" s="303" t="s">
        <v>366</v>
      </c>
      <c r="C605" s="104" t="s">
        <v>0</v>
      </c>
      <c r="D605" s="221">
        <v>1</v>
      </c>
      <c r="E605" s="87" t="str">
        <f>DEC2HEX(((D605)*2^20),8)</f>
        <v>00100000</v>
      </c>
      <c r="F605" s="348" t="s">
        <v>763</v>
      </c>
      <c r="G605" s="691"/>
      <c r="H605" s="691"/>
      <c r="I605" s="798"/>
    </row>
    <row r="606" spans="1:10" s="8" customFormat="1">
      <c r="A606" s="376"/>
      <c r="B606" s="303" t="s">
        <v>367</v>
      </c>
      <c r="C606" s="104" t="s">
        <v>0</v>
      </c>
      <c r="D606" s="221">
        <v>0</v>
      </c>
      <c r="E606" s="87" t="str">
        <f>DEC2HEX(((D606)*2^19),8)</f>
        <v>00000000</v>
      </c>
      <c r="F606" s="348" t="s">
        <v>763</v>
      </c>
      <c r="G606" s="691"/>
      <c r="H606" s="691"/>
      <c r="I606" s="798"/>
    </row>
    <row r="607" spans="1:10" s="8" customFormat="1">
      <c r="A607" s="376"/>
      <c r="B607" s="303" t="s">
        <v>1241</v>
      </c>
      <c r="C607" s="104" t="s">
        <v>0</v>
      </c>
      <c r="D607" s="221">
        <v>6</v>
      </c>
      <c r="E607" s="87" t="str">
        <f>DEC2HEX(((D607)*2^16),8)</f>
        <v>00060000</v>
      </c>
      <c r="F607" s="348" t="s">
        <v>763</v>
      </c>
      <c r="G607" s="691"/>
      <c r="H607" s="691"/>
      <c r="I607" s="798"/>
    </row>
    <row r="608" spans="1:10" s="8" customFormat="1" ht="15">
      <c r="A608" s="376"/>
      <c r="B608" s="303" t="s">
        <v>1250</v>
      </c>
      <c r="C608" s="104" t="s">
        <v>0</v>
      </c>
      <c r="D608" s="129">
        <f>D251</f>
        <v>1</v>
      </c>
      <c r="E608" s="87" t="str">
        <f>DEC2HEX(((D608)*2^6),8)</f>
        <v>00000040</v>
      </c>
      <c r="F608" s="348" t="s">
        <v>763</v>
      </c>
      <c r="G608" s="691"/>
      <c r="H608" s="691"/>
      <c r="I608" s="798"/>
    </row>
    <row r="609" spans="1:10" s="8" customFormat="1" ht="15.75" thickBot="1">
      <c r="A609" s="376"/>
      <c r="B609" s="304" t="s">
        <v>1252</v>
      </c>
      <c r="C609" s="106" t="s">
        <v>0</v>
      </c>
      <c r="D609" s="130">
        <f>D252</f>
        <v>8</v>
      </c>
      <c r="E609" s="293" t="str">
        <f>DEC2HEX(((D609)*2^0),8)</f>
        <v>00000008</v>
      </c>
      <c r="F609" s="363" t="s">
        <v>763</v>
      </c>
      <c r="G609" s="692"/>
      <c r="H609" s="692"/>
      <c r="I609" s="799"/>
    </row>
    <row r="610" spans="1:10" ht="13.5" thickBot="1">
      <c r="A610" s="376"/>
      <c r="B610" s="77"/>
      <c r="C610" s="103"/>
      <c r="D610" s="78"/>
      <c r="E610" s="113"/>
      <c r="F610" s="225"/>
      <c r="G610" s="323"/>
      <c r="H610" s="226"/>
      <c r="I610" s="226"/>
      <c r="J610" s="18"/>
    </row>
    <row r="611" spans="1:10" s="8" customFormat="1" ht="38.25">
      <c r="A611" s="376"/>
      <c r="B611" s="195" t="s">
        <v>269</v>
      </c>
      <c r="C611" s="167" t="s">
        <v>0</v>
      </c>
      <c r="D611" s="218">
        <f>D227</f>
        <v>0</v>
      </c>
      <c r="E611" s="294" t="str">
        <f>DEC2HEX(((D611)*2^23),8)</f>
        <v>00000000</v>
      </c>
      <c r="F611" s="365" t="s">
        <v>763</v>
      </c>
      <c r="G611" s="682" t="s">
        <v>907</v>
      </c>
      <c r="H611" s="626" t="str">
        <f>"0x"&amp;DEC2HEX((HEX2DEC(C37)+224), 8)</f>
        <v>0x3D4030E0</v>
      </c>
      <c r="I611" s="628" t="str">
        <f>"0x"&amp;DEC2HEX((HEX2DEC(E611)+HEX2DEC(E612)+HEX2DEC(E613)+HEX2DEC(E614)+HEX2DEC(E615)+HEX2DEC(E616)+HEX2DEC(E617)+HEX2DEC(E618)+HEX2DEC(E619)+HEX2DEC(E620)+HEX2DEC(E621)+HEX2DEC(E622)+HEX2DEC(E623)+HEX2DEC(E624) ), 8)</f>
        <v>0x00330000</v>
      </c>
    </row>
    <row r="612" spans="1:10" s="8" customFormat="1" ht="38.25">
      <c r="A612" s="376"/>
      <c r="B612" s="108" t="s">
        <v>270</v>
      </c>
      <c r="C612" s="104" t="s">
        <v>0</v>
      </c>
      <c r="D612" s="129">
        <f>D228</f>
        <v>0</v>
      </c>
      <c r="E612" s="88" t="str">
        <f>DEC2HEX(((D612)*2^22),8)</f>
        <v>00000000</v>
      </c>
      <c r="F612" s="395" t="s">
        <v>763</v>
      </c>
      <c r="G612" s="683"/>
      <c r="H612" s="627"/>
      <c r="I612" s="629"/>
    </row>
    <row r="613" spans="1:10" s="8" customFormat="1" ht="38.25">
      <c r="A613" s="376"/>
      <c r="B613" s="108" t="s">
        <v>1240</v>
      </c>
      <c r="C613" s="104" t="s">
        <v>0</v>
      </c>
      <c r="D613" s="105">
        <v>6</v>
      </c>
      <c r="E613" s="88" t="str">
        <f>DEC2HEX(((D613)*2^19),8)</f>
        <v>00300000</v>
      </c>
      <c r="F613" s="395" t="s">
        <v>763</v>
      </c>
      <c r="G613" s="683"/>
      <c r="H613" s="627"/>
      <c r="I613" s="629"/>
    </row>
    <row r="614" spans="1:10" s="8" customFormat="1" ht="38.25">
      <c r="A614" s="376"/>
      <c r="B614" s="108" t="s">
        <v>272</v>
      </c>
      <c r="C614" s="104" t="s">
        <v>0</v>
      </c>
      <c r="D614" s="201">
        <v>0</v>
      </c>
      <c r="E614" s="88" t="str">
        <f>DEC2HEX(((D614)*2^18),8)</f>
        <v>00000000</v>
      </c>
      <c r="F614" s="395" t="s">
        <v>763</v>
      </c>
      <c r="G614" s="683"/>
      <c r="H614" s="627"/>
      <c r="I614" s="629"/>
    </row>
    <row r="615" spans="1:10" s="8" customFormat="1" ht="38.25">
      <c r="A615" s="376"/>
      <c r="B615" s="108" t="s">
        <v>273</v>
      </c>
      <c r="C615" s="104" t="s">
        <v>0</v>
      </c>
      <c r="D615" s="606">
        <v>1</v>
      </c>
      <c r="E615" s="88" t="str">
        <f>DEC2HEX(((D615)*2^17),8)</f>
        <v>00020000</v>
      </c>
      <c r="F615" s="395" t="s">
        <v>763</v>
      </c>
      <c r="G615" s="683"/>
      <c r="H615" s="627"/>
      <c r="I615" s="629"/>
    </row>
    <row r="616" spans="1:10" s="8" customFormat="1" ht="39" thickBot="1">
      <c r="A616" s="376"/>
      <c r="B616" s="85" t="s">
        <v>274</v>
      </c>
      <c r="C616" s="106" t="s">
        <v>0</v>
      </c>
      <c r="D616" s="193">
        <v>1</v>
      </c>
      <c r="E616" s="107" t="str">
        <f>DEC2HEX(((D616)*2^16),8)</f>
        <v>00010000</v>
      </c>
      <c r="F616" s="363" t="s">
        <v>763</v>
      </c>
      <c r="G616" s="683"/>
      <c r="H616" s="627"/>
      <c r="I616" s="629"/>
    </row>
    <row r="617" spans="1:10" s="8" customFormat="1" ht="38.25">
      <c r="A617" s="376"/>
      <c r="B617" s="197" t="s">
        <v>275</v>
      </c>
      <c r="C617" s="169" t="s">
        <v>0</v>
      </c>
      <c r="D617" s="200">
        <v>0</v>
      </c>
      <c r="E617" s="87" t="str">
        <f>DEC2HEX(((D617)*2^7),8)</f>
        <v>00000000</v>
      </c>
      <c r="F617" s="365" t="s">
        <v>763</v>
      </c>
      <c r="G617" s="683"/>
      <c r="H617" s="627"/>
      <c r="I617" s="629"/>
    </row>
    <row r="618" spans="1:10" s="8" customFormat="1" ht="38.25">
      <c r="A618" s="376"/>
      <c r="B618" s="198" t="s">
        <v>276</v>
      </c>
      <c r="C618" s="104" t="s">
        <v>0</v>
      </c>
      <c r="D618" s="201">
        <v>0</v>
      </c>
      <c r="E618" s="88" t="str">
        <f>DEC2HEX(((D618)*2^6),8)</f>
        <v>00000000</v>
      </c>
      <c r="F618" s="395" t="s">
        <v>763</v>
      </c>
      <c r="G618" s="683"/>
      <c r="H618" s="627"/>
      <c r="I618" s="629"/>
    </row>
    <row r="619" spans="1:10" s="8" customFormat="1" ht="25.5">
      <c r="A619" s="376"/>
      <c r="B619" s="198" t="s">
        <v>277</v>
      </c>
      <c r="C619" s="104" t="s">
        <v>0</v>
      </c>
      <c r="D619" s="105">
        <v>0</v>
      </c>
      <c r="E619" s="88" t="str">
        <f>DEC2HEX(((D619)*2^5),8)</f>
        <v>00000000</v>
      </c>
      <c r="F619" s="395" t="s">
        <v>763</v>
      </c>
      <c r="G619" s="683"/>
      <c r="H619" s="627"/>
      <c r="I619" s="629"/>
    </row>
    <row r="620" spans="1:10" s="8" customFormat="1" ht="25.5">
      <c r="A620" s="376"/>
      <c r="B620" s="198" t="s">
        <v>278</v>
      </c>
      <c r="C620" s="104" t="s">
        <v>0</v>
      </c>
      <c r="D620" s="201">
        <v>0</v>
      </c>
      <c r="E620" s="88" t="str">
        <f>DEC2HEX(((D620)*2^4),8)</f>
        <v>00000000</v>
      </c>
      <c r="F620" s="395" t="s">
        <v>763</v>
      </c>
      <c r="G620" s="683"/>
      <c r="H620" s="627"/>
      <c r="I620" s="629"/>
    </row>
    <row r="621" spans="1:10" s="8" customFormat="1" ht="38.25">
      <c r="A621" s="376"/>
      <c r="B621" s="198" t="s">
        <v>279</v>
      </c>
      <c r="C621" s="104" t="s">
        <v>0</v>
      </c>
      <c r="D621" s="384">
        <f>D237</f>
        <v>0</v>
      </c>
      <c r="E621" s="88" t="str">
        <f>DEC2HEX(((D621)*2^3),8)</f>
        <v>00000000</v>
      </c>
      <c r="F621" s="395" t="s">
        <v>763</v>
      </c>
      <c r="G621" s="683"/>
      <c r="H621" s="627"/>
      <c r="I621" s="629"/>
    </row>
    <row r="622" spans="1:10" s="8" customFormat="1" ht="25.5">
      <c r="A622" s="376"/>
      <c r="B622" s="198" t="s">
        <v>280</v>
      </c>
      <c r="C622" s="104" t="s">
        <v>0</v>
      </c>
      <c r="D622" s="201">
        <v>0</v>
      </c>
      <c r="E622" s="88" t="str">
        <f>DEC2HEX(((D622)*2^2),8)</f>
        <v>00000000</v>
      </c>
      <c r="F622" s="395" t="s">
        <v>763</v>
      </c>
      <c r="G622" s="683"/>
      <c r="H622" s="627"/>
      <c r="I622" s="629"/>
    </row>
    <row r="623" spans="1:10" s="8" customFormat="1" ht="38.25">
      <c r="A623" s="376"/>
      <c r="B623" s="198" t="s">
        <v>281</v>
      </c>
      <c r="C623" s="104" t="s">
        <v>0</v>
      </c>
      <c r="D623" s="201">
        <v>0</v>
      </c>
      <c r="E623" s="88" t="str">
        <f>DEC2HEX(((D623)*2^1),8)</f>
        <v>00000000</v>
      </c>
      <c r="F623" s="395" t="s">
        <v>763</v>
      </c>
      <c r="G623" s="683"/>
      <c r="H623" s="627"/>
      <c r="I623" s="629"/>
    </row>
    <row r="624" spans="1:10" s="8" customFormat="1" ht="39" thickBot="1">
      <c r="A624" s="376"/>
      <c r="B624" s="199" t="s">
        <v>282</v>
      </c>
      <c r="C624" s="106" t="s">
        <v>0</v>
      </c>
      <c r="D624" s="202">
        <v>0</v>
      </c>
      <c r="E624" s="107" t="str">
        <f>DEC2HEX(((D624)*2^0),8)</f>
        <v>00000000</v>
      </c>
      <c r="F624" s="363" t="s">
        <v>763</v>
      </c>
      <c r="G624" s="684"/>
      <c r="H624" s="625"/>
      <c r="I624" s="630"/>
    </row>
    <row r="625" spans="1:10" ht="13.5" thickBot="1">
      <c r="A625" s="376"/>
      <c r="B625" s="77"/>
      <c r="C625" s="103"/>
      <c r="D625" s="78"/>
      <c r="E625" s="113"/>
      <c r="F625" s="225"/>
      <c r="G625" s="323"/>
      <c r="H625" s="226"/>
      <c r="I625" s="226"/>
      <c r="J625" s="18"/>
    </row>
    <row r="626" spans="1:10" ht="15">
      <c r="A626" s="376"/>
      <c r="B626" s="58" t="s">
        <v>178</v>
      </c>
      <c r="C626" s="619">
        <f>MAX(6,(C540-(IF(C33&lt;=1333,4,IF(C33&lt;=1866,6,8)))-D48+1))</f>
        <v>9</v>
      </c>
      <c r="D626" s="92">
        <f>ROUNDUP( (C626/2), 0)</f>
        <v>5</v>
      </c>
      <c r="E626" s="438" t="str">
        <f>DEC2HEX(((D626)*2^8),8)</f>
        <v>00000500</v>
      </c>
      <c r="F626" s="441" t="s">
        <v>763</v>
      </c>
      <c r="G626" s="652" t="s">
        <v>1038</v>
      </c>
      <c r="H626" s="652" t="str">
        <f>"0x"&amp;DEC2HEX((HEX2DEC(C37)+244), 8)</f>
        <v>0x3D4030F4</v>
      </c>
      <c r="I626" s="653" t="str">
        <f>"0x"&amp;DEC2HEX((HEX2DEC(E626)+HEX2DEC(E627)+HEX2DEC(E628)), 8)</f>
        <v>0x00000599</v>
      </c>
      <c r="J626" s="18"/>
    </row>
    <row r="627" spans="1:10" ht="15">
      <c r="A627" s="376"/>
      <c r="B627" s="59" t="s">
        <v>179</v>
      </c>
      <c r="C627" s="94">
        <v>8</v>
      </c>
      <c r="D627" s="232">
        <f>(C627+1)</f>
        <v>9</v>
      </c>
      <c r="E627" s="439" t="str">
        <f>DEC2HEX(((D627)*2^4),8)</f>
        <v>00000090</v>
      </c>
      <c r="F627" s="442" t="s">
        <v>763</v>
      </c>
      <c r="G627" s="627"/>
      <c r="H627" s="627"/>
      <c r="I627" s="629"/>
      <c r="J627" s="18"/>
    </row>
    <row r="628" spans="1:10" ht="13.5" thickBot="1">
      <c r="A628" s="376"/>
      <c r="B628" s="60" t="s">
        <v>180</v>
      </c>
      <c r="C628" s="63">
        <v>9</v>
      </c>
      <c r="D628" s="64">
        <v>9</v>
      </c>
      <c r="E628" s="440" t="str">
        <f>DEC2HEX(((D628)*2^0),8)</f>
        <v>00000009</v>
      </c>
      <c r="F628" s="443" t="s">
        <v>763</v>
      </c>
      <c r="G628" s="625"/>
      <c r="H628" s="625"/>
      <c r="I628" s="630"/>
      <c r="J628" s="18"/>
    </row>
    <row r="629" spans="1:10">
      <c r="A629" s="376"/>
      <c r="B629" s="76"/>
      <c r="C629" s="77"/>
      <c r="D629" s="78"/>
      <c r="E629" s="36"/>
      <c r="F629" s="73"/>
      <c r="G629" s="81"/>
      <c r="H629" s="81"/>
      <c r="I629" s="81"/>
      <c r="J629" s="18"/>
    </row>
    <row r="630" spans="1:10">
      <c r="A630" s="376"/>
      <c r="B630" s="377"/>
      <c r="C630" s="378"/>
      <c r="D630" s="379"/>
      <c r="E630" s="380"/>
      <c r="F630" s="381"/>
      <c r="G630" s="382"/>
      <c r="H630" s="383"/>
      <c r="I630" s="383"/>
      <c r="J630" s="18"/>
    </row>
    <row r="631" spans="1:10" ht="13.5" thickBot="1"/>
    <row r="632" spans="1:10" ht="15.75" thickBot="1">
      <c r="B632" s="631" t="s">
        <v>493</v>
      </c>
      <c r="C632" s="632"/>
      <c r="D632" s="632"/>
      <c r="E632" s="632"/>
      <c r="F632" s="632"/>
      <c r="G632" s="632"/>
      <c r="H632" s="632"/>
      <c r="I632" s="633"/>
    </row>
    <row r="634" spans="1:10" ht="15">
      <c r="B634" s="333" t="s">
        <v>494</v>
      </c>
      <c r="C634" s="219" t="str">
        <f>"0x"&amp;DEC2HEX((HEX2DEC(E215)+HEX2DEC(E216)+HEX2DEC(E217)+HEX2DEC(E218)+HEX2DEC(E219))/65536,2)</f>
        <v>0xF4</v>
      </c>
      <c r="D634" s="667" t="s">
        <v>498</v>
      </c>
      <c r="E634" s="667"/>
      <c r="F634" s="667"/>
      <c r="G634" s="667"/>
      <c r="H634" s="667"/>
      <c r="I634" s="667"/>
    </row>
    <row r="635" spans="1:10" ht="15">
      <c r="B635" s="333" t="s">
        <v>495</v>
      </c>
      <c r="C635" s="219" t="str">
        <f>"0x"&amp;DEC2HEX((HEX2DEC(E220)+HEX2DEC(E221)+HEX2DEC(E222)+HEX2DEC(E223)),2)</f>
        <v>0x3F</v>
      </c>
      <c r="D635" s="667" t="s">
        <v>498</v>
      </c>
      <c r="E635" s="667"/>
      <c r="F635" s="667"/>
      <c r="G635" s="667"/>
      <c r="H635" s="667"/>
      <c r="I635" s="667"/>
    </row>
    <row r="636" spans="1:10" ht="15">
      <c r="B636" s="333" t="s">
        <v>496</v>
      </c>
      <c r="C636" s="219" t="str">
        <f>"0x"&amp;DEC2HEX((HEX2DEC(E227)+HEX2DEC(E228)+HEX2DEC(E229)+HEX2DEC(E230)+HEX2DEC(E231)+HEX2DEC(E232))/65536, 2)</f>
        <v>0x33</v>
      </c>
      <c r="D636" s="667" t="s">
        <v>499</v>
      </c>
      <c r="E636" s="667"/>
      <c r="F636" s="667"/>
      <c r="G636" s="667"/>
      <c r="H636" s="667"/>
      <c r="I636" s="667"/>
    </row>
    <row r="637" spans="1:10" ht="15">
      <c r="B637" s="333" t="s">
        <v>497</v>
      </c>
      <c r="C637" s="337" t="s">
        <v>477</v>
      </c>
      <c r="D637" s="667" t="s">
        <v>517</v>
      </c>
      <c r="E637" s="800"/>
      <c r="F637" s="800"/>
      <c r="G637" s="800"/>
      <c r="H637" s="800"/>
      <c r="I637" s="800"/>
    </row>
    <row r="638" spans="1:10" ht="15">
      <c r="B638" s="333" t="s">
        <v>469</v>
      </c>
      <c r="C638" s="219" t="str">
        <f>"0x"&amp;DEC2HEX((HEX2DEC(E242)+HEX2DEC(E243))/65536, 2)</f>
        <v>0x66</v>
      </c>
      <c r="D638" s="667" t="s">
        <v>500</v>
      </c>
      <c r="E638" s="667"/>
      <c r="F638" s="667"/>
      <c r="G638" s="667"/>
      <c r="H638" s="667"/>
      <c r="I638" s="667"/>
    </row>
    <row r="639" spans="1:10" ht="15">
      <c r="B639" s="333" t="s">
        <v>470</v>
      </c>
      <c r="C639" s="219" t="str">
        <f>"0x"&amp;DEC2HEX((HEX2DEC(E244)+HEX2DEC(E245)), 2)</f>
        <v>0x48</v>
      </c>
      <c r="D639" s="667" t="s">
        <v>500</v>
      </c>
      <c r="E639" s="667"/>
      <c r="F639" s="667"/>
      <c r="G639" s="667"/>
      <c r="H639" s="667"/>
      <c r="I639" s="667"/>
    </row>
    <row r="640" spans="1:10" ht="15">
      <c r="B640" s="333" t="s">
        <v>471</v>
      </c>
      <c r="C640" s="219" t="str">
        <f>"0x"&amp;DEC2HEX((HEX2DEC(E233)+HEX2DEC(E234)+HEX2DEC(E235)+HEX2DEC(E236)+HEX2DEC(E237)+HEX2DEC(E238)+HEX2DEC(E239)+HEX2DEC(E240) ), 2)</f>
        <v>0x00</v>
      </c>
      <c r="D640" s="667" t="s">
        <v>499</v>
      </c>
      <c r="E640" s="667"/>
      <c r="F640" s="667"/>
      <c r="G640" s="667"/>
      <c r="H640" s="667"/>
      <c r="I640" s="667"/>
    </row>
    <row r="641" spans="2:9" ht="15">
      <c r="B641" s="333" t="s">
        <v>472</v>
      </c>
      <c r="C641" s="219" t="str">
        <f>"0x"&amp;DEC2HEX((HEX2DEC(E251)+HEX2DEC(E252)), 2)</f>
        <v>0x48</v>
      </c>
      <c r="D641" s="667" t="s">
        <v>501</v>
      </c>
      <c r="E641" s="667"/>
      <c r="F641" s="667"/>
      <c r="G641" s="667"/>
      <c r="H641" s="667"/>
      <c r="I641" s="667"/>
    </row>
    <row r="642" spans="2:9" ht="15">
      <c r="B642" s="333" t="s">
        <v>473</v>
      </c>
      <c r="C642" s="337" t="s">
        <v>477</v>
      </c>
      <c r="D642" s="667" t="s">
        <v>517</v>
      </c>
      <c r="E642" s="800"/>
      <c r="F642" s="800"/>
      <c r="G642" s="800"/>
      <c r="H642" s="800"/>
      <c r="I642" s="800"/>
    </row>
    <row r="643" spans="2:9" ht="15">
      <c r="B643" s="333" t="s">
        <v>474</v>
      </c>
      <c r="C643" s="337" t="s">
        <v>477</v>
      </c>
      <c r="D643" s="667" t="s">
        <v>517</v>
      </c>
      <c r="E643" s="800"/>
      <c r="F643" s="800"/>
      <c r="G643" s="800"/>
      <c r="H643" s="800"/>
      <c r="I643" s="800"/>
    </row>
    <row r="644" spans="2:9" ht="15">
      <c r="B644" s="333" t="s">
        <v>475</v>
      </c>
      <c r="C644" s="219" t="str">
        <f>"0x"&amp;DEC2HEX((HEX2DEC(E247)+HEX2DEC(E248)+HEX2DEC(E249)+HEX2DEC(E250))/65536, 2)</f>
        <v>0x16</v>
      </c>
      <c r="D644" s="667" t="s">
        <v>501</v>
      </c>
      <c r="E644" s="667"/>
      <c r="F644" s="667"/>
      <c r="G644" s="667"/>
      <c r="H644" s="667"/>
      <c r="I644" s="667"/>
    </row>
    <row r="645" spans="2:9" ht="15">
      <c r="B645" s="333" t="s">
        <v>476</v>
      </c>
      <c r="C645" s="337" t="s">
        <v>477</v>
      </c>
      <c r="D645" s="667" t="s">
        <v>517</v>
      </c>
      <c r="E645" s="800"/>
      <c r="F645" s="800"/>
      <c r="G645" s="800"/>
      <c r="H645" s="800"/>
      <c r="I645" s="800"/>
    </row>
    <row r="646" spans="2:9" ht="15">
      <c r="B646" s="391"/>
      <c r="C646" s="394"/>
      <c r="D646" s="392"/>
      <c r="E646" s="393"/>
      <c r="F646" s="393"/>
      <c r="G646" s="393"/>
      <c r="H646" s="393"/>
      <c r="I646" s="393"/>
    </row>
    <row r="647" spans="2:9" ht="15">
      <c r="B647" s="333" t="s">
        <v>882</v>
      </c>
      <c r="C647" s="219" t="str">
        <f>"0x"&amp;DEC2HEX((HEX2DEC(E458)+HEX2DEC(E459)+HEX2DEC(E460)+HEX2DEC(E461)+HEX2DEC(E462))/65536,2)</f>
        <v>0x84</v>
      </c>
      <c r="D647" s="667" t="s">
        <v>886</v>
      </c>
      <c r="E647" s="667"/>
      <c r="F647" s="667"/>
      <c r="G647" s="667"/>
      <c r="H647" s="667"/>
      <c r="I647" s="667"/>
    </row>
    <row r="648" spans="2:9" ht="15">
      <c r="B648" s="333" t="s">
        <v>883</v>
      </c>
      <c r="C648" s="219" t="str">
        <f>"0x"&amp;DEC2HEX((HEX2DEC(E463)+HEX2DEC(E464)+HEX2DEC(E465)+HEX2DEC(E466)),2)</f>
        <v>0x00</v>
      </c>
      <c r="D648" s="667" t="s">
        <v>887</v>
      </c>
      <c r="E648" s="667"/>
      <c r="F648" s="667"/>
      <c r="G648" s="667"/>
      <c r="H648" s="667"/>
      <c r="I648" s="667"/>
    </row>
    <row r="649" spans="2:9" ht="15">
      <c r="B649" s="333" t="s">
        <v>989</v>
      </c>
      <c r="C649" s="219" t="str">
        <f>"0x"&amp;DEC2HEX((HEX2DEC(E480)+HEX2DEC(E481)+HEX2DEC(E482)+HEX2DEC(E483)+HEX2DEC(E484)+HEX2DEC(E485))/65536, 2)</f>
        <v>0x33</v>
      </c>
      <c r="D649" s="667" t="s">
        <v>499</v>
      </c>
      <c r="E649" s="667"/>
      <c r="F649" s="667"/>
      <c r="G649" s="667"/>
      <c r="H649" s="667"/>
      <c r="I649" s="667"/>
    </row>
    <row r="650" spans="2:9" ht="15">
      <c r="B650" s="333" t="s">
        <v>990</v>
      </c>
      <c r="C650" s="337" t="s">
        <v>477</v>
      </c>
      <c r="D650" s="667" t="s">
        <v>517</v>
      </c>
      <c r="E650" s="800"/>
      <c r="F650" s="800"/>
      <c r="G650" s="800"/>
      <c r="H650" s="800"/>
      <c r="I650" s="800"/>
    </row>
    <row r="651" spans="2:9" ht="15">
      <c r="B651" s="333" t="s">
        <v>991</v>
      </c>
      <c r="C651" s="219" t="str">
        <f>"0x"&amp;DEC2HEX((HEX2DEC(E468)+HEX2DEC(E469))/65536, 2)</f>
        <v>0x66</v>
      </c>
      <c r="D651" s="667" t="s">
        <v>500</v>
      </c>
      <c r="E651" s="667"/>
      <c r="F651" s="667"/>
      <c r="G651" s="667"/>
      <c r="H651" s="667"/>
      <c r="I651" s="667"/>
    </row>
    <row r="652" spans="2:9" ht="15">
      <c r="B652" s="333" t="s">
        <v>992</v>
      </c>
      <c r="C652" s="219" t="str">
        <f>"0x"&amp;DEC2HEX((HEX2DEC(E470)+HEX2DEC(E471)), 2)</f>
        <v>0x48</v>
      </c>
      <c r="D652" s="667" t="s">
        <v>500</v>
      </c>
      <c r="E652" s="667"/>
      <c r="F652" s="667"/>
      <c r="G652" s="667"/>
      <c r="H652" s="667"/>
      <c r="I652" s="667"/>
    </row>
    <row r="653" spans="2:9" ht="15">
      <c r="B653" s="333" t="s">
        <v>993</v>
      </c>
      <c r="C653" s="219" t="str">
        <f>"0x"&amp;DEC2HEX((HEX2DEC(E486)+HEX2DEC(E487)+HEX2DEC(E488)+HEX2DEC(E489)+HEX2DEC(E490)+HEX2DEC(E491)+HEX2DEC(E492)+HEX2DEC(E493) ), 2)</f>
        <v>0x00</v>
      </c>
      <c r="D653" s="667" t="s">
        <v>499</v>
      </c>
      <c r="E653" s="667"/>
      <c r="F653" s="667"/>
      <c r="G653" s="667"/>
      <c r="H653" s="667"/>
      <c r="I653" s="667"/>
    </row>
    <row r="654" spans="2:9" ht="15">
      <c r="B654" s="333" t="s">
        <v>994</v>
      </c>
      <c r="C654" s="219" t="str">
        <f>"0x"&amp;DEC2HEX((HEX2DEC(E477)+HEX2DEC(E478)), 2)</f>
        <v>0x48</v>
      </c>
      <c r="D654" s="667" t="s">
        <v>501</v>
      </c>
      <c r="E654" s="667"/>
      <c r="F654" s="667"/>
      <c r="G654" s="667"/>
      <c r="H654" s="667"/>
      <c r="I654" s="667"/>
    </row>
    <row r="655" spans="2:9" ht="15">
      <c r="B655" s="333" t="s">
        <v>995</v>
      </c>
      <c r="C655" s="337" t="s">
        <v>477</v>
      </c>
      <c r="D655" s="667" t="s">
        <v>517</v>
      </c>
      <c r="E655" s="800"/>
      <c r="F655" s="800"/>
      <c r="G655" s="800"/>
      <c r="H655" s="800"/>
      <c r="I655" s="800"/>
    </row>
    <row r="656" spans="2:9" ht="15">
      <c r="B656" s="333" t="s">
        <v>996</v>
      </c>
      <c r="C656" s="337" t="s">
        <v>477</v>
      </c>
      <c r="D656" s="667" t="s">
        <v>517</v>
      </c>
      <c r="E656" s="800"/>
      <c r="F656" s="800"/>
      <c r="G656" s="800"/>
      <c r="H656" s="800"/>
      <c r="I656" s="800"/>
    </row>
    <row r="657" spans="2:9" ht="15">
      <c r="B657" s="333" t="s">
        <v>997</v>
      </c>
      <c r="C657" s="219" t="str">
        <f>"0x"&amp;DEC2HEX((HEX2DEC(E473)+HEX2DEC(E474)+HEX2DEC(E475)+HEX2DEC(E476))/65536, 2)</f>
        <v>0x16</v>
      </c>
      <c r="D657" s="667" t="s">
        <v>501</v>
      </c>
      <c r="E657" s="667"/>
      <c r="F657" s="667"/>
      <c r="G657" s="667"/>
      <c r="H657" s="667"/>
      <c r="I657" s="667"/>
    </row>
    <row r="658" spans="2:9" ht="15">
      <c r="B658" s="333" t="s">
        <v>998</v>
      </c>
      <c r="C658" s="337" t="s">
        <v>477</v>
      </c>
      <c r="D658" s="667" t="s">
        <v>517</v>
      </c>
      <c r="E658" s="800"/>
      <c r="F658" s="800"/>
      <c r="G658" s="800"/>
      <c r="H658" s="800"/>
      <c r="I658" s="800"/>
    </row>
    <row r="659" spans="2:9" ht="15">
      <c r="B659" s="391"/>
      <c r="C659" s="121"/>
      <c r="D659" s="392"/>
      <c r="E659" s="392"/>
      <c r="F659" s="392"/>
      <c r="G659" s="392"/>
      <c r="H659" s="392"/>
      <c r="I659" s="392"/>
    </row>
    <row r="660" spans="2:9" ht="15">
      <c r="B660" s="333" t="s">
        <v>884</v>
      </c>
      <c r="C660" s="219" t="str">
        <f>"0x"&amp;DEC2HEX((HEX2DEC(E589)+HEX2DEC(E590)+HEX2DEC(E591)+HEX2DEC(E592)+HEX2DEC(E593))/65536,2)</f>
        <v>0x84</v>
      </c>
      <c r="D660" s="667" t="s">
        <v>888</v>
      </c>
      <c r="E660" s="667"/>
      <c r="F660" s="667"/>
      <c r="G660" s="667"/>
      <c r="H660" s="667"/>
      <c r="I660" s="667"/>
    </row>
    <row r="661" spans="2:9" ht="15">
      <c r="B661" s="333" t="s">
        <v>885</v>
      </c>
      <c r="C661" s="219" t="str">
        <f>"0x"&amp;DEC2HEX((HEX2DEC(E594)+HEX2DEC(E595)+HEX2DEC(E596)+HEX2DEC(E597)),2)</f>
        <v>0x00</v>
      </c>
      <c r="D661" s="667" t="s">
        <v>888</v>
      </c>
      <c r="E661" s="667"/>
      <c r="F661" s="667"/>
      <c r="G661" s="667"/>
      <c r="H661" s="667"/>
      <c r="I661" s="667"/>
    </row>
    <row r="662" spans="2:9" ht="15">
      <c r="B662" s="333" t="s">
        <v>999</v>
      </c>
      <c r="C662" s="219" t="str">
        <f>"0x"&amp;DEC2HEX((HEX2DEC(E611)+HEX2DEC(E612)+HEX2DEC(E613)+HEX2DEC(E614)+HEX2DEC(E615)+HEX2DEC(E616))/65536, 2)</f>
        <v>0x33</v>
      </c>
      <c r="D662" s="667" t="s">
        <v>499</v>
      </c>
      <c r="E662" s="667"/>
      <c r="F662" s="667"/>
      <c r="G662" s="667"/>
      <c r="H662" s="667"/>
      <c r="I662" s="667"/>
    </row>
    <row r="663" spans="2:9" ht="15">
      <c r="B663" s="333" t="s">
        <v>1000</v>
      </c>
      <c r="C663" s="337" t="s">
        <v>477</v>
      </c>
      <c r="D663" s="667" t="s">
        <v>517</v>
      </c>
      <c r="E663" s="800"/>
      <c r="F663" s="800"/>
      <c r="G663" s="800"/>
      <c r="H663" s="800"/>
      <c r="I663" s="800"/>
    </row>
    <row r="664" spans="2:9" ht="15">
      <c r="B664" s="333" t="s">
        <v>1001</v>
      </c>
      <c r="C664" s="219" t="str">
        <f>"0x"&amp;DEC2HEX((HEX2DEC(E599)+HEX2DEC(E600))/65536, 2)</f>
        <v>0x66</v>
      </c>
      <c r="D664" s="667" t="s">
        <v>500</v>
      </c>
      <c r="E664" s="667"/>
      <c r="F664" s="667"/>
      <c r="G664" s="667"/>
      <c r="H664" s="667"/>
      <c r="I664" s="667"/>
    </row>
    <row r="665" spans="2:9" ht="15">
      <c r="B665" s="333" t="s">
        <v>1002</v>
      </c>
      <c r="C665" s="219" t="str">
        <f>"0x"&amp;DEC2HEX((HEX2DEC(E601)+HEX2DEC(E602)), 2)</f>
        <v>0x48</v>
      </c>
      <c r="D665" s="667" t="s">
        <v>500</v>
      </c>
      <c r="E665" s="667"/>
      <c r="F665" s="667"/>
      <c r="G665" s="667"/>
      <c r="H665" s="667"/>
      <c r="I665" s="667"/>
    </row>
    <row r="666" spans="2:9" ht="15">
      <c r="B666" s="333" t="s">
        <v>1003</v>
      </c>
      <c r="C666" s="219" t="str">
        <f>"0x"&amp;DEC2HEX((HEX2DEC(E617)+HEX2DEC(E618)+HEX2DEC(E619)+HEX2DEC(E620)+HEX2DEC(E621)+HEX2DEC(E622)+HEX2DEC(E623)+HEX2DEC(E624) ), 2)</f>
        <v>0x00</v>
      </c>
      <c r="D666" s="667" t="s">
        <v>499</v>
      </c>
      <c r="E666" s="667"/>
      <c r="F666" s="667"/>
      <c r="G666" s="667"/>
      <c r="H666" s="667"/>
      <c r="I666" s="667"/>
    </row>
    <row r="667" spans="2:9" ht="15">
      <c r="B667" s="333" t="s">
        <v>1004</v>
      </c>
      <c r="C667" s="219" t="str">
        <f>"0x"&amp;DEC2HEX((HEX2DEC(E608)+HEX2DEC(E609)), 2)</f>
        <v>0x48</v>
      </c>
      <c r="D667" s="667" t="s">
        <v>501</v>
      </c>
      <c r="E667" s="667"/>
      <c r="F667" s="667"/>
      <c r="G667" s="667"/>
      <c r="H667" s="667"/>
      <c r="I667" s="667"/>
    </row>
    <row r="668" spans="2:9" ht="15">
      <c r="B668" s="333" t="s">
        <v>1005</v>
      </c>
      <c r="C668" s="337" t="s">
        <v>477</v>
      </c>
      <c r="D668" s="667" t="s">
        <v>517</v>
      </c>
      <c r="E668" s="800"/>
      <c r="F668" s="800"/>
      <c r="G668" s="800"/>
      <c r="H668" s="800"/>
      <c r="I668" s="800"/>
    </row>
    <row r="669" spans="2:9" ht="15">
      <c r="B669" s="333" t="s">
        <v>1006</v>
      </c>
      <c r="C669" s="337" t="s">
        <v>477</v>
      </c>
      <c r="D669" s="667" t="s">
        <v>517</v>
      </c>
      <c r="E669" s="800"/>
      <c r="F669" s="800"/>
      <c r="G669" s="800"/>
      <c r="H669" s="800"/>
      <c r="I669" s="800"/>
    </row>
    <row r="670" spans="2:9" ht="15">
      <c r="B670" s="333" t="s">
        <v>1007</v>
      </c>
      <c r="C670" s="219" t="str">
        <f>"0x"&amp;DEC2HEX((HEX2DEC(E604)+HEX2DEC(E605)+HEX2DEC(E606)+HEX2DEC(E607))/65536, 2)</f>
        <v>0x16</v>
      </c>
      <c r="D670" s="667" t="s">
        <v>501</v>
      </c>
      <c r="E670" s="667"/>
      <c r="F670" s="667"/>
      <c r="G670" s="667"/>
      <c r="H670" s="667"/>
      <c r="I670" s="667"/>
    </row>
    <row r="671" spans="2:9" ht="15">
      <c r="B671" s="333" t="s">
        <v>1008</v>
      </c>
      <c r="C671" s="337" t="s">
        <v>477</v>
      </c>
      <c r="D671" s="667" t="s">
        <v>517</v>
      </c>
      <c r="E671" s="800"/>
      <c r="F671" s="800"/>
      <c r="G671" s="800"/>
      <c r="H671" s="800"/>
      <c r="I671" s="800"/>
    </row>
    <row r="672" spans="2:9" ht="15">
      <c r="B672" s="391"/>
      <c r="C672" s="394"/>
      <c r="D672" s="392"/>
      <c r="E672" s="393"/>
      <c r="F672" s="393"/>
      <c r="G672" s="393"/>
      <c r="H672" s="393"/>
      <c r="I672" s="393"/>
    </row>
    <row r="673" spans="2:9">
      <c r="B673" s="333" t="s">
        <v>478</v>
      </c>
      <c r="C673" s="338">
        <v>40</v>
      </c>
      <c r="D673" s="667" t="s">
        <v>505</v>
      </c>
      <c r="E673" s="800"/>
      <c r="F673" s="800"/>
      <c r="G673" s="800"/>
      <c r="H673" s="800"/>
      <c r="I673" s="800"/>
    </row>
    <row r="674" spans="2:9" ht="26.25" customHeight="1">
      <c r="B674" s="333" t="s">
        <v>479</v>
      </c>
      <c r="C674" s="338">
        <v>40</v>
      </c>
      <c r="D674" s="677" t="s">
        <v>1254</v>
      </c>
      <c r="E674" s="678"/>
      <c r="F674" s="678"/>
      <c r="G674" s="678"/>
      <c r="H674" s="678"/>
      <c r="I674" s="678"/>
    </row>
    <row r="675" spans="2:9">
      <c r="B675" s="333" t="s">
        <v>1242</v>
      </c>
      <c r="C675" s="338">
        <v>34</v>
      </c>
      <c r="D675" s="667" t="s">
        <v>504</v>
      </c>
      <c r="E675" s="800"/>
      <c r="F675" s="800"/>
      <c r="G675" s="800"/>
      <c r="H675" s="800"/>
      <c r="I675" s="800"/>
    </row>
    <row r="676" spans="2:9">
      <c r="C676" s="335"/>
    </row>
    <row r="677" spans="2:9" ht="27" customHeight="1">
      <c r="B677" s="333" t="s">
        <v>506</v>
      </c>
      <c r="C677" s="339" t="s">
        <v>477</v>
      </c>
      <c r="D677" s="677" t="s">
        <v>507</v>
      </c>
      <c r="E677" s="678"/>
      <c r="F677" s="678"/>
      <c r="G677" s="678"/>
      <c r="H677" s="678"/>
      <c r="I677" s="678"/>
    </row>
    <row r="678" spans="2:9" ht="27" customHeight="1">
      <c r="B678" s="333" t="s">
        <v>502</v>
      </c>
      <c r="C678" s="384" t="str">
        <f>IF(D310=1, "0x01", "0x00")</f>
        <v>0x00</v>
      </c>
      <c r="D678" s="677" t="s">
        <v>503</v>
      </c>
      <c r="E678" s="678"/>
      <c r="F678" s="678"/>
      <c r="G678" s="678"/>
      <c r="H678" s="678"/>
      <c r="I678" s="678"/>
    </row>
    <row r="679" spans="2:9" ht="27" customHeight="1">
      <c r="B679" s="333" t="s">
        <v>508</v>
      </c>
      <c r="C679" s="339" t="s">
        <v>477</v>
      </c>
      <c r="D679" s="677" t="s">
        <v>509</v>
      </c>
      <c r="E679" s="678"/>
      <c r="F679" s="678"/>
      <c r="G679" s="678"/>
      <c r="H679" s="678"/>
      <c r="I679" s="678"/>
    </row>
    <row r="680" spans="2:9" ht="28.5" customHeight="1">
      <c r="B680" s="333" t="s">
        <v>484</v>
      </c>
      <c r="C680" s="243" t="s">
        <v>803</v>
      </c>
      <c r="D680" s="677" t="s">
        <v>1019</v>
      </c>
      <c r="E680" s="678"/>
      <c r="F680" s="678"/>
      <c r="G680" s="678"/>
      <c r="H680" s="678"/>
      <c r="I680" s="678"/>
    </row>
    <row r="681" spans="2:9">
      <c r="B681" s="336"/>
      <c r="C681" s="335"/>
    </row>
    <row r="682" spans="2:9">
      <c r="B682" s="333" t="s">
        <v>485</v>
      </c>
      <c r="C682" s="333" t="s">
        <v>491</v>
      </c>
      <c r="D682" s="667" t="s">
        <v>513</v>
      </c>
      <c r="E682" s="800"/>
      <c r="F682" s="800"/>
      <c r="G682" s="800"/>
      <c r="H682" s="800"/>
      <c r="I682" s="800"/>
    </row>
    <row r="683" spans="2:9">
      <c r="B683" s="333" t="s">
        <v>486</v>
      </c>
      <c r="C683" s="333" t="s">
        <v>491</v>
      </c>
      <c r="D683" s="667" t="s">
        <v>514</v>
      </c>
      <c r="E683" s="800"/>
      <c r="F683" s="800"/>
      <c r="G683" s="800"/>
      <c r="H683" s="800"/>
      <c r="I683" s="800"/>
    </row>
    <row r="684" spans="2:9">
      <c r="B684" s="333" t="s">
        <v>487</v>
      </c>
      <c r="C684" s="333" t="s">
        <v>491</v>
      </c>
      <c r="D684" s="667" t="s">
        <v>515</v>
      </c>
      <c r="E684" s="800"/>
      <c r="F684" s="800"/>
      <c r="G684" s="800"/>
      <c r="H684" s="800"/>
      <c r="I684" s="800"/>
    </row>
    <row r="685" spans="2:9">
      <c r="B685" s="333" t="s">
        <v>488</v>
      </c>
      <c r="C685" s="333" t="s">
        <v>491</v>
      </c>
      <c r="D685" s="667" t="s">
        <v>516</v>
      </c>
      <c r="E685" s="800"/>
      <c r="F685" s="800"/>
      <c r="G685" s="800"/>
      <c r="H685" s="800"/>
      <c r="I685" s="800"/>
    </row>
    <row r="687" spans="2:9">
      <c r="B687" s="333" t="s">
        <v>489</v>
      </c>
      <c r="C687" s="333" t="s">
        <v>492</v>
      </c>
      <c r="D687" s="667" t="s">
        <v>511</v>
      </c>
      <c r="E687" s="800"/>
      <c r="F687" s="800"/>
      <c r="G687" s="800"/>
      <c r="H687" s="800"/>
      <c r="I687" s="800"/>
    </row>
    <row r="688" spans="2:9" ht="27.75" customHeight="1">
      <c r="B688" s="333" t="s">
        <v>510</v>
      </c>
      <c r="C688" s="333" t="s">
        <v>477</v>
      </c>
      <c r="D688" s="677" t="s">
        <v>512</v>
      </c>
      <c r="E688" s="678"/>
      <c r="F688" s="678"/>
      <c r="G688" s="678"/>
      <c r="H688" s="678"/>
      <c r="I688" s="678"/>
    </row>
    <row r="690" spans="2:9">
      <c r="B690" s="333" t="s">
        <v>789</v>
      </c>
      <c r="C690" s="338" t="s">
        <v>1058</v>
      </c>
      <c r="D690" s="677" t="s">
        <v>796</v>
      </c>
      <c r="E690" s="678"/>
      <c r="F690" s="678"/>
      <c r="G690" s="678"/>
      <c r="H690" s="678"/>
      <c r="I690" s="678"/>
    </row>
    <row r="692" spans="2:9" ht="15">
      <c r="B692" s="333" t="s">
        <v>798</v>
      </c>
      <c r="C692" s="384" t="str">
        <f>IF(C22=2, "0x3", "0x1")</f>
        <v>0x3</v>
      </c>
      <c r="D692" s="677" t="s">
        <v>799</v>
      </c>
      <c r="E692" s="678"/>
      <c r="F692" s="678"/>
      <c r="G692" s="678"/>
      <c r="H692" s="678"/>
      <c r="I692" s="678"/>
    </row>
    <row r="694" spans="2:9" ht="15">
      <c r="B694" s="333" t="s">
        <v>800</v>
      </c>
      <c r="C694" s="384">
        <f>C28</f>
        <v>32</v>
      </c>
      <c r="D694" s="677" t="s">
        <v>802</v>
      </c>
      <c r="E694" s="678"/>
      <c r="F694" s="678"/>
      <c r="G694" s="678"/>
      <c r="H694" s="678"/>
      <c r="I694" s="678"/>
    </row>
  </sheetData>
  <mergeCells count="412">
    <mergeCell ref="G589:G597"/>
    <mergeCell ref="H589:H597"/>
    <mergeCell ref="I589:I597"/>
    <mergeCell ref="G599:G602"/>
    <mergeCell ref="H599:H602"/>
    <mergeCell ref="I599:I602"/>
    <mergeCell ref="D655:I655"/>
    <mergeCell ref="D656:I656"/>
    <mergeCell ref="D657:I657"/>
    <mergeCell ref="D649:I649"/>
    <mergeCell ref="D650:I650"/>
    <mergeCell ref="D651:I651"/>
    <mergeCell ref="D652:I652"/>
    <mergeCell ref="D653:I653"/>
    <mergeCell ref="D654:I654"/>
    <mergeCell ref="G611:G624"/>
    <mergeCell ref="H611:H624"/>
    <mergeCell ref="I611:I624"/>
    <mergeCell ref="D638:I638"/>
    <mergeCell ref="D644:I644"/>
    <mergeCell ref="D647:I647"/>
    <mergeCell ref="D648:I648"/>
    <mergeCell ref="D637:I637"/>
    <mergeCell ref="D642:I642"/>
    <mergeCell ref="D670:I670"/>
    <mergeCell ref="D671:I671"/>
    <mergeCell ref="D658:I658"/>
    <mergeCell ref="D662:I662"/>
    <mergeCell ref="D663:I663"/>
    <mergeCell ref="D664:I664"/>
    <mergeCell ref="D665:I665"/>
    <mergeCell ref="D666:I666"/>
    <mergeCell ref="D667:I667"/>
    <mergeCell ref="D668:I668"/>
    <mergeCell ref="D669:I669"/>
    <mergeCell ref="D661:I661"/>
    <mergeCell ref="D660:I660"/>
    <mergeCell ref="D640:I640"/>
    <mergeCell ref="D639:I639"/>
    <mergeCell ref="D643:I643"/>
    <mergeCell ref="G626:G628"/>
    <mergeCell ref="H626:H628"/>
    <mergeCell ref="I626:I628"/>
    <mergeCell ref="G558:G561"/>
    <mergeCell ref="H558:H561"/>
    <mergeCell ref="I558:I561"/>
    <mergeCell ref="G604:G609"/>
    <mergeCell ref="H604:H609"/>
    <mergeCell ref="I604:I609"/>
    <mergeCell ref="G570:G575"/>
    <mergeCell ref="H570:H575"/>
    <mergeCell ref="I570:I575"/>
    <mergeCell ref="G563:G568"/>
    <mergeCell ref="H563:H568"/>
    <mergeCell ref="I563:I568"/>
    <mergeCell ref="G583:G584"/>
    <mergeCell ref="H583:H584"/>
    <mergeCell ref="I583:I584"/>
    <mergeCell ref="G586:G587"/>
    <mergeCell ref="H586:H587"/>
    <mergeCell ref="I586:I587"/>
    <mergeCell ref="G529:G531"/>
    <mergeCell ref="H529:H531"/>
    <mergeCell ref="I529:I531"/>
    <mergeCell ref="G533:G534"/>
    <mergeCell ref="H533:H534"/>
    <mergeCell ref="I533:I534"/>
    <mergeCell ref="G540:G542"/>
    <mergeCell ref="H540:H542"/>
    <mergeCell ref="I540:I542"/>
    <mergeCell ref="G577:G581"/>
    <mergeCell ref="H577:H581"/>
    <mergeCell ref="I577:I581"/>
    <mergeCell ref="G510:G513"/>
    <mergeCell ref="H510:H513"/>
    <mergeCell ref="I510:I513"/>
    <mergeCell ref="G515:G517"/>
    <mergeCell ref="H515:H517"/>
    <mergeCell ref="I515:I517"/>
    <mergeCell ref="G519:G522"/>
    <mergeCell ref="H519:H522"/>
    <mergeCell ref="I519:I522"/>
    <mergeCell ref="G546:G547"/>
    <mergeCell ref="H546:H547"/>
    <mergeCell ref="I546:I547"/>
    <mergeCell ref="G549:G554"/>
    <mergeCell ref="H549:H554"/>
    <mergeCell ref="I549:I554"/>
    <mergeCell ref="G524:G527"/>
    <mergeCell ref="H524:H527"/>
    <mergeCell ref="I524:I527"/>
    <mergeCell ref="G536:G538"/>
    <mergeCell ref="H536:H538"/>
    <mergeCell ref="I536:I538"/>
    <mergeCell ref="H432:H437"/>
    <mergeCell ref="I432:I437"/>
    <mergeCell ref="G405:G407"/>
    <mergeCell ref="H405:H407"/>
    <mergeCell ref="I405:I407"/>
    <mergeCell ref="G409:G411"/>
    <mergeCell ref="H409:H411"/>
    <mergeCell ref="I409:I411"/>
    <mergeCell ref="G432:G437"/>
    <mergeCell ref="G427:G430"/>
    <mergeCell ref="H427:H430"/>
    <mergeCell ref="I427:I430"/>
    <mergeCell ref="G418:G423"/>
    <mergeCell ref="H418:H423"/>
    <mergeCell ref="I418:I423"/>
    <mergeCell ref="G415:G416"/>
    <mergeCell ref="H415:H416"/>
    <mergeCell ref="I415:I416"/>
    <mergeCell ref="B500:I500"/>
    <mergeCell ref="G501:G504"/>
    <mergeCell ref="H501:H504"/>
    <mergeCell ref="I501:I504"/>
    <mergeCell ref="G439:G444"/>
    <mergeCell ref="H439:H444"/>
    <mergeCell ref="H452:H453"/>
    <mergeCell ref="I452:I453"/>
    <mergeCell ref="G455:G456"/>
    <mergeCell ref="H455:H456"/>
    <mergeCell ref="I455:I456"/>
    <mergeCell ref="G446:G450"/>
    <mergeCell ref="H446:H450"/>
    <mergeCell ref="I446:I450"/>
    <mergeCell ref="I439:I444"/>
    <mergeCell ref="G452:G453"/>
    <mergeCell ref="H458:H466"/>
    <mergeCell ref="I458:I466"/>
    <mergeCell ref="G468:G471"/>
    <mergeCell ref="H468:H471"/>
    <mergeCell ref="I468:I471"/>
    <mergeCell ref="G473:G478"/>
    <mergeCell ref="H473:H478"/>
    <mergeCell ref="I473:I478"/>
    <mergeCell ref="G495:G497"/>
    <mergeCell ref="H495:H497"/>
    <mergeCell ref="I495:I497"/>
    <mergeCell ref="G480:G493"/>
    <mergeCell ref="H480:H493"/>
    <mergeCell ref="I480:I493"/>
    <mergeCell ref="D687:I687"/>
    <mergeCell ref="D688:I688"/>
    <mergeCell ref="G200:G208"/>
    <mergeCell ref="H200:H208"/>
    <mergeCell ref="I200:I208"/>
    <mergeCell ref="D645:I645"/>
    <mergeCell ref="D673:I673"/>
    <mergeCell ref="D674:I674"/>
    <mergeCell ref="D675:I675"/>
    <mergeCell ref="D680:I680"/>
    <mergeCell ref="D682:I682"/>
    <mergeCell ref="D684:I684"/>
    <mergeCell ref="D683:I683"/>
    <mergeCell ref="D685:I685"/>
    <mergeCell ref="D678:I678"/>
    <mergeCell ref="D677:I677"/>
    <mergeCell ref="D679:I679"/>
    <mergeCell ref="D635:I635"/>
    <mergeCell ref="D634:I634"/>
    <mergeCell ref="D641:I641"/>
    <mergeCell ref="G506:G508"/>
    <mergeCell ref="H506:H508"/>
    <mergeCell ref="I506:I508"/>
    <mergeCell ref="G458:G466"/>
    <mergeCell ref="I127:I129"/>
    <mergeCell ref="G142:G145"/>
    <mergeCell ref="H153:H155"/>
    <mergeCell ref="G127:G129"/>
    <mergeCell ref="H142:H145"/>
    <mergeCell ref="I142:I145"/>
    <mergeCell ref="H138:H140"/>
    <mergeCell ref="I138:I140"/>
    <mergeCell ref="G138:G140"/>
    <mergeCell ref="I147:I150"/>
    <mergeCell ref="B152:I152"/>
    <mergeCell ref="G147:G150"/>
    <mergeCell ref="H147:H150"/>
    <mergeCell ref="H133:H136"/>
    <mergeCell ref="G174:G179"/>
    <mergeCell ref="H247:H252"/>
    <mergeCell ref="I247:I252"/>
    <mergeCell ref="H171:H172"/>
    <mergeCell ref="B5:J5"/>
    <mergeCell ref="C29:D29"/>
    <mergeCell ref="C20:D20"/>
    <mergeCell ref="C21:D21"/>
    <mergeCell ref="F7:F8"/>
    <mergeCell ref="F13:F14"/>
    <mergeCell ref="F9:F10"/>
    <mergeCell ref="G7:G8"/>
    <mergeCell ref="G9:G10"/>
    <mergeCell ref="G13:G14"/>
    <mergeCell ref="B7:E14"/>
    <mergeCell ref="C19:D19"/>
    <mergeCell ref="C17:D17"/>
    <mergeCell ref="C18:D18"/>
    <mergeCell ref="C24:D24"/>
    <mergeCell ref="C25:D25"/>
    <mergeCell ref="C27:D27"/>
    <mergeCell ref="C22:D22"/>
    <mergeCell ref="F26:G26"/>
    <mergeCell ref="F17:F21"/>
    <mergeCell ref="K16:L26"/>
    <mergeCell ref="K27:L27"/>
    <mergeCell ref="C23:D23"/>
    <mergeCell ref="C28:D28"/>
    <mergeCell ref="C26:D26"/>
    <mergeCell ref="H16:H26"/>
    <mergeCell ref="I16:I26"/>
    <mergeCell ref="J16:J26"/>
    <mergeCell ref="G109:G111"/>
    <mergeCell ref="I100:I103"/>
    <mergeCell ref="G95:G96"/>
    <mergeCell ref="H95:H96"/>
    <mergeCell ref="F30:F31"/>
    <mergeCell ref="B40:E40"/>
    <mergeCell ref="C30:D30"/>
    <mergeCell ref="C35:D35"/>
    <mergeCell ref="G74:G77"/>
    <mergeCell ref="H74:H77"/>
    <mergeCell ref="I74:I77"/>
    <mergeCell ref="J100:J103"/>
    <mergeCell ref="H109:H111"/>
    <mergeCell ref="I109:I111"/>
    <mergeCell ref="I89:I93"/>
    <mergeCell ref="C37:D37"/>
    <mergeCell ref="I118:I120"/>
    <mergeCell ref="B39:E39"/>
    <mergeCell ref="I62:I63"/>
    <mergeCell ref="G62:G63"/>
    <mergeCell ref="H62:H63"/>
    <mergeCell ref="G40:K40"/>
    <mergeCell ref="G65:G67"/>
    <mergeCell ref="I65:I67"/>
    <mergeCell ref="B41:D41"/>
    <mergeCell ref="H105:H106"/>
    <mergeCell ref="G100:G103"/>
    <mergeCell ref="H118:H120"/>
    <mergeCell ref="G118:G120"/>
    <mergeCell ref="I113:I114"/>
    <mergeCell ref="H100:H103"/>
    <mergeCell ref="G84:G87"/>
    <mergeCell ref="I80:I82"/>
    <mergeCell ref="I69:I72"/>
    <mergeCell ref="C38:D38"/>
    <mergeCell ref="H65:H67"/>
    <mergeCell ref="C31:D31"/>
    <mergeCell ref="C34:D34"/>
    <mergeCell ref="C33:D33"/>
    <mergeCell ref="C32:D32"/>
    <mergeCell ref="C36:D36"/>
    <mergeCell ref="G89:G93"/>
    <mergeCell ref="H80:H82"/>
    <mergeCell ref="G80:G82"/>
    <mergeCell ref="G69:G72"/>
    <mergeCell ref="H69:H72"/>
    <mergeCell ref="J195:J198"/>
    <mergeCell ref="B275:I275"/>
    <mergeCell ref="I153:I155"/>
    <mergeCell ref="G161:G163"/>
    <mergeCell ref="H161:H163"/>
    <mergeCell ref="I161:I163"/>
    <mergeCell ref="G153:G155"/>
    <mergeCell ref="G158:G159"/>
    <mergeCell ref="H158:H159"/>
    <mergeCell ref="B194:I194"/>
    <mergeCell ref="B181:I181"/>
    <mergeCell ref="G195:G198"/>
    <mergeCell ref="H195:H198"/>
    <mergeCell ref="I182:I183"/>
    <mergeCell ref="H182:H183"/>
    <mergeCell ref="G182:G183"/>
    <mergeCell ref="B210:I210"/>
    <mergeCell ref="I195:I198"/>
    <mergeCell ref="G165:G167"/>
    <mergeCell ref="G254:G264"/>
    <mergeCell ref="H254:H264"/>
    <mergeCell ref="I165:I167"/>
    <mergeCell ref="I174:I179"/>
    <mergeCell ref="H174:H179"/>
    <mergeCell ref="C4:F4"/>
    <mergeCell ref="G4:J4"/>
    <mergeCell ref="B108:I108"/>
    <mergeCell ref="I122:I125"/>
    <mergeCell ref="B61:I61"/>
    <mergeCell ref="I105:I106"/>
    <mergeCell ref="I133:I136"/>
    <mergeCell ref="H84:H87"/>
    <mergeCell ref="I84:I87"/>
    <mergeCell ref="H89:H93"/>
    <mergeCell ref="G45:G57"/>
    <mergeCell ref="H45:H57"/>
    <mergeCell ref="I45:I57"/>
    <mergeCell ref="G122:G125"/>
    <mergeCell ref="H127:H129"/>
    <mergeCell ref="G133:G136"/>
    <mergeCell ref="I95:I96"/>
    <mergeCell ref="G105:G106"/>
    <mergeCell ref="H113:H114"/>
    <mergeCell ref="B117:I117"/>
    <mergeCell ref="G113:G114"/>
    <mergeCell ref="J111:K111"/>
    <mergeCell ref="H122:H125"/>
    <mergeCell ref="J113:K113"/>
    <mergeCell ref="I171:I172"/>
    <mergeCell ref="G247:G252"/>
    <mergeCell ref="H165:H167"/>
    <mergeCell ref="G227:G240"/>
    <mergeCell ref="H227:H240"/>
    <mergeCell ref="I227:I240"/>
    <mergeCell ref="G171:G172"/>
    <mergeCell ref="G215:G223"/>
    <mergeCell ref="H215:H223"/>
    <mergeCell ref="I215:I223"/>
    <mergeCell ref="I158:I159"/>
    <mergeCell ref="B157:I157"/>
    <mergeCell ref="G185:G190"/>
    <mergeCell ref="H185:H190"/>
    <mergeCell ref="I185:I190"/>
    <mergeCell ref="G370:G373"/>
    <mergeCell ref="H370:H373"/>
    <mergeCell ref="I370:I373"/>
    <mergeCell ref="D694:I694"/>
    <mergeCell ref="D690:I690"/>
    <mergeCell ref="D692:I692"/>
    <mergeCell ref="I242:I245"/>
    <mergeCell ref="G338:G343"/>
    <mergeCell ref="H338:H343"/>
    <mergeCell ref="I338:I343"/>
    <mergeCell ref="G316:G321"/>
    <mergeCell ref="I254:I264"/>
    <mergeCell ref="G266:G272"/>
    <mergeCell ref="H266:H272"/>
    <mergeCell ref="I266:I272"/>
    <mergeCell ref="I278:I283"/>
    <mergeCell ref="G242:G245"/>
    <mergeCell ref="H242:H245"/>
    <mergeCell ref="I310:I312"/>
    <mergeCell ref="K295:K297"/>
    <mergeCell ref="G294:G297"/>
    <mergeCell ref="B632:I632"/>
    <mergeCell ref="D636:I636"/>
    <mergeCell ref="J295:J297"/>
    <mergeCell ref="B212:D212"/>
    <mergeCell ref="G291:G292"/>
    <mergeCell ref="H291:H292"/>
    <mergeCell ref="I291:I292"/>
    <mergeCell ref="H305:H306"/>
    <mergeCell ref="I305:I306"/>
    <mergeCell ref="G299:G303"/>
    <mergeCell ref="G305:G306"/>
    <mergeCell ref="H299:H303"/>
    <mergeCell ref="I299:I303"/>
    <mergeCell ref="G278:G283"/>
    <mergeCell ref="H278:H283"/>
    <mergeCell ref="H316:H321"/>
    <mergeCell ref="I316:I321"/>
    <mergeCell ref="G357:G358"/>
    <mergeCell ref="H357:H358"/>
    <mergeCell ref="I357:I358"/>
    <mergeCell ref="I285:I289"/>
    <mergeCell ref="G384:G386"/>
    <mergeCell ref="H384:H386"/>
    <mergeCell ref="I384:I386"/>
    <mergeCell ref="G388:G391"/>
    <mergeCell ref="G310:G312"/>
    <mergeCell ref="H310:H312"/>
    <mergeCell ref="H294:H297"/>
    <mergeCell ref="I294:I297"/>
    <mergeCell ref="G285:G289"/>
    <mergeCell ref="G379:G382"/>
    <mergeCell ref="H379:H382"/>
    <mergeCell ref="I379:I382"/>
    <mergeCell ref="G375:G377"/>
    <mergeCell ref="H375:H377"/>
    <mergeCell ref="I375:I377"/>
    <mergeCell ref="G328:G329"/>
    <mergeCell ref="H328:H329"/>
    <mergeCell ref="I328:I329"/>
    <mergeCell ref="G331:G332"/>
    <mergeCell ref="H331:H332"/>
    <mergeCell ref="I331:I332"/>
    <mergeCell ref="H285:H289"/>
    <mergeCell ref="G325:G326"/>
    <mergeCell ref="H325:H326"/>
    <mergeCell ref="I325:I326"/>
    <mergeCell ref="G398:G400"/>
    <mergeCell ref="H398:H400"/>
    <mergeCell ref="I398:I400"/>
    <mergeCell ref="G402:G403"/>
    <mergeCell ref="H402:H403"/>
    <mergeCell ref="I402:I403"/>
    <mergeCell ref="B368:I368"/>
    <mergeCell ref="G334:G336"/>
    <mergeCell ref="H334:H336"/>
    <mergeCell ref="I334:I336"/>
    <mergeCell ref="I346:I349"/>
    <mergeCell ref="H346:H349"/>
    <mergeCell ref="G346:G349"/>
    <mergeCell ref="G351:G355"/>
    <mergeCell ref="H351:H355"/>
    <mergeCell ref="I351:I355"/>
    <mergeCell ref="G360:G363"/>
    <mergeCell ref="H360:H363"/>
    <mergeCell ref="I360:I363"/>
    <mergeCell ref="G393:G396"/>
    <mergeCell ref="H393:H396"/>
    <mergeCell ref="I393:I396"/>
    <mergeCell ref="H388:H391"/>
    <mergeCell ref="I388:I391"/>
  </mergeCells>
  <phoneticPr fontId="2" type="noConversion"/>
  <dataValidations xWindow="430" yWindow="654" count="12">
    <dataValidation allowBlank="1" showInputMessage="1" showErrorMessage="1" promptTitle="DDR type selection" sqref="C17:D17" xr:uid="{00000000-0002-0000-0200-000000000000}"/>
    <dataValidation type="list" allowBlank="1" showInputMessage="1" showErrorMessage="1" promptTitle="Bus width select" prompt="Select the desired bus width, 32-bit or 16-bit" sqref="C28:D28" xr:uid="{00000000-0002-0000-0200-000002000000}">
      <formula1>BusWidth</formula1>
    </dataValidation>
    <dataValidation type="list" allowBlank="1" showInputMessage="1" showErrorMessage="1" promptTitle="Number of frequency setpoints" sqref="H27" xr:uid="{00000000-0002-0000-0200-000003000000}">
      <formula1>$AF$4:$AF$6</formula1>
    </dataValidation>
    <dataValidation type="list" allowBlank="1" showInputMessage="1" showErrorMessage="1" promptTitle="Enable/disable 2D training" sqref="I27" xr:uid="{00000000-0002-0000-0200-000004000000}">
      <formula1>RowBankInterleavingOption</formula1>
    </dataValidation>
    <dataValidation type="list" allowBlank="1" showInputMessage="1" showErrorMessage="1" sqref="J27" xr:uid="{00000000-0002-0000-0200-000005000000}">
      <formula1>RowBankInterleavingOption</formula1>
    </dataValidation>
    <dataValidation type="list" allowBlank="1" showInputMessage="1" showErrorMessage="1" sqref="C22:D22" xr:uid="{00000000-0002-0000-0200-000006000000}">
      <formula1>$AF$4:$AF$5</formula1>
    </dataValidation>
    <dataValidation allowBlank="1" showErrorMessage="1" promptTitle="DDR Frequency selection" sqref="C29:D29" xr:uid="{00000000-0002-0000-0200-000007000000}"/>
    <dataValidation type="list" allowBlank="1" showInputMessage="1" showErrorMessage="1" sqref="F32" xr:uid="{65F0CBCA-F894-4859-A208-821F491DD890}">
      <formula1>"1, 2, 3, 4"</formula1>
    </dataValidation>
    <dataValidation type="list" allowBlank="1" showInputMessage="1" showErrorMessage="1" sqref="K27:L27" xr:uid="{1DC1654D-2B6B-4691-A7E1-5A5E4290E16F}">
      <formula1>"DISABLED, ENABLED"</formula1>
    </dataValidation>
    <dataValidation type="list" allowBlank="1" showInputMessage="1" showErrorMessage="1" sqref="G27" xr:uid="{07C6A457-6D39-4A32-B683-8ECF629B9773}">
      <formula1>"ENABLED, DISABLED"</formula1>
    </dataValidation>
    <dataValidation allowBlank="1" showInputMessage="1" showErrorMessage="1" prompt="Input the memory vendor's tRFCab value here if they allow a lower tRFCab than that of JEDEC. Otherwise, set to &quot;0&quot; to use the JEDEC compliant value." sqref="F22" xr:uid="{65C48565-0B41-4E7E-BF5C-78055E600C45}"/>
    <dataValidation type="list" allowBlank="1" showInputMessage="1" showErrorMessage="1" sqref="C24:D24" xr:uid="{AB92ECC3-8D24-4CC8-86DA-F5FD978798FE}">
      <formula1>"13,14,15,16,17"</formula1>
    </dataValidation>
  </dataValidations>
  <pageMargins left="0.75" right="0.75" top="1" bottom="1" header="0.5" footer="0.5"/>
  <pageSetup scale="81" orientation="landscape" r:id="rId1"/>
  <headerFooter alignWithMargins="0"/>
  <ignoredErrors>
    <ignoredError sqref="D389 D520 D422 D553"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AI47"/>
  <sheetViews>
    <sheetView workbookViewId="0">
      <selection activeCell="B48" sqref="B48"/>
    </sheetView>
  </sheetViews>
  <sheetFormatPr defaultRowHeight="12.75"/>
  <cols>
    <col min="2" max="2" width="46" customWidth="1"/>
    <col min="3" max="34" width="4.7109375" customWidth="1"/>
  </cols>
  <sheetData>
    <row r="1" spans="2:35">
      <c r="B1" t="s">
        <v>327</v>
      </c>
      <c r="C1" s="264"/>
      <c r="D1" s="264"/>
      <c r="E1" s="264"/>
      <c r="F1" s="264"/>
      <c r="G1" s="264"/>
      <c r="H1" s="264"/>
      <c r="I1" s="264"/>
      <c r="J1" s="264"/>
      <c r="K1" s="264"/>
      <c r="L1" s="264"/>
      <c r="M1" s="264"/>
      <c r="N1" s="264"/>
      <c r="O1" s="264"/>
      <c r="P1" s="264"/>
      <c r="Q1" s="264"/>
      <c r="R1" s="264"/>
      <c r="S1" s="264"/>
      <c r="T1" s="264"/>
      <c r="U1" s="264"/>
      <c r="V1" s="264"/>
      <c r="W1" s="264"/>
      <c r="X1" s="264"/>
      <c r="Y1" s="264"/>
      <c r="Z1" s="264"/>
      <c r="AA1" s="264"/>
      <c r="AB1" s="264"/>
      <c r="AC1" s="264"/>
      <c r="AD1" s="264"/>
      <c r="AE1" s="264"/>
      <c r="AF1" s="264"/>
      <c r="AG1" s="264"/>
      <c r="AH1" s="264"/>
      <c r="AI1" s="264"/>
    </row>
    <row r="2" spans="2:35">
      <c r="B2" t="s">
        <v>983</v>
      </c>
      <c r="C2" s="264"/>
      <c r="D2" s="264"/>
      <c r="E2" s="264"/>
      <c r="F2" s="264"/>
      <c r="G2" s="264"/>
      <c r="H2" s="264"/>
      <c r="I2" s="264"/>
      <c r="J2" s="264"/>
      <c r="K2" s="264"/>
      <c r="L2" s="264"/>
      <c r="M2" s="264"/>
      <c r="N2" s="264"/>
      <c r="O2" s="264"/>
      <c r="P2" s="264"/>
      <c r="Q2" s="264"/>
      <c r="R2" s="264"/>
      <c r="S2" s="264"/>
      <c r="T2" s="264"/>
      <c r="U2" s="264"/>
      <c r="V2" s="264"/>
      <c r="W2" s="264"/>
      <c r="X2" s="264"/>
      <c r="Y2" s="264"/>
      <c r="Z2" s="264"/>
      <c r="AA2" s="264"/>
      <c r="AB2" s="264"/>
      <c r="AC2" s="264"/>
      <c r="AD2" s="264"/>
      <c r="AE2" s="264"/>
      <c r="AF2" s="264"/>
      <c r="AG2" s="264"/>
      <c r="AH2" s="264"/>
      <c r="AI2" s="264"/>
    </row>
    <row r="3" spans="2:35">
      <c r="B3" s="131"/>
      <c r="C3" s="264"/>
      <c r="D3" s="264"/>
      <c r="E3" s="264"/>
      <c r="F3" s="264"/>
      <c r="G3" s="264"/>
      <c r="H3" s="264"/>
      <c r="I3" s="264"/>
      <c r="J3" s="264"/>
      <c r="K3" s="264"/>
      <c r="L3" s="264"/>
      <c r="M3" s="264"/>
      <c r="N3" s="264"/>
      <c r="O3" s="264"/>
      <c r="P3" s="264"/>
      <c r="Q3" s="264"/>
      <c r="R3" s="264"/>
      <c r="S3" s="264"/>
      <c r="T3" s="264"/>
      <c r="U3" s="264"/>
      <c r="V3" s="264"/>
      <c r="W3" s="264"/>
      <c r="X3" s="264"/>
      <c r="Y3" s="264"/>
      <c r="Z3" s="264"/>
      <c r="AA3" s="264"/>
      <c r="AB3" s="264"/>
      <c r="AC3" s="264"/>
      <c r="AD3" s="264"/>
      <c r="AE3" s="264"/>
      <c r="AF3" s="264"/>
      <c r="AG3" s="264"/>
      <c r="AH3" s="264"/>
      <c r="AI3" s="264"/>
    </row>
    <row r="4" spans="2:35">
      <c r="C4" s="264"/>
      <c r="D4" s="264"/>
      <c r="E4" s="264"/>
      <c r="F4" s="264"/>
      <c r="G4" s="264"/>
      <c r="H4" s="264"/>
      <c r="I4" s="264"/>
      <c r="J4" s="264"/>
      <c r="K4" s="264"/>
      <c r="L4" s="264"/>
      <c r="M4" s="264"/>
      <c r="N4" s="264"/>
      <c r="O4" s="264"/>
      <c r="P4" s="264"/>
      <c r="Q4" s="264"/>
      <c r="R4" s="264"/>
      <c r="S4" s="264"/>
      <c r="T4" s="264"/>
      <c r="U4" s="264"/>
      <c r="V4" s="264"/>
      <c r="W4" s="264"/>
      <c r="X4" s="264"/>
      <c r="Y4" s="264"/>
      <c r="Z4" s="264"/>
      <c r="AA4" s="264"/>
      <c r="AB4" s="264"/>
      <c r="AC4" s="264"/>
      <c r="AD4" s="264"/>
      <c r="AE4" s="264"/>
      <c r="AF4" s="264"/>
      <c r="AG4" s="264"/>
      <c r="AH4" s="264"/>
      <c r="AI4" s="264"/>
    </row>
    <row r="5" spans="2:35">
      <c r="C5" s="264"/>
      <c r="D5" s="264"/>
      <c r="E5" s="264"/>
      <c r="F5" s="264"/>
      <c r="G5" s="264"/>
      <c r="H5" s="264"/>
      <c r="I5" s="264"/>
      <c r="J5" s="264"/>
      <c r="K5" s="264"/>
      <c r="L5" s="264"/>
      <c r="M5" s="264"/>
      <c r="N5" s="264"/>
      <c r="O5" s="264"/>
      <c r="P5" s="264"/>
      <c r="Q5" s="264"/>
      <c r="R5" s="264"/>
      <c r="S5" s="264"/>
      <c r="T5" s="264"/>
      <c r="U5" s="264"/>
      <c r="V5" s="264"/>
      <c r="W5" s="264"/>
      <c r="X5" s="264"/>
      <c r="Y5" s="264"/>
      <c r="Z5" s="264"/>
      <c r="AA5" s="264"/>
      <c r="AB5" s="264"/>
      <c r="AC5" s="264"/>
      <c r="AD5" s="264"/>
      <c r="AE5" s="264"/>
      <c r="AF5" s="264"/>
      <c r="AG5" s="264"/>
      <c r="AH5" s="264"/>
      <c r="AI5" s="264"/>
    </row>
    <row r="6" spans="2:35" ht="15.75" thickBot="1">
      <c r="C6" s="823" t="s">
        <v>328</v>
      </c>
      <c r="D6" s="823"/>
      <c r="E6" s="823"/>
      <c r="F6" s="823"/>
      <c r="G6" s="823"/>
      <c r="H6" s="823"/>
      <c r="I6" s="823"/>
      <c r="J6" s="823"/>
      <c r="K6" s="823"/>
      <c r="L6" s="823"/>
      <c r="M6" s="823"/>
      <c r="N6" s="823"/>
      <c r="O6" s="823"/>
      <c r="P6" s="823"/>
      <c r="Q6" s="823"/>
      <c r="R6" s="823"/>
      <c r="S6" s="823"/>
      <c r="T6" s="823"/>
      <c r="U6" s="823"/>
      <c r="V6" s="823"/>
      <c r="W6" s="823"/>
      <c r="X6" s="823"/>
      <c r="Y6" s="823"/>
      <c r="Z6" s="823"/>
      <c r="AA6" s="823"/>
      <c r="AB6" s="823"/>
      <c r="AC6" s="823"/>
      <c r="AD6" s="823"/>
      <c r="AE6" s="823"/>
      <c r="AF6" s="823"/>
      <c r="AG6" s="823"/>
      <c r="AH6" s="823"/>
      <c r="AI6" s="264"/>
    </row>
    <row r="7" spans="2:35" ht="13.5" thickBot="1">
      <c r="B7" t="s">
        <v>979</v>
      </c>
      <c r="C7" s="824" t="s">
        <v>329</v>
      </c>
      <c r="D7" s="825"/>
      <c r="E7" s="825"/>
      <c r="F7" s="825"/>
      <c r="G7" s="825"/>
      <c r="H7" s="825"/>
      <c r="I7" s="825"/>
      <c r="J7" s="825"/>
      <c r="K7" s="825"/>
      <c r="L7" s="825"/>
      <c r="M7" s="825"/>
      <c r="N7" s="825"/>
      <c r="O7" s="825"/>
      <c r="P7" s="825"/>
      <c r="Q7" s="825"/>
      <c r="R7" s="825"/>
      <c r="S7" s="826" t="s">
        <v>330</v>
      </c>
      <c r="T7" s="827"/>
      <c r="U7" s="827"/>
      <c r="V7" s="827"/>
      <c r="W7" s="827"/>
      <c r="X7" s="827"/>
      <c r="Y7" s="827"/>
      <c r="Z7" s="827"/>
      <c r="AA7" s="827"/>
      <c r="AB7" s="827"/>
      <c r="AC7" s="827"/>
      <c r="AD7" s="827"/>
      <c r="AE7" s="827"/>
      <c r="AF7" s="827"/>
      <c r="AG7" s="827"/>
      <c r="AH7" s="828"/>
      <c r="AI7" s="264"/>
    </row>
    <row r="8" spans="2:35">
      <c r="B8" t="s">
        <v>331</v>
      </c>
      <c r="C8" s="265">
        <v>15</v>
      </c>
      <c r="D8" s="266">
        <v>14</v>
      </c>
      <c r="E8" s="266">
        <v>13</v>
      </c>
      <c r="F8" s="266">
        <v>12</v>
      </c>
      <c r="G8" s="266">
        <v>11</v>
      </c>
      <c r="H8" s="266">
        <v>10</v>
      </c>
      <c r="I8" s="266">
        <v>9</v>
      </c>
      <c r="J8" s="267">
        <v>8</v>
      </c>
      <c r="K8" s="265">
        <v>7</v>
      </c>
      <c r="L8" s="266">
        <v>6</v>
      </c>
      <c r="M8" s="266">
        <v>5</v>
      </c>
      <c r="N8" s="266">
        <v>4</v>
      </c>
      <c r="O8" s="266">
        <v>3</v>
      </c>
      <c r="P8" s="266">
        <v>2</v>
      </c>
      <c r="Q8" s="266">
        <v>1</v>
      </c>
      <c r="R8" s="267">
        <v>0</v>
      </c>
      <c r="S8" s="265">
        <v>15</v>
      </c>
      <c r="T8" s="266">
        <v>14</v>
      </c>
      <c r="U8" s="266">
        <v>13</v>
      </c>
      <c r="V8" s="266">
        <v>12</v>
      </c>
      <c r="W8" s="266">
        <v>11</v>
      </c>
      <c r="X8" s="266">
        <v>10</v>
      </c>
      <c r="Y8" s="266">
        <v>9</v>
      </c>
      <c r="Z8" s="267">
        <v>8</v>
      </c>
      <c r="AA8" s="265">
        <v>7</v>
      </c>
      <c r="AB8" s="266">
        <v>6</v>
      </c>
      <c r="AC8" s="266">
        <v>5</v>
      </c>
      <c r="AD8" s="266">
        <v>4</v>
      </c>
      <c r="AE8" s="266">
        <v>3</v>
      </c>
      <c r="AF8" s="266">
        <v>2</v>
      </c>
      <c r="AG8" s="266">
        <v>1</v>
      </c>
      <c r="AH8" s="267">
        <v>0</v>
      </c>
      <c r="AI8" s="264"/>
    </row>
    <row r="9" spans="2:35" ht="15">
      <c r="B9" s="271" t="s">
        <v>980</v>
      </c>
      <c r="C9" s="272">
        <v>7</v>
      </c>
      <c r="D9" s="273">
        <v>6</v>
      </c>
      <c r="E9" s="273">
        <v>5</v>
      </c>
      <c r="F9" s="273">
        <v>4</v>
      </c>
      <c r="G9" s="273">
        <v>3</v>
      </c>
      <c r="H9" s="273">
        <v>2</v>
      </c>
      <c r="I9" s="273">
        <v>1</v>
      </c>
      <c r="J9" s="274">
        <v>0</v>
      </c>
      <c r="K9" s="272">
        <v>14</v>
      </c>
      <c r="L9" s="273">
        <v>15</v>
      </c>
      <c r="M9" s="273">
        <v>10</v>
      </c>
      <c r="N9" s="273">
        <v>13</v>
      </c>
      <c r="O9" s="273">
        <v>12</v>
      </c>
      <c r="P9" s="273">
        <v>11</v>
      </c>
      <c r="Q9" s="273">
        <v>9</v>
      </c>
      <c r="R9" s="274">
        <v>8</v>
      </c>
      <c r="S9" s="272">
        <v>31</v>
      </c>
      <c r="T9" s="273">
        <v>30</v>
      </c>
      <c r="U9" s="273">
        <v>29</v>
      </c>
      <c r="V9" s="273">
        <v>28</v>
      </c>
      <c r="W9" s="273">
        <v>27</v>
      </c>
      <c r="X9" s="273">
        <v>26</v>
      </c>
      <c r="Y9" s="273">
        <v>25</v>
      </c>
      <c r="Z9" s="274">
        <v>24</v>
      </c>
      <c r="AA9" s="272">
        <v>22</v>
      </c>
      <c r="AB9" s="273">
        <v>23</v>
      </c>
      <c r="AC9" s="273">
        <v>20</v>
      </c>
      <c r="AD9" s="273">
        <v>21</v>
      </c>
      <c r="AE9" s="273">
        <v>18</v>
      </c>
      <c r="AF9" s="273">
        <v>19</v>
      </c>
      <c r="AG9" s="273">
        <v>17</v>
      </c>
      <c r="AH9" s="274">
        <v>16</v>
      </c>
      <c r="AI9" s="264"/>
    </row>
    <row r="10" spans="2:35" ht="13.5" thickBot="1">
      <c r="B10" t="s">
        <v>981</v>
      </c>
      <c r="C10" s="829">
        <f>IF(J9&lt;8, 0, IF(J9&lt;16, 1, IF(J9&lt;24, 2, 3)))</f>
        <v>0</v>
      </c>
      <c r="D10" s="830"/>
      <c r="E10" s="830"/>
      <c r="F10" s="830"/>
      <c r="G10" s="830"/>
      <c r="H10" s="830"/>
      <c r="I10" s="830"/>
      <c r="J10" s="831"/>
      <c r="K10" s="829">
        <f>IF(R9&lt;8, 0, IF(R9&lt;16, 1, IF(R9&lt;24, 2, 3)))</f>
        <v>1</v>
      </c>
      <c r="L10" s="830"/>
      <c r="M10" s="830"/>
      <c r="N10" s="830"/>
      <c r="O10" s="830"/>
      <c r="P10" s="830"/>
      <c r="Q10" s="830"/>
      <c r="R10" s="831"/>
      <c r="S10" s="829">
        <f>IF(Z9&lt;8, 0, IF(Z9&lt;16, 1, IF(Z9&lt;24, 2, 3)))</f>
        <v>3</v>
      </c>
      <c r="T10" s="830"/>
      <c r="U10" s="830"/>
      <c r="V10" s="830"/>
      <c r="W10" s="830"/>
      <c r="X10" s="830"/>
      <c r="Y10" s="830"/>
      <c r="Z10" s="831"/>
      <c r="AA10" s="829">
        <f>IF(AH9&lt;8, 0, IF(AH9&lt;16, 1, IF(AH9&lt;24, 2, 3)))</f>
        <v>2</v>
      </c>
      <c r="AB10" s="830"/>
      <c r="AC10" s="830"/>
      <c r="AD10" s="830"/>
      <c r="AE10" s="830"/>
      <c r="AF10" s="830"/>
      <c r="AG10" s="830"/>
      <c r="AH10" s="831"/>
      <c r="AI10" s="264"/>
    </row>
    <row r="11" spans="2:35" ht="13.5" thickBot="1">
      <c r="B11" t="s">
        <v>982</v>
      </c>
      <c r="C11" s="275">
        <f>C9-C10*8</f>
        <v>7</v>
      </c>
      <c r="D11" s="275">
        <f>D9-C10*8</f>
        <v>6</v>
      </c>
      <c r="E11" s="275">
        <f>E9-C10*8</f>
        <v>5</v>
      </c>
      <c r="F11" s="275">
        <f>F9-C10*8</f>
        <v>4</v>
      </c>
      <c r="G11" s="275">
        <f>G9-C10*8</f>
        <v>3</v>
      </c>
      <c r="H11" s="275">
        <f>H9-C10*8</f>
        <v>2</v>
      </c>
      <c r="I11" s="275">
        <f>I9-C10*8</f>
        <v>1</v>
      </c>
      <c r="J11" s="275">
        <f>J9-C10*8</f>
        <v>0</v>
      </c>
      <c r="K11" s="275">
        <f>K9-K10*8</f>
        <v>6</v>
      </c>
      <c r="L11" s="275">
        <f>L9-K10*8</f>
        <v>7</v>
      </c>
      <c r="M11" s="275">
        <f>M9-K10*8</f>
        <v>2</v>
      </c>
      <c r="N11" s="275">
        <f>N9-K10*8</f>
        <v>5</v>
      </c>
      <c r="O11" s="275">
        <f>O9-K10*8</f>
        <v>4</v>
      </c>
      <c r="P11" s="275">
        <f>P9-K10*8</f>
        <v>3</v>
      </c>
      <c r="Q11" s="275">
        <f>Q9-K10*8</f>
        <v>1</v>
      </c>
      <c r="R11" s="275">
        <f>R9-K10*8</f>
        <v>0</v>
      </c>
      <c r="S11" s="275">
        <f>S9-S10*8</f>
        <v>7</v>
      </c>
      <c r="T11" s="275">
        <f>T9-S10*8</f>
        <v>6</v>
      </c>
      <c r="U11" s="275">
        <f>U9-S10*8</f>
        <v>5</v>
      </c>
      <c r="V11" s="275">
        <f>V9-S10*8</f>
        <v>4</v>
      </c>
      <c r="W11" s="275">
        <f>W9-S10*8</f>
        <v>3</v>
      </c>
      <c r="X11" s="275">
        <f>X9-S10*8</f>
        <v>2</v>
      </c>
      <c r="Y11" s="275">
        <f>Y9-S10*8</f>
        <v>1</v>
      </c>
      <c r="Z11" s="275">
        <f>Z9-S10*8</f>
        <v>0</v>
      </c>
      <c r="AA11" s="275">
        <f t="shared" ref="AA11" si="0">AA9-AA10*8</f>
        <v>6</v>
      </c>
      <c r="AB11" s="275">
        <f>AB9-AA10*8</f>
        <v>7</v>
      </c>
      <c r="AC11" s="275">
        <f>AC9-AA10*8</f>
        <v>4</v>
      </c>
      <c r="AD11" s="275">
        <f>AD9-AA10*8</f>
        <v>5</v>
      </c>
      <c r="AE11" s="275">
        <f>AE9-AA10*8</f>
        <v>2</v>
      </c>
      <c r="AF11" s="275">
        <f>AF9-AA10*8</f>
        <v>3</v>
      </c>
      <c r="AG11" s="275">
        <f>AG9-AA10*8</f>
        <v>1</v>
      </c>
      <c r="AH11" s="426">
        <f>AH9-AA10*8</f>
        <v>0</v>
      </c>
      <c r="AI11" s="264"/>
    </row>
    <row r="12" spans="2:35" ht="13.5" thickBot="1">
      <c r="C12" s="818" t="str">
        <f>IF(AND(OR((SUM(C9:AH9)=496),(SUM(C9:AH9)=240)),(SUM(C11:AH11)=112)),"DQ Bits Entered Correctly","Error In DQ Bit Entry")</f>
        <v>DQ Bits Entered Correctly</v>
      </c>
      <c r="D12" s="819"/>
      <c r="E12" s="819"/>
      <c r="F12" s="819"/>
      <c r="G12" s="819"/>
      <c r="H12" s="819"/>
      <c r="I12" s="819"/>
      <c r="J12" s="819"/>
      <c r="K12" s="819"/>
      <c r="L12" s="819"/>
      <c r="M12" s="819"/>
      <c r="N12" s="819"/>
      <c r="O12" s="819"/>
      <c r="P12" s="819"/>
      <c r="Q12" s="819"/>
      <c r="R12" s="819"/>
      <c r="S12" s="819"/>
      <c r="T12" s="819"/>
      <c r="U12" s="819"/>
      <c r="V12" s="819"/>
      <c r="W12" s="819"/>
      <c r="X12" s="819"/>
      <c r="Y12" s="819"/>
      <c r="Z12" s="819"/>
      <c r="AA12" s="819"/>
      <c r="AB12" s="819"/>
      <c r="AC12" s="819"/>
      <c r="AD12" s="819"/>
      <c r="AE12" s="819"/>
      <c r="AF12" s="819"/>
      <c r="AG12" s="819"/>
      <c r="AH12" s="820"/>
      <c r="AI12" s="264"/>
    </row>
    <row r="13" spans="2:35">
      <c r="C13" s="419"/>
      <c r="D13" s="81"/>
      <c r="E13" s="81"/>
      <c r="F13" s="81"/>
      <c r="G13" s="81"/>
      <c r="H13" s="81"/>
      <c r="I13" s="81"/>
      <c r="J13" s="81"/>
      <c r="K13" s="81"/>
      <c r="L13" s="81"/>
      <c r="M13" s="81"/>
      <c r="N13" s="81"/>
      <c r="O13" s="81"/>
      <c r="P13" s="81"/>
      <c r="Q13" s="81"/>
      <c r="R13" s="81"/>
      <c r="S13" s="81"/>
      <c r="T13" s="81"/>
      <c r="U13" s="81"/>
      <c r="V13" s="81"/>
      <c r="W13" s="81"/>
      <c r="X13" s="81"/>
      <c r="Y13" s="81"/>
      <c r="Z13" s="81"/>
      <c r="AA13" s="81"/>
      <c r="AB13" s="81"/>
      <c r="AC13" s="81"/>
      <c r="AD13" s="81"/>
      <c r="AE13" s="81"/>
      <c r="AF13" s="81"/>
      <c r="AG13" s="81"/>
      <c r="AH13" s="81"/>
      <c r="AI13" s="264"/>
    </row>
    <row r="14" spans="2:35" ht="13.5" thickBot="1">
      <c r="C14" s="264"/>
      <c r="D14" s="264"/>
      <c r="E14" s="264"/>
      <c r="F14" s="264"/>
      <c r="G14" s="264"/>
      <c r="H14" s="264"/>
      <c r="I14" s="264"/>
      <c r="J14" s="264"/>
      <c r="K14" s="264"/>
      <c r="L14" s="264"/>
      <c r="M14" s="264"/>
      <c r="N14" s="264"/>
      <c r="O14" s="264"/>
      <c r="P14" s="264"/>
      <c r="Q14" s="264"/>
      <c r="R14" s="264"/>
      <c r="S14" s="264"/>
      <c r="T14" s="264"/>
      <c r="U14" s="264"/>
      <c r="V14" s="264"/>
      <c r="W14" s="264"/>
      <c r="X14" s="264"/>
      <c r="Y14" s="264"/>
      <c r="Z14" s="264"/>
      <c r="AA14" s="264"/>
      <c r="AB14" s="264"/>
      <c r="AC14" s="264"/>
      <c r="AD14" s="264"/>
      <c r="AE14" s="264"/>
      <c r="AF14" s="264"/>
      <c r="AG14" s="264"/>
      <c r="AH14" s="264"/>
      <c r="AI14" s="264"/>
    </row>
    <row r="15" spans="2:35" ht="15.75" thickBot="1">
      <c r="B15" s="420" t="s">
        <v>435</v>
      </c>
      <c r="C15" s="821" t="s">
        <v>436</v>
      </c>
      <c r="D15" s="821"/>
      <c r="E15" s="821"/>
      <c r="F15" s="821" t="s">
        <v>437</v>
      </c>
      <c r="G15" s="821"/>
      <c r="H15" s="822"/>
      <c r="I15" s="314"/>
      <c r="J15" s="314"/>
      <c r="K15" s="314"/>
      <c r="L15" s="314"/>
      <c r="M15" s="314"/>
      <c r="N15" s="314"/>
      <c r="O15" s="314"/>
      <c r="P15" s="314"/>
      <c r="Q15" s="314"/>
      <c r="R15" s="314"/>
      <c r="S15" s="314"/>
      <c r="T15" s="314"/>
      <c r="U15" s="314"/>
      <c r="V15" s="314"/>
      <c r="W15" s="314"/>
      <c r="X15" s="314"/>
      <c r="Y15" s="264"/>
      <c r="Z15" s="264"/>
      <c r="AA15" s="264"/>
      <c r="AB15" s="264"/>
      <c r="AC15" s="264"/>
      <c r="AD15" s="264"/>
      <c r="AE15" s="264"/>
      <c r="AF15" s="264"/>
      <c r="AG15" s="264"/>
      <c r="AH15" s="264"/>
      <c r="AI15" s="264"/>
    </row>
    <row r="16" spans="2:35" ht="15">
      <c r="B16" s="423" t="str">
        <f>"DDR_PHY_Dq0LnSel_"&amp;AA10</f>
        <v>DDR_PHY_Dq0LnSel_2</v>
      </c>
      <c r="C16" s="814" t="str">
        <f>"0x"&amp;DEC2HEX(1006632960 + 262784 + 16384*AA10)</f>
        <v>0x3C048280</v>
      </c>
      <c r="D16" s="814"/>
      <c r="E16" s="814"/>
      <c r="F16" s="814" t="str">
        <f>"0x"&amp;DEC2HEX(AH11, 8)</f>
        <v>0x00000000</v>
      </c>
      <c r="G16" s="814"/>
      <c r="H16" s="815"/>
      <c r="I16" s="264"/>
      <c r="J16" s="264"/>
      <c r="K16" s="264"/>
      <c r="L16" s="264"/>
      <c r="M16" s="264"/>
      <c r="N16" s="264"/>
      <c r="O16" s="264"/>
      <c r="P16" s="334"/>
      <c r="Q16" s="264"/>
      <c r="R16" s="264"/>
      <c r="S16" s="264"/>
      <c r="T16" s="264"/>
      <c r="U16" s="264"/>
      <c r="V16" s="264"/>
      <c r="W16" s="264"/>
      <c r="X16" s="264"/>
      <c r="Y16" s="264"/>
      <c r="Z16" s="264"/>
      <c r="AA16" s="264"/>
      <c r="AB16" s="264"/>
      <c r="AC16" s="264"/>
      <c r="AD16" s="264"/>
      <c r="AE16" s="264"/>
      <c r="AF16" s="264"/>
      <c r="AG16" s="264"/>
      <c r="AH16" s="264"/>
      <c r="AI16" s="264"/>
    </row>
    <row r="17" spans="2:35" ht="15">
      <c r="B17" s="424" t="str">
        <f>"DDR_PHY_Dq1LnSel_"&amp;AA10</f>
        <v>DDR_PHY_Dq1LnSel_2</v>
      </c>
      <c r="C17" s="808" t="str">
        <f>"0x"&amp;DEC2HEX(1006632960 + 262788 + 16384*AA10)</f>
        <v>0x3C048284</v>
      </c>
      <c r="D17" s="808"/>
      <c r="E17" s="808"/>
      <c r="F17" s="808" t="str">
        <f>"0x"&amp;DEC2HEX(AG11, 8)</f>
        <v>0x00000001</v>
      </c>
      <c r="G17" s="808"/>
      <c r="H17" s="809"/>
      <c r="I17" s="264"/>
      <c r="J17" s="264"/>
      <c r="K17" s="264"/>
      <c r="L17" s="264"/>
      <c r="M17" s="264"/>
      <c r="N17" s="264"/>
      <c r="O17" s="264"/>
      <c r="P17" s="334"/>
      <c r="Q17" s="264"/>
      <c r="R17" s="264"/>
      <c r="S17" s="264"/>
    </row>
    <row r="18" spans="2:35" ht="15">
      <c r="B18" s="424" t="str">
        <f>"DDR_PHY_Dq2LnSel_"&amp;AA10</f>
        <v>DDR_PHY_Dq2LnSel_2</v>
      </c>
      <c r="C18" s="808" t="str">
        <f>"0x"&amp;DEC2HEX(1006632960 + 262792 + 16384*AA10)</f>
        <v>0x3C048288</v>
      </c>
      <c r="D18" s="808"/>
      <c r="E18" s="808"/>
      <c r="F18" s="808" t="str">
        <f>"0x"&amp;DEC2HEX(AF11, 8)</f>
        <v>0x00000003</v>
      </c>
      <c r="G18" s="808"/>
      <c r="H18" s="809"/>
      <c r="I18" s="264"/>
      <c r="J18" s="264"/>
      <c r="K18" s="264"/>
      <c r="L18" s="264"/>
      <c r="M18" s="264"/>
      <c r="N18" s="264"/>
      <c r="O18" s="264"/>
      <c r="P18" s="334"/>
      <c r="Q18" s="264"/>
      <c r="R18" s="264"/>
      <c r="S18" s="264"/>
      <c r="T18" s="264"/>
      <c r="U18" s="264"/>
      <c r="V18" s="264"/>
      <c r="W18" s="264"/>
      <c r="X18" s="264"/>
      <c r="Y18" s="264"/>
      <c r="Z18" s="264"/>
      <c r="AA18" s="264"/>
      <c r="AB18" s="264"/>
      <c r="AC18" s="264"/>
      <c r="AD18" s="264"/>
      <c r="AE18" s="264"/>
      <c r="AF18" s="264"/>
      <c r="AG18" s="264"/>
      <c r="AH18" s="264"/>
      <c r="AI18" s="264"/>
    </row>
    <row r="19" spans="2:35" ht="15">
      <c r="B19" s="424" t="str">
        <f>"DDR_PHY_Dq3LnSel_"&amp;AA10</f>
        <v>DDR_PHY_Dq3LnSel_2</v>
      </c>
      <c r="C19" s="808" t="str">
        <f>"0x"&amp;DEC2HEX(1006632960 + 262796 + 16384*AA10)</f>
        <v>0x3C04828C</v>
      </c>
      <c r="D19" s="808"/>
      <c r="E19" s="808"/>
      <c r="F19" s="808" t="str">
        <f>"0x"&amp;DEC2HEX(AE11, 8)</f>
        <v>0x00000002</v>
      </c>
      <c r="G19" s="808"/>
      <c r="H19" s="809"/>
      <c r="I19" s="264"/>
      <c r="J19" s="264"/>
      <c r="K19" s="264"/>
      <c r="L19" s="264"/>
      <c r="M19" s="264"/>
      <c r="N19" s="264"/>
      <c r="O19" s="264"/>
      <c r="P19" s="334"/>
      <c r="Q19" s="264"/>
      <c r="R19" s="334"/>
      <c r="S19" s="264"/>
      <c r="T19" s="264"/>
      <c r="U19" s="264"/>
      <c r="V19" s="264"/>
      <c r="W19" s="264"/>
      <c r="X19" s="264"/>
      <c r="Y19" s="264"/>
      <c r="Z19" s="264"/>
      <c r="AA19" s="264"/>
      <c r="AB19" s="264"/>
      <c r="AC19" s="264"/>
      <c r="AD19" s="264"/>
      <c r="AE19" s="264"/>
      <c r="AF19" s="264"/>
      <c r="AG19" s="264"/>
      <c r="AH19" s="264"/>
      <c r="AI19" s="264"/>
    </row>
    <row r="20" spans="2:35" ht="15">
      <c r="B20" s="424" t="str">
        <f>"DDR_PHY_Dq4LnSel_"&amp;AA10</f>
        <v>DDR_PHY_Dq4LnSel_2</v>
      </c>
      <c r="C20" s="808" t="str">
        <f>"0x"&amp;DEC2HEX(1006632960 + 262800 + 16384*AA10)</f>
        <v>0x3C048290</v>
      </c>
      <c r="D20" s="808"/>
      <c r="E20" s="808"/>
      <c r="F20" s="808" t="str">
        <f>"0x"&amp;DEC2HEX(AD11, 8)</f>
        <v>0x00000005</v>
      </c>
      <c r="G20" s="808"/>
      <c r="H20" s="809"/>
      <c r="I20" s="264"/>
      <c r="J20" s="264"/>
      <c r="K20" s="264"/>
      <c r="L20" s="264"/>
      <c r="M20" s="264"/>
      <c r="N20" s="264"/>
      <c r="O20" s="264"/>
      <c r="P20" s="334"/>
      <c r="Q20" s="264"/>
      <c r="R20" s="264"/>
      <c r="S20" s="264"/>
    </row>
    <row r="21" spans="2:35" ht="15">
      <c r="B21" s="424" t="str">
        <f>"DDR_PHY_Dq5LnSel_"&amp;AA10</f>
        <v>DDR_PHY_Dq5LnSel_2</v>
      </c>
      <c r="C21" s="808" t="str">
        <f>"0x"&amp;DEC2HEX(1006632960 + 262804 + 16384*AA10)</f>
        <v>0x3C048294</v>
      </c>
      <c r="D21" s="808"/>
      <c r="E21" s="808"/>
      <c r="F21" s="808" t="str">
        <f>"0x"&amp;DEC2HEX(AC11, 8)</f>
        <v>0x00000004</v>
      </c>
      <c r="G21" s="808"/>
      <c r="H21" s="809"/>
      <c r="I21" s="264"/>
      <c r="J21" s="264"/>
      <c r="K21" s="264"/>
      <c r="L21" s="264"/>
      <c r="M21" s="264"/>
      <c r="N21" s="264"/>
      <c r="O21" s="264"/>
      <c r="P21" s="334"/>
      <c r="Q21" s="264"/>
      <c r="R21" s="264"/>
      <c r="S21" s="264"/>
      <c r="T21" s="264"/>
      <c r="U21" s="264"/>
      <c r="V21" s="264"/>
      <c r="W21" s="264"/>
      <c r="X21" s="264"/>
      <c r="Y21" s="264"/>
      <c r="Z21" s="264"/>
      <c r="AA21" s="264"/>
      <c r="AB21" s="264"/>
      <c r="AC21" s="264"/>
      <c r="AD21" s="264"/>
      <c r="AE21" s="264"/>
      <c r="AF21" s="264"/>
      <c r="AG21" s="264"/>
      <c r="AH21" s="264"/>
      <c r="AI21" s="264"/>
    </row>
    <row r="22" spans="2:35" ht="15">
      <c r="B22" s="424" t="str">
        <f>"DDR_PHY_Dq6LnSel_"&amp;AA10</f>
        <v>DDR_PHY_Dq6LnSel_2</v>
      </c>
      <c r="C22" s="808" t="str">
        <f>"0x"&amp;DEC2HEX(1006632960 + 262808 + 16384*AA10)</f>
        <v>0x3C048298</v>
      </c>
      <c r="D22" s="808"/>
      <c r="E22" s="808"/>
      <c r="F22" s="808" t="str">
        <f>"0x"&amp;DEC2HEX(AB11, 8)</f>
        <v>0x00000007</v>
      </c>
      <c r="G22" s="808"/>
      <c r="H22" s="809"/>
      <c r="I22" s="264"/>
      <c r="J22" s="264"/>
      <c r="K22" s="264"/>
      <c r="L22" s="264"/>
      <c r="M22" s="264"/>
      <c r="N22" s="264"/>
      <c r="O22" s="264"/>
      <c r="P22" s="334"/>
      <c r="Q22" s="264"/>
      <c r="R22" s="264"/>
      <c r="S22" s="264"/>
      <c r="T22" s="264"/>
      <c r="U22" s="264"/>
      <c r="V22" s="264"/>
      <c r="W22" s="264"/>
      <c r="X22" s="264"/>
      <c r="Y22" s="264"/>
      <c r="Z22" s="264"/>
      <c r="AA22" s="264"/>
      <c r="AB22" s="264"/>
      <c r="AC22" s="264"/>
      <c r="AD22" s="264"/>
      <c r="AE22" s="264"/>
      <c r="AF22" s="264"/>
      <c r="AG22" s="264"/>
      <c r="AH22" s="264"/>
      <c r="AI22" s="264"/>
    </row>
    <row r="23" spans="2:35" ht="15.75" thickBot="1">
      <c r="B23" s="24" t="str">
        <f>"DDR_PHY_Dq7LnSel_"&amp;AA10</f>
        <v>DDR_PHY_Dq7LnSel_2</v>
      </c>
      <c r="C23" s="810" t="str">
        <f>"0x"&amp;DEC2HEX(1006632960 + 262812 + 16384*AA10)</f>
        <v>0x3C04829C</v>
      </c>
      <c r="D23" s="810"/>
      <c r="E23" s="810"/>
      <c r="F23" s="810" t="str">
        <f>"0x"&amp;DEC2HEX(AA11, 8)</f>
        <v>0x00000006</v>
      </c>
      <c r="G23" s="810"/>
      <c r="H23" s="811"/>
      <c r="I23" s="264"/>
      <c r="J23" s="264"/>
      <c r="K23" s="264"/>
      <c r="L23" s="264"/>
      <c r="M23" s="264"/>
      <c r="N23" s="264"/>
      <c r="O23" s="264"/>
      <c r="P23" s="334"/>
      <c r="Q23" s="264"/>
      <c r="R23" s="264"/>
      <c r="S23" s="264"/>
      <c r="T23" s="264"/>
      <c r="U23" s="264"/>
      <c r="V23" s="264"/>
      <c r="W23" s="264"/>
      <c r="X23" s="264"/>
      <c r="Y23" s="264"/>
      <c r="Z23" s="264"/>
      <c r="AA23" s="264"/>
      <c r="AB23" s="264"/>
      <c r="AC23" s="264"/>
      <c r="AD23" s="264"/>
      <c r="AE23" s="264"/>
      <c r="AF23" s="264"/>
      <c r="AG23" s="264"/>
      <c r="AH23" s="264"/>
      <c r="AI23" s="264"/>
    </row>
    <row r="24" spans="2:35" ht="15">
      <c r="B24" s="425" t="str">
        <f>"DDR_PHY_Dq0LnSel_"&amp;S10</f>
        <v>DDR_PHY_Dq0LnSel_3</v>
      </c>
      <c r="C24" s="812" t="str">
        <f>"0x"&amp;DEC2HEX(1006632960 + 262784 + 16384*S10)</f>
        <v>0x3C04C280</v>
      </c>
      <c r="D24" s="812"/>
      <c r="E24" s="812"/>
      <c r="F24" s="812" t="str">
        <f>"0x"&amp;DEC2HEX(Z11, 8)</f>
        <v>0x00000000</v>
      </c>
      <c r="G24" s="812"/>
      <c r="H24" s="813"/>
      <c r="I24" s="264"/>
      <c r="J24" s="264"/>
      <c r="K24" s="264"/>
      <c r="L24" s="264"/>
      <c r="M24" s="264"/>
      <c r="N24" s="264"/>
      <c r="O24" s="264"/>
      <c r="P24" s="334"/>
      <c r="Q24" s="264"/>
      <c r="R24" s="264"/>
      <c r="S24" s="264"/>
      <c r="T24" s="264"/>
      <c r="U24" s="264"/>
      <c r="V24" s="264"/>
      <c r="W24" s="264"/>
      <c r="X24" s="264"/>
      <c r="Y24" s="264"/>
      <c r="Z24" s="264"/>
      <c r="AA24" s="264"/>
      <c r="AB24" s="264"/>
      <c r="AC24" s="264"/>
      <c r="AD24" s="264"/>
      <c r="AE24" s="264"/>
      <c r="AF24" s="264"/>
      <c r="AG24" s="264"/>
      <c r="AH24" s="264"/>
      <c r="AI24" s="264"/>
    </row>
    <row r="25" spans="2:35" ht="15">
      <c r="B25" s="424" t="str">
        <f>"DDR_PHY_Dq1LnSel_"&amp;S10</f>
        <v>DDR_PHY_Dq1LnSel_3</v>
      </c>
      <c r="C25" s="808" t="str">
        <f>"0x"&amp;DEC2HEX(1006632960 + 262788 + 16384*S10)</f>
        <v>0x3C04C284</v>
      </c>
      <c r="D25" s="808"/>
      <c r="E25" s="808"/>
      <c r="F25" s="808" t="str">
        <f>"0x"&amp;DEC2HEX(Y11, 8)</f>
        <v>0x00000001</v>
      </c>
      <c r="G25" s="808"/>
      <c r="H25" s="809"/>
      <c r="I25" s="264"/>
      <c r="J25" s="264"/>
      <c r="K25" s="264"/>
      <c r="L25" s="264"/>
      <c r="M25" s="264"/>
      <c r="N25" s="264"/>
      <c r="O25" s="264"/>
      <c r="P25" s="334"/>
      <c r="Q25" s="264"/>
      <c r="R25" s="264"/>
      <c r="S25" s="264"/>
      <c r="T25" s="264"/>
      <c r="U25" s="264"/>
      <c r="V25" s="264"/>
      <c r="W25" s="264"/>
      <c r="X25" s="264"/>
      <c r="Y25" s="264"/>
      <c r="Z25" s="264"/>
      <c r="AA25" s="264"/>
      <c r="AB25" s="264"/>
      <c r="AC25" s="264"/>
      <c r="AD25" s="264"/>
      <c r="AE25" s="264"/>
      <c r="AF25" s="264"/>
      <c r="AG25" s="264"/>
      <c r="AH25" s="264"/>
      <c r="AI25" s="264"/>
    </row>
    <row r="26" spans="2:35" ht="15">
      <c r="B26" s="424" t="str">
        <f>"DDR_PHY_Dq2LnSel_"&amp;S10</f>
        <v>DDR_PHY_Dq2LnSel_3</v>
      </c>
      <c r="C26" s="808" t="str">
        <f>"0x"&amp;DEC2HEX(1006632960 + 262792 + 16384*S10)</f>
        <v>0x3C04C288</v>
      </c>
      <c r="D26" s="808"/>
      <c r="E26" s="808"/>
      <c r="F26" s="808" t="str">
        <f>"0x"&amp;DEC2HEX(X11, 8)</f>
        <v>0x00000002</v>
      </c>
      <c r="G26" s="808"/>
      <c r="H26" s="809"/>
      <c r="I26" s="264"/>
      <c r="J26" s="264"/>
      <c r="K26" s="264"/>
      <c r="L26" s="264"/>
      <c r="M26" s="264"/>
      <c r="N26" s="264"/>
      <c r="O26" s="264"/>
      <c r="P26" s="334"/>
      <c r="Q26" s="264"/>
      <c r="R26" s="264"/>
      <c r="S26" s="264"/>
      <c r="T26" s="264"/>
      <c r="U26" s="264"/>
      <c r="V26" s="264"/>
      <c r="W26" s="264"/>
      <c r="X26" s="264"/>
      <c r="Y26" s="264"/>
      <c r="Z26" s="264"/>
      <c r="AA26" s="264"/>
      <c r="AB26" s="264"/>
      <c r="AC26" s="264"/>
      <c r="AD26" s="264"/>
      <c r="AE26" s="264"/>
      <c r="AF26" s="264"/>
      <c r="AG26" s="264"/>
      <c r="AH26" s="264"/>
      <c r="AI26" s="264"/>
    </row>
    <row r="27" spans="2:35" ht="15">
      <c r="B27" s="424" t="str">
        <f>"DDR_PHY_Dq3LnSel_"&amp;S10</f>
        <v>DDR_PHY_Dq3LnSel_3</v>
      </c>
      <c r="C27" s="808" t="str">
        <f>"0x"&amp;DEC2HEX(1006632960 + 262796 + 16384*S10)</f>
        <v>0x3C04C28C</v>
      </c>
      <c r="D27" s="808"/>
      <c r="E27" s="808"/>
      <c r="F27" s="808" t="str">
        <f>"0x"&amp;DEC2HEX(W11, 8)</f>
        <v>0x00000003</v>
      </c>
      <c r="G27" s="808"/>
      <c r="H27" s="809"/>
      <c r="I27" s="264"/>
      <c r="J27" s="264"/>
      <c r="K27" s="264"/>
      <c r="L27" s="264"/>
      <c r="M27" s="264"/>
      <c r="N27" s="264"/>
      <c r="O27" s="264"/>
      <c r="P27" s="334"/>
      <c r="Q27" s="264"/>
      <c r="R27" s="264"/>
      <c r="S27" s="264"/>
      <c r="T27" s="264"/>
      <c r="U27" s="264"/>
      <c r="V27" s="264"/>
      <c r="W27" s="264"/>
      <c r="X27" s="264"/>
      <c r="Y27" s="264"/>
      <c r="Z27" s="264"/>
      <c r="AA27" s="264"/>
      <c r="AB27" s="264"/>
      <c r="AC27" s="264"/>
      <c r="AD27" s="264"/>
      <c r="AE27" s="264"/>
      <c r="AF27" s="264"/>
      <c r="AG27" s="264"/>
      <c r="AH27" s="264"/>
      <c r="AI27" s="264"/>
    </row>
    <row r="28" spans="2:35" ht="15">
      <c r="B28" s="424" t="str">
        <f>"DDR_PHY_Dq4LnSel_"&amp;S10</f>
        <v>DDR_PHY_Dq4LnSel_3</v>
      </c>
      <c r="C28" s="808" t="str">
        <f>"0x"&amp;DEC2HEX(1006632960 + 262800 + 16384*S10)</f>
        <v>0x3C04C290</v>
      </c>
      <c r="D28" s="808"/>
      <c r="E28" s="808"/>
      <c r="F28" s="808" t="str">
        <f>"0x"&amp;DEC2HEX(V11, 8)</f>
        <v>0x00000004</v>
      </c>
      <c r="G28" s="808"/>
      <c r="H28" s="809"/>
      <c r="I28" s="264"/>
      <c r="J28" s="264"/>
      <c r="K28" s="264"/>
      <c r="L28" s="264"/>
      <c r="M28" s="264"/>
      <c r="N28" s="264"/>
      <c r="O28" s="264"/>
      <c r="P28" s="334"/>
      <c r="Q28" s="264"/>
      <c r="R28" s="264"/>
      <c r="S28" s="264"/>
      <c r="T28" s="264"/>
      <c r="U28" s="264"/>
      <c r="V28" s="264"/>
      <c r="W28" s="264"/>
      <c r="X28" s="264"/>
      <c r="Y28" s="264"/>
      <c r="Z28" s="264"/>
      <c r="AA28" s="264"/>
      <c r="AB28" s="264"/>
      <c r="AC28" s="264"/>
      <c r="AD28" s="264"/>
      <c r="AE28" s="264"/>
      <c r="AF28" s="264"/>
      <c r="AG28" s="264"/>
      <c r="AH28" s="264"/>
      <c r="AI28" s="264"/>
    </row>
    <row r="29" spans="2:35" ht="15">
      <c r="B29" s="424" t="str">
        <f>"DDR_PHY_Dq5LnSel_"&amp;S10</f>
        <v>DDR_PHY_Dq5LnSel_3</v>
      </c>
      <c r="C29" s="808" t="str">
        <f>"0x"&amp;DEC2HEX(1006632960 + 262804 + 16384*S10)</f>
        <v>0x3C04C294</v>
      </c>
      <c r="D29" s="808"/>
      <c r="E29" s="808"/>
      <c r="F29" s="808" t="str">
        <f>"0x"&amp;DEC2HEX(U11, 8)</f>
        <v>0x00000005</v>
      </c>
      <c r="G29" s="808"/>
      <c r="H29" s="809"/>
      <c r="I29" s="264"/>
      <c r="J29" s="264"/>
      <c r="K29" s="264"/>
      <c r="L29" s="264"/>
      <c r="M29" s="264"/>
      <c r="N29" s="264"/>
      <c r="O29" s="264"/>
      <c r="P29" s="334"/>
      <c r="Q29" s="264"/>
      <c r="R29" s="264"/>
      <c r="S29" s="264"/>
      <c r="T29" s="264"/>
      <c r="U29" s="264"/>
      <c r="V29" s="264"/>
      <c r="W29" s="264"/>
      <c r="X29" s="264"/>
      <c r="Y29" s="264"/>
      <c r="Z29" s="264"/>
      <c r="AA29" s="264"/>
      <c r="AB29" s="264"/>
      <c r="AC29" s="264"/>
      <c r="AD29" s="264"/>
      <c r="AE29" s="264"/>
      <c r="AF29" s="264"/>
      <c r="AG29" s="264"/>
      <c r="AH29" s="264"/>
      <c r="AI29" s="264"/>
    </row>
    <row r="30" spans="2:35" ht="15">
      <c r="B30" s="424" t="str">
        <f>"DDR_PHY_Dq6LnSel_"&amp;S10</f>
        <v>DDR_PHY_Dq6LnSel_3</v>
      </c>
      <c r="C30" s="808" t="str">
        <f>"0x"&amp;DEC2HEX(1006632960 + 262808 + 16384*S10)</f>
        <v>0x3C04C298</v>
      </c>
      <c r="D30" s="808"/>
      <c r="E30" s="808"/>
      <c r="F30" s="808" t="str">
        <f>"0x"&amp;DEC2HEX(T11, 8)</f>
        <v>0x00000006</v>
      </c>
      <c r="G30" s="808"/>
      <c r="H30" s="809"/>
      <c r="I30" s="264"/>
      <c r="J30" s="264"/>
      <c r="K30" s="264"/>
      <c r="L30" s="264"/>
      <c r="M30" s="264"/>
      <c r="N30" s="264"/>
      <c r="O30" s="264"/>
      <c r="P30" s="334"/>
      <c r="Q30" s="264"/>
      <c r="R30" s="264"/>
      <c r="S30" s="264"/>
      <c r="T30" s="264"/>
      <c r="U30" s="264"/>
      <c r="V30" s="264"/>
      <c r="W30" s="264"/>
      <c r="X30" s="264"/>
      <c r="Y30" s="264"/>
      <c r="Z30" s="264"/>
      <c r="AA30" s="264"/>
      <c r="AB30" s="264"/>
      <c r="AC30" s="264"/>
      <c r="AD30" s="264"/>
      <c r="AE30" s="264"/>
      <c r="AF30" s="264"/>
      <c r="AG30" s="264"/>
      <c r="AH30" s="264"/>
      <c r="AI30" s="264"/>
    </row>
    <row r="31" spans="2:35" ht="15.75" thickBot="1">
      <c r="B31" s="341" t="str">
        <f>"DDR_PHY_Dq7LnSel_"&amp;S10</f>
        <v>DDR_PHY_Dq7LnSel_3</v>
      </c>
      <c r="C31" s="816" t="str">
        <f>"0x"&amp;DEC2HEX(1006632960 + 262812 + 16384*S10)</f>
        <v>0x3C04C29C</v>
      </c>
      <c r="D31" s="816"/>
      <c r="E31" s="816"/>
      <c r="F31" s="816" t="str">
        <f>"0x"&amp;DEC2HEX(S11, 8)</f>
        <v>0x00000007</v>
      </c>
      <c r="G31" s="816"/>
      <c r="H31" s="817"/>
      <c r="I31" s="264"/>
      <c r="J31" s="264"/>
      <c r="K31" s="264"/>
      <c r="L31" s="264"/>
      <c r="M31" s="264"/>
      <c r="N31" s="264"/>
      <c r="O31" s="264"/>
      <c r="P31" s="334"/>
      <c r="Q31" s="264"/>
      <c r="R31" s="264"/>
      <c r="S31" s="264"/>
      <c r="T31" s="264"/>
      <c r="U31" s="264"/>
      <c r="V31" s="264"/>
      <c r="W31" s="264"/>
      <c r="X31" s="264"/>
      <c r="Y31" s="264"/>
      <c r="Z31" s="264"/>
      <c r="AA31" s="264"/>
      <c r="AB31" s="264"/>
      <c r="AC31" s="264"/>
      <c r="AD31" s="264"/>
      <c r="AE31" s="264"/>
      <c r="AF31" s="264"/>
      <c r="AG31" s="264"/>
      <c r="AH31" s="264"/>
      <c r="AI31" s="264"/>
    </row>
    <row r="32" spans="2:35" ht="15">
      <c r="B32" s="423" t="str">
        <f>"DDR_PHY_Dq0LnSel_"&amp;K10</f>
        <v>DDR_PHY_Dq0LnSel_1</v>
      </c>
      <c r="C32" s="814" t="str">
        <f>"0x"&amp;DEC2HEX(1006632960 + 262784 + 16384*K10)</f>
        <v>0x3C044280</v>
      </c>
      <c r="D32" s="814"/>
      <c r="E32" s="814"/>
      <c r="F32" s="814" t="str">
        <f>"0x"&amp;DEC2HEX(R11, 8)</f>
        <v>0x00000000</v>
      </c>
      <c r="G32" s="814"/>
      <c r="H32" s="815"/>
      <c r="I32" s="264"/>
      <c r="J32" s="264"/>
      <c r="K32" s="264"/>
      <c r="L32" s="264"/>
      <c r="M32" s="264"/>
      <c r="N32" s="264"/>
      <c r="O32" s="264"/>
      <c r="P32" s="334"/>
      <c r="Q32" s="264"/>
      <c r="R32" s="264"/>
      <c r="S32" s="264"/>
      <c r="T32" s="264"/>
      <c r="U32" s="264"/>
      <c r="V32" s="264"/>
      <c r="W32" s="264"/>
      <c r="X32" s="264"/>
      <c r="Y32" s="264"/>
      <c r="Z32" s="264"/>
      <c r="AA32" s="264"/>
      <c r="AB32" s="264"/>
      <c r="AC32" s="264"/>
      <c r="AD32" s="264"/>
      <c r="AE32" s="264"/>
      <c r="AF32" s="264"/>
      <c r="AG32" s="264"/>
      <c r="AH32" s="264"/>
      <c r="AI32" s="264"/>
    </row>
    <row r="33" spans="2:35" ht="15">
      <c r="B33" s="424" t="str">
        <f>"DDR_PHY_Dq1LnSel_"&amp;K10</f>
        <v>DDR_PHY_Dq1LnSel_1</v>
      </c>
      <c r="C33" s="808" t="str">
        <f>"0x"&amp;DEC2HEX(1006632960 + 262788 + 16384*K10)</f>
        <v>0x3C044284</v>
      </c>
      <c r="D33" s="808"/>
      <c r="E33" s="808"/>
      <c r="F33" s="808" t="str">
        <f>"0x"&amp;DEC2HEX(Q11, 8)</f>
        <v>0x00000001</v>
      </c>
      <c r="G33" s="808"/>
      <c r="H33" s="809"/>
      <c r="I33" s="264"/>
      <c r="J33" s="264"/>
      <c r="K33" s="264"/>
      <c r="L33" s="264"/>
      <c r="M33" s="264"/>
      <c r="N33" s="264"/>
      <c r="O33" s="264"/>
      <c r="P33" s="334"/>
      <c r="Q33" s="264"/>
      <c r="R33" s="264"/>
      <c r="S33" s="264"/>
      <c r="T33" s="264"/>
      <c r="U33" s="264"/>
      <c r="V33" s="264"/>
      <c r="W33" s="264"/>
      <c r="X33" s="264"/>
      <c r="Y33" s="264"/>
      <c r="Z33" s="264"/>
      <c r="AA33" s="264"/>
      <c r="AB33" s="264"/>
      <c r="AC33" s="264"/>
      <c r="AD33" s="264"/>
      <c r="AE33" s="264"/>
      <c r="AF33" s="264"/>
      <c r="AG33" s="264"/>
      <c r="AH33" s="264"/>
      <c r="AI33" s="264"/>
    </row>
    <row r="34" spans="2:35" ht="15">
      <c r="B34" s="424" t="str">
        <f>"DDR_PHY_Dq2LnSel_"&amp;K10</f>
        <v>DDR_PHY_Dq2LnSel_1</v>
      </c>
      <c r="C34" s="808" t="str">
        <f>"0x"&amp;DEC2HEX(1006632960 + 262792 + 16384*K10)</f>
        <v>0x3C044288</v>
      </c>
      <c r="D34" s="808"/>
      <c r="E34" s="808"/>
      <c r="F34" s="808" t="str">
        <f>"0x"&amp;DEC2HEX(P11, 8)</f>
        <v>0x00000003</v>
      </c>
      <c r="G34" s="808"/>
      <c r="H34" s="809"/>
      <c r="I34" s="264"/>
      <c r="J34" s="264"/>
      <c r="K34" s="264"/>
      <c r="L34" s="264"/>
      <c r="M34" s="264"/>
      <c r="N34" s="264"/>
      <c r="O34" s="264"/>
      <c r="P34" s="334"/>
      <c r="Q34" s="264"/>
      <c r="R34" s="264"/>
      <c r="S34" s="264"/>
      <c r="T34" s="264"/>
      <c r="U34" s="264"/>
      <c r="V34" s="264"/>
      <c r="W34" s="264"/>
      <c r="X34" s="264"/>
      <c r="Y34" s="264"/>
      <c r="Z34" s="264"/>
      <c r="AA34" s="264"/>
      <c r="AB34" s="264"/>
      <c r="AC34" s="264"/>
      <c r="AD34" s="264"/>
      <c r="AE34" s="264"/>
      <c r="AF34" s="264"/>
      <c r="AG34" s="264"/>
      <c r="AH34" s="264"/>
      <c r="AI34" s="264"/>
    </row>
    <row r="35" spans="2:35" ht="15">
      <c r="B35" s="424" t="str">
        <f>"DDR_PHY_Dq3LnSel_"&amp;K10</f>
        <v>DDR_PHY_Dq3LnSel_1</v>
      </c>
      <c r="C35" s="808" t="str">
        <f>"0x"&amp;DEC2HEX(1006632960 + 262796 + 16384*K10)</f>
        <v>0x3C04428C</v>
      </c>
      <c r="D35" s="808"/>
      <c r="E35" s="808"/>
      <c r="F35" s="808" t="str">
        <f>"0x"&amp;DEC2HEX(O11, 8)</f>
        <v>0x00000004</v>
      </c>
      <c r="G35" s="808"/>
      <c r="H35" s="809"/>
      <c r="I35" s="264"/>
      <c r="J35" s="264"/>
      <c r="K35" s="264"/>
      <c r="L35" s="264"/>
      <c r="M35" s="264"/>
      <c r="N35" s="264"/>
      <c r="O35" s="264"/>
      <c r="P35" s="334"/>
      <c r="Q35" s="264"/>
      <c r="R35" s="264"/>
      <c r="S35" s="264"/>
      <c r="T35" s="264"/>
      <c r="U35" s="264"/>
      <c r="V35" s="264"/>
      <c r="W35" s="264"/>
      <c r="X35" s="264"/>
      <c r="Y35" s="264"/>
      <c r="Z35" s="264"/>
      <c r="AA35" s="264"/>
      <c r="AB35" s="264"/>
      <c r="AC35" s="264"/>
      <c r="AD35" s="264"/>
      <c r="AE35" s="264"/>
      <c r="AF35" s="264"/>
      <c r="AG35" s="264"/>
      <c r="AH35" s="264"/>
      <c r="AI35" s="264"/>
    </row>
    <row r="36" spans="2:35" ht="15">
      <c r="B36" s="424" t="str">
        <f>"DDR_PHY_Dq4LnSel_"&amp;K10</f>
        <v>DDR_PHY_Dq4LnSel_1</v>
      </c>
      <c r="C36" s="808" t="str">
        <f>"0x"&amp;DEC2HEX(1006632960 + 262800 + 16384*K10)</f>
        <v>0x3C044290</v>
      </c>
      <c r="D36" s="808"/>
      <c r="E36" s="808"/>
      <c r="F36" s="808" t="str">
        <f>"0x"&amp;DEC2HEX(N11, 8)</f>
        <v>0x00000005</v>
      </c>
      <c r="G36" s="808"/>
      <c r="H36" s="809"/>
      <c r="I36" s="264"/>
      <c r="J36" s="264"/>
      <c r="K36" s="264"/>
      <c r="L36" s="264"/>
      <c r="M36" s="264"/>
      <c r="N36" s="264"/>
      <c r="O36" s="264"/>
      <c r="P36" s="334"/>
      <c r="Q36" s="264"/>
      <c r="R36" s="264"/>
      <c r="S36" s="264"/>
      <c r="T36" s="264"/>
      <c r="U36" s="264"/>
      <c r="V36" s="264"/>
      <c r="W36" s="264"/>
      <c r="X36" s="264"/>
      <c r="Y36" s="264"/>
      <c r="Z36" s="264"/>
      <c r="AA36" s="264"/>
      <c r="AB36" s="264"/>
      <c r="AC36" s="264"/>
      <c r="AD36" s="264"/>
      <c r="AE36" s="264"/>
      <c r="AF36" s="264"/>
      <c r="AG36" s="264"/>
      <c r="AH36" s="264"/>
      <c r="AI36" s="264"/>
    </row>
    <row r="37" spans="2:35" ht="15">
      <c r="B37" s="424" t="str">
        <f>"DDR_PHY_Dq5LnSel_"&amp;K10</f>
        <v>DDR_PHY_Dq5LnSel_1</v>
      </c>
      <c r="C37" s="808" t="str">
        <f>"0x"&amp;DEC2HEX(1006632960 + 262804 + 16384*K10)</f>
        <v>0x3C044294</v>
      </c>
      <c r="D37" s="808"/>
      <c r="E37" s="808"/>
      <c r="F37" s="808" t="str">
        <f>"0x"&amp;DEC2HEX(M11, 8)</f>
        <v>0x00000002</v>
      </c>
      <c r="G37" s="808"/>
      <c r="H37" s="809"/>
      <c r="I37" s="264"/>
      <c r="J37" s="264"/>
      <c r="K37" s="264"/>
      <c r="L37" s="264"/>
      <c r="M37" s="264"/>
      <c r="N37" s="264"/>
      <c r="O37" s="264"/>
      <c r="P37" s="334"/>
      <c r="Q37" s="264"/>
      <c r="R37" s="264"/>
      <c r="S37" s="264"/>
      <c r="T37" s="264"/>
      <c r="U37" s="264"/>
      <c r="V37" s="264"/>
      <c r="W37" s="264"/>
      <c r="X37" s="264"/>
      <c r="Y37" s="264"/>
      <c r="Z37" s="264"/>
      <c r="AA37" s="264"/>
      <c r="AB37" s="264"/>
      <c r="AC37" s="264"/>
      <c r="AD37" s="264"/>
      <c r="AE37" s="264"/>
      <c r="AF37" s="264"/>
      <c r="AG37" s="264"/>
      <c r="AH37" s="264"/>
      <c r="AI37" s="264"/>
    </row>
    <row r="38" spans="2:35" ht="15">
      <c r="B38" s="424" t="str">
        <f>"DDR_PHY_Dq6LnSel_"&amp;K10</f>
        <v>DDR_PHY_Dq6LnSel_1</v>
      </c>
      <c r="C38" s="808" t="str">
        <f>"0x"&amp;DEC2HEX(1006632960 + 262808 + 16384*K10)</f>
        <v>0x3C044298</v>
      </c>
      <c r="D38" s="808"/>
      <c r="E38" s="808"/>
      <c r="F38" s="808" t="str">
        <f>"0x"&amp;DEC2HEX(L11, 8)</f>
        <v>0x00000007</v>
      </c>
      <c r="G38" s="808"/>
      <c r="H38" s="809"/>
      <c r="I38" s="264"/>
      <c r="J38" s="264"/>
      <c r="K38" s="264"/>
      <c r="L38" s="264"/>
      <c r="M38" s="264"/>
      <c r="N38" s="264"/>
      <c r="O38" s="264"/>
      <c r="P38" s="334"/>
      <c r="Q38" s="264"/>
      <c r="R38" s="264"/>
      <c r="S38" s="264"/>
      <c r="T38" s="264"/>
      <c r="U38" s="264"/>
      <c r="V38" s="264"/>
      <c r="W38" s="264"/>
      <c r="X38" s="264"/>
      <c r="Y38" s="264"/>
      <c r="Z38" s="264"/>
      <c r="AA38" s="264"/>
      <c r="AB38" s="264"/>
      <c r="AC38" s="264"/>
      <c r="AD38" s="264"/>
      <c r="AE38" s="264"/>
      <c r="AF38" s="264"/>
      <c r="AG38" s="264"/>
      <c r="AH38" s="264"/>
      <c r="AI38" s="264"/>
    </row>
    <row r="39" spans="2:35" ht="15.75" thickBot="1">
      <c r="B39" s="24" t="str">
        <f>"DDR_PHY_Dq7LnSel_"&amp;K10</f>
        <v>DDR_PHY_Dq7LnSel_1</v>
      </c>
      <c r="C39" s="810" t="str">
        <f>"0x"&amp;DEC2HEX(1006632960 + 262812 + 16384*K10)</f>
        <v>0x3C04429C</v>
      </c>
      <c r="D39" s="810"/>
      <c r="E39" s="810"/>
      <c r="F39" s="810" t="str">
        <f>"0x"&amp;DEC2HEX(K11, 8)</f>
        <v>0x00000006</v>
      </c>
      <c r="G39" s="810"/>
      <c r="H39" s="811"/>
      <c r="I39" s="264"/>
      <c r="J39" s="264"/>
      <c r="K39" s="264"/>
      <c r="L39" s="264"/>
      <c r="M39" s="264"/>
      <c r="N39" s="264"/>
      <c r="O39" s="264"/>
      <c r="P39" s="334"/>
      <c r="Q39" s="264"/>
      <c r="R39" s="264"/>
      <c r="S39" s="264"/>
      <c r="T39" s="264"/>
      <c r="U39" s="264"/>
      <c r="V39" s="264"/>
      <c r="W39" s="264"/>
      <c r="X39" s="264"/>
      <c r="Y39" s="264"/>
      <c r="Z39" s="264"/>
      <c r="AA39" s="264"/>
      <c r="AB39" s="264"/>
      <c r="AC39" s="264"/>
      <c r="AD39" s="264"/>
      <c r="AE39" s="264"/>
      <c r="AF39" s="264"/>
      <c r="AG39" s="264"/>
      <c r="AH39" s="264"/>
      <c r="AI39" s="264"/>
    </row>
    <row r="40" spans="2:35" ht="15">
      <c r="B40" s="425" t="str">
        <f>"DDR_PHY_Dq0LnSel_"&amp;C10</f>
        <v>DDR_PHY_Dq0LnSel_0</v>
      </c>
      <c r="C40" s="812" t="str">
        <f>"0x"&amp;DEC2HEX(1006632960 + 262784 + 16384*C10)</f>
        <v>0x3C040280</v>
      </c>
      <c r="D40" s="812"/>
      <c r="E40" s="812"/>
      <c r="F40" s="812" t="str">
        <f>"0x"&amp;DEC2HEX(J11, 8)</f>
        <v>0x00000000</v>
      </c>
      <c r="G40" s="812"/>
      <c r="H40" s="813"/>
      <c r="I40" s="264"/>
      <c r="J40" s="264"/>
      <c r="K40" s="264"/>
      <c r="L40" s="264"/>
      <c r="M40" s="264"/>
      <c r="N40" s="264"/>
      <c r="O40" s="264"/>
      <c r="P40" s="334"/>
      <c r="Q40" s="264"/>
      <c r="R40" s="264"/>
      <c r="S40" s="264"/>
      <c r="T40" s="264"/>
      <c r="U40" s="264"/>
      <c r="V40" s="264"/>
      <c r="W40" s="264"/>
      <c r="X40" s="264"/>
      <c r="Y40" s="264"/>
      <c r="Z40" s="264"/>
      <c r="AA40" s="264"/>
      <c r="AB40" s="264"/>
      <c r="AC40" s="264"/>
      <c r="AD40" s="264"/>
      <c r="AE40" s="264"/>
      <c r="AF40" s="264"/>
      <c r="AG40" s="264"/>
      <c r="AH40" s="264"/>
      <c r="AI40" s="264"/>
    </row>
    <row r="41" spans="2:35" ht="15">
      <c r="B41" s="424" t="str">
        <f>"DDR_PHY_Dq1LnSel_"&amp;C10</f>
        <v>DDR_PHY_Dq1LnSel_0</v>
      </c>
      <c r="C41" s="808" t="str">
        <f>"0x"&amp;DEC2HEX(1006632960 + 262788 + 16384*C10)</f>
        <v>0x3C040284</v>
      </c>
      <c r="D41" s="808"/>
      <c r="E41" s="808"/>
      <c r="F41" s="808" t="str">
        <f>"0x"&amp;DEC2HEX(I11, 8)</f>
        <v>0x00000001</v>
      </c>
      <c r="G41" s="808"/>
      <c r="H41" s="809"/>
      <c r="I41" s="264"/>
      <c r="J41" s="264"/>
      <c r="K41" s="264"/>
      <c r="L41" s="264"/>
      <c r="M41" s="264"/>
      <c r="N41" s="264"/>
      <c r="O41" s="264"/>
      <c r="P41" s="334"/>
      <c r="Q41" s="264"/>
      <c r="R41" s="264"/>
      <c r="S41" s="264"/>
      <c r="T41" s="264"/>
      <c r="U41" s="264"/>
      <c r="V41" s="264"/>
      <c r="W41" s="264"/>
      <c r="X41" s="264"/>
      <c r="Y41" s="264"/>
      <c r="Z41" s="264"/>
      <c r="AA41" s="264"/>
      <c r="AB41" s="264"/>
      <c r="AC41" s="264"/>
      <c r="AD41" s="264"/>
      <c r="AE41" s="264"/>
      <c r="AF41" s="264"/>
      <c r="AG41" s="264"/>
      <c r="AH41" s="264"/>
      <c r="AI41" s="264"/>
    </row>
    <row r="42" spans="2:35" ht="15">
      <c r="B42" s="421" t="str">
        <f>"DDR_PHY_Dq2LnSel_"&amp;C10</f>
        <v>DDR_PHY_Dq2LnSel_0</v>
      </c>
      <c r="C42" s="806" t="str">
        <f>"0x"&amp;DEC2HEX(1006632960 + 262792 + 16384*C10)</f>
        <v>0x3C040288</v>
      </c>
      <c r="D42" s="806"/>
      <c r="E42" s="806"/>
      <c r="F42" s="806" t="str">
        <f>"0x"&amp;DEC2HEX(H11, 8)</f>
        <v>0x00000002</v>
      </c>
      <c r="G42" s="806"/>
      <c r="H42" s="807"/>
      <c r="I42" s="264"/>
      <c r="J42" s="264"/>
      <c r="K42" s="264"/>
      <c r="L42" s="264"/>
      <c r="M42" s="264"/>
      <c r="N42" s="264"/>
      <c r="O42" s="264"/>
      <c r="P42" s="334"/>
      <c r="Q42" s="264"/>
      <c r="R42" s="264"/>
      <c r="S42" s="264"/>
      <c r="T42" s="264"/>
      <c r="U42" s="264"/>
      <c r="V42" s="264"/>
      <c r="W42" s="264"/>
      <c r="X42" s="264"/>
      <c r="Y42" s="264"/>
      <c r="Z42" s="264"/>
      <c r="AA42" s="264"/>
      <c r="AB42" s="264"/>
      <c r="AC42" s="264"/>
      <c r="AD42" s="264"/>
      <c r="AE42" s="264"/>
      <c r="AF42" s="264"/>
      <c r="AG42" s="264"/>
      <c r="AH42" s="264"/>
      <c r="AI42" s="264"/>
    </row>
    <row r="43" spans="2:35" ht="15">
      <c r="B43" s="421" t="str">
        <f>"DDR_PHY_Dq3LnSel_"&amp;C10</f>
        <v>DDR_PHY_Dq3LnSel_0</v>
      </c>
      <c r="C43" s="806" t="str">
        <f>"0x"&amp;DEC2HEX(1006632960 + 262796 + 16384*C10)</f>
        <v>0x3C04028C</v>
      </c>
      <c r="D43" s="806"/>
      <c r="E43" s="806"/>
      <c r="F43" s="806" t="str">
        <f>"0x"&amp;DEC2HEX(G11, 8)</f>
        <v>0x00000003</v>
      </c>
      <c r="G43" s="806"/>
      <c r="H43" s="807"/>
      <c r="I43" s="264"/>
      <c r="J43" s="264"/>
      <c r="K43" s="264"/>
      <c r="L43" s="264"/>
      <c r="M43" s="264"/>
      <c r="N43" s="264"/>
      <c r="O43" s="264"/>
      <c r="P43" s="334"/>
      <c r="Q43" s="264"/>
      <c r="R43" s="264"/>
      <c r="S43" s="264"/>
      <c r="T43" s="264"/>
      <c r="U43" s="264"/>
      <c r="V43" s="264"/>
      <c r="W43" s="264"/>
      <c r="X43" s="264"/>
      <c r="Y43" s="264"/>
      <c r="Z43" s="264"/>
      <c r="AA43" s="264"/>
      <c r="AB43" s="264"/>
      <c r="AC43" s="264"/>
      <c r="AD43" s="264"/>
      <c r="AE43" s="264"/>
      <c r="AF43" s="264"/>
      <c r="AG43" s="264"/>
      <c r="AH43" s="264"/>
      <c r="AI43" s="264"/>
    </row>
    <row r="44" spans="2:35" ht="15">
      <c r="B44" s="421" t="str">
        <f>"DDR_PHY_Dq4LnSel_"&amp;C10</f>
        <v>DDR_PHY_Dq4LnSel_0</v>
      </c>
      <c r="C44" s="806" t="str">
        <f>"0x"&amp;DEC2HEX(1006632960 + 262800 + 16384*C10)</f>
        <v>0x3C040290</v>
      </c>
      <c r="D44" s="806"/>
      <c r="E44" s="806"/>
      <c r="F44" s="806" t="str">
        <f>"0x"&amp;DEC2HEX(F11, 8)</f>
        <v>0x00000004</v>
      </c>
      <c r="G44" s="806"/>
      <c r="H44" s="807"/>
      <c r="I44" s="264"/>
      <c r="J44" s="264"/>
      <c r="K44" s="264"/>
      <c r="L44" s="264"/>
      <c r="M44" s="264"/>
      <c r="N44" s="264"/>
      <c r="O44" s="264"/>
      <c r="P44" s="334"/>
      <c r="Q44" s="264"/>
      <c r="R44" s="264"/>
      <c r="S44" s="264"/>
      <c r="T44" s="264"/>
      <c r="U44" s="264"/>
      <c r="V44" s="264"/>
      <c r="W44" s="264"/>
      <c r="X44" s="264"/>
      <c r="Y44" s="264"/>
      <c r="Z44" s="264"/>
      <c r="AA44" s="264"/>
      <c r="AB44" s="264"/>
      <c r="AC44" s="264"/>
      <c r="AD44" s="264"/>
      <c r="AE44" s="264"/>
      <c r="AF44" s="264"/>
      <c r="AG44" s="264"/>
      <c r="AH44" s="264"/>
      <c r="AI44" s="264"/>
    </row>
    <row r="45" spans="2:35" ht="15">
      <c r="B45" s="421" t="str">
        <f>"DDR_PHY_Dq5LnSel_"&amp;C10</f>
        <v>DDR_PHY_Dq5LnSel_0</v>
      </c>
      <c r="C45" s="806" t="str">
        <f>"0x"&amp;DEC2HEX(1006632960 + 262804 + 16384*C10)</f>
        <v>0x3C040294</v>
      </c>
      <c r="D45" s="806"/>
      <c r="E45" s="806"/>
      <c r="F45" s="806" t="str">
        <f>"0x"&amp;DEC2HEX(E11, 8)</f>
        <v>0x00000005</v>
      </c>
      <c r="G45" s="806"/>
      <c r="H45" s="807"/>
      <c r="I45" s="264"/>
      <c r="J45" s="264"/>
      <c r="K45" s="264"/>
      <c r="L45" s="264"/>
      <c r="M45" s="264"/>
      <c r="N45" s="264"/>
      <c r="O45" s="264"/>
      <c r="P45" s="334"/>
      <c r="Q45" s="264"/>
      <c r="R45" s="264"/>
      <c r="S45" s="264"/>
      <c r="T45" s="264"/>
      <c r="U45" s="264"/>
      <c r="V45" s="264"/>
      <c r="W45" s="264"/>
      <c r="X45" s="264"/>
      <c r="Y45" s="264"/>
      <c r="Z45" s="264"/>
      <c r="AA45" s="264"/>
      <c r="AB45" s="264"/>
      <c r="AC45" s="264"/>
      <c r="AD45" s="264"/>
      <c r="AE45" s="264"/>
      <c r="AF45" s="264"/>
      <c r="AG45" s="264"/>
      <c r="AH45" s="264"/>
      <c r="AI45" s="264"/>
    </row>
    <row r="46" spans="2:35" ht="15">
      <c r="B46" s="421" t="str">
        <f>"DDR_PHY_Dq6LnSel_"&amp;C10</f>
        <v>DDR_PHY_Dq6LnSel_0</v>
      </c>
      <c r="C46" s="806" t="str">
        <f>"0x"&amp;DEC2HEX(1006632960 + 262808 + 16384*C10)</f>
        <v>0x3C040298</v>
      </c>
      <c r="D46" s="806"/>
      <c r="E46" s="806"/>
      <c r="F46" s="806" t="str">
        <f>"0x"&amp;DEC2HEX(D11, 8)</f>
        <v>0x00000006</v>
      </c>
      <c r="G46" s="806"/>
      <c r="H46" s="807"/>
      <c r="I46" s="264"/>
      <c r="J46" s="264"/>
      <c r="K46" s="264"/>
      <c r="L46" s="264"/>
      <c r="M46" s="264"/>
      <c r="N46" s="264"/>
      <c r="O46" s="264"/>
      <c r="P46" s="334"/>
      <c r="Q46" s="264"/>
      <c r="R46" s="264"/>
      <c r="S46" s="264"/>
      <c r="T46" s="264"/>
      <c r="U46" s="264"/>
      <c r="V46" s="264"/>
      <c r="W46" s="264"/>
      <c r="X46" s="264"/>
      <c r="Y46" s="264"/>
      <c r="Z46" s="264"/>
      <c r="AA46" s="264"/>
      <c r="AB46" s="264"/>
      <c r="AC46" s="264"/>
      <c r="AD46" s="264"/>
      <c r="AE46" s="264"/>
      <c r="AF46" s="264"/>
      <c r="AG46" s="264"/>
      <c r="AH46" s="264"/>
      <c r="AI46" s="264"/>
    </row>
    <row r="47" spans="2:35" ht="15.75" thickBot="1">
      <c r="B47" s="422" t="str">
        <f>"DDR_PHY_Dq7LnSel_"&amp;C10</f>
        <v>DDR_PHY_Dq7LnSel_0</v>
      </c>
      <c r="C47" s="804" t="str">
        <f>"0x"&amp;DEC2HEX(1006632960 + 262812 + 16384*C10)</f>
        <v>0x3C04029C</v>
      </c>
      <c r="D47" s="804"/>
      <c r="E47" s="804"/>
      <c r="F47" s="804" t="str">
        <f>"0x"&amp;DEC2HEX(C11, 8)</f>
        <v>0x00000007</v>
      </c>
      <c r="G47" s="804"/>
      <c r="H47" s="805"/>
      <c r="I47" s="264"/>
      <c r="J47" s="264"/>
      <c r="K47" s="264"/>
      <c r="L47" s="264"/>
      <c r="M47" s="264"/>
      <c r="N47" s="264"/>
      <c r="O47" s="264"/>
      <c r="P47" s="334"/>
      <c r="Q47" s="264"/>
      <c r="R47" s="264"/>
      <c r="S47" s="264"/>
      <c r="T47" s="264"/>
      <c r="U47" s="264"/>
      <c r="V47" s="264"/>
      <c r="W47" s="264"/>
      <c r="X47" s="264"/>
      <c r="Y47" s="264"/>
      <c r="Z47" s="264"/>
      <c r="AA47" s="264"/>
      <c r="AB47" s="264"/>
      <c r="AC47" s="264"/>
      <c r="AD47" s="264"/>
      <c r="AE47" s="264"/>
      <c r="AF47" s="264"/>
      <c r="AG47" s="264"/>
      <c r="AH47" s="264"/>
      <c r="AI47" s="264"/>
    </row>
  </sheetData>
  <mergeCells count="74">
    <mergeCell ref="C6:AH6"/>
    <mergeCell ref="C7:R7"/>
    <mergeCell ref="S7:AH7"/>
    <mergeCell ref="C10:J10"/>
    <mergeCell ref="K10:R10"/>
    <mergeCell ref="S10:Z10"/>
    <mergeCell ref="AA10:AH10"/>
    <mergeCell ref="C12:AH12"/>
    <mergeCell ref="C15:E15"/>
    <mergeCell ref="F15:H15"/>
    <mergeCell ref="C16:E16"/>
    <mergeCell ref="F16:H16"/>
    <mergeCell ref="C17:E17"/>
    <mergeCell ref="F17:H17"/>
    <mergeCell ref="C18:E18"/>
    <mergeCell ref="F18:H18"/>
    <mergeCell ref="C19:E19"/>
    <mergeCell ref="F19:H19"/>
    <mergeCell ref="C20:E20"/>
    <mergeCell ref="F20:H20"/>
    <mergeCell ref="C21:E21"/>
    <mergeCell ref="F21:H21"/>
    <mergeCell ref="C22:E22"/>
    <mergeCell ref="F22:H22"/>
    <mergeCell ref="C23:E23"/>
    <mergeCell ref="F23:H23"/>
    <mergeCell ref="C24:E24"/>
    <mergeCell ref="F24:H24"/>
    <mergeCell ref="C25:E25"/>
    <mergeCell ref="F25:H25"/>
    <mergeCell ref="C26:E26"/>
    <mergeCell ref="F26:H26"/>
    <mergeCell ref="C27:E27"/>
    <mergeCell ref="F27:H27"/>
    <mergeCell ref="C28:E28"/>
    <mergeCell ref="F28:H28"/>
    <mergeCell ref="C29:E29"/>
    <mergeCell ref="F29:H29"/>
    <mergeCell ref="C30:E30"/>
    <mergeCell ref="F30:H30"/>
    <mergeCell ref="C31:E31"/>
    <mergeCell ref="F31:H31"/>
    <mergeCell ref="C32:E32"/>
    <mergeCell ref="F32:H32"/>
    <mergeCell ref="C33:E33"/>
    <mergeCell ref="F33:H33"/>
    <mergeCell ref="C34:E34"/>
    <mergeCell ref="F34:H34"/>
    <mergeCell ref="C35:E35"/>
    <mergeCell ref="F35:H35"/>
    <mergeCell ref="C36:E36"/>
    <mergeCell ref="F36:H36"/>
    <mergeCell ref="C37:E37"/>
    <mergeCell ref="F37:H37"/>
    <mergeCell ref="C38:E38"/>
    <mergeCell ref="F38:H38"/>
    <mergeCell ref="C39:E39"/>
    <mergeCell ref="F39:H39"/>
    <mergeCell ref="C40:E40"/>
    <mergeCell ref="F40:H40"/>
    <mergeCell ref="C41:E41"/>
    <mergeCell ref="F41:H41"/>
    <mergeCell ref="C42:E42"/>
    <mergeCell ref="F42:H42"/>
    <mergeCell ref="C43:E43"/>
    <mergeCell ref="F43:H43"/>
    <mergeCell ref="C47:E47"/>
    <mergeCell ref="F47:H47"/>
    <mergeCell ref="C44:E44"/>
    <mergeCell ref="F44:H44"/>
    <mergeCell ref="C45:E45"/>
    <mergeCell ref="F45:H45"/>
    <mergeCell ref="C46:E46"/>
    <mergeCell ref="F46:H46"/>
  </mergeCells>
  <phoneticPr fontId="34" type="noConversion"/>
  <conditionalFormatting sqref="C12:C13">
    <cfRule type="containsText" dxfId="18" priority="2" operator="containsText" text="Error In DQ Bit Entry">
      <formula>NOT(ISERROR(SEARCH("Error In DQ Bit Entry",C12)))</formula>
    </cfRule>
    <cfRule type="containsText" dxfId="17" priority="3" operator="containsText" text="DQ Bits Entered Correctly">
      <formula>NOT(ISERROR(SEARCH("DQ Bits Entered Correctly",C12)))</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1E56A-B2A9-4947-8D1F-221C3329BCF0}">
  <sheetPr codeName="Sheet5"/>
  <dimension ref="A1:K75"/>
  <sheetViews>
    <sheetView zoomScale="85" zoomScaleNormal="85" workbookViewId="0">
      <selection activeCell="D13" sqref="D13"/>
    </sheetView>
  </sheetViews>
  <sheetFormatPr defaultRowHeight="12.75"/>
  <cols>
    <col min="1" max="1" width="52.28515625" customWidth="1"/>
    <col min="2" max="2" width="14.28515625" customWidth="1"/>
    <col min="3" max="3" width="20.28515625" bestFit="1" customWidth="1"/>
    <col min="4" max="4" width="23.7109375" customWidth="1"/>
    <col min="5" max="5" width="2.28515625" style="459" customWidth="1"/>
    <col min="6" max="6" width="31.5703125" style="459" customWidth="1"/>
    <col min="7" max="7" width="6.28515625" style="459" customWidth="1"/>
    <col min="8" max="8" width="12.5703125" style="459" customWidth="1"/>
    <col min="9" max="9" width="25.5703125" customWidth="1"/>
  </cols>
  <sheetData>
    <row r="1" spans="1:11" ht="15">
      <c r="A1" s="832" t="str">
        <f>IF('Register Configuration'!D89=0, "This worksheet is for binary-aligned densities", "ALERT! It's been detected that a non-binary-aligned density is in use, therefore you must use ECC_Config_nonBinaryAligned worksheet!")</f>
        <v>ALERT! It's been detected that a non-binary-aligned density is in use, therefore you must use ECC_Config_nonBinaryAligned worksheet!</v>
      </c>
      <c r="B1" s="832"/>
      <c r="C1" s="832"/>
      <c r="D1" s="832"/>
      <c r="E1" s="832"/>
      <c r="F1" s="832"/>
      <c r="G1" s="832"/>
    </row>
    <row r="2" spans="1:11">
      <c r="A2" s="842" t="s">
        <v>1193</v>
      </c>
      <c r="B2" s="842"/>
      <c r="C2" s="842"/>
      <c r="D2" s="842"/>
      <c r="E2" s="842"/>
      <c r="F2" s="842"/>
      <c r="G2" s="842"/>
    </row>
    <row r="3" spans="1:11">
      <c r="A3" s="501" t="s">
        <v>1063</v>
      </c>
      <c r="B3" s="502"/>
      <c r="C3" s="12"/>
      <c r="D3" s="8"/>
      <c r="E3" s="28"/>
      <c r="F3" s="28"/>
      <c r="G3" s="28"/>
    </row>
    <row r="4" spans="1:11">
      <c r="A4" s="501" t="s">
        <v>1064</v>
      </c>
      <c r="B4" s="502"/>
      <c r="C4" s="12"/>
      <c r="D4" s="8"/>
      <c r="E4" s="28"/>
      <c r="F4" s="28"/>
      <c r="G4" s="28"/>
    </row>
    <row r="5" spans="1:11">
      <c r="A5" s="500" t="s">
        <v>327</v>
      </c>
      <c r="B5" s="8"/>
      <c r="C5" s="8"/>
      <c r="D5" s="8"/>
      <c r="E5" s="28"/>
      <c r="F5" s="28"/>
      <c r="G5" s="28"/>
    </row>
    <row r="6" spans="1:11">
      <c r="A6" s="833" t="s">
        <v>1100</v>
      </c>
      <c r="B6" s="834"/>
      <c r="C6" s="460"/>
      <c r="D6" s="8"/>
      <c r="E6" s="28"/>
      <c r="F6" s="28"/>
      <c r="G6" s="28"/>
    </row>
    <row r="7" spans="1:11">
      <c r="A7" s="835" t="s">
        <v>1101</v>
      </c>
      <c r="B7" s="835"/>
      <c r="C7" s="835"/>
      <c r="D7" s="835"/>
      <c r="E7" s="835"/>
      <c r="F7" s="28"/>
      <c r="G7" s="28"/>
    </row>
    <row r="8" spans="1:11">
      <c r="A8" s="835" t="s">
        <v>1065</v>
      </c>
      <c r="B8" s="835"/>
      <c r="C8" s="835"/>
      <c r="D8" s="835"/>
      <c r="E8" s="835"/>
      <c r="F8" s="28"/>
      <c r="G8" s="28"/>
      <c r="I8" s="759"/>
      <c r="J8" s="759"/>
      <c r="K8" s="759"/>
    </row>
    <row r="9" spans="1:11" ht="13.5" thickBot="1">
      <c r="A9" s="503"/>
      <c r="B9" s="503"/>
      <c r="C9" s="503"/>
      <c r="D9" s="503"/>
      <c r="E9" s="503"/>
      <c r="F9" s="28"/>
      <c r="G9" s="28"/>
      <c r="I9" s="458"/>
      <c r="J9" s="461"/>
      <c r="K9" s="461"/>
    </row>
    <row r="10" spans="1:11" ht="13.5" thickBot="1">
      <c r="A10" s="852" t="s">
        <v>1066</v>
      </c>
      <c r="B10" s="853"/>
      <c r="C10" s="853"/>
      <c r="D10" s="853"/>
      <c r="E10" s="504"/>
      <c r="F10" s="504"/>
      <c r="G10" s="505"/>
    </row>
    <row r="11" spans="1:11" ht="13.5" thickBot="1">
      <c r="A11" s="854" t="s">
        <v>1067</v>
      </c>
      <c r="B11" s="855"/>
      <c r="C11" s="855"/>
      <c r="D11" s="856"/>
      <c r="E11" s="506"/>
      <c r="F11" s="506"/>
      <c r="G11" s="507"/>
    </row>
    <row r="12" spans="1:11">
      <c r="A12" s="462"/>
      <c r="B12" s="12"/>
      <c r="C12" s="12"/>
      <c r="D12" s="508" t="s">
        <v>1068</v>
      </c>
      <c r="E12" s="506"/>
      <c r="F12" s="506"/>
      <c r="G12" s="507"/>
    </row>
    <row r="13" spans="1:11" ht="13.5" thickBot="1">
      <c r="A13" s="509"/>
      <c r="B13" s="510"/>
      <c r="C13" s="510"/>
      <c r="D13" s="511">
        <v>8</v>
      </c>
      <c r="E13" s="506"/>
      <c r="F13" s="506"/>
      <c r="G13" s="507"/>
    </row>
    <row r="14" spans="1:11" ht="14.65" customHeight="1" thickBot="1">
      <c r="A14" s="866" t="str">
        <f>IF(B75="ERROR!", "ALERT! ATLEAST ONE REGION MUST BE PROTECTED WHEN ECC ENABLED!", "")</f>
        <v/>
      </c>
      <c r="B14" s="867"/>
      <c r="C14" s="867"/>
      <c r="D14" s="867"/>
      <c r="E14" s="506"/>
      <c r="F14" s="506"/>
      <c r="G14" s="507"/>
    </row>
    <row r="15" spans="1:11" ht="57.75" customHeight="1" thickBot="1">
      <c r="A15" s="512" t="s">
        <v>1102</v>
      </c>
      <c r="B15" s="513" t="s">
        <v>1103</v>
      </c>
      <c r="C15" s="513" t="s">
        <v>1104</v>
      </c>
      <c r="D15" s="514" t="s">
        <v>1105</v>
      </c>
      <c r="E15" s="857" t="s">
        <v>1106</v>
      </c>
      <c r="F15" s="858"/>
      <c r="G15" s="507"/>
      <c r="I15" s="459"/>
    </row>
    <row r="16" spans="1:11" ht="14.65" customHeight="1">
      <c r="A16" s="463" t="str">
        <f>"ECC Parity Region 0 Section"</f>
        <v>ECC Parity Region 0 Section</v>
      </c>
      <c r="B16" s="92" t="str">
        <f>"0x" &amp; DEC2HEX((B61),9)</f>
        <v>0x1BA000000</v>
      </c>
      <c r="C16" s="92" t="str">
        <f>C52</f>
        <v>96MB</v>
      </c>
      <c r="D16" s="515" t="str">
        <f>IF(D34="UNPROTECTED","ACCESSIBLE","INACCESSIBLE")</f>
        <v>INACCESSIBLE</v>
      </c>
      <c r="E16" s="859"/>
      <c r="F16" s="860"/>
      <c r="G16" s="507"/>
      <c r="I16" s="459"/>
    </row>
    <row r="17" spans="1:9" ht="14.65" customHeight="1">
      <c r="A17" s="464" t="str">
        <f>"ECC Parity Region 1 Section"</f>
        <v>ECC Parity Region 1 Section</v>
      </c>
      <c r="B17" s="232" t="str">
        <f>"0x" &amp; DEC2HEX((B60),9)</f>
        <v>0x1B4000000</v>
      </c>
      <c r="C17" s="232" t="str">
        <f>C52</f>
        <v>96MB</v>
      </c>
      <c r="D17" s="516" t="str">
        <f>IF(D33="UNPROTECTED","ACCESSIBLE","INACCESSIBLE")</f>
        <v>INACCESSIBLE</v>
      </c>
      <c r="E17" s="859"/>
      <c r="F17" s="860"/>
      <c r="G17" s="507"/>
      <c r="I17" s="459"/>
    </row>
    <row r="18" spans="1:9" ht="14.65" customHeight="1">
      <c r="A18" s="464" t="str">
        <f>"ECC Parity Region 2 Section"</f>
        <v>ECC Parity Region 2 Section</v>
      </c>
      <c r="B18" s="232" t="str">
        <f>"0x" &amp; DEC2HEX((B59),9)</f>
        <v>0x1AE000000</v>
      </c>
      <c r="C18" s="232" t="str">
        <f>C52</f>
        <v>96MB</v>
      </c>
      <c r="D18" s="516" t="str">
        <f>IF(D32="UNPROTECTED","ACCESSIBLE","INACCESSIBLE")</f>
        <v>INACCESSIBLE</v>
      </c>
      <c r="E18" s="859"/>
      <c r="F18" s="860"/>
      <c r="G18" s="507"/>
      <c r="I18" s="459"/>
    </row>
    <row r="19" spans="1:9" ht="14.65" customHeight="1">
      <c r="A19" s="464" t="str">
        <f>"ECC Parity Region 3 Section"</f>
        <v>ECC Parity Region 3 Section</v>
      </c>
      <c r="B19" s="232" t="str">
        <f>"0x" &amp; DEC2HEX((B58),9)</f>
        <v>0x1A8000000</v>
      </c>
      <c r="C19" s="232" t="str">
        <f>C52</f>
        <v>96MB</v>
      </c>
      <c r="D19" s="516" t="str">
        <f>IF(D31="UNPROTECTED","ACCESSIBLE","INACCESSIBLE")</f>
        <v>INACCESSIBLE</v>
      </c>
      <c r="E19" s="859"/>
      <c r="F19" s="860"/>
      <c r="G19" s="507"/>
      <c r="I19" s="459"/>
    </row>
    <row r="20" spans="1:9" ht="14.65" customHeight="1">
      <c r="A20" s="464" t="str">
        <f>"ECC Parity Region 4 Section"</f>
        <v>ECC Parity Region 4 Section</v>
      </c>
      <c r="B20" s="232" t="str">
        <f>"0x" &amp; DEC2HEX((B57),9)</f>
        <v>0x1A2000000</v>
      </c>
      <c r="C20" s="232" t="str">
        <f>C52</f>
        <v>96MB</v>
      </c>
      <c r="D20" s="516" t="str">
        <f>IF(D30="UNPROTECTED","ACCESSIBLE","INACCESSIBLE")</f>
        <v>INACCESSIBLE</v>
      </c>
      <c r="E20" s="859"/>
      <c r="F20" s="860"/>
      <c r="G20" s="507"/>
      <c r="I20" s="459"/>
    </row>
    <row r="21" spans="1:9" ht="14.65" customHeight="1">
      <c r="A21" s="464" t="str">
        <f>"ECC Parity Region 5 Section"</f>
        <v>ECC Parity Region 5 Section</v>
      </c>
      <c r="B21" s="232" t="str">
        <f>"0x" &amp; DEC2HEX((B56),9)</f>
        <v>0x19C000000</v>
      </c>
      <c r="C21" s="232" t="str">
        <f>C52</f>
        <v>96MB</v>
      </c>
      <c r="D21" s="516" t="str">
        <f>IF(D29="UNPROTECTED","ACCESSIBLE","INACCESSIBLE")</f>
        <v>INACCESSIBLE</v>
      </c>
      <c r="E21" s="859"/>
      <c r="F21" s="860"/>
      <c r="G21" s="507"/>
      <c r="I21" s="459"/>
    </row>
    <row r="22" spans="1:9" ht="14.65" customHeight="1">
      <c r="A22" s="464" t="str">
        <f>"ECC Parity Region 6 Section"</f>
        <v>ECC Parity Region 6 Section</v>
      </c>
      <c r="B22" s="232" t="str">
        <f>"0x" &amp; DEC2HEX((B55),9)</f>
        <v>0x196000000</v>
      </c>
      <c r="C22" s="232" t="str">
        <f>C52</f>
        <v>96MB</v>
      </c>
      <c r="D22" s="516" t="str">
        <f>IF(D28="UNPROTECTED","ACCESSIBLE","INACCESSIBLE")</f>
        <v>INACCESSIBLE</v>
      </c>
      <c r="E22" s="859"/>
      <c r="F22" s="860"/>
      <c r="G22" s="507"/>
      <c r="I22" s="459"/>
    </row>
    <row r="23" spans="1:9" ht="14.65" customHeight="1">
      <c r="A23" s="517" t="str">
        <f>IF(D13=8,"","Other Region ECC Parity Region Section")</f>
        <v/>
      </c>
      <c r="B23" s="232" t="str">
        <f>IF(D13=8,"","0x" &amp; DEC2HEX((B54),9))</f>
        <v/>
      </c>
      <c r="C23" s="232" t="str">
        <f>IF(B51=0,"", C51)</f>
        <v/>
      </c>
      <c r="D23" s="516" t="str">
        <f>IF(D13=8,"", IF(D27="UNPROTECTED","ACCESSIBLE","INACCESSIBLE"))</f>
        <v/>
      </c>
      <c r="E23" s="859"/>
      <c r="F23" s="860"/>
      <c r="G23" s="507"/>
      <c r="I23" s="459"/>
    </row>
    <row r="24" spans="1:9" ht="15" customHeight="1" thickBot="1">
      <c r="A24" s="467" t="s">
        <v>1107</v>
      </c>
      <c r="B24" s="469" t="str">
        <f>"0x" &amp; DEC2HEX((B53),9)</f>
        <v>0x190000000</v>
      </c>
      <c r="C24" s="469" t="str">
        <f>C50</f>
        <v>96MB</v>
      </c>
      <c r="D24" s="518" t="s">
        <v>1108</v>
      </c>
      <c r="E24" s="861"/>
      <c r="F24" s="862"/>
      <c r="G24" s="507"/>
      <c r="H24" s="466"/>
      <c r="I24" s="459"/>
    </row>
    <row r="25" spans="1:9" ht="13.5" thickBot="1">
      <c r="A25" s="863" t="s">
        <v>1109</v>
      </c>
      <c r="B25" s="864"/>
      <c r="C25" s="864"/>
      <c r="D25" s="864"/>
      <c r="E25" s="864"/>
      <c r="F25" s="865"/>
      <c r="G25" s="507"/>
    </row>
    <row r="26" spans="1:9" ht="54.6" customHeight="1" thickBot="1">
      <c r="A26" s="512" t="s">
        <v>1110</v>
      </c>
      <c r="B26" s="513" t="s">
        <v>1111</v>
      </c>
      <c r="C26" s="513" t="s">
        <v>1112</v>
      </c>
      <c r="D26" s="519" t="s">
        <v>1113</v>
      </c>
      <c r="E26" s="836" t="s">
        <v>1114</v>
      </c>
      <c r="F26" s="837"/>
      <c r="G26" s="507"/>
      <c r="H26" s="466"/>
      <c r="I26" s="459"/>
    </row>
    <row r="27" spans="1:9" ht="14.65" customHeight="1">
      <c r="A27" s="463" t="str">
        <f>IF(D13=8, "N/A", "Other Region")</f>
        <v>N/A</v>
      </c>
      <c r="B27" s="457" t="str">
        <f>IF(B44=0,"","0x"&amp;DEC2HEX((B47+(7*B43/8)),9))</f>
        <v/>
      </c>
      <c r="C27" s="520" t="str">
        <f>IF(C44="0MB", "", C44)</f>
        <v/>
      </c>
      <c r="D27" s="521" t="s">
        <v>1073</v>
      </c>
      <c r="E27" s="838"/>
      <c r="F27" s="839"/>
      <c r="G27" s="522"/>
      <c r="I27" s="459"/>
    </row>
    <row r="28" spans="1:9" ht="14.65" customHeight="1">
      <c r="A28" s="464" t="s">
        <v>1069</v>
      </c>
      <c r="B28" s="219" t="str">
        <f>"0x" &amp; DEC2HEX((B47+(6*B43/8)),9)</f>
        <v>0x160000000</v>
      </c>
      <c r="C28" s="465" t="str">
        <f>C43</f>
        <v>768MB</v>
      </c>
      <c r="D28" s="523" t="s">
        <v>1073</v>
      </c>
      <c r="E28" s="838"/>
      <c r="F28" s="839"/>
      <c r="G28" s="507"/>
      <c r="I28" s="459"/>
    </row>
    <row r="29" spans="1:9" ht="14.65" customHeight="1">
      <c r="A29" s="464" t="s">
        <v>1070</v>
      </c>
      <c r="B29" s="219" t="str">
        <f>"0x" &amp; DEC2HEX((B47+(5*B43/8)),9)</f>
        <v>0x130000000</v>
      </c>
      <c r="C29" s="465" t="str">
        <f>C43</f>
        <v>768MB</v>
      </c>
      <c r="D29" s="523" t="s">
        <v>1073</v>
      </c>
      <c r="E29" s="838"/>
      <c r="F29" s="839"/>
      <c r="G29" s="507"/>
      <c r="I29" s="459"/>
    </row>
    <row r="30" spans="1:9" ht="14.65" customHeight="1">
      <c r="A30" s="464" t="s">
        <v>1071</v>
      </c>
      <c r="B30" s="219" t="str">
        <f>"0x" &amp; DEC2HEX((B47+(4*B43/8)),9)</f>
        <v>0x100000000</v>
      </c>
      <c r="C30" s="465" t="str">
        <f>C43</f>
        <v>768MB</v>
      </c>
      <c r="D30" s="523" t="s">
        <v>1073</v>
      </c>
      <c r="E30" s="838"/>
      <c r="F30" s="839"/>
      <c r="G30" s="507"/>
      <c r="I30" s="459"/>
    </row>
    <row r="31" spans="1:9" ht="14.65" customHeight="1">
      <c r="A31" s="464" t="s">
        <v>1072</v>
      </c>
      <c r="B31" s="219" t="str">
        <f>"0x" &amp; DEC2HEX((B47+(3*B43/8)),9)</f>
        <v>0x0D0000000</v>
      </c>
      <c r="C31" s="465" t="str">
        <f>C43</f>
        <v>768MB</v>
      </c>
      <c r="D31" s="523" t="s">
        <v>1073</v>
      </c>
      <c r="E31" s="838"/>
      <c r="F31" s="839"/>
      <c r="G31" s="507"/>
      <c r="I31" s="459"/>
    </row>
    <row r="32" spans="1:9" ht="14.65" customHeight="1">
      <c r="A32" s="464" t="s">
        <v>1074</v>
      </c>
      <c r="B32" s="219" t="str">
        <f>"0x" &amp; DEC2HEX((B47+(2*B43/8)),9)</f>
        <v>0x0A0000000</v>
      </c>
      <c r="C32" s="465" t="str">
        <f>C43</f>
        <v>768MB</v>
      </c>
      <c r="D32" s="523" t="s">
        <v>1073</v>
      </c>
      <c r="E32" s="838"/>
      <c r="F32" s="839"/>
      <c r="G32" s="507"/>
      <c r="I32" s="459"/>
    </row>
    <row r="33" spans="1:9" ht="14.65" customHeight="1">
      <c r="A33" s="464" t="s">
        <v>1075</v>
      </c>
      <c r="B33" s="219" t="str">
        <f>"0x" &amp; DEC2HEX((B47+(1*B43/8)),9)</f>
        <v>0x070000000</v>
      </c>
      <c r="C33" s="465" t="str">
        <f>C43</f>
        <v>768MB</v>
      </c>
      <c r="D33" s="523" t="s">
        <v>1073</v>
      </c>
      <c r="E33" s="838"/>
      <c r="F33" s="839"/>
      <c r="G33" s="507"/>
      <c r="I33" s="459"/>
    </row>
    <row r="34" spans="1:9" ht="15" customHeight="1" thickBot="1">
      <c r="A34" s="467" t="s">
        <v>1076</v>
      </c>
      <c r="B34" s="468" t="str">
        <f>"0x"&amp;DEC2HEX(B47, 9)</f>
        <v>0x040000000</v>
      </c>
      <c r="C34" s="469" t="str">
        <f>C43</f>
        <v>768MB</v>
      </c>
      <c r="D34" s="524" t="s">
        <v>1073</v>
      </c>
      <c r="E34" s="840"/>
      <c r="F34" s="841"/>
      <c r="G34" s="522"/>
      <c r="I34" s="459"/>
    </row>
    <row r="35" spans="1:9">
      <c r="A35" s="525" t="s">
        <v>1077</v>
      </c>
      <c r="B35" s="526"/>
      <c r="C35" s="527" t="str">
        <f>B41/1024/1024/8&amp;"MB"&amp;" ("&amp;B41/1024/1024/1024&amp;"Gb)"</f>
        <v>6144MB (48Gb)</v>
      </c>
      <c r="D35" s="526"/>
      <c r="E35" s="506"/>
      <c r="F35" s="506"/>
      <c r="G35" s="507"/>
    </row>
    <row r="36" spans="1:9" ht="13.5" thickBot="1">
      <c r="A36" s="528" t="s">
        <v>1115</v>
      </c>
      <c r="B36" s="529"/>
      <c r="C36" s="529"/>
      <c r="D36" s="529"/>
      <c r="E36" s="530"/>
      <c r="F36" s="530"/>
      <c r="G36" s="531"/>
    </row>
    <row r="38" spans="1:9" ht="13.5" thickBot="1"/>
    <row r="39" spans="1:9" ht="13.5" thickBot="1">
      <c r="A39" s="843" t="s">
        <v>1078</v>
      </c>
      <c r="B39" s="844"/>
      <c r="C39" s="844"/>
      <c r="D39" s="845"/>
      <c r="E39" s="532"/>
      <c r="F39" s="532"/>
      <c r="G39" s="532"/>
      <c r="H39" s="532"/>
    </row>
    <row r="40" spans="1:9">
      <c r="A40" s="470"/>
      <c r="B40" s="471" t="s">
        <v>1079</v>
      </c>
      <c r="C40" s="472" t="s">
        <v>1080</v>
      </c>
      <c r="D40" s="473" t="s">
        <v>1081</v>
      </c>
    </row>
    <row r="41" spans="1:9" ht="36">
      <c r="A41" s="474" t="s">
        <v>1083</v>
      </c>
      <c r="B41" s="475">
        <f>(('Register Configuration'!C22) * (2^'Register Configuration'!C26) * (2^'Register Configuration'!C24) * (2^'Register Configuration'!C25) * ('Register Configuration'!C28))* IF('Register Configuration'!D89=0,1, 3/4)</f>
        <v>51539607552</v>
      </c>
      <c r="C41" s="476" t="str">
        <f>B41/1024/1024/8 &amp; "MB"</f>
        <v>6144MB</v>
      </c>
      <c r="D41" s="477" t="str">
        <f>"0x"&amp;DEC2HEX(B41/8, 9)</f>
        <v>0x180000000</v>
      </c>
    </row>
    <row r="42" spans="1:9" ht="24">
      <c r="A42" s="474" t="s">
        <v>1085</v>
      </c>
      <c r="B42" s="475">
        <f>B41/8</f>
        <v>6442450944</v>
      </c>
      <c r="C42" s="481" t="str">
        <f>B42/1024/1024/8&amp;"MB"</f>
        <v>768MB</v>
      </c>
      <c r="D42" s="477" t="str">
        <f>"0x"&amp;DEC2HEX(B42/8, 9)</f>
        <v>0x030000000</v>
      </c>
    </row>
    <row r="43" spans="1:9" ht="24">
      <c r="A43" s="485" t="s">
        <v>1086</v>
      </c>
      <c r="B43" s="475">
        <f>B41/D13</f>
        <v>6442450944</v>
      </c>
      <c r="C43" s="481" t="str">
        <f>B43/1024/1024/8&amp;"MB"</f>
        <v>768MB</v>
      </c>
      <c r="D43" s="477" t="str">
        <f>"0x"&amp;DEC2HEX(B43/8, 9)</f>
        <v>0x030000000</v>
      </c>
      <c r="E43" s="486"/>
    </row>
    <row r="44" spans="1:9" ht="60.75" thickBot="1">
      <c r="A44" s="488" t="s">
        <v>1088</v>
      </c>
      <c r="B44" s="533">
        <f>B41- (B41/8) - (7*B43)</f>
        <v>0</v>
      </c>
      <c r="C44" s="489" t="str">
        <f>B44/1024/1024/8&amp;"MB"</f>
        <v>0MB</v>
      </c>
      <c r="D44" s="490" t="str">
        <f>"0x"&amp;DEC2HEX(B44/8, 9)</f>
        <v>0x000000000</v>
      </c>
    </row>
    <row r="45" spans="1:9" ht="13.5" thickBot="1">
      <c r="E45" s="493"/>
    </row>
    <row r="46" spans="1:9" ht="24">
      <c r="A46" s="494" t="s">
        <v>1091</v>
      </c>
      <c r="B46" s="495" t="s">
        <v>1079</v>
      </c>
      <c r="C46" s="496" t="s">
        <v>1081</v>
      </c>
    </row>
    <row r="47" spans="1:9" ht="13.5" thickBot="1">
      <c r="A47" s="488" t="s">
        <v>1093</v>
      </c>
      <c r="B47" s="536">
        <f>1*1024*1024*1024</f>
        <v>1073741824</v>
      </c>
      <c r="C47" s="537" t="str">
        <f>"0x"&amp;DEC2HEX(B47,9)</f>
        <v>0x040000000</v>
      </c>
    </row>
    <row r="49" spans="1:8">
      <c r="A49" s="846" t="s">
        <v>1116</v>
      </c>
      <c r="B49" s="847"/>
      <c r="C49" s="848"/>
      <c r="E49"/>
      <c r="F49"/>
      <c r="G49"/>
      <c r="H49"/>
    </row>
    <row r="50" spans="1:8">
      <c r="A50" s="538" t="s">
        <v>1117</v>
      </c>
      <c r="B50" s="479">
        <f>B41/64/8</f>
        <v>100663296</v>
      </c>
      <c r="C50" s="539" t="str">
        <f>B50/1024/1024 &amp;"MB"</f>
        <v>96MB</v>
      </c>
      <c r="E50"/>
      <c r="F50"/>
      <c r="G50"/>
      <c r="H50"/>
    </row>
    <row r="51" spans="1:8">
      <c r="A51" s="538" t="s">
        <v>1118</v>
      </c>
      <c r="B51" s="479">
        <f>B44/8/8</f>
        <v>0</v>
      </c>
      <c r="C51" s="539" t="str">
        <f>B51/1024/1024 &amp; "MB"</f>
        <v>0MB</v>
      </c>
      <c r="E51"/>
      <c r="F51"/>
      <c r="G51"/>
      <c r="H51"/>
    </row>
    <row r="52" spans="1:8" ht="24">
      <c r="A52" s="538" t="s">
        <v>1119</v>
      </c>
      <c r="B52" s="479">
        <f>B43/8/8</f>
        <v>100663296</v>
      </c>
      <c r="C52" s="539" t="str">
        <f>B52/1024/1024 &amp; "MB"</f>
        <v>96MB</v>
      </c>
      <c r="E52"/>
      <c r="F52"/>
      <c r="G52"/>
      <c r="H52"/>
    </row>
    <row r="53" spans="1:8" ht="24">
      <c r="A53" s="538" t="s">
        <v>1120</v>
      </c>
      <c r="B53" s="479">
        <f>B47 + B41/8 - B41/8/8</f>
        <v>6710886400</v>
      </c>
      <c r="C53" s="6"/>
      <c r="E53"/>
      <c r="F53"/>
      <c r="G53"/>
      <c r="H53"/>
    </row>
    <row r="54" spans="1:8">
      <c r="A54" s="538" t="s">
        <v>1121</v>
      </c>
      <c r="B54" s="479">
        <f>B53+ B50</f>
        <v>6811549696</v>
      </c>
      <c r="C54" s="6"/>
      <c r="E54"/>
      <c r="F54"/>
      <c r="G54"/>
      <c r="H54"/>
    </row>
    <row r="55" spans="1:8">
      <c r="A55" s="538" t="s">
        <v>1122</v>
      </c>
      <c r="B55" s="479">
        <f>B54+ B51</f>
        <v>6811549696</v>
      </c>
      <c r="C55" s="6"/>
      <c r="E55"/>
      <c r="F55"/>
      <c r="G55"/>
      <c r="H55"/>
    </row>
    <row r="56" spans="1:8">
      <c r="A56" s="538" t="s">
        <v>1123</v>
      </c>
      <c r="B56" s="479">
        <f>B55+ B52</f>
        <v>6912212992</v>
      </c>
      <c r="E56"/>
      <c r="F56"/>
      <c r="G56"/>
      <c r="H56"/>
    </row>
    <row r="57" spans="1:8">
      <c r="A57" s="538" t="s">
        <v>1124</v>
      </c>
      <c r="B57" s="479">
        <f>B56+ B52</f>
        <v>7012876288</v>
      </c>
      <c r="E57"/>
      <c r="F57"/>
      <c r="G57"/>
      <c r="H57"/>
    </row>
    <row r="58" spans="1:8">
      <c r="A58" s="538" t="s">
        <v>1125</v>
      </c>
      <c r="B58" s="479">
        <f>B57+ B52</f>
        <v>7113539584</v>
      </c>
      <c r="E58"/>
      <c r="F58"/>
      <c r="G58"/>
      <c r="H58"/>
    </row>
    <row r="59" spans="1:8">
      <c r="A59" s="538" t="s">
        <v>1126</v>
      </c>
      <c r="B59" s="479">
        <f>B58+ B52</f>
        <v>7214202880</v>
      </c>
      <c r="E59"/>
      <c r="F59"/>
      <c r="G59"/>
      <c r="H59"/>
    </row>
    <row r="60" spans="1:8">
      <c r="A60" s="538" t="s">
        <v>1127</v>
      </c>
      <c r="B60" s="479">
        <f>B59+ B52</f>
        <v>7314866176</v>
      </c>
      <c r="E60"/>
      <c r="F60"/>
      <c r="G60"/>
      <c r="H60"/>
    </row>
    <row r="61" spans="1:8">
      <c r="A61" s="538" t="s">
        <v>1189</v>
      </c>
      <c r="B61" s="479">
        <f>B60+ B52</f>
        <v>7415529472</v>
      </c>
      <c r="E61"/>
      <c r="F61"/>
      <c r="G61"/>
      <c r="H61"/>
    </row>
    <row r="62" spans="1:8" ht="13.5" thickBot="1">
      <c r="E62"/>
      <c r="F62"/>
      <c r="G62"/>
      <c r="H62"/>
    </row>
    <row r="63" spans="1:8">
      <c r="A63" s="849" t="s">
        <v>1082</v>
      </c>
      <c r="B63" s="850"/>
      <c r="C63" s="851"/>
      <c r="E63"/>
      <c r="F63"/>
      <c r="G63"/>
      <c r="H63"/>
    </row>
    <row r="64" spans="1:8">
      <c r="A64" s="478" t="s">
        <v>1084</v>
      </c>
      <c r="B64" s="479">
        <f>LOG(ECC_Config_BinaryAligned!D13,2)-3</f>
        <v>0</v>
      </c>
      <c r="C64" s="480"/>
      <c r="E64"/>
      <c r="F64"/>
      <c r="G64"/>
      <c r="H64"/>
    </row>
    <row r="65" spans="1:8">
      <c r="A65" s="482"/>
      <c r="B65" s="483"/>
      <c r="C65" s="484"/>
      <c r="E65"/>
      <c r="F65"/>
      <c r="G65"/>
      <c r="H65"/>
    </row>
    <row r="66" spans="1:8">
      <c r="A66" s="478" t="s">
        <v>1087</v>
      </c>
      <c r="B66" s="479">
        <f>IF(D13=8,0,IF(D27="PROTECTED",1,0))</f>
        <v>0</v>
      </c>
      <c r="C66" s="487"/>
      <c r="E66"/>
      <c r="F66"/>
      <c r="G66"/>
      <c r="H66"/>
    </row>
    <row r="67" spans="1:8">
      <c r="A67" s="491" t="s">
        <v>1089</v>
      </c>
      <c r="B67" s="479">
        <f>IF(D28="PROTECTED", _xlfn.BITLSHIFT(1,6), 0)</f>
        <v>64</v>
      </c>
      <c r="C67" s="492" t="str">
        <f t="shared" ref="C67:C75" si="0">"0x"&amp;DEC2HEX(B67,7)</f>
        <v>0x0000040</v>
      </c>
      <c r="E67"/>
      <c r="F67"/>
      <c r="G67"/>
      <c r="H67"/>
    </row>
    <row r="68" spans="1:8">
      <c r="A68" s="491" t="s">
        <v>1090</v>
      </c>
      <c r="B68" s="479">
        <f>IF(D29="PROTECTED", _xlfn.BITLSHIFT(1,5), 0)</f>
        <v>32</v>
      </c>
      <c r="C68" s="492" t="str">
        <f t="shared" si="0"/>
        <v>0x0000020</v>
      </c>
      <c r="E68"/>
      <c r="F68"/>
      <c r="G68"/>
      <c r="H68"/>
    </row>
    <row r="69" spans="1:8">
      <c r="A69" s="491" t="s">
        <v>1092</v>
      </c>
      <c r="B69" s="479">
        <f>IF(D30="PROTECTED", _xlfn.BITLSHIFT(1,4), 0)</f>
        <v>16</v>
      </c>
      <c r="C69" s="492" t="str">
        <f t="shared" si="0"/>
        <v>0x0000010</v>
      </c>
      <c r="E69"/>
      <c r="F69"/>
      <c r="G69"/>
      <c r="H69"/>
    </row>
    <row r="70" spans="1:8">
      <c r="A70" s="491" t="s">
        <v>1094</v>
      </c>
      <c r="B70" s="479">
        <f>IF(D31="PROTECTED", _xlfn.BITLSHIFT(1,3), 0)</f>
        <v>8</v>
      </c>
      <c r="C70" s="492" t="str">
        <f t="shared" si="0"/>
        <v>0x0000008</v>
      </c>
      <c r="E70"/>
      <c r="F70"/>
      <c r="G70"/>
      <c r="H70"/>
    </row>
    <row r="71" spans="1:8">
      <c r="A71" s="491" t="s">
        <v>1095</v>
      </c>
      <c r="B71" s="479">
        <f>IF(D32="PROTECTED", _xlfn.BITLSHIFT(1,2), 0)</f>
        <v>4</v>
      </c>
      <c r="C71" s="492" t="str">
        <f t="shared" si="0"/>
        <v>0x0000004</v>
      </c>
      <c r="E71"/>
      <c r="F71"/>
      <c r="G71"/>
      <c r="H71"/>
    </row>
    <row r="72" spans="1:8">
      <c r="A72" s="491" t="s">
        <v>1096</v>
      </c>
      <c r="B72" s="479">
        <f>IF(D33="PROTECTED", _xlfn.BITLSHIFT(1,1), 0)</f>
        <v>2</v>
      </c>
      <c r="C72" s="492" t="str">
        <f t="shared" si="0"/>
        <v>0x0000002</v>
      </c>
      <c r="E72"/>
      <c r="F72"/>
      <c r="G72"/>
      <c r="H72"/>
    </row>
    <row r="73" spans="1:8">
      <c r="A73" s="491" t="s">
        <v>1097</v>
      </c>
      <c r="B73" s="479">
        <f>IF(D34="PROTECTED", _xlfn.BITLSHIFT(1,0), 0)</f>
        <v>1</v>
      </c>
      <c r="C73" s="492" t="str">
        <f t="shared" si="0"/>
        <v>0x0000001</v>
      </c>
      <c r="E73"/>
      <c r="F73"/>
      <c r="G73"/>
      <c r="H73"/>
    </row>
    <row r="74" spans="1:8">
      <c r="A74" s="491" t="s">
        <v>1098</v>
      </c>
      <c r="B74" s="479">
        <f>SUM(B67:B73)</f>
        <v>127</v>
      </c>
      <c r="C74" s="492" t="str">
        <f t="shared" si="0"/>
        <v>0x000007F</v>
      </c>
      <c r="E74"/>
      <c r="F74"/>
      <c r="G74"/>
      <c r="H74"/>
    </row>
    <row r="75" spans="1:8" ht="13.5" thickBot="1">
      <c r="A75" s="497" t="s">
        <v>1099</v>
      </c>
      <c r="B75" s="498">
        <f>IF(AND('Register Configuration'!G27="ENABLED", (B74=0)),"ERROR!", B74)</f>
        <v>127</v>
      </c>
      <c r="C75" s="499" t="str">
        <f t="shared" si="0"/>
        <v>0x000007F</v>
      </c>
      <c r="E75"/>
      <c r="F75"/>
      <c r="G75"/>
      <c r="H75"/>
    </row>
  </sheetData>
  <mergeCells count="15">
    <mergeCell ref="A39:D39"/>
    <mergeCell ref="A49:C49"/>
    <mergeCell ref="A63:C63"/>
    <mergeCell ref="I8:K8"/>
    <mergeCell ref="A10:D10"/>
    <mergeCell ref="A11:D11"/>
    <mergeCell ref="E15:F24"/>
    <mergeCell ref="A25:F25"/>
    <mergeCell ref="A14:D14"/>
    <mergeCell ref="A1:G1"/>
    <mergeCell ref="A6:B6"/>
    <mergeCell ref="A7:E7"/>
    <mergeCell ref="A8:E8"/>
    <mergeCell ref="E26:F34"/>
    <mergeCell ref="A2:G2"/>
  </mergeCells>
  <phoneticPr fontId="34" type="noConversion"/>
  <conditionalFormatting sqref="D16">
    <cfRule type="containsText" dxfId="16" priority="5" operator="containsText" text="INACCESSIBLE">
      <formula>NOT(ISERROR(SEARCH("INACCESSIBLE",D16)))</formula>
    </cfRule>
  </conditionalFormatting>
  <conditionalFormatting sqref="D17:D25">
    <cfRule type="containsText" dxfId="15" priority="4" operator="containsText" text="INACCESSIBLE">
      <formula>NOT(ISERROR(SEARCH("INACCESSIBLE",D17)))</formula>
    </cfRule>
  </conditionalFormatting>
  <conditionalFormatting sqref="D27:D34">
    <cfRule type="beginsWith" dxfId="14" priority="3" operator="beginsWith" text="PROTECTED">
      <formula>LEFT(D27,LEN("PROTECTED"))="PROTECTED"</formula>
    </cfRule>
  </conditionalFormatting>
  <conditionalFormatting sqref="A1:G1">
    <cfRule type="containsText" dxfId="13" priority="1" operator="containsText" text="This">
      <formula>NOT(ISERROR(SEARCH("This",A1)))</formula>
    </cfRule>
    <cfRule type="containsText" dxfId="12" priority="2" operator="containsText" text="ALERT">
      <formula>NOT(ISERROR(SEARCH("ALERT",A1)))</formula>
    </cfRule>
  </conditionalFormatting>
  <dataValidations count="2">
    <dataValidation type="list" allowBlank="1" showInputMessage="1" showErrorMessage="1" sqref="D27:D34" xr:uid="{2633C257-03A1-4807-8F4A-C522609C6E0C}">
      <formula1>"PROTECTED, UNPROTECTED"</formula1>
    </dataValidation>
    <dataValidation type="list" allowBlank="1" showInputMessage="1" showErrorMessage="1" sqref="D13" xr:uid="{06225E2A-FE3A-44B4-B8EF-C6C0FE805282}">
      <formula1>"8, 16, 32, 64"</formula1>
    </dataValidation>
  </dataValidations>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13766-DF17-4E2F-88B4-4A3349DFCF4A}">
  <dimension ref="A1:K140"/>
  <sheetViews>
    <sheetView zoomScale="85" zoomScaleNormal="85" workbookViewId="0">
      <selection activeCell="D13" sqref="D13"/>
    </sheetView>
  </sheetViews>
  <sheetFormatPr defaultRowHeight="12.75"/>
  <cols>
    <col min="1" max="1" width="52.28515625" customWidth="1"/>
    <col min="2" max="2" width="14.28515625" customWidth="1"/>
    <col min="3" max="3" width="20.28515625" bestFit="1" customWidth="1"/>
    <col min="4" max="4" width="23.7109375" customWidth="1"/>
    <col min="5" max="5" width="2.28515625" style="558" customWidth="1"/>
    <col min="6" max="6" width="31.5703125" style="558" customWidth="1"/>
    <col min="7" max="7" width="6.28515625" style="558" customWidth="1"/>
    <col min="8" max="8" width="12.5703125" style="558" customWidth="1"/>
    <col min="9" max="9" width="25.5703125" customWidth="1"/>
  </cols>
  <sheetData>
    <row r="1" spans="1:11" ht="15">
      <c r="A1" s="832" t="str">
        <f>IF('Register Configuration'!D89=0, "ALERT! It's been detected that a binary-aligned density is in use, therefore you must use ECC_Config_BinaryAligned worksheet!", "This worksheet is for non-binary-aligned densities")</f>
        <v>This worksheet is for non-binary-aligned densities</v>
      </c>
      <c r="B1" s="832"/>
      <c r="C1" s="832"/>
      <c r="D1" s="832"/>
      <c r="E1" s="832"/>
      <c r="F1" s="832"/>
      <c r="G1" s="832"/>
    </row>
    <row r="2" spans="1:11" ht="37.9" customHeight="1">
      <c r="A2" s="868" t="s">
        <v>1194</v>
      </c>
      <c r="B2" s="868"/>
      <c r="C2" s="868"/>
      <c r="D2" s="868"/>
      <c r="E2" s="868"/>
      <c r="F2" s="868"/>
      <c r="G2" s="868"/>
    </row>
    <row r="3" spans="1:11">
      <c r="A3" s="501" t="s">
        <v>1063</v>
      </c>
      <c r="B3" s="502"/>
      <c r="C3" s="12"/>
      <c r="D3" s="8"/>
      <c r="E3" s="28"/>
      <c r="F3" s="28"/>
      <c r="G3" s="28"/>
    </row>
    <row r="4" spans="1:11">
      <c r="A4" s="501" t="s">
        <v>1064</v>
      </c>
      <c r="B4" s="502"/>
      <c r="C4" s="12"/>
      <c r="D4" s="8"/>
      <c r="E4" s="28"/>
      <c r="F4" s="28"/>
      <c r="G4" s="28"/>
    </row>
    <row r="5" spans="1:11">
      <c r="A5" s="500" t="s">
        <v>327</v>
      </c>
      <c r="B5" s="8"/>
      <c r="C5" s="8"/>
      <c r="D5" s="8"/>
      <c r="E5" s="28"/>
      <c r="F5" s="28"/>
      <c r="G5" s="28"/>
    </row>
    <row r="6" spans="1:11">
      <c r="A6" s="833" t="s">
        <v>1100</v>
      </c>
      <c r="B6" s="834"/>
      <c r="C6" s="460"/>
      <c r="D6" s="8"/>
      <c r="E6" s="28"/>
      <c r="F6" s="28"/>
      <c r="G6" s="28"/>
    </row>
    <row r="7" spans="1:11">
      <c r="A7" s="835" t="s">
        <v>1101</v>
      </c>
      <c r="B7" s="835"/>
      <c r="C7" s="835"/>
      <c r="D7" s="835"/>
      <c r="E7" s="835"/>
      <c r="F7" s="28"/>
      <c r="G7" s="28"/>
    </row>
    <row r="8" spans="1:11" ht="13.5" thickBot="1">
      <c r="A8" s="835" t="s">
        <v>1065</v>
      </c>
      <c r="B8" s="835"/>
      <c r="C8" s="835"/>
      <c r="D8" s="835"/>
      <c r="E8" s="835"/>
      <c r="F8" s="28"/>
      <c r="G8" s="28"/>
      <c r="I8" s="759"/>
      <c r="J8" s="759"/>
      <c r="K8" s="759"/>
    </row>
    <row r="9" spans="1:11" ht="13.5" thickBot="1">
      <c r="A9" s="888" t="s">
        <v>1181</v>
      </c>
      <c r="B9" s="889"/>
      <c r="C9" s="889"/>
      <c r="D9" s="889"/>
      <c r="E9" s="889"/>
      <c r="F9" s="889"/>
      <c r="G9" s="890"/>
      <c r="I9" s="557"/>
      <c r="J9" s="461"/>
      <c r="K9" s="461"/>
    </row>
    <row r="10" spans="1:11" ht="13.5" thickBot="1">
      <c r="A10" s="852" t="s">
        <v>1066</v>
      </c>
      <c r="B10" s="853"/>
      <c r="C10" s="853"/>
      <c r="D10" s="853"/>
      <c r="E10" s="504"/>
      <c r="F10" s="504"/>
      <c r="G10" s="505"/>
    </row>
    <row r="11" spans="1:11" ht="13.5" thickBot="1">
      <c r="A11" s="854" t="s">
        <v>1067</v>
      </c>
      <c r="B11" s="855"/>
      <c r="C11" s="855"/>
      <c r="D11" s="856"/>
      <c r="E11" s="506"/>
      <c r="F11" s="506"/>
      <c r="G11" s="507"/>
    </row>
    <row r="12" spans="1:11">
      <c r="A12" s="462"/>
      <c r="B12" s="12"/>
      <c r="C12" s="12"/>
      <c r="D12" s="508" t="s">
        <v>1068</v>
      </c>
      <c r="E12" s="506"/>
      <c r="F12" s="506"/>
      <c r="G12" s="507"/>
    </row>
    <row r="13" spans="1:11" ht="13.5" thickBot="1">
      <c r="A13" s="509"/>
      <c r="B13" s="510"/>
      <c r="C13" s="510"/>
      <c r="D13" s="511">
        <v>8</v>
      </c>
      <c r="E13" s="506"/>
      <c r="F13" s="506"/>
      <c r="G13" s="507"/>
    </row>
    <row r="14" spans="1:11" ht="14.65" customHeight="1" thickBot="1">
      <c r="A14" s="872" t="str">
        <f>IF(B140="ERROR!", "ALERT! ATLEAST ONE REGION MUST BE PROTECTED WHEN ECC ENABLED!", "")</f>
        <v/>
      </c>
      <c r="B14" s="873"/>
      <c r="C14" s="873"/>
      <c r="D14" s="873"/>
      <c r="E14" s="506"/>
      <c r="F14" s="506"/>
      <c r="G14" s="507"/>
    </row>
    <row r="15" spans="1:11" ht="57.75" customHeight="1" thickBot="1">
      <c r="A15" s="583" t="s">
        <v>1176</v>
      </c>
      <c r="B15" s="584" t="s">
        <v>1103</v>
      </c>
      <c r="C15" s="584" t="s">
        <v>1104</v>
      </c>
      <c r="D15" s="585" t="s">
        <v>1105</v>
      </c>
      <c r="E15" s="874" t="s">
        <v>1106</v>
      </c>
      <c r="F15" s="875"/>
      <c r="G15" s="905" t="s">
        <v>1196</v>
      </c>
      <c r="H15" s="906"/>
      <c r="I15" s="907"/>
    </row>
    <row r="16" spans="1:11" ht="14.65" customHeight="1">
      <c r="A16" s="586" t="str">
        <f>"ECC Parity Region 0 Section"</f>
        <v>ECC Parity Region 0 Section</v>
      </c>
      <c r="B16" s="92" t="str">
        <f>"0x" &amp; DEC2HEX((B126),9)</f>
        <v>0x1BE000000</v>
      </c>
      <c r="C16" s="92" t="str">
        <f>C99</f>
        <v>32MB</v>
      </c>
      <c r="D16" s="515" t="str">
        <f>IF(D34="UNPROTECTED","ACCESSIBLE","INACCESSIBLE")</f>
        <v>INACCESSIBLE</v>
      </c>
      <c r="E16" s="859"/>
      <c r="F16" s="860"/>
      <c r="G16" s="908"/>
      <c r="H16" s="909"/>
      <c r="I16" s="910"/>
    </row>
    <row r="17" spans="1:9" ht="14.65" customHeight="1">
      <c r="A17" s="587" t="str">
        <f>"ECC Parity Region 1 Section"</f>
        <v>ECC Parity Region 1 Section</v>
      </c>
      <c r="B17" s="232" t="str">
        <f>"0x" &amp; DEC2HEX((B125),9)</f>
        <v>0x1BC000000</v>
      </c>
      <c r="C17" s="232" t="str">
        <f>C99</f>
        <v>32MB</v>
      </c>
      <c r="D17" s="516" t="str">
        <f>IF(D33="UNPROTECTED","ACCESSIBLE","INACCESSIBLE")</f>
        <v>INACCESSIBLE</v>
      </c>
      <c r="E17" s="859"/>
      <c r="F17" s="860"/>
      <c r="G17" s="908"/>
      <c r="H17" s="909"/>
      <c r="I17" s="910"/>
    </row>
    <row r="18" spans="1:9" ht="14.65" customHeight="1">
      <c r="A18" s="587" t="str">
        <f>"ECC Parity Region 2 Section"</f>
        <v>ECC Parity Region 2 Section</v>
      </c>
      <c r="B18" s="232" t="str">
        <f>"0x" &amp; DEC2HEX((B124),9)</f>
        <v>0x1BA000000</v>
      </c>
      <c r="C18" s="232" t="str">
        <f>C99</f>
        <v>32MB</v>
      </c>
      <c r="D18" s="516" t="str">
        <f>IF(D32="UNPROTECTED","ACCESSIBLE","INACCESSIBLE")</f>
        <v>INACCESSIBLE</v>
      </c>
      <c r="E18" s="859"/>
      <c r="F18" s="860"/>
      <c r="G18" s="908"/>
      <c r="H18" s="909"/>
      <c r="I18" s="910"/>
    </row>
    <row r="19" spans="1:9" ht="14.65" customHeight="1">
      <c r="A19" s="587" t="str">
        <f>"ECC Parity Region 3 Section"</f>
        <v>ECC Parity Region 3 Section</v>
      </c>
      <c r="B19" s="232" t="str">
        <f>"0x" &amp; DEC2HEX((B123),9)</f>
        <v>0x1B8000000</v>
      </c>
      <c r="C19" s="232" t="str">
        <f>C99</f>
        <v>32MB</v>
      </c>
      <c r="D19" s="516" t="str">
        <f>IF(D31="UNPROTECTED","ACCESSIBLE","INACCESSIBLE")</f>
        <v>INACCESSIBLE</v>
      </c>
      <c r="E19" s="859"/>
      <c r="F19" s="860"/>
      <c r="G19" s="908"/>
      <c r="H19" s="909"/>
      <c r="I19" s="910"/>
    </row>
    <row r="20" spans="1:9" ht="14.65" customHeight="1">
      <c r="A20" s="587" t="str">
        <f>"ECC Parity Region 4 Section"</f>
        <v>ECC Parity Region 4 Section</v>
      </c>
      <c r="B20" s="232" t="str">
        <f>"0x" &amp; DEC2HEX((B122),9)</f>
        <v>0x1B6000000</v>
      </c>
      <c r="C20" s="232" t="str">
        <f>C99</f>
        <v>32MB</v>
      </c>
      <c r="D20" s="516" t="str">
        <f>IF(D30="UNPROTECTED","ACCESSIBLE","INACCESSIBLE")</f>
        <v>INACCESSIBLE</v>
      </c>
      <c r="E20" s="859"/>
      <c r="F20" s="860"/>
      <c r="G20" s="908"/>
      <c r="H20" s="909"/>
      <c r="I20" s="910"/>
    </row>
    <row r="21" spans="1:9" ht="14.65" customHeight="1">
      <c r="A21" s="587" t="str">
        <f>"ECC Parity Region 5 Section"</f>
        <v>ECC Parity Region 5 Section</v>
      </c>
      <c r="B21" s="232" t="str">
        <f>"0x" &amp; DEC2HEX((B121),9)</f>
        <v>0x1B4000000</v>
      </c>
      <c r="C21" s="232" t="str">
        <f>C99</f>
        <v>32MB</v>
      </c>
      <c r="D21" s="516" t="str">
        <f>IF(D29="UNPROTECTED","ACCESSIBLE","INACCESSIBLE")</f>
        <v>INACCESSIBLE</v>
      </c>
      <c r="E21" s="859"/>
      <c r="F21" s="860"/>
      <c r="G21" s="908"/>
      <c r="H21" s="909"/>
      <c r="I21" s="910"/>
    </row>
    <row r="22" spans="1:9" ht="14.65" customHeight="1">
      <c r="A22" s="587" t="str">
        <f>"ECC Parity Region 6 Section"</f>
        <v>ECC Parity Region 6 Section</v>
      </c>
      <c r="B22" s="232" t="str">
        <f>"0x" &amp; DEC2HEX((B120),9)</f>
        <v>0x1B2000000</v>
      </c>
      <c r="C22" s="232" t="str">
        <f>C99</f>
        <v>32MB</v>
      </c>
      <c r="D22" s="516" t="str">
        <f>IF(D28="UNPROTECTED","ACCESSIBLE","INACCESSIBLE")</f>
        <v>INACCESSIBLE</v>
      </c>
      <c r="E22" s="859"/>
      <c r="F22" s="860"/>
      <c r="G22" s="908"/>
      <c r="H22" s="909"/>
      <c r="I22" s="910"/>
    </row>
    <row r="23" spans="1:9" ht="14.65" customHeight="1">
      <c r="A23" s="588" t="str">
        <f>IF(D13=8,"","Other Region ECC Parity Region Section")</f>
        <v/>
      </c>
      <c r="B23" s="232" t="str">
        <f>IF(D13=8,"","0x" &amp; DEC2HEX((B119),9))</f>
        <v/>
      </c>
      <c r="C23" s="232" t="str">
        <f>IF(B98=0,"", C98)</f>
        <v/>
      </c>
      <c r="D23" s="516" t="str">
        <f>IF(D13=8,"", IF(D27="UNPROTECTED","ACCESSIBLE","INACCESSIBLE"))</f>
        <v/>
      </c>
      <c r="E23" s="859"/>
      <c r="F23" s="860"/>
      <c r="G23" s="908"/>
      <c r="H23" s="909"/>
      <c r="I23" s="910"/>
    </row>
    <row r="24" spans="1:9" ht="15" customHeight="1" thickBot="1">
      <c r="A24" s="589" t="s">
        <v>1107</v>
      </c>
      <c r="B24" s="469" t="str">
        <f>"0x" &amp; DEC2HEX((B118),9)</f>
        <v>0x1B0000000</v>
      </c>
      <c r="C24" s="469" t="str">
        <f>C97</f>
        <v>32MB</v>
      </c>
      <c r="D24" s="518" t="s">
        <v>1108</v>
      </c>
      <c r="E24" s="861"/>
      <c r="F24" s="862"/>
      <c r="G24" s="908"/>
      <c r="H24" s="909"/>
      <c r="I24" s="910"/>
    </row>
    <row r="25" spans="1:9" ht="13.5" thickBot="1">
      <c r="A25" s="876" t="s">
        <v>1177</v>
      </c>
      <c r="B25" s="877"/>
      <c r="C25" s="877"/>
      <c r="D25" s="877"/>
      <c r="E25" s="877"/>
      <c r="F25" s="878"/>
      <c r="G25" s="908"/>
      <c r="H25" s="909"/>
      <c r="I25" s="910"/>
    </row>
    <row r="26" spans="1:9" ht="54.6" customHeight="1" thickBot="1">
      <c r="A26" s="590" t="s">
        <v>1175</v>
      </c>
      <c r="B26" s="513" t="s">
        <v>1111</v>
      </c>
      <c r="C26" s="513" t="s">
        <v>1112</v>
      </c>
      <c r="D26" s="562" t="s">
        <v>1180</v>
      </c>
      <c r="E26" s="836" t="s">
        <v>1114</v>
      </c>
      <c r="F26" s="837"/>
      <c r="G26" s="908"/>
      <c r="H26" s="909"/>
      <c r="I26" s="910"/>
    </row>
    <row r="27" spans="1:9" ht="14.65" customHeight="1">
      <c r="A27" s="586" t="str">
        <f>IF(D13=8, "N/A", "Other Region")</f>
        <v>N/A</v>
      </c>
      <c r="B27" s="457" t="str">
        <f>IF(B89=0,"","0x"&amp;DEC2HEX((B94+(7*B88/8)),9))</f>
        <v/>
      </c>
      <c r="C27" s="520" t="str">
        <f>IF(C89="0MB", "", C89)</f>
        <v/>
      </c>
      <c r="D27" s="560" t="str">
        <f t="shared" ref="D27:D34" si="0">D48</f>
        <v>PROTECTED</v>
      </c>
      <c r="E27" s="838"/>
      <c r="F27" s="839"/>
      <c r="G27" s="908"/>
      <c r="H27" s="909"/>
      <c r="I27" s="910"/>
    </row>
    <row r="28" spans="1:9" ht="14.65" customHeight="1">
      <c r="A28" s="587" t="s">
        <v>1069</v>
      </c>
      <c r="B28" s="219" t="str">
        <f>"0x" &amp; DEC2HEX((B94+(6*B88/8)),9)</f>
        <v>0x1A0000000</v>
      </c>
      <c r="C28" s="465" t="str">
        <f>C88</f>
        <v>256MB</v>
      </c>
      <c r="D28" s="561" t="str">
        <f t="shared" si="0"/>
        <v>PROTECTED</v>
      </c>
      <c r="E28" s="838"/>
      <c r="F28" s="839"/>
      <c r="G28" s="908"/>
      <c r="H28" s="909"/>
      <c r="I28" s="910"/>
    </row>
    <row r="29" spans="1:9" ht="14.65" customHeight="1">
      <c r="A29" s="587" t="s">
        <v>1070</v>
      </c>
      <c r="B29" s="219" t="str">
        <f>"0x" &amp; DEC2HEX((B94+(5*B88/8)),9)</f>
        <v>0x190000000</v>
      </c>
      <c r="C29" s="465" t="str">
        <f>C88</f>
        <v>256MB</v>
      </c>
      <c r="D29" s="561" t="str">
        <f t="shared" si="0"/>
        <v>PROTECTED</v>
      </c>
      <c r="E29" s="838"/>
      <c r="F29" s="839"/>
      <c r="G29" s="908"/>
      <c r="H29" s="909"/>
      <c r="I29" s="910"/>
    </row>
    <row r="30" spans="1:9" ht="14.65" customHeight="1">
      <c r="A30" s="587" t="s">
        <v>1071</v>
      </c>
      <c r="B30" s="219" t="str">
        <f>"0x" &amp; DEC2HEX((B94+(4*B88/8)),9)</f>
        <v>0x180000000</v>
      </c>
      <c r="C30" s="465" t="str">
        <f>C88</f>
        <v>256MB</v>
      </c>
      <c r="D30" s="561" t="str">
        <f t="shared" si="0"/>
        <v>PROTECTED</v>
      </c>
      <c r="E30" s="838"/>
      <c r="F30" s="839"/>
      <c r="G30" s="908"/>
      <c r="H30" s="909"/>
      <c r="I30" s="910"/>
    </row>
    <row r="31" spans="1:9" ht="14.65" customHeight="1">
      <c r="A31" s="587" t="s">
        <v>1072</v>
      </c>
      <c r="B31" s="219" t="str">
        <f>"0x" &amp; DEC2HEX((B94+(3*B88/8)),9)</f>
        <v>0x170000000</v>
      </c>
      <c r="C31" s="465" t="str">
        <f>C88</f>
        <v>256MB</v>
      </c>
      <c r="D31" s="561" t="str">
        <f t="shared" si="0"/>
        <v>PROTECTED</v>
      </c>
      <c r="E31" s="838"/>
      <c r="F31" s="839"/>
      <c r="G31" s="908"/>
      <c r="H31" s="909"/>
      <c r="I31" s="910"/>
    </row>
    <row r="32" spans="1:9" ht="14.65" customHeight="1">
      <c r="A32" s="587" t="s">
        <v>1074</v>
      </c>
      <c r="B32" s="219" t="str">
        <f>"0x" &amp; DEC2HEX((B94+(2*B88/8)),9)</f>
        <v>0x160000000</v>
      </c>
      <c r="C32" s="465" t="str">
        <f>C88</f>
        <v>256MB</v>
      </c>
      <c r="D32" s="561" t="str">
        <f t="shared" si="0"/>
        <v>PROTECTED</v>
      </c>
      <c r="E32" s="838"/>
      <c r="F32" s="839"/>
      <c r="G32" s="908"/>
      <c r="H32" s="909"/>
      <c r="I32" s="910"/>
    </row>
    <row r="33" spans="1:9" ht="14.65" customHeight="1">
      <c r="A33" s="587" t="s">
        <v>1075</v>
      </c>
      <c r="B33" s="219" t="str">
        <f>"0x" &amp; DEC2HEX((B94+(1*B88/8)),9)</f>
        <v>0x150000000</v>
      </c>
      <c r="C33" s="465" t="str">
        <f>C88</f>
        <v>256MB</v>
      </c>
      <c r="D33" s="561" t="str">
        <f t="shared" si="0"/>
        <v>PROTECTED</v>
      </c>
      <c r="E33" s="838"/>
      <c r="F33" s="839"/>
      <c r="G33" s="908"/>
      <c r="H33" s="909"/>
      <c r="I33" s="910"/>
    </row>
    <row r="34" spans="1:9" ht="15" customHeight="1" thickBot="1">
      <c r="A34" s="591" t="s">
        <v>1076</v>
      </c>
      <c r="B34" s="592" t="str">
        <f>"0x"&amp;DEC2HEX(B94, 9)</f>
        <v>0x140000000</v>
      </c>
      <c r="C34" s="593" t="str">
        <f>C88</f>
        <v>256MB</v>
      </c>
      <c r="D34" s="594" t="str">
        <f t="shared" si="0"/>
        <v>PROTECTED</v>
      </c>
      <c r="E34" s="879"/>
      <c r="F34" s="880"/>
      <c r="G34" s="911"/>
      <c r="H34" s="912"/>
      <c r="I34" s="913"/>
    </row>
    <row r="35" spans="1:9" ht="14.65" customHeight="1" thickBot="1">
      <c r="A35" s="881" t="str">
        <f>IF(B161="ERROR!", "ALERT! ATLEAST ONE REGION MUST BE PROTECTED WHEN ECC ENABLED!", "")</f>
        <v/>
      </c>
      <c r="B35" s="882"/>
      <c r="C35" s="882"/>
      <c r="D35" s="882"/>
      <c r="E35" s="506"/>
      <c r="F35" s="506"/>
      <c r="G35" s="507"/>
    </row>
    <row r="36" spans="1:9" ht="57.75" customHeight="1" thickBot="1">
      <c r="A36" s="583" t="s">
        <v>1174</v>
      </c>
      <c r="B36" s="584" t="s">
        <v>1103</v>
      </c>
      <c r="C36" s="584" t="s">
        <v>1104</v>
      </c>
      <c r="D36" s="585" t="s">
        <v>1105</v>
      </c>
      <c r="E36" s="874" t="s">
        <v>1106</v>
      </c>
      <c r="F36" s="875"/>
      <c r="G36" s="905" t="s">
        <v>1197</v>
      </c>
      <c r="H36" s="906"/>
      <c r="I36" s="907"/>
    </row>
    <row r="37" spans="1:9" ht="14.65" customHeight="1">
      <c r="A37" s="586" t="str">
        <f>"ECC Parity Region 0 Section"</f>
        <v>ECC Parity Region 0 Section</v>
      </c>
      <c r="B37" s="92" t="str">
        <f>"0x" &amp; DEC2HEX((B117),9)</f>
        <v>0x13E000000</v>
      </c>
      <c r="C37" s="92" t="str">
        <f t="shared" ref="C37:C42" si="1">C58</f>
        <v>32MB</v>
      </c>
      <c r="D37" s="515" t="str">
        <f>IF(D55="UNPROTECTED","ACCESSIBLE","INACCESSIBLE")</f>
        <v>INACCESSIBLE</v>
      </c>
      <c r="E37" s="859"/>
      <c r="F37" s="860"/>
      <c r="G37" s="908"/>
      <c r="H37" s="909"/>
      <c r="I37" s="910"/>
    </row>
    <row r="38" spans="1:9" ht="14.65" customHeight="1">
      <c r="A38" s="587" t="str">
        <f>"ECC Parity Region 1 Section"</f>
        <v>ECC Parity Region 1 Section</v>
      </c>
      <c r="B38" s="232" t="str">
        <f>"0x" &amp; DEC2HEX((B116),9)</f>
        <v>0x13C000000</v>
      </c>
      <c r="C38" s="232" t="str">
        <f t="shared" si="1"/>
        <v>32MB</v>
      </c>
      <c r="D38" s="516" t="str">
        <f>IF(D54="UNPROTECTED","ACCESSIBLE","INACCESSIBLE")</f>
        <v>INACCESSIBLE</v>
      </c>
      <c r="E38" s="859"/>
      <c r="F38" s="860"/>
      <c r="G38" s="908"/>
      <c r="H38" s="909"/>
      <c r="I38" s="910"/>
    </row>
    <row r="39" spans="1:9" ht="14.65" customHeight="1">
      <c r="A39" s="587" t="str">
        <f>"ECC Parity Region 2 Section"</f>
        <v>ECC Parity Region 2 Section</v>
      </c>
      <c r="B39" s="232" t="str">
        <f>"0x" &amp; DEC2HEX((B115),9)</f>
        <v>0x13A000000</v>
      </c>
      <c r="C39" s="232" t="str">
        <f t="shared" si="1"/>
        <v>32MB</v>
      </c>
      <c r="D39" s="516" t="str">
        <f>IF(D53="UNPROTECTED","ACCESSIBLE","INACCESSIBLE")</f>
        <v>INACCESSIBLE</v>
      </c>
      <c r="E39" s="859"/>
      <c r="F39" s="860"/>
      <c r="G39" s="908"/>
      <c r="H39" s="909"/>
      <c r="I39" s="910"/>
    </row>
    <row r="40" spans="1:9" ht="14.65" customHeight="1">
      <c r="A40" s="587" t="str">
        <f>"ECC Parity Region 3 Section"</f>
        <v>ECC Parity Region 3 Section</v>
      </c>
      <c r="B40" s="232" t="str">
        <f>"0x" &amp; DEC2HEX((B114),9)</f>
        <v>0x138000000</v>
      </c>
      <c r="C40" s="232" t="str">
        <f t="shared" si="1"/>
        <v>32MB</v>
      </c>
      <c r="D40" s="516" t="str">
        <f>IF(D52="UNPROTECTED","ACCESSIBLE","INACCESSIBLE")</f>
        <v>INACCESSIBLE</v>
      </c>
      <c r="E40" s="859"/>
      <c r="F40" s="860"/>
      <c r="G40" s="908"/>
      <c r="H40" s="909"/>
      <c r="I40" s="910"/>
    </row>
    <row r="41" spans="1:9" ht="14.65" customHeight="1">
      <c r="A41" s="587" t="str">
        <f>"ECC Parity Region 4 Section"</f>
        <v>ECC Parity Region 4 Section</v>
      </c>
      <c r="B41" s="232" t="str">
        <f>"0x" &amp; DEC2HEX((B113),9)</f>
        <v>0x136000000</v>
      </c>
      <c r="C41" s="232" t="str">
        <f t="shared" si="1"/>
        <v>32MB</v>
      </c>
      <c r="D41" s="516" t="str">
        <f>IF(D51="UNPROTECTED","ACCESSIBLE","INACCESSIBLE")</f>
        <v>INACCESSIBLE</v>
      </c>
      <c r="E41" s="859"/>
      <c r="F41" s="860"/>
      <c r="G41" s="908"/>
      <c r="H41" s="909"/>
      <c r="I41" s="910"/>
    </row>
    <row r="42" spans="1:9" ht="14.65" customHeight="1">
      <c r="A42" s="587" t="str">
        <f>"ECC Parity Region 5 Section"</f>
        <v>ECC Parity Region 5 Section</v>
      </c>
      <c r="B42" s="232" t="str">
        <f>"0x" &amp; DEC2HEX((B112),9)</f>
        <v>0x134000000</v>
      </c>
      <c r="C42" s="232" t="str">
        <f t="shared" si="1"/>
        <v>32MB</v>
      </c>
      <c r="D42" s="516" t="str">
        <f>IF(D50="UNPROTECTED","ACCESSIBLE","INACCESSIBLE")</f>
        <v>INACCESSIBLE</v>
      </c>
      <c r="E42" s="859"/>
      <c r="F42" s="860"/>
      <c r="G42" s="908"/>
      <c r="H42" s="909"/>
      <c r="I42" s="910"/>
    </row>
    <row r="43" spans="1:9" ht="14.65" customHeight="1">
      <c r="A43" s="587" t="str">
        <f>"ECC Parity Region 6 Section"</f>
        <v>ECC Parity Region 6 Section</v>
      </c>
      <c r="B43" s="232" t="str">
        <f>"0x" &amp; DEC2HEX((B111),9)</f>
        <v>0x132000000</v>
      </c>
      <c r="C43" s="232" t="str">
        <f t="shared" ref="C43" si="2">C64</f>
        <v>32MB</v>
      </c>
      <c r="D43" s="516" t="str">
        <f>IF(D49="UNPROTECTED","ACCESSIBLE","INACCESSIBLE")</f>
        <v>INACCESSIBLE</v>
      </c>
      <c r="E43" s="859"/>
      <c r="F43" s="860"/>
      <c r="G43" s="908"/>
      <c r="H43" s="909"/>
      <c r="I43" s="910"/>
    </row>
    <row r="44" spans="1:9" ht="14.65" customHeight="1">
      <c r="A44" s="588" t="str">
        <f>IF(D34=8,"","Other Region ECC Parity Region Section")</f>
        <v>Other Region ECC Parity Region Section</v>
      </c>
      <c r="B44" s="232" t="str">
        <f>IF(D13=8,"","0x" &amp; DEC2HEX((B110),9))</f>
        <v/>
      </c>
      <c r="C44" s="232" t="str">
        <f>C65</f>
        <v/>
      </c>
      <c r="D44" s="516" t="str">
        <f>IF(D13=8,"", IF(D48="UNPROTECTED","ACCESSIBLE","INACCESSIBLE"))</f>
        <v/>
      </c>
      <c r="E44" s="859"/>
      <c r="F44" s="860"/>
      <c r="G44" s="908"/>
      <c r="H44" s="909"/>
      <c r="I44" s="910"/>
    </row>
    <row r="45" spans="1:9" ht="15" customHeight="1" thickBot="1">
      <c r="A45" s="589" t="s">
        <v>1107</v>
      </c>
      <c r="B45" s="469" t="str">
        <f>"0x" &amp; DEC2HEX((B109),9)</f>
        <v>0x130000000</v>
      </c>
      <c r="C45" s="469" t="str">
        <f>C66</f>
        <v>32MB</v>
      </c>
      <c r="D45" s="518" t="s">
        <v>1108</v>
      </c>
      <c r="E45" s="861"/>
      <c r="F45" s="862"/>
      <c r="G45" s="908"/>
      <c r="H45" s="909"/>
      <c r="I45" s="910"/>
    </row>
    <row r="46" spans="1:9" ht="13.5" thickBot="1">
      <c r="A46" s="876" t="s">
        <v>1178</v>
      </c>
      <c r="B46" s="877"/>
      <c r="C46" s="877"/>
      <c r="D46" s="877"/>
      <c r="E46" s="877"/>
      <c r="F46" s="878"/>
      <c r="G46" s="908"/>
      <c r="H46" s="909"/>
      <c r="I46" s="910"/>
    </row>
    <row r="47" spans="1:9" ht="54.6" customHeight="1" thickBot="1">
      <c r="A47" s="590" t="s">
        <v>1173</v>
      </c>
      <c r="B47" s="513" t="s">
        <v>1111</v>
      </c>
      <c r="C47" s="513" t="s">
        <v>1112</v>
      </c>
      <c r="D47" s="562" t="s">
        <v>1180</v>
      </c>
      <c r="E47" s="836" t="s">
        <v>1114</v>
      </c>
      <c r="F47" s="837"/>
      <c r="G47" s="908"/>
      <c r="H47" s="909"/>
      <c r="I47" s="910"/>
    </row>
    <row r="48" spans="1:9" ht="14.65" customHeight="1">
      <c r="A48" s="586" t="str">
        <f>IF(D34=8, "N/A", "Other Region")</f>
        <v>Other Region</v>
      </c>
      <c r="B48" s="457" t="str">
        <f>IF(B89=0,"","0x"&amp;DEC2HEX((B93+(7*B88/8)),9))</f>
        <v/>
      </c>
      <c r="C48" s="520" t="str">
        <f>IF(C89="0MB", "", C89)</f>
        <v/>
      </c>
      <c r="D48" s="560" t="str">
        <f t="shared" ref="D48:D55" si="3">D69</f>
        <v>PROTECTED</v>
      </c>
      <c r="E48" s="838"/>
      <c r="F48" s="839"/>
      <c r="G48" s="908"/>
      <c r="H48" s="909"/>
      <c r="I48" s="910"/>
    </row>
    <row r="49" spans="1:9" ht="14.65" customHeight="1">
      <c r="A49" s="587" t="s">
        <v>1069</v>
      </c>
      <c r="B49" s="219" t="str">
        <f>"0x" &amp; DEC2HEX((B93+(6*B88/8)),9)</f>
        <v>0x120000000</v>
      </c>
      <c r="C49" s="465" t="str">
        <f>C88</f>
        <v>256MB</v>
      </c>
      <c r="D49" s="561" t="str">
        <f t="shared" si="3"/>
        <v>PROTECTED</v>
      </c>
      <c r="E49" s="838"/>
      <c r="F49" s="839"/>
      <c r="G49" s="908"/>
      <c r="H49" s="909"/>
      <c r="I49" s="910"/>
    </row>
    <row r="50" spans="1:9" ht="14.65" customHeight="1">
      <c r="A50" s="587" t="s">
        <v>1070</v>
      </c>
      <c r="B50" s="219" t="str">
        <f>"0x" &amp; DEC2HEX((B93+(5*B88/8)),9)</f>
        <v>0x110000000</v>
      </c>
      <c r="C50" s="465" t="str">
        <f>C88</f>
        <v>256MB</v>
      </c>
      <c r="D50" s="561" t="str">
        <f t="shared" si="3"/>
        <v>PROTECTED</v>
      </c>
      <c r="E50" s="838"/>
      <c r="F50" s="839"/>
      <c r="G50" s="908"/>
      <c r="H50" s="909"/>
      <c r="I50" s="910"/>
    </row>
    <row r="51" spans="1:9" ht="14.65" customHeight="1">
      <c r="A51" s="587" t="s">
        <v>1071</v>
      </c>
      <c r="B51" s="219" t="str">
        <f>"0x" &amp; DEC2HEX((B93+(4*B88/8)),9)</f>
        <v>0x100000000</v>
      </c>
      <c r="C51" s="465" t="str">
        <f>C88</f>
        <v>256MB</v>
      </c>
      <c r="D51" s="561" t="str">
        <f t="shared" si="3"/>
        <v>PROTECTED</v>
      </c>
      <c r="E51" s="838"/>
      <c r="F51" s="839"/>
      <c r="G51" s="908"/>
      <c r="H51" s="909"/>
      <c r="I51" s="910"/>
    </row>
    <row r="52" spans="1:9" ht="14.65" customHeight="1">
      <c r="A52" s="587" t="s">
        <v>1072</v>
      </c>
      <c r="B52" s="219" t="str">
        <f>"0x" &amp; DEC2HEX((B93+(3*B88/8)),9)</f>
        <v>0x0F0000000</v>
      </c>
      <c r="C52" s="465" t="str">
        <f>C88</f>
        <v>256MB</v>
      </c>
      <c r="D52" s="561" t="str">
        <f t="shared" si="3"/>
        <v>PROTECTED</v>
      </c>
      <c r="E52" s="838"/>
      <c r="F52" s="839"/>
      <c r="G52" s="908"/>
      <c r="H52" s="909"/>
      <c r="I52" s="910"/>
    </row>
    <row r="53" spans="1:9" ht="14.65" customHeight="1">
      <c r="A53" s="587" t="s">
        <v>1074</v>
      </c>
      <c r="B53" s="219" t="str">
        <f>"0x" &amp; DEC2HEX((B93+(2*B88/8)),9)</f>
        <v>0x0E0000000</v>
      </c>
      <c r="C53" s="465" t="str">
        <f>C88</f>
        <v>256MB</v>
      </c>
      <c r="D53" s="561" t="str">
        <f t="shared" si="3"/>
        <v>PROTECTED</v>
      </c>
      <c r="E53" s="838"/>
      <c r="F53" s="839"/>
      <c r="G53" s="908"/>
      <c r="H53" s="909"/>
      <c r="I53" s="910"/>
    </row>
    <row r="54" spans="1:9" ht="14.65" customHeight="1">
      <c r="A54" s="587" t="s">
        <v>1075</v>
      </c>
      <c r="B54" s="219" t="str">
        <f>"0x" &amp; DEC2HEX((B93+(1*B88/8)),9)</f>
        <v>0x0D0000000</v>
      </c>
      <c r="C54" s="465" t="str">
        <f>C88</f>
        <v>256MB</v>
      </c>
      <c r="D54" s="561" t="str">
        <f t="shared" si="3"/>
        <v>PROTECTED</v>
      </c>
      <c r="E54" s="838"/>
      <c r="F54" s="839"/>
      <c r="G54" s="908"/>
      <c r="H54" s="909"/>
      <c r="I54" s="910"/>
    </row>
    <row r="55" spans="1:9" ht="15" customHeight="1" thickBot="1">
      <c r="A55" s="591" t="s">
        <v>1076</v>
      </c>
      <c r="B55" s="592" t="str">
        <f>"0x"&amp;DEC2HEX(B93, 9)</f>
        <v>0x0C0000000</v>
      </c>
      <c r="C55" s="593" t="str">
        <f>C88</f>
        <v>256MB</v>
      </c>
      <c r="D55" s="594" t="str">
        <f t="shared" si="3"/>
        <v>PROTECTED</v>
      </c>
      <c r="E55" s="879"/>
      <c r="F55" s="880"/>
      <c r="G55" s="911"/>
      <c r="H55" s="912"/>
      <c r="I55" s="913"/>
    </row>
    <row r="56" spans="1:9" ht="14.65" customHeight="1" thickBot="1">
      <c r="A56" s="581" t="str">
        <f>IF(B182="ERROR!", "ALERT! ATLEAST ONE REGION MUST BE PROTECTED WHEN ECC ENABLED!", "")</f>
        <v/>
      </c>
      <c r="B56" s="582"/>
      <c r="C56" s="582"/>
      <c r="D56" s="582"/>
      <c r="E56" s="559"/>
      <c r="F56" s="559"/>
      <c r="G56" s="507"/>
    </row>
    <row r="57" spans="1:9" ht="57.75" customHeight="1" thickBot="1">
      <c r="A57" s="569" t="s">
        <v>1172</v>
      </c>
      <c r="B57" s="570" t="s">
        <v>1103</v>
      </c>
      <c r="C57" s="570" t="s">
        <v>1104</v>
      </c>
      <c r="D57" s="571" t="s">
        <v>1105</v>
      </c>
      <c r="E57" s="885" t="s">
        <v>1106</v>
      </c>
      <c r="F57" s="886"/>
      <c r="G57" s="896" t="s">
        <v>1195</v>
      </c>
      <c r="H57" s="897"/>
      <c r="I57" s="898"/>
    </row>
    <row r="58" spans="1:9" ht="14.65" customHeight="1">
      <c r="A58" s="572" t="str">
        <f>"ECC Parity Region 0 Section"</f>
        <v>ECC Parity Region 0 Section</v>
      </c>
      <c r="B58" s="92" t="str">
        <f>"0x" &amp; DEC2HEX((B108),9)</f>
        <v>0x0BE000000</v>
      </c>
      <c r="C58" s="92" t="str">
        <f>C99</f>
        <v>32MB</v>
      </c>
      <c r="D58" s="515" t="str">
        <f>IF(D76="UNPROTECTED","ACCESSIBLE","INACCESSIBLE")</f>
        <v>INACCESSIBLE</v>
      </c>
      <c r="E58" s="859"/>
      <c r="F58" s="860"/>
      <c r="G58" s="899"/>
      <c r="H58" s="900"/>
      <c r="I58" s="901"/>
    </row>
    <row r="59" spans="1:9" ht="14.65" customHeight="1">
      <c r="A59" s="573" t="str">
        <f>"ECC Parity Region 1 Section"</f>
        <v>ECC Parity Region 1 Section</v>
      </c>
      <c r="B59" s="232" t="str">
        <f>"0x" &amp; DEC2HEX((B107),9)</f>
        <v>0x0BC000000</v>
      </c>
      <c r="C59" s="232" t="str">
        <f>C99</f>
        <v>32MB</v>
      </c>
      <c r="D59" s="516" t="str">
        <f>IF(D75="UNPROTECTED","ACCESSIBLE","INACCESSIBLE")</f>
        <v>INACCESSIBLE</v>
      </c>
      <c r="E59" s="859"/>
      <c r="F59" s="860"/>
      <c r="G59" s="899"/>
      <c r="H59" s="900"/>
      <c r="I59" s="901"/>
    </row>
    <row r="60" spans="1:9" ht="14.65" customHeight="1">
      <c r="A60" s="573" t="str">
        <f>"ECC Parity Region 2 Section"</f>
        <v>ECC Parity Region 2 Section</v>
      </c>
      <c r="B60" s="232" t="str">
        <f>"0x" &amp; DEC2HEX((B106),9)</f>
        <v>0x0BA000000</v>
      </c>
      <c r="C60" s="232" t="str">
        <f>C99</f>
        <v>32MB</v>
      </c>
      <c r="D60" s="516" t="str">
        <f>IF(D74="UNPROTECTED","ACCESSIBLE","INACCESSIBLE")</f>
        <v>INACCESSIBLE</v>
      </c>
      <c r="E60" s="859"/>
      <c r="F60" s="860"/>
      <c r="G60" s="899"/>
      <c r="H60" s="900"/>
      <c r="I60" s="901"/>
    </row>
    <row r="61" spans="1:9" ht="14.65" customHeight="1">
      <c r="A61" s="573" t="str">
        <f>"ECC Parity Region 3 Section"</f>
        <v>ECC Parity Region 3 Section</v>
      </c>
      <c r="B61" s="232" t="str">
        <f>"0x" &amp; DEC2HEX((B105),9)</f>
        <v>0x0B8000000</v>
      </c>
      <c r="C61" s="232" t="str">
        <f>C99</f>
        <v>32MB</v>
      </c>
      <c r="D61" s="516" t="str">
        <f>IF(D73="UNPROTECTED","ACCESSIBLE","INACCESSIBLE")</f>
        <v>INACCESSIBLE</v>
      </c>
      <c r="E61" s="859"/>
      <c r="F61" s="860"/>
      <c r="G61" s="899"/>
      <c r="H61" s="900"/>
      <c r="I61" s="901"/>
    </row>
    <row r="62" spans="1:9" ht="14.65" customHeight="1">
      <c r="A62" s="573" t="str">
        <f>"ECC Parity Region 4 Section"</f>
        <v>ECC Parity Region 4 Section</v>
      </c>
      <c r="B62" s="232" t="str">
        <f>"0x" &amp; DEC2HEX((B104),9)</f>
        <v>0x0B6000000</v>
      </c>
      <c r="C62" s="232" t="str">
        <f>C99</f>
        <v>32MB</v>
      </c>
      <c r="D62" s="516" t="str">
        <f>IF(D72="UNPROTECTED","ACCESSIBLE","INACCESSIBLE")</f>
        <v>INACCESSIBLE</v>
      </c>
      <c r="E62" s="859"/>
      <c r="F62" s="860"/>
      <c r="G62" s="899"/>
      <c r="H62" s="900"/>
      <c r="I62" s="901"/>
    </row>
    <row r="63" spans="1:9" ht="14.65" customHeight="1">
      <c r="A63" s="573" t="str">
        <f>"ECC Parity Region 5 Section"</f>
        <v>ECC Parity Region 5 Section</v>
      </c>
      <c r="B63" s="232" t="str">
        <f>"0x" &amp; DEC2HEX((B103),9)</f>
        <v>0x0B4000000</v>
      </c>
      <c r="C63" s="232" t="str">
        <f>C99</f>
        <v>32MB</v>
      </c>
      <c r="D63" s="516" t="str">
        <f>IF(D71="UNPROTECTED","ACCESSIBLE","INACCESSIBLE")</f>
        <v>INACCESSIBLE</v>
      </c>
      <c r="E63" s="859"/>
      <c r="F63" s="860"/>
      <c r="G63" s="899"/>
      <c r="H63" s="900"/>
      <c r="I63" s="901"/>
    </row>
    <row r="64" spans="1:9" ht="14.65" customHeight="1">
      <c r="A64" s="573" t="str">
        <f>"ECC Parity Region 6 Section"</f>
        <v>ECC Parity Region 6 Section</v>
      </c>
      <c r="B64" s="232" t="str">
        <f>"0x" &amp; DEC2HEX((B102),9)</f>
        <v>0x0B2000000</v>
      </c>
      <c r="C64" s="232" t="str">
        <f>C99</f>
        <v>32MB</v>
      </c>
      <c r="D64" s="516" t="str">
        <f>IF(D70="UNPROTECTED","ACCESSIBLE","INACCESSIBLE")</f>
        <v>INACCESSIBLE</v>
      </c>
      <c r="E64" s="859"/>
      <c r="F64" s="860"/>
      <c r="G64" s="899"/>
      <c r="H64" s="900"/>
      <c r="I64" s="901"/>
    </row>
    <row r="65" spans="1:9" ht="14.65" customHeight="1">
      <c r="A65" s="574" t="str">
        <f>IF(D55=8,"","Other Region ECC Parity Region Section")</f>
        <v>Other Region ECC Parity Region Section</v>
      </c>
      <c r="B65" s="232" t="str">
        <f>IF(D13=8,"","0x" &amp; DEC2HEX((B101),9))</f>
        <v/>
      </c>
      <c r="C65" s="232" t="str">
        <f>IF(B98=0,"", C98)</f>
        <v/>
      </c>
      <c r="D65" s="516" t="str">
        <f>IF(D13=8,"", IF(D69="UNPROTECTED","ACCESSIBLE","INACCESSIBLE"))</f>
        <v/>
      </c>
      <c r="E65" s="859"/>
      <c r="F65" s="860"/>
      <c r="G65" s="899"/>
      <c r="H65" s="900"/>
      <c r="I65" s="901"/>
    </row>
    <row r="66" spans="1:9" ht="15" customHeight="1" thickBot="1">
      <c r="A66" s="575" t="s">
        <v>1107</v>
      </c>
      <c r="B66" s="469" t="str">
        <f>"0x" &amp; DEC2HEX((B100),9)</f>
        <v>0x0B0000000</v>
      </c>
      <c r="C66" s="469" t="str">
        <f>C97</f>
        <v>32MB</v>
      </c>
      <c r="D66" s="518" t="s">
        <v>1108</v>
      </c>
      <c r="E66" s="861"/>
      <c r="F66" s="862"/>
      <c r="G66" s="899"/>
      <c r="H66" s="900"/>
      <c r="I66" s="901"/>
    </row>
    <row r="67" spans="1:9" ht="13.5" thickBot="1">
      <c r="A67" s="887" t="s">
        <v>1179</v>
      </c>
      <c r="B67" s="877"/>
      <c r="C67" s="877"/>
      <c r="D67" s="877"/>
      <c r="E67" s="877"/>
      <c r="F67" s="878"/>
      <c r="G67" s="899"/>
      <c r="H67" s="900"/>
      <c r="I67" s="901"/>
    </row>
    <row r="68" spans="1:9" ht="54.6" customHeight="1" thickBot="1">
      <c r="A68" s="576" t="s">
        <v>1171</v>
      </c>
      <c r="B68" s="513" t="s">
        <v>1111</v>
      </c>
      <c r="C68" s="513" t="s">
        <v>1112</v>
      </c>
      <c r="D68" s="519" t="s">
        <v>1113</v>
      </c>
      <c r="E68" s="836" t="s">
        <v>1114</v>
      </c>
      <c r="F68" s="837"/>
      <c r="G68" s="899"/>
      <c r="H68" s="900"/>
      <c r="I68" s="901"/>
    </row>
    <row r="69" spans="1:9" ht="14.65" customHeight="1">
      <c r="A69" s="572" t="str">
        <f>IF(D13=8, "N/A", "Other Region")</f>
        <v>N/A</v>
      </c>
      <c r="B69" s="457" t="str">
        <f>IF(B89=0,"","0x"&amp;DEC2HEX((B92+(7*B88/8)),9))</f>
        <v/>
      </c>
      <c r="C69" s="520" t="str">
        <f>IF(C89="0MB", "", C89)</f>
        <v/>
      </c>
      <c r="D69" s="521" t="s">
        <v>1073</v>
      </c>
      <c r="E69" s="838"/>
      <c r="F69" s="839"/>
      <c r="G69" s="899"/>
      <c r="H69" s="900"/>
      <c r="I69" s="901"/>
    </row>
    <row r="70" spans="1:9" ht="14.65" customHeight="1">
      <c r="A70" s="573" t="s">
        <v>1069</v>
      </c>
      <c r="B70" s="219" t="str">
        <f>"0x" &amp; DEC2HEX((B92+(6*B88/8)),9)</f>
        <v>0x0A0000000</v>
      </c>
      <c r="C70" s="465" t="str">
        <f>C88</f>
        <v>256MB</v>
      </c>
      <c r="D70" s="523" t="s">
        <v>1073</v>
      </c>
      <c r="E70" s="838"/>
      <c r="F70" s="839"/>
      <c r="G70" s="899"/>
      <c r="H70" s="900"/>
      <c r="I70" s="901"/>
    </row>
    <row r="71" spans="1:9" ht="14.65" customHeight="1">
      <c r="A71" s="573" t="s">
        <v>1070</v>
      </c>
      <c r="B71" s="219" t="str">
        <f>"0x" &amp; DEC2HEX((B92+(5*B88/8)),9)</f>
        <v>0x090000000</v>
      </c>
      <c r="C71" s="465" t="str">
        <f>C88</f>
        <v>256MB</v>
      </c>
      <c r="D71" s="523" t="s">
        <v>1073</v>
      </c>
      <c r="E71" s="838"/>
      <c r="F71" s="839"/>
      <c r="G71" s="899"/>
      <c r="H71" s="900"/>
      <c r="I71" s="901"/>
    </row>
    <row r="72" spans="1:9" ht="14.65" customHeight="1">
      <c r="A72" s="573" t="s">
        <v>1071</v>
      </c>
      <c r="B72" s="219" t="str">
        <f>"0x" &amp; DEC2HEX((B92+(4*B88/8)),9)</f>
        <v>0x080000000</v>
      </c>
      <c r="C72" s="465" t="str">
        <f>C88</f>
        <v>256MB</v>
      </c>
      <c r="D72" s="523" t="s">
        <v>1073</v>
      </c>
      <c r="E72" s="838"/>
      <c r="F72" s="839"/>
      <c r="G72" s="899"/>
      <c r="H72" s="900"/>
      <c r="I72" s="901"/>
    </row>
    <row r="73" spans="1:9" ht="14.65" customHeight="1">
      <c r="A73" s="573" t="s">
        <v>1072</v>
      </c>
      <c r="B73" s="219" t="str">
        <f>"0x" &amp; DEC2HEX((B92+(3*B88/8)),9)</f>
        <v>0x070000000</v>
      </c>
      <c r="C73" s="465" t="str">
        <f>C88</f>
        <v>256MB</v>
      </c>
      <c r="D73" s="523" t="s">
        <v>1073</v>
      </c>
      <c r="E73" s="838"/>
      <c r="F73" s="839"/>
      <c r="G73" s="899"/>
      <c r="H73" s="900"/>
      <c r="I73" s="901"/>
    </row>
    <row r="74" spans="1:9" ht="14.65" customHeight="1">
      <c r="A74" s="573" t="s">
        <v>1074</v>
      </c>
      <c r="B74" s="219" t="str">
        <f>"0x" &amp; DEC2HEX((B92+(2*B88/8)),9)</f>
        <v>0x060000000</v>
      </c>
      <c r="C74" s="465" t="str">
        <f>C88</f>
        <v>256MB</v>
      </c>
      <c r="D74" s="523" t="s">
        <v>1073</v>
      </c>
      <c r="E74" s="838"/>
      <c r="F74" s="839"/>
      <c r="G74" s="899"/>
      <c r="H74" s="900"/>
      <c r="I74" s="901"/>
    </row>
    <row r="75" spans="1:9" ht="14.65" customHeight="1">
      <c r="A75" s="573" t="s">
        <v>1075</v>
      </c>
      <c r="B75" s="219" t="str">
        <f>"0x" &amp; DEC2HEX((B92+(1*B88/8)),9)</f>
        <v>0x050000000</v>
      </c>
      <c r="C75" s="465" t="str">
        <f>C88</f>
        <v>256MB</v>
      </c>
      <c r="D75" s="523" t="s">
        <v>1073</v>
      </c>
      <c r="E75" s="838"/>
      <c r="F75" s="839"/>
      <c r="G75" s="899"/>
      <c r="H75" s="900"/>
      <c r="I75" s="901"/>
    </row>
    <row r="76" spans="1:9" ht="15" customHeight="1" thickBot="1">
      <c r="A76" s="577" t="s">
        <v>1076</v>
      </c>
      <c r="B76" s="578" t="str">
        <f>"0x"&amp;DEC2HEX(B92, 9)</f>
        <v>0x040000000</v>
      </c>
      <c r="C76" s="579" t="str">
        <f>C88</f>
        <v>256MB</v>
      </c>
      <c r="D76" s="580" t="s">
        <v>1073</v>
      </c>
      <c r="E76" s="891"/>
      <c r="F76" s="892"/>
      <c r="G76" s="902"/>
      <c r="H76" s="903"/>
      <c r="I76" s="904"/>
    </row>
    <row r="77" spans="1:9">
      <c r="A77" s="525" t="s">
        <v>1077</v>
      </c>
      <c r="B77" s="526"/>
      <c r="C77" s="527" t="str">
        <f>B85/1024/1024/8&amp;"MB"&amp;" ("&amp;B85/1024/1024/1024&amp;"Gb)"</f>
        <v>6144MB (48Gb)</v>
      </c>
      <c r="D77" s="526"/>
      <c r="E77" s="506"/>
      <c r="F77" s="506"/>
      <c r="G77" s="563"/>
    </row>
    <row r="78" spans="1:9" ht="13.5" thickBot="1">
      <c r="A78" s="528" t="s">
        <v>1115</v>
      </c>
      <c r="B78" s="529"/>
      <c r="C78" s="529"/>
      <c r="D78" s="529"/>
      <c r="E78" s="530"/>
      <c r="F78" s="530"/>
      <c r="G78" s="531"/>
    </row>
    <row r="82" spans="1:8" ht="13.5" thickBot="1"/>
    <row r="83" spans="1:8" ht="13.5" thickBot="1">
      <c r="A83" s="843" t="s">
        <v>1078</v>
      </c>
      <c r="B83" s="844"/>
      <c r="C83" s="844"/>
      <c r="D83" s="845"/>
      <c r="E83" s="532"/>
      <c r="F83" s="532"/>
      <c r="G83" s="532"/>
      <c r="H83" s="532"/>
    </row>
    <row r="84" spans="1:8">
      <c r="A84" s="470"/>
      <c r="B84" s="471" t="s">
        <v>1079</v>
      </c>
      <c r="C84" s="472" t="s">
        <v>1080</v>
      </c>
      <c r="D84" s="473" t="s">
        <v>1081</v>
      </c>
    </row>
    <row r="85" spans="1:8" ht="36">
      <c r="A85" s="474" t="s">
        <v>1083</v>
      </c>
      <c r="B85" s="475">
        <f>(('Register Configuration'!C22) * (2^'Register Configuration'!C26) * (2^'Register Configuration'!C24) * (2^'Register Configuration'!C25) * ('Register Configuration'!C28)) * IF('Register Configuration'!D89=0,1, 3/4)</f>
        <v>51539607552</v>
      </c>
      <c r="C85" s="476" t="str">
        <f>B85/1024/1024/8 &amp; "MB"</f>
        <v>6144MB</v>
      </c>
      <c r="D85" s="477" t="str">
        <f>"0x"&amp;DEC2HEX(B85/8, 9)</f>
        <v>0x180000000</v>
      </c>
    </row>
    <row r="86" spans="1:8">
      <c r="A86" s="474" t="s">
        <v>1188</v>
      </c>
      <c r="B86" s="475">
        <f>B85/3</f>
        <v>17179869184</v>
      </c>
      <c r="C86" s="476" t="str">
        <f>B86/1024/1024/8 &amp; "MB"</f>
        <v>2048MB</v>
      </c>
      <c r="D86" s="477" t="str">
        <f>"0x"&amp;DEC2HEX(B86/8, 9)</f>
        <v>0x080000000</v>
      </c>
    </row>
    <row r="87" spans="1:8" ht="36">
      <c r="A87" s="474" t="s">
        <v>1185</v>
      </c>
      <c r="B87" s="475">
        <f>B86/8</f>
        <v>2147483648</v>
      </c>
      <c r="C87" s="481" t="str">
        <f>B87/1024/1024/8&amp;"MB"</f>
        <v>256MB</v>
      </c>
      <c r="D87" s="477" t="str">
        <f>"0x"&amp;DEC2HEX(B87/8, 9)</f>
        <v>0x010000000</v>
      </c>
    </row>
    <row r="88" spans="1:8" ht="36">
      <c r="A88" s="485" t="s">
        <v>1186</v>
      </c>
      <c r="B88" s="475">
        <f>B86/D13</f>
        <v>2147483648</v>
      </c>
      <c r="C88" s="481" t="str">
        <f>B88/1024/1024/8&amp;"MB"</f>
        <v>256MB</v>
      </c>
      <c r="D88" s="477" t="str">
        <f>"0x"&amp;DEC2HEX(B88/8, 9)</f>
        <v>0x010000000</v>
      </c>
      <c r="E88" s="486"/>
    </row>
    <row r="89" spans="1:8" ht="60.75" thickBot="1">
      <c r="A89" s="488" t="s">
        <v>1187</v>
      </c>
      <c r="B89" s="533">
        <f>(B86- (B86/8) - (7*B88))</f>
        <v>0</v>
      </c>
      <c r="C89" s="489" t="str">
        <f>B89/1024/1024/8&amp;"MB"</f>
        <v>0MB</v>
      </c>
      <c r="D89" s="490" t="str">
        <f>"0x"&amp;DEC2HEX(B89/8, 9)</f>
        <v>0x000000000</v>
      </c>
    </row>
    <row r="90" spans="1:8" ht="13.5" thickBot="1">
      <c r="E90" s="493"/>
    </row>
    <row r="91" spans="1:8" ht="24">
      <c r="A91" s="494" t="s">
        <v>1091</v>
      </c>
      <c r="B91" s="495" t="s">
        <v>1079</v>
      </c>
      <c r="C91" s="496" t="s">
        <v>1081</v>
      </c>
    </row>
    <row r="92" spans="1:8">
      <c r="A92" s="474" t="s">
        <v>1182</v>
      </c>
      <c r="B92" s="534">
        <f>1*1024*1024*1024</f>
        <v>1073741824</v>
      </c>
      <c r="C92" s="535" t="str">
        <f>"0x"&amp;DEC2HEX(B92,9)</f>
        <v>0x040000000</v>
      </c>
    </row>
    <row r="93" spans="1:8">
      <c r="A93" s="474" t="s">
        <v>1183</v>
      </c>
      <c r="B93" s="564">
        <f>(B92 + (B85/8)/3)</f>
        <v>3221225472</v>
      </c>
      <c r="C93" s="535" t="str">
        <f>"0x"&amp;DEC2HEX(B93,9)</f>
        <v>0x0C0000000</v>
      </c>
    </row>
    <row r="94" spans="1:8" ht="13.5" thickBot="1">
      <c r="A94" s="488" t="s">
        <v>1184</v>
      </c>
      <c r="B94" s="536">
        <f>(B93 + (B85/8)/3)</f>
        <v>5368709120</v>
      </c>
      <c r="C94" s="537" t="str">
        <f>"0x"&amp;DEC2HEX(B94,9)</f>
        <v>0x140000000</v>
      </c>
    </row>
    <row r="95" spans="1:8" ht="13.5" thickBot="1"/>
    <row r="96" spans="1:8">
      <c r="A96" s="893" t="s">
        <v>1116</v>
      </c>
      <c r="B96" s="894"/>
      <c r="C96" s="895"/>
      <c r="E96"/>
      <c r="F96"/>
      <c r="G96"/>
      <c r="H96"/>
    </row>
    <row r="97" spans="1:8">
      <c r="A97" s="474" t="s">
        <v>1117</v>
      </c>
      <c r="B97" s="479">
        <f>B86/64/8</f>
        <v>33554432</v>
      </c>
      <c r="C97" s="567" t="str">
        <f>B97/1024/1024 &amp;"MB"</f>
        <v>32MB</v>
      </c>
      <c r="E97"/>
      <c r="F97"/>
      <c r="G97"/>
      <c r="H97"/>
    </row>
    <row r="98" spans="1:8">
      <c r="A98" s="474" t="s">
        <v>1118</v>
      </c>
      <c r="B98" s="479">
        <f>B89/8/8</f>
        <v>0</v>
      </c>
      <c r="C98" s="567" t="str">
        <f>B98/1024/1024 &amp; "MB"</f>
        <v>0MB</v>
      </c>
      <c r="E98"/>
      <c r="F98"/>
      <c r="G98"/>
      <c r="H98"/>
    </row>
    <row r="99" spans="1:8" ht="24.75" thickBot="1">
      <c r="A99" s="488" t="s">
        <v>1119</v>
      </c>
      <c r="B99" s="566">
        <f>B88/8/8</f>
        <v>33554432</v>
      </c>
      <c r="C99" s="568" t="str">
        <f>B99/1024/1024 &amp; "MB"</f>
        <v>32MB</v>
      </c>
      <c r="E99"/>
      <c r="F99"/>
      <c r="G99"/>
      <c r="H99"/>
    </row>
    <row r="100" spans="1:8" ht="24">
      <c r="A100" s="494" t="s">
        <v>1120</v>
      </c>
      <c r="B100" s="565">
        <f>B92 + B86/8 - B86/8/8</f>
        <v>2952790016</v>
      </c>
      <c r="C100" s="869" t="s">
        <v>1190</v>
      </c>
      <c r="E100"/>
      <c r="F100"/>
      <c r="G100"/>
      <c r="H100"/>
    </row>
    <row r="101" spans="1:8">
      <c r="A101" s="474" t="s">
        <v>1121</v>
      </c>
      <c r="B101" s="479">
        <f>B100+ B97</f>
        <v>2986344448</v>
      </c>
      <c r="C101" s="870"/>
      <c r="E101"/>
      <c r="F101"/>
      <c r="G101"/>
      <c r="H101"/>
    </row>
    <row r="102" spans="1:8">
      <c r="A102" s="474" t="s">
        <v>1122</v>
      </c>
      <c r="B102" s="479">
        <f>B101+ B98</f>
        <v>2986344448</v>
      </c>
      <c r="C102" s="870"/>
      <c r="E102"/>
      <c r="F102"/>
      <c r="G102"/>
      <c r="H102"/>
    </row>
    <row r="103" spans="1:8">
      <c r="A103" s="474" t="s">
        <v>1123</v>
      </c>
      <c r="B103" s="479">
        <f>B102+ B99</f>
        <v>3019898880</v>
      </c>
      <c r="C103" s="870"/>
      <c r="E103"/>
      <c r="F103"/>
      <c r="G103"/>
      <c r="H103"/>
    </row>
    <row r="104" spans="1:8">
      <c r="A104" s="474" t="s">
        <v>1124</v>
      </c>
      <c r="B104" s="479">
        <f>B103+ B99</f>
        <v>3053453312</v>
      </c>
      <c r="C104" s="870"/>
      <c r="E104"/>
      <c r="F104"/>
      <c r="G104"/>
      <c r="H104"/>
    </row>
    <row r="105" spans="1:8">
      <c r="A105" s="474" t="s">
        <v>1125</v>
      </c>
      <c r="B105" s="479">
        <f>B104+ B99</f>
        <v>3087007744</v>
      </c>
      <c r="C105" s="870"/>
      <c r="E105"/>
      <c r="F105"/>
      <c r="G105"/>
      <c r="H105"/>
    </row>
    <row r="106" spans="1:8">
      <c r="A106" s="474" t="s">
        <v>1126</v>
      </c>
      <c r="B106" s="479">
        <f>B105+ B99</f>
        <v>3120562176</v>
      </c>
      <c r="C106" s="870"/>
      <c r="E106"/>
      <c r="F106"/>
      <c r="G106"/>
      <c r="H106"/>
    </row>
    <row r="107" spans="1:8">
      <c r="A107" s="474" t="s">
        <v>1127</v>
      </c>
      <c r="B107" s="479">
        <f>B106+ B99</f>
        <v>3154116608</v>
      </c>
      <c r="C107" s="870"/>
      <c r="E107"/>
      <c r="F107"/>
      <c r="G107"/>
      <c r="H107"/>
    </row>
    <row r="108" spans="1:8" ht="13.5" thickBot="1">
      <c r="A108" s="488" t="s">
        <v>1189</v>
      </c>
      <c r="B108" s="566">
        <f>B107+ B99</f>
        <v>3187671040</v>
      </c>
      <c r="C108" s="871"/>
      <c r="E108"/>
      <c r="F108"/>
      <c r="G108"/>
      <c r="H108"/>
    </row>
    <row r="109" spans="1:8" ht="24">
      <c r="A109" s="494" t="s">
        <v>1120</v>
      </c>
      <c r="B109" s="565">
        <f>B93 + B86/8 - B86/8/8</f>
        <v>5100273664</v>
      </c>
      <c r="C109" s="869" t="s">
        <v>1191</v>
      </c>
      <c r="E109"/>
      <c r="F109"/>
      <c r="G109"/>
      <c r="H109"/>
    </row>
    <row r="110" spans="1:8">
      <c r="A110" s="474" t="s">
        <v>1121</v>
      </c>
      <c r="B110" s="479">
        <f>B109+ B97</f>
        <v>5133828096</v>
      </c>
      <c r="C110" s="883"/>
      <c r="E110"/>
      <c r="F110"/>
      <c r="G110"/>
      <c r="H110"/>
    </row>
    <row r="111" spans="1:8">
      <c r="A111" s="474" t="s">
        <v>1122</v>
      </c>
      <c r="B111" s="479">
        <f>B110+ B98</f>
        <v>5133828096</v>
      </c>
      <c r="C111" s="883"/>
      <c r="E111"/>
      <c r="F111"/>
      <c r="G111"/>
      <c r="H111"/>
    </row>
    <row r="112" spans="1:8">
      <c r="A112" s="474" t="s">
        <v>1123</v>
      </c>
      <c r="B112" s="479">
        <f>B111+ B99</f>
        <v>5167382528</v>
      </c>
      <c r="C112" s="883"/>
      <c r="E112"/>
      <c r="F112"/>
      <c r="G112"/>
      <c r="H112"/>
    </row>
    <row r="113" spans="1:8">
      <c r="A113" s="474" t="s">
        <v>1124</v>
      </c>
      <c r="B113" s="479">
        <f>B112+ B99</f>
        <v>5200936960</v>
      </c>
      <c r="C113" s="883"/>
      <c r="E113"/>
      <c r="F113"/>
      <c r="G113"/>
      <c r="H113"/>
    </row>
    <row r="114" spans="1:8">
      <c r="A114" s="474" t="s">
        <v>1125</v>
      </c>
      <c r="B114" s="479">
        <f>B113+ B99</f>
        <v>5234491392</v>
      </c>
      <c r="C114" s="883"/>
      <c r="E114"/>
      <c r="F114"/>
      <c r="G114"/>
      <c r="H114"/>
    </row>
    <row r="115" spans="1:8">
      <c r="A115" s="474" t="s">
        <v>1126</v>
      </c>
      <c r="B115" s="479">
        <f>B114+ B99</f>
        <v>5268045824</v>
      </c>
      <c r="C115" s="883"/>
      <c r="E115"/>
      <c r="F115"/>
      <c r="G115"/>
      <c r="H115"/>
    </row>
    <row r="116" spans="1:8">
      <c r="A116" s="474" t="s">
        <v>1127</v>
      </c>
      <c r="B116" s="479">
        <f>B115+ B99</f>
        <v>5301600256</v>
      </c>
      <c r="C116" s="883"/>
      <c r="E116"/>
      <c r="F116"/>
      <c r="G116"/>
      <c r="H116"/>
    </row>
    <row r="117" spans="1:8" ht="13.5" thickBot="1">
      <c r="A117" s="488" t="s">
        <v>1189</v>
      </c>
      <c r="B117" s="566">
        <f>B116+ B99</f>
        <v>5335154688</v>
      </c>
      <c r="C117" s="884"/>
      <c r="E117"/>
      <c r="F117"/>
      <c r="G117"/>
      <c r="H117"/>
    </row>
    <row r="118" spans="1:8" ht="24">
      <c r="A118" s="494" t="s">
        <v>1120</v>
      </c>
      <c r="B118" s="565">
        <f>B94 + B86/8 - B86/8/8</f>
        <v>7247757312</v>
      </c>
      <c r="C118" s="869" t="s">
        <v>1192</v>
      </c>
      <c r="E118"/>
      <c r="F118"/>
      <c r="G118"/>
      <c r="H118"/>
    </row>
    <row r="119" spans="1:8">
      <c r="A119" s="474" t="s">
        <v>1121</v>
      </c>
      <c r="B119" s="479">
        <f>B118+ B97</f>
        <v>7281311744</v>
      </c>
      <c r="C119" s="870"/>
      <c r="E119"/>
      <c r="F119"/>
      <c r="G119"/>
      <c r="H119"/>
    </row>
    <row r="120" spans="1:8">
      <c r="A120" s="474" t="s">
        <v>1122</v>
      </c>
      <c r="B120" s="479">
        <f>B119+ B98</f>
        <v>7281311744</v>
      </c>
      <c r="C120" s="870"/>
      <c r="E120"/>
      <c r="F120"/>
      <c r="G120"/>
      <c r="H120"/>
    </row>
    <row r="121" spans="1:8">
      <c r="A121" s="474" t="s">
        <v>1123</v>
      </c>
      <c r="B121" s="479">
        <f>B120+ B99</f>
        <v>7314866176</v>
      </c>
      <c r="C121" s="870"/>
      <c r="E121"/>
      <c r="F121"/>
      <c r="G121"/>
      <c r="H121"/>
    </row>
    <row r="122" spans="1:8">
      <c r="A122" s="474" t="s">
        <v>1124</v>
      </c>
      <c r="B122" s="479">
        <f>B121+ B99</f>
        <v>7348420608</v>
      </c>
      <c r="C122" s="870"/>
      <c r="E122"/>
      <c r="F122"/>
      <c r="G122"/>
      <c r="H122"/>
    </row>
    <row r="123" spans="1:8">
      <c r="A123" s="474" t="s">
        <v>1125</v>
      </c>
      <c r="B123" s="479">
        <f>B122+ B99</f>
        <v>7381975040</v>
      </c>
      <c r="C123" s="870"/>
      <c r="E123"/>
      <c r="F123"/>
      <c r="G123"/>
      <c r="H123"/>
    </row>
    <row r="124" spans="1:8">
      <c r="A124" s="474" t="s">
        <v>1126</v>
      </c>
      <c r="B124" s="479">
        <f>B123+ B99</f>
        <v>7415529472</v>
      </c>
      <c r="C124" s="870"/>
      <c r="E124"/>
      <c r="F124"/>
      <c r="G124"/>
      <c r="H124"/>
    </row>
    <row r="125" spans="1:8">
      <c r="A125" s="474" t="s">
        <v>1127</v>
      </c>
      <c r="B125" s="479">
        <f>B124+ B99</f>
        <v>7449083904</v>
      </c>
      <c r="C125" s="870"/>
      <c r="E125"/>
      <c r="F125"/>
      <c r="G125"/>
      <c r="H125"/>
    </row>
    <row r="126" spans="1:8" ht="13.5" thickBot="1">
      <c r="A126" s="488" t="s">
        <v>1189</v>
      </c>
      <c r="B126" s="566">
        <f>B125+ B99</f>
        <v>7482638336</v>
      </c>
      <c r="C126" s="871"/>
      <c r="E126"/>
      <c r="F126"/>
      <c r="G126"/>
      <c r="H126"/>
    </row>
    <row r="127" spans="1:8" ht="13.5" thickBot="1">
      <c r="E127"/>
      <c r="F127"/>
      <c r="G127"/>
      <c r="H127"/>
    </row>
    <row r="128" spans="1:8">
      <c r="A128" s="849" t="s">
        <v>1082</v>
      </c>
      <c r="B128" s="850"/>
      <c r="C128" s="851"/>
      <c r="E128"/>
      <c r="F128"/>
      <c r="G128"/>
      <c r="H128"/>
    </row>
    <row r="129" spans="1:8">
      <c r="A129" s="478" t="s">
        <v>1084</v>
      </c>
      <c r="B129" s="479">
        <f>LOG(ECC_Config_nonBinaryAligned!D13,2)-3</f>
        <v>0</v>
      </c>
      <c r="C129" s="480"/>
      <c r="E129"/>
      <c r="F129"/>
      <c r="G129"/>
      <c r="H129"/>
    </row>
    <row r="130" spans="1:8">
      <c r="A130" s="482"/>
      <c r="B130" s="483"/>
      <c r="C130" s="484"/>
      <c r="E130"/>
      <c r="F130"/>
      <c r="G130"/>
      <c r="H130"/>
    </row>
    <row r="131" spans="1:8">
      <c r="A131" s="478" t="s">
        <v>1087</v>
      </c>
      <c r="B131" s="479">
        <f>IF(D13=8,0,IF(D27="PROTECTED",1,0))</f>
        <v>0</v>
      </c>
      <c r="C131" s="487"/>
      <c r="E131"/>
      <c r="F131"/>
      <c r="G131"/>
      <c r="H131"/>
    </row>
    <row r="132" spans="1:8">
      <c r="A132" s="491" t="s">
        <v>1089</v>
      </c>
      <c r="B132" s="479">
        <f>IF(D28="PROTECTED", _xlfn.BITLSHIFT(1,6), 0)</f>
        <v>64</v>
      </c>
      <c r="C132" s="492" t="str">
        <f t="shared" ref="C132:C140" si="4">"0x"&amp;DEC2HEX(B132,7)</f>
        <v>0x0000040</v>
      </c>
      <c r="E132"/>
      <c r="F132"/>
      <c r="G132"/>
      <c r="H132"/>
    </row>
    <row r="133" spans="1:8">
      <c r="A133" s="491" t="s">
        <v>1090</v>
      </c>
      <c r="B133" s="479">
        <f>IF(D29="PROTECTED", _xlfn.BITLSHIFT(1,5), 0)</f>
        <v>32</v>
      </c>
      <c r="C133" s="492" t="str">
        <f t="shared" si="4"/>
        <v>0x0000020</v>
      </c>
      <c r="E133"/>
      <c r="F133"/>
      <c r="G133"/>
      <c r="H133"/>
    </row>
    <row r="134" spans="1:8">
      <c r="A134" s="491" t="s">
        <v>1092</v>
      </c>
      <c r="B134" s="479">
        <f>IF(D30="PROTECTED", _xlfn.BITLSHIFT(1,4), 0)</f>
        <v>16</v>
      </c>
      <c r="C134" s="492" t="str">
        <f t="shared" si="4"/>
        <v>0x0000010</v>
      </c>
      <c r="E134"/>
      <c r="F134"/>
      <c r="G134"/>
      <c r="H134"/>
    </row>
    <row r="135" spans="1:8">
      <c r="A135" s="491" t="s">
        <v>1094</v>
      </c>
      <c r="B135" s="479">
        <f>IF(D31="PROTECTED", _xlfn.BITLSHIFT(1,3), 0)</f>
        <v>8</v>
      </c>
      <c r="C135" s="492" t="str">
        <f t="shared" si="4"/>
        <v>0x0000008</v>
      </c>
      <c r="E135"/>
      <c r="F135"/>
      <c r="G135"/>
      <c r="H135"/>
    </row>
    <row r="136" spans="1:8">
      <c r="A136" s="491" t="s">
        <v>1095</v>
      </c>
      <c r="B136" s="479">
        <f>IF(D32="PROTECTED", _xlfn.BITLSHIFT(1,2), 0)</f>
        <v>4</v>
      </c>
      <c r="C136" s="492" t="str">
        <f t="shared" si="4"/>
        <v>0x0000004</v>
      </c>
      <c r="E136"/>
      <c r="F136"/>
      <c r="G136"/>
      <c r="H136"/>
    </row>
    <row r="137" spans="1:8">
      <c r="A137" s="491" t="s">
        <v>1096</v>
      </c>
      <c r="B137" s="479">
        <f>IF(D33="PROTECTED", _xlfn.BITLSHIFT(1,1), 0)</f>
        <v>2</v>
      </c>
      <c r="C137" s="492" t="str">
        <f t="shared" si="4"/>
        <v>0x0000002</v>
      </c>
      <c r="E137"/>
      <c r="F137"/>
      <c r="G137"/>
      <c r="H137"/>
    </row>
    <row r="138" spans="1:8">
      <c r="A138" s="491" t="s">
        <v>1097</v>
      </c>
      <c r="B138" s="479">
        <f>IF(D34="PROTECTED", _xlfn.BITLSHIFT(1,0), 0)</f>
        <v>1</v>
      </c>
      <c r="C138" s="492" t="str">
        <f t="shared" si="4"/>
        <v>0x0000001</v>
      </c>
      <c r="E138"/>
      <c r="F138"/>
      <c r="G138"/>
      <c r="H138"/>
    </row>
    <row r="139" spans="1:8">
      <c r="A139" s="491" t="s">
        <v>1098</v>
      </c>
      <c r="B139" s="479">
        <f>SUM(B132:B138)</f>
        <v>127</v>
      </c>
      <c r="C139" s="492" t="str">
        <f t="shared" si="4"/>
        <v>0x000007F</v>
      </c>
      <c r="E139"/>
      <c r="F139"/>
      <c r="G139"/>
      <c r="H139"/>
    </row>
    <row r="140" spans="1:8" ht="13.5" thickBot="1">
      <c r="A140" s="497" t="s">
        <v>1099</v>
      </c>
      <c r="B140" s="498">
        <f>IF(AND('Register Configuration'!G27="ENABLED", (B139=0)),"ERROR!", B139)</f>
        <v>127</v>
      </c>
      <c r="C140" s="499" t="str">
        <f t="shared" si="4"/>
        <v>0x000007F</v>
      </c>
      <c r="E140"/>
      <c r="F140"/>
      <c r="G140"/>
      <c r="H140"/>
    </row>
  </sheetData>
  <mergeCells count="29">
    <mergeCell ref="A9:G9"/>
    <mergeCell ref="C100:C108"/>
    <mergeCell ref="A10:D10"/>
    <mergeCell ref="E68:F76"/>
    <mergeCell ref="A96:C96"/>
    <mergeCell ref="G57:I76"/>
    <mergeCell ref="G36:I55"/>
    <mergeCell ref="G15:I34"/>
    <mergeCell ref="I8:K8"/>
    <mergeCell ref="A128:C128"/>
    <mergeCell ref="C118:C126"/>
    <mergeCell ref="A11:D11"/>
    <mergeCell ref="A14:D14"/>
    <mergeCell ref="E15:F24"/>
    <mergeCell ref="A25:F25"/>
    <mergeCell ref="E26:F34"/>
    <mergeCell ref="A83:D83"/>
    <mergeCell ref="A35:D35"/>
    <mergeCell ref="E36:F45"/>
    <mergeCell ref="A46:F46"/>
    <mergeCell ref="E47:F55"/>
    <mergeCell ref="C109:C117"/>
    <mergeCell ref="E57:F66"/>
    <mergeCell ref="A67:F67"/>
    <mergeCell ref="A2:G2"/>
    <mergeCell ref="A1:G1"/>
    <mergeCell ref="A6:B6"/>
    <mergeCell ref="A7:E7"/>
    <mergeCell ref="A8:E8"/>
  </mergeCells>
  <phoneticPr fontId="34" type="noConversion"/>
  <conditionalFormatting sqref="D16">
    <cfRule type="containsText" dxfId="11" priority="13" operator="containsText" text="INACCESSIBLE">
      <formula>NOT(ISERROR(SEARCH("INACCESSIBLE",D16)))</formula>
    </cfRule>
  </conditionalFormatting>
  <conditionalFormatting sqref="D17:D24">
    <cfRule type="containsText" dxfId="10" priority="12" operator="containsText" text="INACCESSIBLE">
      <formula>NOT(ISERROR(SEARCH("INACCESSIBLE",D17)))</formula>
    </cfRule>
  </conditionalFormatting>
  <conditionalFormatting sqref="A1:G1">
    <cfRule type="containsText" dxfId="9" priority="9" operator="containsText" text="This">
      <formula>NOT(ISERROR(SEARCH("This",A1)))</formula>
    </cfRule>
    <cfRule type="containsText" dxfId="8" priority="10" operator="containsText" text="ALERT">
      <formula>NOT(ISERROR(SEARCH("ALERT",A1)))</formula>
    </cfRule>
  </conditionalFormatting>
  <conditionalFormatting sqref="D48:D55">
    <cfRule type="beginsWith" dxfId="7" priority="6" operator="beginsWith" text="PROTECTED">
      <formula>LEFT(D48,LEN("PROTECTED"))="PROTECTED"</formula>
    </cfRule>
  </conditionalFormatting>
  <conditionalFormatting sqref="D37">
    <cfRule type="containsText" dxfId="6" priority="8" operator="containsText" text="INACCESSIBLE">
      <formula>NOT(ISERROR(SEARCH("INACCESSIBLE",D37)))</formula>
    </cfRule>
  </conditionalFormatting>
  <conditionalFormatting sqref="D38:D46">
    <cfRule type="containsText" dxfId="5" priority="7" operator="containsText" text="INACCESSIBLE">
      <formula>NOT(ISERROR(SEARCH("INACCESSIBLE",D38)))</formula>
    </cfRule>
  </conditionalFormatting>
  <conditionalFormatting sqref="D69:D76">
    <cfRule type="beginsWith" dxfId="4" priority="3" operator="beginsWith" text="PROTECTED">
      <formula>LEFT(D69,LEN("PROTECTED"))="PROTECTED"</formula>
    </cfRule>
  </conditionalFormatting>
  <conditionalFormatting sqref="D27:D34">
    <cfRule type="beginsWith" dxfId="3" priority="1" operator="beginsWith" text="PROTECTED">
      <formula>LEFT(D27,LEN("PROTECTED"))="PROTECTED"</formula>
    </cfRule>
  </conditionalFormatting>
  <conditionalFormatting sqref="D58">
    <cfRule type="containsText" dxfId="2" priority="5" operator="containsText" text="INACCESSIBLE">
      <formula>NOT(ISERROR(SEARCH("INACCESSIBLE",D58)))</formula>
    </cfRule>
  </conditionalFormatting>
  <conditionalFormatting sqref="D59:D67">
    <cfRule type="containsText" dxfId="1" priority="4" operator="containsText" text="INACCESSIBLE">
      <formula>NOT(ISERROR(SEARCH("INACCESSIBLE",D59)))</formula>
    </cfRule>
  </conditionalFormatting>
  <conditionalFormatting sqref="D25">
    <cfRule type="containsText" dxfId="0" priority="2" operator="containsText" text="INACCESSIBLE">
      <formula>NOT(ISERROR(SEARCH("INACCESSIBLE",D25)))</formula>
    </cfRule>
  </conditionalFormatting>
  <dataValidations count="2">
    <dataValidation type="list" allowBlank="1" showInputMessage="1" showErrorMessage="1" sqref="D13" xr:uid="{41FD8B84-C302-447B-BB1D-F5C02BD292E7}">
      <formula1>"8, 16, 32, 64"</formula1>
    </dataValidation>
    <dataValidation type="list" allowBlank="1" showInputMessage="1" showErrorMessage="1" sqref="D69:D76" xr:uid="{C5DDDF79-E0E2-4761-A5DD-0BB3C6301D58}">
      <formula1>"PROTECTED, UNPROTECTED"</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G364"/>
  <sheetViews>
    <sheetView workbookViewId="0">
      <selection activeCell="H46" sqref="A1:XFD1048576"/>
    </sheetView>
  </sheetViews>
  <sheetFormatPr defaultRowHeight="13.5"/>
  <cols>
    <col min="1" max="1" width="17.28515625" style="122" customWidth="1"/>
    <col min="2" max="2" width="15.5703125" style="327" customWidth="1"/>
    <col min="3" max="3" width="6" style="122" customWidth="1"/>
    <col min="4" max="4" width="13.28515625" style="327" customWidth="1"/>
    <col min="5" max="5" width="98.28515625" style="122" customWidth="1"/>
  </cols>
  <sheetData>
    <row r="1" spans="1:5">
      <c r="A1" s="430" t="str">
        <f>"#  Version "&amp;'Revision History'!B3</f>
        <v>#  Version 9</v>
      </c>
    </row>
    <row r="2" spans="1:5">
      <c r="A2" s="122" t="s">
        <v>403</v>
      </c>
    </row>
    <row r="3" spans="1:5">
      <c r="A3" s="122" t="s">
        <v>404</v>
      </c>
    </row>
    <row r="4" spans="1:5">
      <c r="A4" s="122" t="s">
        <v>405</v>
      </c>
    </row>
    <row r="5" spans="1:5">
      <c r="A5" s="122" t="s">
        <v>406</v>
      </c>
    </row>
    <row r="6" spans="1:5">
      <c r="A6" s="122" t="s">
        <v>407</v>
      </c>
    </row>
    <row r="7" spans="1:5">
      <c r="A7" s="122" t="s">
        <v>402</v>
      </c>
    </row>
    <row r="8" spans="1:5">
      <c r="A8" s="122" t="s">
        <v>408</v>
      </c>
    </row>
    <row r="9" spans="1:5">
      <c r="A9" s="122" t="s">
        <v>409</v>
      </c>
    </row>
    <row r="10" spans="1:5">
      <c r="A10" s="122" t="s">
        <v>410</v>
      </c>
    </row>
    <row r="11" spans="1:5">
      <c r="A11" s="122" t="s">
        <v>411</v>
      </c>
    </row>
    <row r="12" spans="1:5">
      <c r="A12" s="122" t="s">
        <v>412</v>
      </c>
    </row>
    <row r="13" spans="1:5">
      <c r="A13" s="122" t="s">
        <v>413</v>
      </c>
    </row>
    <row r="14" spans="1:5">
      <c r="A14" s="122" t="s">
        <v>414</v>
      </c>
    </row>
    <row r="16" spans="1:5">
      <c r="A16" s="122" t="s">
        <v>1044</v>
      </c>
      <c r="B16" s="327" t="s">
        <v>1045</v>
      </c>
      <c r="D16" s="327">
        <v>3</v>
      </c>
      <c r="E16" s="122" t="s">
        <v>1214</v>
      </c>
    </row>
    <row r="18" spans="1:5">
      <c r="A18" s="122" t="s">
        <v>1020</v>
      </c>
    </row>
    <row r="19" spans="1:5">
      <c r="A19" s="122" t="s">
        <v>1021</v>
      </c>
    </row>
    <row r="20" spans="1:5">
      <c r="A20" s="122" t="s">
        <v>1022</v>
      </c>
    </row>
    <row r="21" spans="1:5">
      <c r="A21" s="122" t="s">
        <v>384</v>
      </c>
      <c r="B21" s="328" t="str">
        <f>"0x30330"&amp;IF('Register Configuration'!F32=1, "220", IF('Register Configuration'!F32=2, "228", IF('Register Configuration'!F32=3, "230", "238")))</f>
        <v>0x30330228</v>
      </c>
      <c r="C21" s="432">
        <v>32</v>
      </c>
      <c r="D21" s="327" t="s">
        <v>1023</v>
      </c>
      <c r="E21" s="122" t="str">
        <f>"#IOMUXC_SW_MUX_UART"&amp;('Register Configuration'!F32)&amp;"_RXD"</f>
        <v>#IOMUXC_SW_MUX_UART2_RXD</v>
      </c>
    </row>
    <row r="22" spans="1:5">
      <c r="A22" s="122" t="s">
        <v>384</v>
      </c>
      <c r="B22" s="328" t="str">
        <f>"0x30330"&amp;IF('Register Configuration'!F32=1, "224", IF('Register Configuration'!F32=2, "22C", IF('Register Configuration'!F32=3, "234", "23C")))</f>
        <v>0x3033022C</v>
      </c>
      <c r="C22" s="432">
        <v>32</v>
      </c>
      <c r="D22" s="327" t="s">
        <v>333</v>
      </c>
      <c r="E22" s="122" t="str">
        <f>"#IOMUXC_SW_MUX_UART"&amp;('Register Configuration'!F32)&amp;"_TXD"</f>
        <v>#IOMUXC_SW_MUX_UART2_TXD</v>
      </c>
    </row>
    <row r="23" spans="1:5">
      <c r="A23" s="122" t="s">
        <v>384</v>
      </c>
      <c r="B23" s="328" t="str">
        <f>"0x30330"&amp;IF('Register Configuration'!F32=1, "480", IF('Register Configuration'!F32=2, "488", IF('Register Configuration'!F32=3, "490", "498")))</f>
        <v>0x30330488</v>
      </c>
      <c r="C23" s="432">
        <v>32</v>
      </c>
      <c r="D23" s="327" t="s">
        <v>1043</v>
      </c>
      <c r="E23" s="122" t="str">
        <f>"#IOMUXC_SW_PAD_UART"&amp;('Register Configuration'!F32)&amp;"_RXD"</f>
        <v>#IOMUXC_SW_PAD_UART2_RXD</v>
      </c>
    </row>
    <row r="24" spans="1:5">
      <c r="A24" s="122" t="s">
        <v>384</v>
      </c>
      <c r="B24" s="328" t="str">
        <f>"0x30330"&amp;IF('Register Configuration'!F32=1, "484", IF('Register Configuration'!F32=2, "48C", IF('Register Configuration'!F32=3, "494", "49C")))</f>
        <v>0x3033048C</v>
      </c>
      <c r="C24" s="432">
        <v>32</v>
      </c>
      <c r="D24" s="327" t="s">
        <v>1043</v>
      </c>
      <c r="E24" s="122" t="str">
        <f>"#IOMUXC_SW_PAD_UART"&amp;('Register Configuration'!F32)&amp;"_TXD"</f>
        <v>#IOMUXC_SW_PAD_UART2_TXD</v>
      </c>
    </row>
    <row r="25" spans="1:5">
      <c r="A25" s="122" t="s">
        <v>384</v>
      </c>
      <c r="B25" s="328" t="str">
        <f>"0x30330"&amp;IF('Register Configuration'!F32=1, "5E8", IF('Register Configuration'!F32=2, "5F0", IF('Register Configuration'!F32=3, "5F8", "600")))</f>
        <v>0x303305F0</v>
      </c>
      <c r="C25" s="432">
        <v>32</v>
      </c>
      <c r="D25" s="328" t="str">
        <f>IF('Register Configuration'!F32=1, "0x00000004", IF('Register Configuration'!F32=2, "0x00000006", IF('Register Configuration'!F32=3, "0x00000006", "0x00000008")))</f>
        <v>0x00000006</v>
      </c>
      <c r="E25" s="122" t="str">
        <f>"#IOMUXC_SW_MUX_UART"&amp;('Register Configuration'!F32)&amp;"_SEL_RXD"</f>
        <v>#IOMUXC_SW_MUX_UART2_SEL_RXD</v>
      </c>
    </row>
    <row r="26" spans="1:5">
      <c r="A26" s="122" t="s">
        <v>1024</v>
      </c>
      <c r="B26" s="329" t="s">
        <v>1025</v>
      </c>
      <c r="C26" s="432"/>
      <c r="D26" s="328">
        <f>'Register Configuration'!F32 - 1</f>
        <v>1</v>
      </c>
      <c r="E26" s="122" t="s">
        <v>1026</v>
      </c>
    </row>
    <row r="28" spans="1:5">
      <c r="A28" s="122" t="s">
        <v>415</v>
      </c>
    </row>
    <row r="29" spans="1:5">
      <c r="A29" s="122" t="s">
        <v>384</v>
      </c>
      <c r="B29" s="327" t="s">
        <v>397</v>
      </c>
      <c r="C29" s="319">
        <v>32</v>
      </c>
      <c r="D29" s="327" t="s">
        <v>964</v>
      </c>
      <c r="E29" s="122" t="s">
        <v>966</v>
      </c>
    </row>
    <row r="30" spans="1:5">
      <c r="A30" s="122" t="s">
        <v>384</v>
      </c>
      <c r="B30" s="327" t="s">
        <v>397</v>
      </c>
      <c r="C30" s="319">
        <v>32</v>
      </c>
      <c r="D30" s="327" t="s">
        <v>965</v>
      </c>
      <c r="E30" s="122" t="s">
        <v>967</v>
      </c>
    </row>
    <row r="31" spans="1:5">
      <c r="C31" s="319"/>
    </row>
    <row r="32" spans="1:5">
      <c r="A32" s="122" t="s">
        <v>384</v>
      </c>
      <c r="B32" s="327" t="s">
        <v>421</v>
      </c>
      <c r="C32" s="319">
        <v>32</v>
      </c>
      <c r="D32" s="327" t="s">
        <v>422</v>
      </c>
      <c r="E32" s="122" t="s">
        <v>984</v>
      </c>
    </row>
    <row r="33" spans="1:5">
      <c r="A33" s="122" t="s">
        <v>384</v>
      </c>
      <c r="B33" s="327" t="s">
        <v>424</v>
      </c>
      <c r="C33" s="319">
        <v>32</v>
      </c>
      <c r="D33" s="327" t="s">
        <v>425</v>
      </c>
      <c r="E33" s="122" t="s">
        <v>985</v>
      </c>
    </row>
    <row r="34" spans="1:5">
      <c r="C34" s="319"/>
    </row>
    <row r="35" spans="1:5">
      <c r="A35" s="122" t="s">
        <v>416</v>
      </c>
      <c r="C35" s="319"/>
    </row>
    <row r="36" spans="1:5">
      <c r="A36" s="122" t="s">
        <v>384</v>
      </c>
      <c r="B36" s="327" t="s">
        <v>429</v>
      </c>
      <c r="C36" s="319">
        <v>32</v>
      </c>
      <c r="D36" s="327" t="s">
        <v>427</v>
      </c>
      <c r="E36" s="122" t="s">
        <v>428</v>
      </c>
    </row>
    <row r="37" spans="1:5">
      <c r="A37" s="122" t="s">
        <v>417</v>
      </c>
      <c r="B37" s="327" t="s">
        <v>430</v>
      </c>
      <c r="C37" s="319">
        <v>32</v>
      </c>
      <c r="D37" s="327" t="s">
        <v>431</v>
      </c>
      <c r="E37" s="122" t="s">
        <v>432</v>
      </c>
    </row>
    <row r="38" spans="1:5">
      <c r="C38" s="319"/>
    </row>
    <row r="39" spans="1:5">
      <c r="A39" s="122" t="s">
        <v>384</v>
      </c>
      <c r="B39" s="327" t="s">
        <v>433</v>
      </c>
      <c r="C39" s="319">
        <v>32</v>
      </c>
      <c r="D39" s="327" t="s">
        <v>398</v>
      </c>
      <c r="E39" s="122" t="s">
        <v>396</v>
      </c>
    </row>
    <row r="40" spans="1:5">
      <c r="C40" s="319"/>
    </row>
    <row r="41" spans="1:5">
      <c r="A41" s="122" t="s">
        <v>418</v>
      </c>
      <c r="C41" s="319"/>
    </row>
    <row r="42" spans="1:5" s="264" customFormat="1">
      <c r="A42" s="434" t="s">
        <v>1055</v>
      </c>
      <c r="B42" s="435"/>
      <c r="C42" s="436"/>
      <c r="D42" s="435"/>
      <c r="E42" s="434"/>
    </row>
    <row r="43" spans="1:5" s="264" customFormat="1">
      <c r="A43" s="434" t="s">
        <v>1014</v>
      </c>
      <c r="B43" s="435"/>
      <c r="C43" s="436"/>
      <c r="D43" s="435"/>
      <c r="E43" s="434"/>
    </row>
    <row r="44" spans="1:5" s="264" customFormat="1">
      <c r="A44" s="434" t="s">
        <v>1013</v>
      </c>
      <c r="B44" s="435"/>
      <c r="C44" s="436"/>
      <c r="D44" s="435"/>
      <c r="E44" s="434"/>
    </row>
    <row r="45" spans="1:5">
      <c r="A45" s="122" t="s">
        <v>384</v>
      </c>
      <c r="B45" s="327" t="s">
        <v>968</v>
      </c>
      <c r="C45" s="319">
        <v>32</v>
      </c>
      <c r="D45" s="328" t="str">
        <f>IF('Register Configuration'!C29=1500,"0xFA080",(IF('Register Configuration'!C29=2000,"0xFA031","TBD")))</f>
        <v>0xFA031</v>
      </c>
      <c r="E45" s="122" t="s">
        <v>1056</v>
      </c>
    </row>
    <row r="46" spans="1:5">
      <c r="A46" s="122" t="s">
        <v>384</v>
      </c>
      <c r="B46" s="327" t="s">
        <v>969</v>
      </c>
      <c r="C46" s="319">
        <v>32</v>
      </c>
      <c r="D46" s="327" t="s">
        <v>333</v>
      </c>
      <c r="E46" s="122" t="s">
        <v>970</v>
      </c>
    </row>
    <row r="47" spans="1:5">
      <c r="A47" s="122" t="s">
        <v>976</v>
      </c>
      <c r="B47" s="327" t="s">
        <v>977</v>
      </c>
      <c r="C47" s="319">
        <v>32</v>
      </c>
      <c r="D47" s="327" t="s">
        <v>971</v>
      </c>
      <c r="E47" s="122" t="s">
        <v>972</v>
      </c>
    </row>
    <row r="48" spans="1:5">
      <c r="A48" s="122" t="s">
        <v>419</v>
      </c>
      <c r="B48" s="327" t="s">
        <v>977</v>
      </c>
      <c r="C48" s="319">
        <v>32</v>
      </c>
      <c r="D48" s="327" t="s">
        <v>434</v>
      </c>
      <c r="E48" s="122" t="s">
        <v>973</v>
      </c>
    </row>
    <row r="49" spans="1:5">
      <c r="A49" s="122" t="s">
        <v>420</v>
      </c>
      <c r="B49" s="327" t="s">
        <v>977</v>
      </c>
      <c r="C49" s="319">
        <v>32</v>
      </c>
      <c r="D49" s="327" t="s">
        <v>394</v>
      </c>
      <c r="E49" s="122" t="s">
        <v>974</v>
      </c>
    </row>
    <row r="50" spans="1:5">
      <c r="C50" s="319"/>
    </row>
    <row r="51" spans="1:5">
      <c r="A51" s="122" t="s">
        <v>384</v>
      </c>
      <c r="B51" s="327" t="s">
        <v>397</v>
      </c>
      <c r="C51" s="319">
        <v>32</v>
      </c>
      <c r="D51" s="327" t="s">
        <v>975</v>
      </c>
    </row>
    <row r="52" spans="1:5">
      <c r="C52" s="319"/>
    </row>
    <row r="53" spans="1:5">
      <c r="A53" s="122" t="s">
        <v>385</v>
      </c>
    </row>
    <row r="54" spans="1:5">
      <c r="A54" s="122" t="s">
        <v>383</v>
      </c>
      <c r="B54" s="327" t="s">
        <v>386</v>
      </c>
      <c r="C54" s="319">
        <v>32</v>
      </c>
      <c r="D54" s="327" t="s">
        <v>332</v>
      </c>
      <c r="E54" s="122" t="s">
        <v>520</v>
      </c>
    </row>
    <row r="55" spans="1:5">
      <c r="A55" s="122" t="s">
        <v>383</v>
      </c>
      <c r="B55" s="327" t="s">
        <v>387</v>
      </c>
      <c r="C55" s="319">
        <v>32</v>
      </c>
      <c r="D55" s="327" t="s">
        <v>332</v>
      </c>
      <c r="E55" s="122" t="s">
        <v>521</v>
      </c>
    </row>
    <row r="56" spans="1:5">
      <c r="A56" s="122" t="s">
        <v>383</v>
      </c>
      <c r="B56" s="328" t="str">
        <f>'Register Configuration'!H45</f>
        <v>0x3D400000</v>
      </c>
      <c r="C56" s="319">
        <v>32</v>
      </c>
      <c r="D56" s="328" t="str">
        <f>'Register Configuration'!I45</f>
        <v>0xA3080020</v>
      </c>
      <c r="E56" s="122" t="s">
        <v>522</v>
      </c>
    </row>
    <row r="57" spans="1:5">
      <c r="A57" s="122" t="s">
        <v>383</v>
      </c>
      <c r="B57" s="328" t="str">
        <f>'Register Configuration'!H185</f>
        <v>0x3D400020</v>
      </c>
      <c r="C57" s="319">
        <v>32</v>
      </c>
      <c r="D57" s="328" t="str">
        <f>'Register Configuration'!I185</f>
        <v>0x00001323</v>
      </c>
      <c r="E57" s="122" t="s">
        <v>908</v>
      </c>
    </row>
    <row r="58" spans="1:5">
      <c r="A58" s="122" t="s">
        <v>383</v>
      </c>
      <c r="B58" s="328" t="str">
        <f>'Register Configuration'!H192</f>
        <v>0x3D400024</v>
      </c>
      <c r="C58" s="319">
        <v>32</v>
      </c>
      <c r="D58" s="328" t="str">
        <f>'Register Configuration'!I192</f>
        <v>0x01E84800</v>
      </c>
      <c r="E58" s="122" t="s">
        <v>909</v>
      </c>
    </row>
    <row r="59" spans="1:5">
      <c r="A59" s="122" t="s">
        <v>383</v>
      </c>
      <c r="B59" s="328" t="str">
        <f>'Register Configuration'!H105</f>
        <v>0x3D400064</v>
      </c>
      <c r="C59" s="319">
        <v>32</v>
      </c>
      <c r="D59" s="328" t="str">
        <f>'Register Configuration'!I105</f>
        <v>0x007A017C</v>
      </c>
      <c r="E59" s="122" t="s">
        <v>523</v>
      </c>
    </row>
    <row r="60" spans="1:5">
      <c r="B60" s="329"/>
      <c r="C60" s="320"/>
      <c r="D60" s="329"/>
    </row>
    <row r="61" spans="1:5">
      <c r="A61" s="122" t="s">
        <v>383</v>
      </c>
      <c r="B61" s="329" t="s">
        <v>1167</v>
      </c>
      <c r="C61" s="320">
        <v>32</v>
      </c>
      <c r="D61" s="328" t="str">
        <f>'Register Configuration'!I254</f>
        <v>0x07027F90</v>
      </c>
      <c r="E61" s="122" t="s">
        <v>1168</v>
      </c>
    </row>
    <row r="62" spans="1:5">
      <c r="A62" s="122" t="s">
        <v>383</v>
      </c>
      <c r="B62" s="329" t="s">
        <v>1169</v>
      </c>
      <c r="C62" s="320">
        <v>32</v>
      </c>
      <c r="D62" s="328" t="str">
        <f>'Register Configuration'!I266</f>
        <v>0x00000790</v>
      </c>
      <c r="E62" s="122" t="s">
        <v>1170</v>
      </c>
    </row>
    <row r="63" spans="1:5">
      <c r="A63" s="289"/>
      <c r="B63" s="329"/>
      <c r="C63" s="320"/>
      <c r="D63" s="329"/>
      <c r="E63" s="289"/>
    </row>
    <row r="64" spans="1:5">
      <c r="A64" s="122" t="s">
        <v>383</v>
      </c>
      <c r="B64" s="328" t="str">
        <f>'Register Configuration'!H109</f>
        <v>0x3D4000D0</v>
      </c>
      <c r="C64" s="319">
        <v>32</v>
      </c>
      <c r="D64" s="328" t="str">
        <f>'Register Configuration'!I109</f>
        <v>0xC00307A3</v>
      </c>
      <c r="E64" s="122" t="s">
        <v>524</v>
      </c>
    </row>
    <row r="65" spans="1:5">
      <c r="A65" s="122" t="s">
        <v>383</v>
      </c>
      <c r="B65" s="328" t="str">
        <f>'Register Configuration'!H113</f>
        <v>0x3D4000D4</v>
      </c>
      <c r="C65" s="319">
        <v>32</v>
      </c>
      <c r="D65" s="328" t="str">
        <f>'Register Configuration'!I113</f>
        <v>0x00C50000</v>
      </c>
      <c r="E65" s="122" t="s">
        <v>525</v>
      </c>
    </row>
    <row r="66" spans="1:5">
      <c r="A66" s="122" t="s">
        <v>383</v>
      </c>
      <c r="B66" s="328" t="str">
        <f>'Register Configuration'!H215</f>
        <v>0x3D4000DC</v>
      </c>
      <c r="C66" s="319">
        <v>32</v>
      </c>
      <c r="D66" s="328" t="str">
        <f>'Register Configuration'!I215</f>
        <v>0x00F4003F</v>
      </c>
      <c r="E66" s="122" t="s">
        <v>526</v>
      </c>
    </row>
    <row r="67" spans="1:5">
      <c r="A67" s="122" t="s">
        <v>383</v>
      </c>
      <c r="B67" s="328" t="str">
        <f>'Register Configuration'!H227</f>
        <v>0x3D4000E0</v>
      </c>
      <c r="C67" s="319">
        <v>32</v>
      </c>
      <c r="D67" s="328" t="str">
        <f>'Register Configuration'!I227</f>
        <v>0x00330000</v>
      </c>
      <c r="E67" s="122" t="s">
        <v>527</v>
      </c>
    </row>
    <row r="68" spans="1:5">
      <c r="A68" s="122" t="s">
        <v>383</v>
      </c>
      <c r="B68" s="328" t="str">
        <f>'Register Configuration'!H242</f>
        <v>0x3D4000E8</v>
      </c>
      <c r="C68" s="319">
        <v>32</v>
      </c>
      <c r="D68" s="328" t="str">
        <f>'Register Configuration'!I242</f>
        <v>0x00660048</v>
      </c>
      <c r="E68" s="122" t="s">
        <v>528</v>
      </c>
    </row>
    <row r="69" spans="1:5">
      <c r="A69" s="122" t="s">
        <v>383</v>
      </c>
      <c r="B69" s="328" t="str">
        <f>'Register Configuration'!H247</f>
        <v>0x3D4000EC</v>
      </c>
      <c r="C69" s="319">
        <v>32</v>
      </c>
      <c r="D69" s="328" t="str">
        <f>'Register Configuration'!I247</f>
        <v>0x00160048</v>
      </c>
      <c r="E69" s="122" t="s">
        <v>529</v>
      </c>
    </row>
    <row r="71" spans="1:5">
      <c r="A71" s="122" t="s">
        <v>384</v>
      </c>
      <c r="B71" s="328" t="str">
        <f>'Register Configuration'!H122</f>
        <v>0x3D400100</v>
      </c>
      <c r="C71" s="319">
        <v>32</v>
      </c>
      <c r="D71" s="328" t="str">
        <f>'Register Configuration'!I122</f>
        <v>0x2028222A</v>
      </c>
      <c r="E71" s="122" t="s">
        <v>530</v>
      </c>
    </row>
    <row r="72" spans="1:5">
      <c r="A72" s="122" t="s">
        <v>384</v>
      </c>
      <c r="B72" s="328" t="str">
        <f>'Register Configuration'!H127</f>
        <v>0x3D400104</v>
      </c>
      <c r="C72" s="319">
        <v>32</v>
      </c>
      <c r="D72" s="328" t="str">
        <f>'Register Configuration'!I127</f>
        <v>0x0008083F</v>
      </c>
      <c r="E72" s="122" t="s">
        <v>531</v>
      </c>
    </row>
    <row r="73" spans="1:5">
      <c r="A73" s="122" t="s">
        <v>384</v>
      </c>
      <c r="B73" s="328" t="str">
        <f>'Register Configuration'!H138</f>
        <v>0x3D40010C</v>
      </c>
      <c r="C73" s="319">
        <v>32</v>
      </c>
      <c r="D73" s="328" t="str">
        <f>'Register Configuration'!I138</f>
        <v>0x00E0E000</v>
      </c>
      <c r="E73" s="122" t="s">
        <v>533</v>
      </c>
    </row>
    <row r="74" spans="1:5">
      <c r="A74" s="122" t="s">
        <v>384</v>
      </c>
      <c r="B74" s="328" t="str">
        <f>'Register Configuration'!H142</f>
        <v>0x3D400110</v>
      </c>
      <c r="C74" s="319">
        <v>32</v>
      </c>
      <c r="D74" s="328" t="str">
        <f>'Register Configuration'!I142</f>
        <v>0x12040A12</v>
      </c>
      <c r="E74" s="122" t="s">
        <v>534</v>
      </c>
    </row>
    <row r="75" spans="1:5">
      <c r="A75" s="122" t="s">
        <v>384</v>
      </c>
      <c r="B75" s="328" t="str">
        <f>'Register Configuration'!H147</f>
        <v>0x3D400114</v>
      </c>
      <c r="C75" s="319">
        <v>32</v>
      </c>
      <c r="D75" s="328" t="str">
        <f>'Register Configuration'!I147</f>
        <v>0x02050F0F</v>
      </c>
      <c r="E75" s="122" t="s">
        <v>535</v>
      </c>
    </row>
    <row r="76" spans="1:5">
      <c r="A76" s="122" t="s">
        <v>384</v>
      </c>
      <c r="B76" s="328" t="str">
        <f>'Register Configuration'!H153</f>
        <v>0x3D400118</v>
      </c>
      <c r="C76" s="319">
        <v>32</v>
      </c>
      <c r="D76" s="328" t="str">
        <f>'Register Configuration'!I153</f>
        <v>0x01010009</v>
      </c>
      <c r="E76" s="122" t="s">
        <v>536</v>
      </c>
    </row>
    <row r="77" spans="1:5">
      <c r="A77" s="122" t="s">
        <v>384</v>
      </c>
      <c r="B77" s="328" t="str">
        <f>'Register Configuration'!H158</f>
        <v>0x3D40011C</v>
      </c>
      <c r="C77" s="319">
        <v>32</v>
      </c>
      <c r="D77" s="328" t="str">
        <f>'Register Configuration'!I158</f>
        <v>0x00000502</v>
      </c>
      <c r="E77" s="122" t="s">
        <v>537</v>
      </c>
    </row>
    <row r="78" spans="1:5">
      <c r="A78" s="122" t="s">
        <v>384</v>
      </c>
      <c r="B78" s="328" t="str">
        <f>'Register Configuration'!H161</f>
        <v>0x3D400130</v>
      </c>
      <c r="C78" s="319">
        <v>32</v>
      </c>
      <c r="D78" s="328" t="str">
        <f>'Register Configuration'!I161</f>
        <v>0x00020800</v>
      </c>
      <c r="E78" s="122" t="s">
        <v>538</v>
      </c>
    </row>
    <row r="79" spans="1:5">
      <c r="A79" s="122" t="s">
        <v>384</v>
      </c>
      <c r="B79" s="328" t="str">
        <f>'Register Configuration'!H165</f>
        <v>0x3D400134</v>
      </c>
      <c r="C79" s="319">
        <v>32</v>
      </c>
      <c r="D79" s="328" t="str">
        <f>'Register Configuration'!I165</f>
        <v>0x0E100002</v>
      </c>
      <c r="E79" s="122" t="s">
        <v>539</v>
      </c>
    </row>
    <row r="80" spans="1:5">
      <c r="A80" s="122" t="s">
        <v>384</v>
      </c>
      <c r="B80" s="328" t="str">
        <f>'Register Configuration'!H169</f>
        <v>0x3D400138</v>
      </c>
      <c r="C80" s="319">
        <v>32</v>
      </c>
      <c r="D80" s="328" t="str">
        <f>'Register Configuration'!I169</f>
        <v>0x00000184</v>
      </c>
      <c r="E80" s="122" t="s">
        <v>540</v>
      </c>
    </row>
    <row r="81" spans="1:5">
      <c r="A81" s="122" t="s">
        <v>384</v>
      </c>
      <c r="B81" s="328" t="str">
        <f>'Register Configuration'!H171</f>
        <v>0x3D400144</v>
      </c>
      <c r="C81" s="319">
        <v>32</v>
      </c>
      <c r="D81" s="328" t="str">
        <f>'Register Configuration'!I171</f>
        <v>0x00C80064</v>
      </c>
      <c r="E81" s="122" t="s">
        <v>541</v>
      </c>
    </row>
    <row r="82" spans="1:5" s="6" customFormat="1">
      <c r="A82" s="289"/>
      <c r="B82" s="329"/>
      <c r="C82" s="320"/>
      <c r="D82" s="329"/>
      <c r="E82" s="289"/>
    </row>
    <row r="83" spans="1:5">
      <c r="A83" s="122" t="s">
        <v>384</v>
      </c>
      <c r="B83" s="328" t="str">
        <f>'Register Configuration'!H174</f>
        <v>0x3D400180</v>
      </c>
      <c r="C83" s="319">
        <v>32</v>
      </c>
      <c r="D83" s="328" t="str">
        <f>'Register Configuration'!I174</f>
        <v>0x03E8001E</v>
      </c>
      <c r="E83" s="122" t="s">
        <v>542</v>
      </c>
    </row>
    <row r="84" spans="1:5">
      <c r="A84" s="122" t="s">
        <v>384</v>
      </c>
      <c r="B84" s="328" t="str">
        <f>'Register Configuration'!H182</f>
        <v>0x3D400184</v>
      </c>
      <c r="C84" s="319">
        <v>32</v>
      </c>
      <c r="D84" s="328" t="str">
        <f>'Register Configuration'!I182</f>
        <v>0x03207A12</v>
      </c>
      <c r="E84" s="122" t="s">
        <v>543</v>
      </c>
    </row>
    <row r="85" spans="1:5" s="6" customFormat="1">
      <c r="A85" s="122" t="s">
        <v>384</v>
      </c>
      <c r="B85" s="329" t="s">
        <v>938</v>
      </c>
      <c r="C85" s="320">
        <v>32</v>
      </c>
      <c r="D85" s="329" t="s">
        <v>333</v>
      </c>
      <c r="E85" s="289" t="s">
        <v>939</v>
      </c>
    </row>
    <row r="86" spans="1:5" s="6" customFormat="1">
      <c r="A86" s="289"/>
      <c r="B86" s="329"/>
      <c r="C86" s="320"/>
      <c r="D86" s="329"/>
      <c r="E86" s="289"/>
    </row>
    <row r="87" spans="1:5">
      <c r="A87" s="122" t="s">
        <v>384</v>
      </c>
      <c r="B87" s="328" t="str">
        <f>'Register Configuration'!H278</f>
        <v>0x3D400190</v>
      </c>
      <c r="C87" s="319">
        <v>32</v>
      </c>
      <c r="D87" s="328" t="str">
        <f>'Register Configuration'!I278</f>
        <v>0x049F820E</v>
      </c>
      <c r="E87" s="122" t="s">
        <v>544</v>
      </c>
    </row>
    <row r="88" spans="1:5">
      <c r="A88" s="122" t="s">
        <v>384</v>
      </c>
      <c r="B88" s="328" t="str">
        <f>'Register Configuration'!H285</f>
        <v>0x3D400194</v>
      </c>
      <c r="C88" s="319">
        <v>32</v>
      </c>
      <c r="D88" s="328" t="str">
        <f>'Register Configuration'!I285</f>
        <v>0x00080303</v>
      </c>
      <c r="E88" s="122" t="s">
        <v>545</v>
      </c>
    </row>
    <row r="89" spans="1:5">
      <c r="A89" s="122" t="s">
        <v>384</v>
      </c>
      <c r="B89" s="328" t="str">
        <f>'Register Configuration'!H291</f>
        <v>0x3D4001B4</v>
      </c>
      <c r="C89" s="319">
        <v>32</v>
      </c>
      <c r="D89" s="328" t="str">
        <f>'Register Configuration'!I291</f>
        <v>0x00001F0E</v>
      </c>
      <c r="E89" s="122" t="s">
        <v>550</v>
      </c>
    </row>
    <row r="90" spans="1:5">
      <c r="A90" s="122" t="s">
        <v>384</v>
      </c>
      <c r="B90" s="328" t="str">
        <f>'Register Configuration'!H299</f>
        <v>0x3D4001A0</v>
      </c>
      <c r="C90" s="319">
        <v>32</v>
      </c>
      <c r="D90" s="328" t="str">
        <f>'Register Configuration'!I299</f>
        <v>0xE0400018</v>
      </c>
      <c r="E90" s="122" t="s">
        <v>546</v>
      </c>
    </row>
    <row r="91" spans="1:5">
      <c r="A91" s="122" t="s">
        <v>384</v>
      </c>
      <c r="B91" s="328" t="str">
        <f>'Register Configuration'!H305</f>
        <v>0x3D4001A4</v>
      </c>
      <c r="C91" s="319">
        <v>32</v>
      </c>
      <c r="D91" s="328" t="str">
        <f>'Register Configuration'!I305</f>
        <v>0x00DF00E4</v>
      </c>
      <c r="E91" s="122" t="s">
        <v>547</v>
      </c>
    </row>
    <row r="92" spans="1:5">
      <c r="A92" s="122" t="s">
        <v>384</v>
      </c>
      <c r="B92" s="328" t="str">
        <f>'Register Configuration'!H308</f>
        <v>0x3D4001A8</v>
      </c>
      <c r="C92" s="319">
        <v>32</v>
      </c>
      <c r="D92" s="328" t="str">
        <f>'Register Configuration'!I308</f>
        <v>0x80000000</v>
      </c>
      <c r="E92" s="122" t="s">
        <v>548</v>
      </c>
    </row>
    <row r="93" spans="1:5">
      <c r="A93" s="122" t="s">
        <v>384</v>
      </c>
      <c r="B93" s="328" t="str">
        <f>'Register Configuration'!H294</f>
        <v>0x3D4001B0</v>
      </c>
      <c r="C93" s="319">
        <v>32</v>
      </c>
      <c r="D93" s="328" t="str">
        <f>'Register Configuration'!I294</f>
        <v>0x00000011</v>
      </c>
      <c r="E93" s="122" t="s">
        <v>549</v>
      </c>
    </row>
    <row r="94" spans="1:5" s="6" customFormat="1">
      <c r="A94" s="289"/>
      <c r="B94" s="329"/>
      <c r="C94" s="320"/>
      <c r="D94" s="329"/>
      <c r="E94" s="289"/>
    </row>
    <row r="95" spans="1:5">
      <c r="A95" s="122" t="s">
        <v>384</v>
      </c>
      <c r="B95" s="328" t="str">
        <f>'Register Configuration'!H310</f>
        <v>0x3D4001C0</v>
      </c>
      <c r="C95" s="319">
        <v>32</v>
      </c>
      <c r="D95" s="328" t="str">
        <f>'Register Configuration'!I310</f>
        <v>0x00000001</v>
      </c>
      <c r="E95" s="122" t="s">
        <v>551</v>
      </c>
    </row>
    <row r="96" spans="1:5">
      <c r="A96" s="122" t="s">
        <v>384</v>
      </c>
      <c r="B96" s="328" t="str">
        <f>'Register Configuration'!H314</f>
        <v>0x3D4001C4</v>
      </c>
      <c r="C96" s="319">
        <v>32</v>
      </c>
      <c r="D96" s="328" t="str">
        <f>'Register Configuration'!I314</f>
        <v>0x00000001</v>
      </c>
      <c r="E96" s="122" t="s">
        <v>552</v>
      </c>
    </row>
    <row r="97" spans="1:7" s="6" customFormat="1">
      <c r="A97" s="289"/>
      <c r="B97" s="329"/>
      <c r="C97" s="320"/>
      <c r="D97" s="329"/>
      <c r="E97" s="289"/>
    </row>
    <row r="98" spans="1:7" s="6" customFormat="1">
      <c r="A98" s="289" t="s">
        <v>941</v>
      </c>
      <c r="B98" s="329"/>
      <c r="C98" s="320"/>
      <c r="D98" s="329"/>
      <c r="E98" s="289"/>
    </row>
    <row r="99" spans="1:7">
      <c r="A99" s="122" t="s">
        <v>384</v>
      </c>
      <c r="B99" s="328" t="str">
        <f>'Register Configuration'!H118</f>
        <v>0x3D4000F4</v>
      </c>
      <c r="C99" s="319">
        <v>32</v>
      </c>
      <c r="D99" s="328" t="str">
        <f>'Register Configuration'!I118</f>
        <v>0x00000799</v>
      </c>
      <c r="E99" s="122" t="s">
        <v>940</v>
      </c>
    </row>
    <row r="100" spans="1:7">
      <c r="A100" s="122" t="s">
        <v>384</v>
      </c>
      <c r="B100" s="328" t="str">
        <f>'Register Configuration'!H133</f>
        <v>0x3D400108</v>
      </c>
      <c r="C100" s="319">
        <v>32</v>
      </c>
      <c r="D100" s="328" t="str">
        <f>'Register Configuration'!I133</f>
        <v>0x09121B1C</v>
      </c>
      <c r="E100" s="122" t="s">
        <v>532</v>
      </c>
    </row>
    <row r="101" spans="1:7">
      <c r="A101" s="289"/>
      <c r="B101" s="329"/>
      <c r="C101" s="320"/>
      <c r="D101" s="329"/>
      <c r="E101" s="289"/>
    </row>
    <row r="102" spans="1:7">
      <c r="A102" s="122" t="s">
        <v>384</v>
      </c>
      <c r="B102" s="328" t="str">
        <f>'Register Configuration'!H62</f>
        <v>0x3D400200</v>
      </c>
      <c r="C102" s="319">
        <v>32</v>
      </c>
      <c r="D102" s="328" t="str">
        <f>'Register Configuration'!I62</f>
        <v>0x00000016</v>
      </c>
      <c r="E102" s="122" t="s">
        <v>553</v>
      </c>
    </row>
    <row r="103" spans="1:7">
      <c r="A103" s="122" t="s">
        <v>384</v>
      </c>
      <c r="B103" s="328" t="str">
        <f>'Register Configuration'!H69</f>
        <v>0x3D400208</v>
      </c>
      <c r="C103" s="319">
        <v>32</v>
      </c>
      <c r="D103" s="328" t="str">
        <f>'Register Configuration'!I69</f>
        <v>0x00000000</v>
      </c>
      <c r="E103" s="122" t="s">
        <v>1235</v>
      </c>
    </row>
    <row r="104" spans="1:7">
      <c r="A104" s="122" t="s">
        <v>384</v>
      </c>
      <c r="B104" s="328" t="str">
        <f>'Register Configuration'!H74</f>
        <v>0x3D40020C</v>
      </c>
      <c r="C104" s="319">
        <v>32</v>
      </c>
      <c r="D104" s="328" t="str">
        <f>'Register Configuration'!I74</f>
        <v>0x00000000</v>
      </c>
      <c r="E104" s="122" t="s">
        <v>554</v>
      </c>
    </row>
    <row r="105" spans="1:7">
      <c r="A105" s="122" t="s">
        <v>384</v>
      </c>
      <c r="B105" s="328" t="str">
        <f>'Register Configuration'!H80</f>
        <v>0x3D400210</v>
      </c>
      <c r="C105" s="319">
        <v>32</v>
      </c>
      <c r="D105" s="328" t="str">
        <f>'Register Configuration'!I80</f>
        <v>0x00001F1F</v>
      </c>
      <c r="E105" s="122" t="s">
        <v>555</v>
      </c>
      <c r="G105" s="122"/>
    </row>
    <row r="106" spans="1:7">
      <c r="A106" s="122" t="s">
        <v>384</v>
      </c>
      <c r="B106" s="328" t="str">
        <f>'Register Configuration'!H65</f>
        <v>0x3D400204</v>
      </c>
      <c r="C106" s="319">
        <v>32</v>
      </c>
      <c r="D106" s="328" t="str">
        <f>'Register Configuration'!I65</f>
        <v>0x00080808</v>
      </c>
      <c r="E106" s="122" t="s">
        <v>556</v>
      </c>
    </row>
    <row r="107" spans="1:7">
      <c r="A107" s="122" t="s">
        <v>384</v>
      </c>
      <c r="B107" s="328" t="str">
        <f>'Register Configuration'!H84</f>
        <v>0x3D400214</v>
      </c>
      <c r="C107" s="319">
        <v>32</v>
      </c>
      <c r="D107" s="328" t="str">
        <f>'Register Configuration'!I84</f>
        <v>0x07070707</v>
      </c>
      <c r="E107" s="122" t="s">
        <v>557</v>
      </c>
    </row>
    <row r="108" spans="1:7">
      <c r="A108" s="122" t="s">
        <v>384</v>
      </c>
      <c r="B108" s="328" t="str">
        <f>'Register Configuration'!H89</f>
        <v>0x3D400218</v>
      </c>
      <c r="C108" s="319">
        <v>32</v>
      </c>
      <c r="D108" s="328" t="str">
        <f>'Register Configuration'!I89</f>
        <v>0x68070707</v>
      </c>
      <c r="E108" s="122" t="s">
        <v>1053</v>
      </c>
    </row>
    <row r="109" spans="1:7">
      <c r="A109" s="122" t="s">
        <v>1046</v>
      </c>
      <c r="B109" s="328" t="str">
        <f>'Register Configuration'!H95</f>
        <v>0x3D40021C</v>
      </c>
      <c r="C109" s="319">
        <v>32</v>
      </c>
      <c r="D109" s="328" t="str">
        <f>'Register Configuration'!I95</f>
        <v>0x00000F08</v>
      </c>
      <c r="E109" s="122" t="s">
        <v>1054</v>
      </c>
    </row>
    <row r="110" spans="1:7">
      <c r="C110" s="319"/>
      <c r="F110" s="122"/>
    </row>
    <row r="111" spans="1:7">
      <c r="A111" s="122" t="s">
        <v>384</v>
      </c>
      <c r="B111" s="328" t="str">
        <f>'Register Configuration'!H316</f>
        <v>0x3D400250</v>
      </c>
      <c r="C111" s="319">
        <v>32</v>
      </c>
      <c r="D111" s="328" t="str">
        <f>'Register Configuration'!I316</f>
        <v>0x00001705</v>
      </c>
      <c r="E111" s="122" t="s">
        <v>806</v>
      </c>
    </row>
    <row r="112" spans="1:7">
      <c r="A112" s="122" t="s">
        <v>384</v>
      </c>
      <c r="B112" s="328" t="str">
        <f>'Register Configuration'!H323</f>
        <v>0x3D400254</v>
      </c>
      <c r="C112" s="319">
        <v>32</v>
      </c>
      <c r="D112" s="328" t="str">
        <f>'Register Configuration'!I323</f>
        <v>0x0000002C</v>
      </c>
      <c r="E112" s="122" t="s">
        <v>1205</v>
      </c>
    </row>
    <row r="113" spans="1:6">
      <c r="A113" s="122" t="s">
        <v>384</v>
      </c>
      <c r="B113" s="328" t="str">
        <f>'Register Configuration'!H325</f>
        <v>0x3D40025C</v>
      </c>
      <c r="C113" s="319">
        <v>32</v>
      </c>
      <c r="D113" s="328" t="str">
        <f>'Register Configuration'!I325</f>
        <v>0x04000030</v>
      </c>
      <c r="E113" s="122" t="s">
        <v>1211</v>
      </c>
    </row>
    <row r="114" spans="1:6">
      <c r="A114" s="122" t="s">
        <v>384</v>
      </c>
      <c r="B114" s="328" t="str">
        <f>'Register Configuration'!H328</f>
        <v>0x3D400264</v>
      </c>
      <c r="C114" s="319">
        <v>32</v>
      </c>
      <c r="D114" s="328" t="str">
        <f>'Register Configuration'!I328</f>
        <v>0x900093E7</v>
      </c>
      <c r="E114" s="122" t="s">
        <v>807</v>
      </c>
    </row>
    <row r="115" spans="1:6">
      <c r="A115" s="122" t="s">
        <v>384</v>
      </c>
      <c r="B115" s="328" t="str">
        <f>'Register Configuration'!H331</f>
        <v>0x3D40026C</v>
      </c>
      <c r="C115" s="319">
        <v>32</v>
      </c>
      <c r="D115" s="328" t="str">
        <f>'Register Configuration'!I331</f>
        <v>0x02005574</v>
      </c>
      <c r="E115" s="122" t="s">
        <v>808</v>
      </c>
    </row>
    <row r="116" spans="1:6">
      <c r="A116" s="122" t="s">
        <v>384</v>
      </c>
      <c r="B116" s="328" t="str">
        <f>'Register Configuration'!H334</f>
        <v>0x3D400400</v>
      </c>
      <c r="C116" s="319">
        <v>32</v>
      </c>
      <c r="D116" s="328" t="str">
        <f>'Register Configuration'!I334</f>
        <v>0x00000111</v>
      </c>
      <c r="E116" s="122" t="s">
        <v>809</v>
      </c>
    </row>
    <row r="117" spans="1:6">
      <c r="A117" s="122" t="s">
        <v>384</v>
      </c>
      <c r="B117" s="328" t="str">
        <f>'Register Configuration'!H338</f>
        <v>0x3D400404</v>
      </c>
      <c r="C117" s="319">
        <v>32</v>
      </c>
      <c r="D117" s="328" t="str">
        <f>'Register Configuration'!I338</f>
        <v>0x000072FF</v>
      </c>
      <c r="E117" s="122" t="s">
        <v>1212</v>
      </c>
    </row>
    <row r="118" spans="1:6">
      <c r="A118" s="122" t="s">
        <v>384</v>
      </c>
      <c r="B118" s="328" t="str">
        <f>'Register Configuration'!H346</f>
        <v>0x3D400408</v>
      </c>
      <c r="C118" s="319">
        <v>32</v>
      </c>
      <c r="D118" s="328" t="str">
        <f>'Register Configuration'!I346</f>
        <v>0x000072FF</v>
      </c>
      <c r="E118" s="122" t="s">
        <v>810</v>
      </c>
    </row>
    <row r="119" spans="1:6">
      <c r="A119" s="122" t="s">
        <v>384</v>
      </c>
      <c r="B119" s="328" t="str">
        <f>'Register Configuration'!H351</f>
        <v>0x3D400494</v>
      </c>
      <c r="C119" s="319">
        <v>32</v>
      </c>
      <c r="D119" s="328" t="str">
        <f>'Register Configuration'!I351</f>
        <v>0x02100E07</v>
      </c>
      <c r="E119" s="122" t="s">
        <v>811</v>
      </c>
    </row>
    <row r="120" spans="1:6">
      <c r="A120" s="122" t="s">
        <v>384</v>
      </c>
      <c r="B120" s="328" t="str">
        <f>'Register Configuration'!H357</f>
        <v>0x3D400498</v>
      </c>
      <c r="C120" s="319">
        <v>32</v>
      </c>
      <c r="D120" s="328" t="str">
        <f>'Register Configuration'!I357</f>
        <v>0x00620096</v>
      </c>
      <c r="E120" s="122" t="s">
        <v>812</v>
      </c>
    </row>
    <row r="121" spans="1:6">
      <c r="A121" s="122" t="s">
        <v>384</v>
      </c>
      <c r="B121" s="328" t="str">
        <f>'Register Configuration'!H360</f>
        <v>0x3D40049C</v>
      </c>
      <c r="C121" s="319">
        <v>32</v>
      </c>
      <c r="D121" s="328" t="str">
        <f>'Register Configuration'!I360</f>
        <v>0x01100E07</v>
      </c>
      <c r="E121" s="122" t="s">
        <v>813</v>
      </c>
    </row>
    <row r="122" spans="1:6">
      <c r="A122" s="122" t="s">
        <v>384</v>
      </c>
      <c r="B122" s="328" t="str">
        <f>'Register Configuration'!H365</f>
        <v>0x3D4004A0</v>
      </c>
      <c r="C122" s="319">
        <v>32</v>
      </c>
      <c r="D122" s="328" t="str">
        <f>'Register Configuration'!I365</f>
        <v>0x00C8012C</v>
      </c>
      <c r="E122" s="122" t="s">
        <v>814</v>
      </c>
    </row>
    <row r="123" spans="1:6" s="6" customFormat="1">
      <c r="A123" s="289"/>
      <c r="B123" s="329"/>
      <c r="C123" s="320"/>
      <c r="D123" s="329"/>
      <c r="E123" s="289"/>
    </row>
    <row r="124" spans="1:6">
      <c r="A124" s="122" t="str">
        <f>"# DDR-" &amp; IF('Register Configuration'!C31 = 334, "334", "200") &amp;"MHz clock configuration"</f>
        <v># DDR-200MHz clock configuration</v>
      </c>
      <c r="C124" s="319"/>
      <c r="F124" s="122"/>
    </row>
    <row r="125" spans="1:6">
      <c r="A125" s="122" t="str">
        <f>IF('Register Configuration'!H27 &gt; 1, "memory set", "#memory set")</f>
        <v>memory set</v>
      </c>
      <c r="B125" s="328" t="str">
        <f>'Register Configuration'!H418</f>
        <v>0x3D402020</v>
      </c>
      <c r="C125" s="319">
        <v>32</v>
      </c>
      <c r="D125" s="328" t="str">
        <f>'Register Configuration'!I418</f>
        <v>0x00001021</v>
      </c>
      <c r="E125" s="122" t="s">
        <v>913</v>
      </c>
      <c r="F125" s="122"/>
    </row>
    <row r="126" spans="1:6">
      <c r="A126" s="122" t="str">
        <f>IF('Register Configuration'!H27 &gt; 1, "memory set", "#memory set")</f>
        <v>memory set</v>
      </c>
      <c r="B126" s="328" t="str">
        <f>'Register Configuration'!H425</f>
        <v>0x3D402024</v>
      </c>
      <c r="C126" s="319">
        <v>32</v>
      </c>
      <c r="D126" s="328" t="str">
        <f>'Register Configuration'!I425</f>
        <v>0x0030D400</v>
      </c>
      <c r="E126" s="122" t="s">
        <v>707</v>
      </c>
      <c r="F126" s="122"/>
    </row>
    <row r="127" spans="1:6">
      <c r="A127" s="289" t="str">
        <f>IF('Register Configuration'!H27 &gt; 1, "memory set", "#memory set")</f>
        <v>memory set</v>
      </c>
      <c r="B127" s="328" t="str">
        <f>'Register Configuration'!H427</f>
        <v>0x3D402050</v>
      </c>
      <c r="C127" s="319">
        <v>32</v>
      </c>
      <c r="D127" s="328" t="str">
        <f>'Register Configuration'!I427</f>
        <v>0x0020D000</v>
      </c>
      <c r="E127" s="122" t="s">
        <v>708</v>
      </c>
      <c r="F127" s="122"/>
    </row>
    <row r="128" spans="1:6">
      <c r="A128" s="122" t="str">
        <f>IF('Register Configuration'!H27 &gt; 1, "memory set", "#memory set")</f>
        <v>memory set</v>
      </c>
      <c r="B128" s="328" t="str">
        <f>'Register Configuration'!H455</f>
        <v>0x3D402064</v>
      </c>
      <c r="C128" s="319">
        <v>32</v>
      </c>
      <c r="D128" s="328" t="str">
        <f>'Register Configuration'!I455</f>
        <v>0x000C0026</v>
      </c>
      <c r="E128" s="122" t="s">
        <v>711</v>
      </c>
      <c r="F128" s="122"/>
    </row>
    <row r="129" spans="1:6">
      <c r="A129" s="122" t="str">
        <f>IF('Register Configuration'!H27 &gt; 1, "memory set", "#memory set")</f>
        <v>memory set</v>
      </c>
      <c r="B129" s="328" t="str">
        <f>'Register Configuration'!H458</f>
        <v>0x3D4020DC</v>
      </c>
      <c r="C129" s="319">
        <v>32</v>
      </c>
      <c r="D129" s="328" t="str">
        <f>'Register Configuration'!I458</f>
        <v>0x00840000</v>
      </c>
      <c r="E129" s="122" t="s">
        <v>712</v>
      </c>
      <c r="F129" s="122"/>
    </row>
    <row r="130" spans="1:6">
      <c r="A130" s="122" t="str">
        <f>IF('Register Configuration'!H27 &gt; 1, "memory set", "#memory set")</f>
        <v>memory set</v>
      </c>
      <c r="B130" s="328" t="str">
        <f>'Register Configuration'!H480</f>
        <v>0x3D4020E0</v>
      </c>
      <c r="C130" s="319">
        <v>32</v>
      </c>
      <c r="D130" s="328" t="str">
        <f>'Register Configuration'!I480</f>
        <v>0x00330000</v>
      </c>
      <c r="E130" s="122" t="s">
        <v>715</v>
      </c>
      <c r="F130" s="122"/>
    </row>
    <row r="131" spans="1:6">
      <c r="A131" s="122" t="str">
        <f>IF('Register Configuration'!H27 &gt; 1, "memory set", "#memory set")</f>
        <v>memory set</v>
      </c>
      <c r="B131" s="328" t="str">
        <f>'Register Configuration'!H468</f>
        <v>0x3D4020E8</v>
      </c>
      <c r="C131" s="319">
        <v>32</v>
      </c>
      <c r="D131" s="328" t="str">
        <f>'Register Configuration'!I468</f>
        <v>0x00660048</v>
      </c>
      <c r="E131" s="122" t="s">
        <v>713</v>
      </c>
      <c r="F131" s="122"/>
    </row>
    <row r="132" spans="1:6">
      <c r="A132" s="122" t="str">
        <f>IF('Register Configuration'!H27 &gt; 1, "memory set", "#memory set")</f>
        <v>memory set</v>
      </c>
      <c r="B132" s="328" t="str">
        <f>'Register Configuration'!H473</f>
        <v>0x3D4020EC</v>
      </c>
      <c r="C132" s="319">
        <v>32</v>
      </c>
      <c r="D132" s="328" t="str">
        <f>'Register Configuration'!I473</f>
        <v>0x00160048</v>
      </c>
      <c r="E132" s="122" t="s">
        <v>714</v>
      </c>
      <c r="F132" s="122"/>
    </row>
    <row r="133" spans="1:6">
      <c r="A133" s="122" t="str">
        <f>IF('Register Configuration'!H27 &gt; 1, "memory set", "#memory set")</f>
        <v>memory set</v>
      </c>
      <c r="B133" s="328" t="str">
        <f>'Register Configuration'!H370</f>
        <v>0x3D402100</v>
      </c>
      <c r="C133" s="319">
        <v>32</v>
      </c>
      <c r="D133" s="328" t="str">
        <f>'Register Configuration'!I370</f>
        <v>0x0A040305</v>
      </c>
      <c r="E133" s="122" t="s">
        <v>697</v>
      </c>
      <c r="F133" s="122"/>
    </row>
    <row r="134" spans="1:6">
      <c r="A134" s="122" t="str">
        <f>IF('Register Configuration'!H27 &gt; 1, "memory set", "#memory set")</f>
        <v>memory set</v>
      </c>
      <c r="B134" s="328" t="str">
        <f>'Register Configuration'!H375</f>
        <v>0x3D402104</v>
      </c>
      <c r="C134" s="319">
        <v>32</v>
      </c>
      <c r="D134" s="328" t="str">
        <f>'Register Configuration'!I375</f>
        <v>0x00030407</v>
      </c>
      <c r="E134" s="122" t="s">
        <v>698</v>
      </c>
      <c r="F134" s="122"/>
    </row>
    <row r="135" spans="1:6">
      <c r="A135" s="122" t="str">
        <f>IF('Register Configuration'!H27 &gt; 1, "memory set", "#memory set")</f>
        <v>memory set</v>
      </c>
      <c r="B135" s="328" t="str">
        <f>'Register Configuration'!H379</f>
        <v>0x3D402108</v>
      </c>
      <c r="C135" s="319">
        <v>32</v>
      </c>
      <c r="D135" s="328" t="str">
        <f>'Register Configuration'!I379</f>
        <v>0x0203060B</v>
      </c>
      <c r="E135" s="122" t="s">
        <v>699</v>
      </c>
      <c r="F135" s="122"/>
    </row>
    <row r="136" spans="1:6">
      <c r="A136" s="122" t="str">
        <f>IF('Register Configuration'!H27 &gt; 1, "memory set", "#memory set")</f>
        <v>memory set</v>
      </c>
      <c r="B136" s="328" t="str">
        <f>'Register Configuration'!H384</f>
        <v>0x3D40210C</v>
      </c>
      <c r="C136" s="319">
        <v>32</v>
      </c>
      <c r="D136" s="328" t="str">
        <f>'Register Configuration'!I384</f>
        <v>0x00505000</v>
      </c>
      <c r="E136" s="122" t="s">
        <v>700</v>
      </c>
      <c r="F136" s="122"/>
    </row>
    <row r="137" spans="1:6">
      <c r="A137" s="122" t="str">
        <f>IF('Register Configuration'!H27 &gt; 1, "memory set", "#memory set")</f>
        <v>memory set</v>
      </c>
      <c r="B137" s="328" t="str">
        <f>'Register Configuration'!H388</f>
        <v>0x3D402110</v>
      </c>
      <c r="C137" s="319">
        <v>32</v>
      </c>
      <c r="D137" s="328" t="str">
        <f>'Register Configuration'!I388</f>
        <v>0x02040202</v>
      </c>
      <c r="E137" s="122" t="s">
        <v>701</v>
      </c>
      <c r="F137" s="122"/>
    </row>
    <row r="138" spans="1:6">
      <c r="A138" s="122" t="str">
        <f>IF('Register Configuration'!H27 &gt; 1, "memory set", "#memory set")</f>
        <v>memory set</v>
      </c>
      <c r="B138" s="328" t="str">
        <f>'Register Configuration'!H393</f>
        <v>0x3D402114</v>
      </c>
      <c r="C138" s="319">
        <v>32</v>
      </c>
      <c r="D138" s="328" t="str">
        <f>'Register Configuration'!I393</f>
        <v>0x02030202</v>
      </c>
      <c r="E138" s="122" t="s">
        <v>702</v>
      </c>
      <c r="F138" s="122"/>
    </row>
    <row r="139" spans="1:6">
      <c r="A139" s="122" t="str">
        <f>IF('Register Configuration'!H27 &gt; 1, "memory set", "#memory set")</f>
        <v>memory set</v>
      </c>
      <c r="B139" s="328" t="str">
        <f>'Register Configuration'!H398</f>
        <v>0x3D402118</v>
      </c>
      <c r="C139" s="319">
        <v>32</v>
      </c>
      <c r="D139" s="328" t="str">
        <f>'Register Configuration'!I398</f>
        <v>0x01010004</v>
      </c>
      <c r="E139" s="122" t="s">
        <v>703</v>
      </c>
      <c r="F139" s="122"/>
    </row>
    <row r="140" spans="1:6">
      <c r="A140" s="122" t="str">
        <f>IF('Register Configuration'!H27 &gt; 1, "memory set", "#memory set")</f>
        <v>memory set</v>
      </c>
      <c r="B140" s="328" t="str">
        <f>'Register Configuration'!H402</f>
        <v>0x3D40211C</v>
      </c>
      <c r="C140" s="319">
        <v>32</v>
      </c>
      <c r="D140" s="328" t="str">
        <f>'Register Configuration'!I402</f>
        <v>0x00000302</v>
      </c>
      <c r="E140" s="122" t="s">
        <v>704</v>
      </c>
      <c r="F140" s="122"/>
    </row>
    <row r="141" spans="1:6">
      <c r="A141" s="122" t="str">
        <f>IF('Register Configuration'!H27 &gt; 1, "memory set", "#memory set")</f>
        <v>memory set</v>
      </c>
      <c r="B141" s="328" t="str">
        <f>'Register Configuration'!H405</f>
        <v>0x3D402130</v>
      </c>
      <c r="C141" s="319">
        <v>32</v>
      </c>
      <c r="D141" s="328" t="str">
        <f>'Register Configuration'!I405</f>
        <v>0x00020300</v>
      </c>
      <c r="E141" s="122" t="s">
        <v>924</v>
      </c>
      <c r="F141" s="122"/>
    </row>
    <row r="142" spans="1:6">
      <c r="A142" s="122" t="str">
        <f>IF('Register Configuration'!H27 &gt; 1, "memory set", "#memory set")</f>
        <v>memory set</v>
      </c>
      <c r="B142" s="328" t="str">
        <f>'Register Configuration'!H409</f>
        <v>0x3D402134</v>
      </c>
      <c r="C142" s="319">
        <v>32</v>
      </c>
      <c r="D142" s="328" t="str">
        <f>'Register Configuration'!I409</f>
        <v>0x0A100002</v>
      </c>
      <c r="E142" s="122" t="s">
        <v>925</v>
      </c>
      <c r="F142" s="122"/>
    </row>
    <row r="143" spans="1:6">
      <c r="A143" s="122" t="str">
        <f>IF('Register Configuration'!H27 &gt; 1, "memory set", "#memory set")</f>
        <v>memory set</v>
      </c>
      <c r="B143" s="328" t="str">
        <f>'Register Configuration'!H413</f>
        <v>0x3D402138</v>
      </c>
      <c r="C143" s="319">
        <v>32</v>
      </c>
      <c r="D143" s="328" t="str">
        <f>'Register Configuration'!I413</f>
        <v>0x00000027</v>
      </c>
      <c r="E143" s="122" t="s">
        <v>705</v>
      </c>
      <c r="F143" s="122"/>
    </row>
    <row r="144" spans="1:6">
      <c r="A144" s="122" t="str">
        <f>IF('Register Configuration'!H27 &gt; 1, "memory set", "#memory set")</f>
        <v>memory set</v>
      </c>
      <c r="B144" s="328" t="str">
        <f>'Register Configuration'!H415</f>
        <v>0x3D402144</v>
      </c>
      <c r="C144" s="319">
        <v>32</v>
      </c>
      <c r="D144" s="328" t="str">
        <f>'Register Configuration'!I415</f>
        <v>0x0014000A</v>
      </c>
      <c r="E144" s="122" t="s">
        <v>706</v>
      </c>
      <c r="F144" s="122"/>
    </row>
    <row r="145" spans="1:6">
      <c r="A145" s="122" t="str">
        <f>IF('Register Configuration'!H27 &gt; 1, "memory set", "#memory set")</f>
        <v>memory set</v>
      </c>
      <c r="B145" s="328" t="str">
        <f>'Register Configuration'!H432</f>
        <v>0x3D402180</v>
      </c>
      <c r="C145" s="319">
        <v>32</v>
      </c>
      <c r="D145" s="328" t="str">
        <f>'Register Configuration'!I432</f>
        <v>0x00640004</v>
      </c>
      <c r="E145" s="122" t="s">
        <v>926</v>
      </c>
      <c r="F145" s="122"/>
    </row>
    <row r="146" spans="1:6">
      <c r="A146" s="122" t="str">
        <f>IF('Register Configuration'!H27 &gt; 1, "memory set", "#memory set")</f>
        <v>memory set</v>
      </c>
      <c r="B146" s="328" t="str">
        <f>'Register Configuration'!H439</f>
        <v>0x3D402190</v>
      </c>
      <c r="C146" s="319">
        <v>32</v>
      </c>
      <c r="D146" s="328" t="str">
        <f>'Register Configuration'!I439</f>
        <v>0x03818200</v>
      </c>
      <c r="E146" s="122" t="s">
        <v>709</v>
      </c>
      <c r="F146" s="122"/>
    </row>
    <row r="147" spans="1:6">
      <c r="A147" s="122" t="str">
        <f>IF('Register Configuration'!H27 &gt; 1, "memory set", "#memory set")</f>
        <v>memory set</v>
      </c>
      <c r="B147" s="328" t="str">
        <f>'Register Configuration'!H446</f>
        <v>0x3D402194</v>
      </c>
      <c r="C147" s="319">
        <v>32</v>
      </c>
      <c r="D147" s="328" t="str">
        <f>'Register Configuration'!I446</f>
        <v>0x00080303</v>
      </c>
      <c r="E147" s="122" t="s">
        <v>927</v>
      </c>
      <c r="F147" s="122"/>
    </row>
    <row r="148" spans="1:6">
      <c r="A148" s="122" t="str">
        <f>IF('Register Configuration'!H27 &gt; 1, "memory set", "#memory set")</f>
        <v>memory set</v>
      </c>
      <c r="B148" s="328" t="str">
        <f>'Register Configuration'!H452</f>
        <v>0x3D4021B4</v>
      </c>
      <c r="C148" s="319">
        <v>32</v>
      </c>
      <c r="D148" s="328" t="str">
        <f>'Register Configuration'!I452</f>
        <v>0x00000100</v>
      </c>
      <c r="E148" s="122" t="s">
        <v>710</v>
      </c>
      <c r="F148" s="122"/>
    </row>
    <row r="149" spans="1:6">
      <c r="A149" s="122" t="str">
        <f>IF('Register Configuration'!H27 &gt; 1, "memory set", "#memory set")</f>
        <v>memory set</v>
      </c>
      <c r="B149" s="328" t="str">
        <f>'Register Configuration'!H495</f>
        <v>0x3D4020F4</v>
      </c>
      <c r="C149" s="319">
        <v>32</v>
      </c>
      <c r="D149" s="328" t="str">
        <f>'Register Configuration'!I495</f>
        <v>0x00000599</v>
      </c>
      <c r="E149" s="122" t="s">
        <v>1037</v>
      </c>
      <c r="F149" s="122"/>
    </row>
    <row r="150" spans="1:6">
      <c r="C150" s="319"/>
      <c r="F150" s="122"/>
    </row>
    <row r="151" spans="1:6">
      <c r="A151" s="122" t="s">
        <v>716</v>
      </c>
      <c r="C151" s="319"/>
      <c r="F151" s="122"/>
    </row>
    <row r="152" spans="1:6">
      <c r="A152" s="122" t="str">
        <f>IF('Register Configuration'!H27 = 3, "memory set", "#memory set")</f>
        <v>memory set</v>
      </c>
      <c r="B152" s="328" t="str">
        <f>'Register Configuration'!H549</f>
        <v>0x3D403020</v>
      </c>
      <c r="C152" s="319">
        <v>32</v>
      </c>
      <c r="D152" s="328" t="str">
        <f>'Register Configuration'!I549</f>
        <v>0x00001021</v>
      </c>
      <c r="E152" s="122" t="s">
        <v>914</v>
      </c>
      <c r="F152" s="122"/>
    </row>
    <row r="153" spans="1:6">
      <c r="A153" s="122" t="str">
        <f>IF('Register Configuration'!H27 = 3, "memory set", "#memory set")</f>
        <v>memory set</v>
      </c>
      <c r="B153" s="328" t="str">
        <f>'Register Configuration'!H556</f>
        <v>0x3D403024</v>
      </c>
      <c r="C153" s="319">
        <v>32</v>
      </c>
      <c r="D153" s="328" t="str">
        <f>'Register Configuration'!I556</f>
        <v>0x000C3500</v>
      </c>
      <c r="E153" s="122" t="s">
        <v>727</v>
      </c>
      <c r="F153" s="122"/>
    </row>
    <row r="154" spans="1:6">
      <c r="A154" s="122" t="str">
        <f>IF('Register Configuration'!H27 = 3, "memory set", "#memory set")</f>
        <v>memory set</v>
      </c>
      <c r="B154" s="328" t="str">
        <f>'Register Configuration'!H558</f>
        <v>0x3D403050</v>
      </c>
      <c r="C154" s="319">
        <v>32</v>
      </c>
      <c r="D154" s="328" t="str">
        <f>'Register Configuration'!I558</f>
        <v>0x0020D000</v>
      </c>
      <c r="E154" s="122" t="s">
        <v>728</v>
      </c>
      <c r="F154" s="122"/>
    </row>
    <row r="155" spans="1:6">
      <c r="A155" s="122" t="str">
        <f>IF('Register Configuration'!H27 = 3, "memory set", "#memory set")</f>
        <v>memory set</v>
      </c>
      <c r="B155" s="328" t="str">
        <f>'Register Configuration'!H586</f>
        <v>0x3D403064</v>
      </c>
      <c r="C155" s="319">
        <v>32</v>
      </c>
      <c r="D155" s="328" t="str">
        <f>'Register Configuration'!I586</f>
        <v>0x0003000A</v>
      </c>
      <c r="E155" s="122" t="s">
        <v>731</v>
      </c>
      <c r="F155" s="122"/>
    </row>
    <row r="156" spans="1:6">
      <c r="A156" s="122" t="str">
        <f>IF('Register Configuration'!H27 = 3, "memory set", "#memory set")</f>
        <v>memory set</v>
      </c>
      <c r="B156" s="328" t="str">
        <f>'Register Configuration'!H589</f>
        <v>0x3D4030DC</v>
      </c>
      <c r="C156" s="319">
        <v>32</v>
      </c>
      <c r="D156" s="328" t="str">
        <f>'Register Configuration'!I589</f>
        <v>0x00840000</v>
      </c>
      <c r="E156" s="122" t="s">
        <v>732</v>
      </c>
      <c r="F156" s="122"/>
    </row>
    <row r="157" spans="1:6">
      <c r="A157" s="122" t="str">
        <f>IF('Register Configuration'!H27 = 3, "memory set", "#memory set")</f>
        <v>memory set</v>
      </c>
      <c r="B157" s="328" t="str">
        <f>'Register Configuration'!H611</f>
        <v>0x3D4030E0</v>
      </c>
      <c r="C157" s="319">
        <v>32</v>
      </c>
      <c r="D157" s="328" t="str">
        <f>'Register Configuration'!I611</f>
        <v>0x00330000</v>
      </c>
      <c r="E157" s="122" t="s">
        <v>735</v>
      </c>
      <c r="F157" s="122"/>
    </row>
    <row r="158" spans="1:6">
      <c r="A158" s="122" t="str">
        <f>IF('Register Configuration'!H27 = 3, "memory set", "#memory set")</f>
        <v>memory set</v>
      </c>
      <c r="B158" s="328" t="str">
        <f>'Register Configuration'!H599</f>
        <v>0x3D4030E8</v>
      </c>
      <c r="C158" s="319">
        <v>32</v>
      </c>
      <c r="D158" s="328" t="str">
        <f>'Register Configuration'!I599</f>
        <v>0x00660048</v>
      </c>
      <c r="E158" s="122" t="s">
        <v>733</v>
      </c>
      <c r="F158" s="122"/>
    </row>
    <row r="159" spans="1:6">
      <c r="A159" s="122" t="str">
        <f>IF('Register Configuration'!H27 = 3, "memory set", "#memory set")</f>
        <v>memory set</v>
      </c>
      <c r="B159" s="328" t="str">
        <f>'Register Configuration'!H604</f>
        <v>0x3D4030EC</v>
      </c>
      <c r="C159" s="319">
        <v>32</v>
      </c>
      <c r="D159" s="328" t="str">
        <f>'Register Configuration'!I604</f>
        <v>0x00160048</v>
      </c>
      <c r="E159" s="122" t="s">
        <v>734</v>
      </c>
      <c r="F159" s="122"/>
    </row>
    <row r="160" spans="1:6">
      <c r="A160" s="122" t="str">
        <f>IF('Register Configuration'!H27 = 3, "memory set", "#memory set")</f>
        <v>memory set</v>
      </c>
      <c r="B160" s="328" t="str">
        <f>'Register Configuration'!H501</f>
        <v>0x3D403100</v>
      </c>
      <c r="C160" s="319">
        <v>32</v>
      </c>
      <c r="D160" s="328" t="str">
        <f>'Register Configuration'!I501</f>
        <v>0x0A010102</v>
      </c>
      <c r="E160" s="122" t="s">
        <v>717</v>
      </c>
      <c r="F160" s="122"/>
    </row>
    <row r="161" spans="1:6">
      <c r="A161" s="122" t="str">
        <f>IF('Register Configuration'!H27 = 3, "memory set", "#memory set")</f>
        <v>memory set</v>
      </c>
      <c r="B161" s="328" t="str">
        <f>'Register Configuration'!H506</f>
        <v>0x3D403104</v>
      </c>
      <c r="C161" s="319">
        <v>32</v>
      </c>
      <c r="D161" s="328" t="str">
        <f>'Register Configuration'!I506</f>
        <v>0x00030404</v>
      </c>
      <c r="E161" s="122" t="s">
        <v>718</v>
      </c>
      <c r="F161" s="122"/>
    </row>
    <row r="162" spans="1:6">
      <c r="A162" s="122" t="str">
        <f>IF('Register Configuration'!H27 = 3, "memory set", "#memory set")</f>
        <v>memory set</v>
      </c>
      <c r="B162" s="328" t="str">
        <f>'Register Configuration'!H510</f>
        <v>0x3D403108</v>
      </c>
      <c r="C162" s="319">
        <v>32</v>
      </c>
      <c r="D162" s="328" t="str">
        <f>'Register Configuration'!I510</f>
        <v>0x0203060B</v>
      </c>
      <c r="E162" s="122" t="s">
        <v>719</v>
      </c>
      <c r="F162" s="122"/>
    </row>
    <row r="163" spans="1:6">
      <c r="A163" s="122" t="str">
        <f>IF('Register Configuration'!H27 = 3, "memory set", "#memory set")</f>
        <v>memory set</v>
      </c>
      <c r="B163" s="328" t="str">
        <f>'Register Configuration'!H515</f>
        <v>0x3D40310C</v>
      </c>
      <c r="C163" s="319">
        <v>32</v>
      </c>
      <c r="D163" s="328" t="str">
        <f>'Register Configuration'!I515</f>
        <v>0x00505000</v>
      </c>
      <c r="E163" s="122" t="s">
        <v>720</v>
      </c>
      <c r="F163" s="122"/>
    </row>
    <row r="164" spans="1:6">
      <c r="A164" s="122" t="str">
        <f>IF('Register Configuration'!H27 = 3, "memory set", "#memory set")</f>
        <v>memory set</v>
      </c>
      <c r="B164" s="328" t="str">
        <f>'Register Configuration'!H519</f>
        <v>0x3D403110</v>
      </c>
      <c r="C164" s="319">
        <v>32</v>
      </c>
      <c r="D164" s="328" t="str">
        <f>'Register Configuration'!I519</f>
        <v>0x02040202</v>
      </c>
      <c r="E164" s="122" t="s">
        <v>721</v>
      </c>
      <c r="F164" s="122"/>
    </row>
    <row r="165" spans="1:6">
      <c r="A165" s="122" t="str">
        <f>IF('Register Configuration'!H27 = 3, "memory set", "#memory set")</f>
        <v>memory set</v>
      </c>
      <c r="B165" s="328" t="str">
        <f>'Register Configuration'!H524</f>
        <v>0x3D403114</v>
      </c>
      <c r="C165" s="319">
        <v>32</v>
      </c>
      <c r="D165" s="328" t="str">
        <f>'Register Configuration'!I524</f>
        <v>0x02030202</v>
      </c>
      <c r="E165" s="122" t="s">
        <v>722</v>
      </c>
      <c r="F165" s="122"/>
    </row>
    <row r="166" spans="1:6">
      <c r="A166" s="122" t="str">
        <f>IF('Register Configuration'!H27 = 3, "memory set", "#memory set")</f>
        <v>memory set</v>
      </c>
      <c r="B166" s="328" t="str">
        <f>'Register Configuration'!H529</f>
        <v>0x3D403118</v>
      </c>
      <c r="C166" s="319">
        <v>32</v>
      </c>
      <c r="D166" s="328" t="str">
        <f>'Register Configuration'!I529</f>
        <v>0x01010004</v>
      </c>
      <c r="E166" s="122" t="s">
        <v>723</v>
      </c>
      <c r="F166" s="122"/>
    </row>
    <row r="167" spans="1:6">
      <c r="A167" s="122" t="str">
        <f>IF('Register Configuration'!H27 = 3, "memory set", "#memory set")</f>
        <v>memory set</v>
      </c>
      <c r="B167" s="328" t="str">
        <f>'Register Configuration'!H533</f>
        <v>0x3D40311C</v>
      </c>
      <c r="C167" s="319">
        <v>32</v>
      </c>
      <c r="D167" s="328" t="str">
        <f>'Register Configuration'!I533</f>
        <v>0x00000302</v>
      </c>
      <c r="E167" s="122" t="s">
        <v>724</v>
      </c>
      <c r="F167" s="122"/>
    </row>
    <row r="168" spans="1:6">
      <c r="A168" s="122" t="str">
        <f>IF('Register Configuration'!H27 = 3, "memory set", "#memory set")</f>
        <v>memory set</v>
      </c>
      <c r="B168" s="328" t="str">
        <f>'Register Configuration'!H536</f>
        <v>0x3D403130</v>
      </c>
      <c r="C168" s="319">
        <v>32</v>
      </c>
      <c r="D168" s="328" t="str">
        <f>'Register Configuration'!I536</f>
        <v>0x00020300</v>
      </c>
      <c r="E168" s="122" t="s">
        <v>929</v>
      </c>
      <c r="F168" s="122"/>
    </row>
    <row r="169" spans="1:6">
      <c r="A169" s="122" t="str">
        <f>IF('Register Configuration'!H27 = 3, "memory set", "#memory set")</f>
        <v>memory set</v>
      </c>
      <c r="B169" s="328" t="str">
        <f>'Register Configuration'!H540</f>
        <v>0x3D403134</v>
      </c>
      <c r="C169" s="319">
        <v>32</v>
      </c>
      <c r="D169" s="328" t="str">
        <f>'Register Configuration'!I540</f>
        <v>0x0A100002</v>
      </c>
      <c r="E169" s="122" t="s">
        <v>930</v>
      </c>
      <c r="F169" s="122"/>
    </row>
    <row r="170" spans="1:6">
      <c r="A170" s="122" t="str">
        <f>IF('Register Configuration'!H27 = 3, "memory set", "#memory set")</f>
        <v>memory set</v>
      </c>
      <c r="B170" s="328" t="str">
        <f>'Register Configuration'!H544</f>
        <v>0x3D403138</v>
      </c>
      <c r="C170" s="319">
        <v>32</v>
      </c>
      <c r="D170" s="328" t="str">
        <f>'Register Configuration'!I544</f>
        <v>0x0000000A</v>
      </c>
      <c r="E170" s="122" t="s">
        <v>725</v>
      </c>
      <c r="F170" s="122"/>
    </row>
    <row r="171" spans="1:6">
      <c r="A171" s="122" t="str">
        <f>IF('Register Configuration'!H27 = 3, "memory set", "#memory set")</f>
        <v>memory set</v>
      </c>
      <c r="B171" s="328" t="str">
        <f>'Register Configuration'!H546</f>
        <v>0x3D403144</v>
      </c>
      <c r="C171" s="319">
        <v>32</v>
      </c>
      <c r="D171" s="328" t="str">
        <f>'Register Configuration'!I546</f>
        <v>0x00050003</v>
      </c>
      <c r="E171" s="122" t="s">
        <v>726</v>
      </c>
      <c r="F171" s="122"/>
    </row>
    <row r="172" spans="1:6">
      <c r="A172" s="122" t="str">
        <f>IF('Register Configuration'!H27 = 3, "memory set", "#memory set")</f>
        <v>memory set</v>
      </c>
      <c r="B172" s="328" t="str">
        <f>'Register Configuration'!H563</f>
        <v>0x3D403180</v>
      </c>
      <c r="C172" s="319">
        <v>32</v>
      </c>
      <c r="D172" s="328" t="str">
        <f>'Register Configuration'!I563</f>
        <v>0x00190004</v>
      </c>
      <c r="E172" s="122" t="s">
        <v>931</v>
      </c>
      <c r="F172" s="122"/>
    </row>
    <row r="173" spans="1:6">
      <c r="A173" s="122" t="str">
        <f>IF('Register Configuration'!H27 = 3, "memory set", "#memory set")</f>
        <v>memory set</v>
      </c>
      <c r="B173" s="328" t="str">
        <f>'Register Configuration'!H570</f>
        <v>0x3D403190</v>
      </c>
      <c r="C173" s="319">
        <v>32</v>
      </c>
      <c r="D173" s="328" t="str">
        <f>'Register Configuration'!I570</f>
        <v>0x03818200</v>
      </c>
      <c r="E173" s="122" t="s">
        <v>729</v>
      </c>
      <c r="F173" s="122"/>
    </row>
    <row r="174" spans="1:6">
      <c r="A174" s="122" t="str">
        <f>IF('Register Configuration'!H27 = 3, "memory set", "#memory set")</f>
        <v>memory set</v>
      </c>
      <c r="B174" s="328" t="str">
        <f>'Register Configuration'!H577</f>
        <v>0x3D403194</v>
      </c>
      <c r="C174" s="319">
        <v>32</v>
      </c>
      <c r="D174" s="328" t="str">
        <f>'Register Configuration'!I577</f>
        <v>0x00080303</v>
      </c>
      <c r="E174" s="122" t="s">
        <v>932</v>
      </c>
      <c r="F174" s="122"/>
    </row>
    <row r="175" spans="1:6">
      <c r="A175" s="122" t="str">
        <f>IF('Register Configuration'!H27 = 3, "memory set", "#memory set")</f>
        <v>memory set</v>
      </c>
      <c r="B175" s="328" t="str">
        <f>'Register Configuration'!H583</f>
        <v>0x3D4031B4</v>
      </c>
      <c r="C175" s="319">
        <v>32</v>
      </c>
      <c r="D175" s="328" t="str">
        <f>'Register Configuration'!I583</f>
        <v>0x00000100</v>
      </c>
      <c r="E175" s="122" t="s">
        <v>730</v>
      </c>
      <c r="F175" s="122"/>
    </row>
    <row r="176" spans="1:6">
      <c r="A176" s="122" t="str">
        <f>IF('Register Configuration'!H27 = 3, "memory set", "#memory set")</f>
        <v>memory set</v>
      </c>
      <c r="B176" s="328" t="str">
        <f>'Register Configuration'!H626</f>
        <v>0x3D4030F4</v>
      </c>
      <c r="C176" s="319">
        <v>32</v>
      </c>
      <c r="D176" s="328" t="str">
        <f>'Register Configuration'!I626</f>
        <v>0x00000599</v>
      </c>
      <c r="E176" s="122" t="s">
        <v>1039</v>
      </c>
      <c r="F176" s="122"/>
    </row>
    <row r="177" spans="1:6">
      <c r="C177" s="319"/>
      <c r="F177" s="122"/>
    </row>
    <row r="178" spans="1:6">
      <c r="A178" s="122" t="s">
        <v>383</v>
      </c>
      <c r="B178" s="328" t="str">
        <f>'Register Configuration'!H59</f>
        <v>0x3D400028</v>
      </c>
      <c r="C178" s="319">
        <v>32</v>
      </c>
      <c r="D178" s="328" t="str">
        <f>'Register Configuration'!I59</f>
        <v>0x00000000</v>
      </c>
      <c r="E178" s="122" t="s">
        <v>937</v>
      </c>
    </row>
    <row r="179" spans="1:6">
      <c r="B179" s="329"/>
      <c r="C179" s="320"/>
      <c r="D179" s="329"/>
    </row>
    <row r="180" spans="1:6">
      <c r="A180" s="122" t="s">
        <v>393</v>
      </c>
    </row>
    <row r="181" spans="1:6">
      <c r="A181" s="122" t="s">
        <v>384</v>
      </c>
      <c r="B181" s="327" t="s">
        <v>397</v>
      </c>
      <c r="C181" s="319">
        <v>32</v>
      </c>
      <c r="D181" s="327" t="s">
        <v>395</v>
      </c>
      <c r="E181" s="122" t="s">
        <v>396</v>
      </c>
    </row>
    <row r="182" spans="1:6">
      <c r="A182" s="122" t="s">
        <v>384</v>
      </c>
      <c r="B182" s="327" t="s">
        <v>397</v>
      </c>
      <c r="C182" s="319">
        <v>32</v>
      </c>
      <c r="D182" s="327" t="s">
        <v>398</v>
      </c>
      <c r="E182" s="122" t="s">
        <v>396</v>
      </c>
    </row>
    <row r="183" spans="1:6">
      <c r="C183" s="319"/>
    </row>
    <row r="184" spans="1:6">
      <c r="A184" s="122" t="s">
        <v>383</v>
      </c>
      <c r="B184" s="329" t="s">
        <v>942</v>
      </c>
      <c r="C184" s="320">
        <v>32</v>
      </c>
      <c r="D184" s="329" t="s">
        <v>333</v>
      </c>
      <c r="E184" s="122" t="s">
        <v>558</v>
      </c>
    </row>
    <row r="185" spans="1:6">
      <c r="A185" s="122" t="s">
        <v>384</v>
      </c>
      <c r="B185" s="328" t="str">
        <f>'Register Configuration'!H200</f>
        <v>0x3D400030</v>
      </c>
      <c r="C185" s="319">
        <v>32</v>
      </c>
      <c r="D185" s="328" t="str">
        <f>'Register Configuration'!I200</f>
        <v>0x000000A8</v>
      </c>
      <c r="E185" s="122" t="s">
        <v>559</v>
      </c>
    </row>
    <row r="186" spans="1:6">
      <c r="A186" s="122" t="s">
        <v>384</v>
      </c>
      <c r="B186" s="327" t="s">
        <v>956</v>
      </c>
      <c r="C186" s="319">
        <v>32</v>
      </c>
      <c r="D186" s="327" t="s">
        <v>333</v>
      </c>
      <c r="E186" s="122" t="s">
        <v>560</v>
      </c>
    </row>
    <row r="187" spans="1:6">
      <c r="C187" s="319"/>
    </row>
    <row r="188" spans="1:6">
      <c r="A188" s="122" t="s">
        <v>384</v>
      </c>
      <c r="B188" s="327" t="s">
        <v>957</v>
      </c>
      <c r="C188" s="319">
        <v>32</v>
      </c>
      <c r="D188" s="327" t="s">
        <v>332</v>
      </c>
      <c r="E188" s="122" t="s">
        <v>399</v>
      </c>
    </row>
    <row r="189" spans="1:6">
      <c r="C189" s="319"/>
    </row>
    <row r="190" spans="1:6">
      <c r="A190" s="122" t="s">
        <v>384</v>
      </c>
      <c r="B190" s="327" t="s">
        <v>958</v>
      </c>
      <c r="C190" s="319">
        <v>32</v>
      </c>
      <c r="D190" s="327" t="s">
        <v>400</v>
      </c>
      <c r="E190" s="122" t="s">
        <v>401</v>
      </c>
      <c r="F190" s="122"/>
    </row>
    <row r="191" spans="1:6">
      <c r="C191" s="319"/>
      <c r="F191" s="122"/>
    </row>
    <row r="192" spans="1:6">
      <c r="A192" s="122" t="s">
        <v>580</v>
      </c>
      <c r="C192" s="319"/>
      <c r="F192" s="122"/>
    </row>
    <row r="193" spans="1:6">
      <c r="A193" s="122" t="s">
        <v>384</v>
      </c>
      <c r="B193" s="327" t="s">
        <v>581</v>
      </c>
      <c r="C193" s="319">
        <v>32</v>
      </c>
      <c r="D193" s="328" t="str">
        <f>INDEX(BoardDataBusConfig!F$16:F$47, MATCH("DDR_PHY_Dq0LnSel_0", BoardDataBusConfig!B$16:B$47,0),1)</f>
        <v>0x00000000</v>
      </c>
      <c r="E193" s="122" t="s">
        <v>613</v>
      </c>
      <c r="F193" s="122"/>
    </row>
    <row r="194" spans="1:6">
      <c r="A194" s="122" t="s">
        <v>384</v>
      </c>
      <c r="B194" s="327" t="s">
        <v>582</v>
      </c>
      <c r="C194" s="319">
        <v>32</v>
      </c>
      <c r="D194" s="328" t="str">
        <f>INDEX(BoardDataBusConfig!F$16:F$47, MATCH("DDR_PHY_Dq1LnSel_0", BoardDataBusConfig!B$16:B$47,0),1)</f>
        <v>0x00000001</v>
      </c>
      <c r="E194" s="122" t="s">
        <v>614</v>
      </c>
      <c r="F194" s="122"/>
    </row>
    <row r="195" spans="1:6">
      <c r="A195" s="122" t="s">
        <v>384</v>
      </c>
      <c r="B195" s="327" t="s">
        <v>583</v>
      </c>
      <c r="C195" s="319">
        <v>32</v>
      </c>
      <c r="D195" s="328" t="str">
        <f>INDEX(BoardDataBusConfig!F$16:F$47, MATCH("DDR_PHY_Dq2LnSel_0", BoardDataBusConfig!B$16:B$47,0),1)</f>
        <v>0x00000002</v>
      </c>
      <c r="E195" s="122" t="s">
        <v>615</v>
      </c>
      <c r="F195" s="122"/>
    </row>
    <row r="196" spans="1:6">
      <c r="A196" s="122" t="s">
        <v>384</v>
      </c>
      <c r="B196" s="327" t="s">
        <v>584</v>
      </c>
      <c r="C196" s="319">
        <v>32</v>
      </c>
      <c r="D196" s="328" t="str">
        <f>INDEX(BoardDataBusConfig!F$16:F$47, MATCH("DDR_PHY_Dq3LnSel_0", BoardDataBusConfig!B$16:B$47,0),1)</f>
        <v>0x00000003</v>
      </c>
      <c r="E196" s="122" t="s">
        <v>616</v>
      </c>
      <c r="F196" s="122"/>
    </row>
    <row r="197" spans="1:6">
      <c r="A197" s="122" t="s">
        <v>384</v>
      </c>
      <c r="B197" s="327" t="s">
        <v>585</v>
      </c>
      <c r="C197" s="319">
        <v>32</v>
      </c>
      <c r="D197" s="328" t="str">
        <f>INDEX(BoardDataBusConfig!F$16:F$47, MATCH("DDR_PHY_Dq4LnSel_0", BoardDataBusConfig!B$16:B$47,0),1)</f>
        <v>0x00000004</v>
      </c>
      <c r="E197" s="122" t="s">
        <v>617</v>
      </c>
      <c r="F197" s="122"/>
    </row>
    <row r="198" spans="1:6">
      <c r="A198" s="122" t="s">
        <v>384</v>
      </c>
      <c r="B198" s="327" t="s">
        <v>586</v>
      </c>
      <c r="C198" s="319">
        <v>32</v>
      </c>
      <c r="D198" s="328" t="str">
        <f>INDEX(BoardDataBusConfig!F$16:F$47, MATCH("DDR_PHY_Dq5LnSel_0", BoardDataBusConfig!B$16:B$47,0),1)</f>
        <v>0x00000005</v>
      </c>
      <c r="E198" s="122" t="s">
        <v>618</v>
      </c>
      <c r="F198" s="122"/>
    </row>
    <row r="199" spans="1:6">
      <c r="A199" s="122" t="s">
        <v>384</v>
      </c>
      <c r="B199" s="327" t="s">
        <v>587</v>
      </c>
      <c r="C199" s="319">
        <v>32</v>
      </c>
      <c r="D199" s="328" t="str">
        <f>INDEX(BoardDataBusConfig!F$16:F$47, MATCH("DDR_PHY_Dq6LnSel_0", BoardDataBusConfig!B$16:B$47,0),1)</f>
        <v>0x00000006</v>
      </c>
      <c r="E199" s="122" t="s">
        <v>619</v>
      </c>
      <c r="F199" s="122"/>
    </row>
    <row r="200" spans="1:6">
      <c r="A200" s="122" t="s">
        <v>384</v>
      </c>
      <c r="B200" s="327" t="s">
        <v>588</v>
      </c>
      <c r="C200" s="319">
        <v>32</v>
      </c>
      <c r="D200" s="328" t="str">
        <f>INDEX(BoardDataBusConfig!F$16:F$47, MATCH("DDR_PHY_Dq7LnSel_0", BoardDataBusConfig!B$16:B$47,0),1)</f>
        <v>0x00000007</v>
      </c>
      <c r="E200" s="122" t="s">
        <v>620</v>
      </c>
      <c r="F200" s="122"/>
    </row>
    <row r="201" spans="1:6">
      <c r="A201" s="122" t="s">
        <v>384</v>
      </c>
      <c r="B201" s="327" t="s">
        <v>589</v>
      </c>
      <c r="C201" s="319">
        <v>32</v>
      </c>
      <c r="D201" s="328" t="str">
        <f>INDEX(BoardDataBusConfig!F$16:F$47, MATCH("DDR_PHY_Dq0LnSel_1", BoardDataBusConfig!B$16:B$47,0),1)</f>
        <v>0x00000000</v>
      </c>
      <c r="E201" s="122" t="s">
        <v>621</v>
      </c>
      <c r="F201" s="122"/>
    </row>
    <row r="202" spans="1:6">
      <c r="A202" s="122" t="s">
        <v>384</v>
      </c>
      <c r="B202" s="327" t="s">
        <v>590</v>
      </c>
      <c r="C202" s="319">
        <v>32</v>
      </c>
      <c r="D202" s="328" t="str">
        <f>INDEX(BoardDataBusConfig!F$16:F$47, MATCH("DDR_PHY_Dq1LnSel_1", BoardDataBusConfig!B$16:B$47,0),1)</f>
        <v>0x00000001</v>
      </c>
      <c r="E202" s="122" t="s">
        <v>622</v>
      </c>
      <c r="F202" s="122"/>
    </row>
    <row r="203" spans="1:6">
      <c r="A203" s="122" t="s">
        <v>384</v>
      </c>
      <c r="B203" s="327" t="s">
        <v>591</v>
      </c>
      <c r="C203" s="319">
        <v>32</v>
      </c>
      <c r="D203" s="328" t="str">
        <f>INDEX(BoardDataBusConfig!F$16:F$47, MATCH("DDR_PHY_Dq2LnSel_1", BoardDataBusConfig!B$16:B$47,0),1)</f>
        <v>0x00000003</v>
      </c>
      <c r="E203" s="122" t="s">
        <v>623</v>
      </c>
      <c r="F203" s="122"/>
    </row>
    <row r="204" spans="1:6">
      <c r="A204" s="122" t="s">
        <v>384</v>
      </c>
      <c r="B204" s="327" t="s">
        <v>592</v>
      </c>
      <c r="C204" s="319">
        <v>32</v>
      </c>
      <c r="D204" s="328" t="str">
        <f>INDEX(BoardDataBusConfig!F$16:F$47, MATCH("DDR_PHY_Dq3LnSel_1", BoardDataBusConfig!B$16:B$47,0),1)</f>
        <v>0x00000004</v>
      </c>
      <c r="E204" s="122" t="s">
        <v>624</v>
      </c>
      <c r="F204" s="122"/>
    </row>
    <row r="205" spans="1:6">
      <c r="A205" s="122" t="s">
        <v>384</v>
      </c>
      <c r="B205" s="327" t="s">
        <v>593</v>
      </c>
      <c r="C205" s="319">
        <v>32</v>
      </c>
      <c r="D205" s="328" t="str">
        <f>INDEX(BoardDataBusConfig!F$16:F$47, MATCH("DDR_PHY_Dq4LnSel_1", BoardDataBusConfig!B$16:B$47,0),1)</f>
        <v>0x00000005</v>
      </c>
      <c r="E205" s="122" t="s">
        <v>625</v>
      </c>
      <c r="F205" s="122"/>
    </row>
    <row r="206" spans="1:6">
      <c r="A206" s="122" t="s">
        <v>384</v>
      </c>
      <c r="B206" s="327" t="s">
        <v>594</v>
      </c>
      <c r="C206" s="319">
        <v>32</v>
      </c>
      <c r="D206" s="328" t="str">
        <f>INDEX(BoardDataBusConfig!F$16:F$47, MATCH("DDR_PHY_Dq5LnSel_1", BoardDataBusConfig!B$16:B$47,0),1)</f>
        <v>0x00000002</v>
      </c>
      <c r="E206" s="122" t="s">
        <v>626</v>
      </c>
      <c r="F206" s="122"/>
    </row>
    <row r="207" spans="1:6">
      <c r="A207" s="122" t="s">
        <v>384</v>
      </c>
      <c r="B207" s="327" t="s">
        <v>595</v>
      </c>
      <c r="C207" s="319">
        <v>32</v>
      </c>
      <c r="D207" s="328" t="str">
        <f>INDEX(BoardDataBusConfig!F$16:F$47, MATCH("DDR_PHY_Dq6LnSel_1", BoardDataBusConfig!B$16:B$47,0),1)</f>
        <v>0x00000007</v>
      </c>
      <c r="E207" s="122" t="s">
        <v>627</v>
      </c>
      <c r="F207" s="122"/>
    </row>
    <row r="208" spans="1:6">
      <c r="A208" s="122" t="s">
        <v>384</v>
      </c>
      <c r="B208" s="327" t="s">
        <v>596</v>
      </c>
      <c r="C208" s="319">
        <v>32</v>
      </c>
      <c r="D208" s="328" t="str">
        <f>INDEX(BoardDataBusConfig!F$16:F$47, MATCH("DDR_PHY_Dq7LnSel_1", BoardDataBusConfig!B$16:B$47,0),1)</f>
        <v>0x00000006</v>
      </c>
      <c r="E208" s="122" t="s">
        <v>628</v>
      </c>
      <c r="F208" s="122"/>
    </row>
    <row r="209" spans="1:6">
      <c r="A209" s="122" t="s">
        <v>384</v>
      </c>
      <c r="B209" s="327" t="s">
        <v>597</v>
      </c>
      <c r="C209" s="319">
        <v>32</v>
      </c>
      <c r="D209" s="328" t="str">
        <f>INDEX(BoardDataBusConfig!F$16:F$47, MATCH("DDR_PHY_Dq0LnSel_2", BoardDataBusConfig!B$16:B$47,0),1)</f>
        <v>0x00000000</v>
      </c>
      <c r="E209" s="122" t="s">
        <v>629</v>
      </c>
      <c r="F209" s="122"/>
    </row>
    <row r="210" spans="1:6">
      <c r="A210" s="122" t="s">
        <v>384</v>
      </c>
      <c r="B210" s="327" t="s">
        <v>598</v>
      </c>
      <c r="C210" s="319">
        <v>32</v>
      </c>
      <c r="D210" s="328" t="str">
        <f>INDEX(BoardDataBusConfig!F$16:F$47, MATCH("DDR_PHY_Dq1LnSel_2", BoardDataBusConfig!B$16:B$47,0),1)</f>
        <v>0x00000001</v>
      </c>
      <c r="E210" s="122" t="s">
        <v>630</v>
      </c>
      <c r="F210" s="122"/>
    </row>
    <row r="211" spans="1:6">
      <c r="A211" s="122" t="s">
        <v>384</v>
      </c>
      <c r="B211" s="327" t="s">
        <v>599</v>
      </c>
      <c r="C211" s="319">
        <v>32</v>
      </c>
      <c r="D211" s="328" t="str">
        <f>INDEX(BoardDataBusConfig!F$16:F$47, MATCH("DDR_PHY_Dq2LnSel_2", BoardDataBusConfig!B$16:B$47,0),1)</f>
        <v>0x00000003</v>
      </c>
      <c r="E211" s="122" t="s">
        <v>631</v>
      </c>
      <c r="F211" s="122"/>
    </row>
    <row r="212" spans="1:6">
      <c r="A212" s="122" t="s">
        <v>384</v>
      </c>
      <c r="B212" s="327" t="s">
        <v>600</v>
      </c>
      <c r="C212" s="319">
        <v>32</v>
      </c>
      <c r="D212" s="328" t="str">
        <f>INDEX(BoardDataBusConfig!F$16:F$47, MATCH("DDR_PHY_Dq3LnSel_2", BoardDataBusConfig!B$16:B$47,0),1)</f>
        <v>0x00000002</v>
      </c>
      <c r="E212" s="122" t="s">
        <v>632</v>
      </c>
      <c r="F212" s="122"/>
    </row>
    <row r="213" spans="1:6">
      <c r="A213" s="122" t="s">
        <v>384</v>
      </c>
      <c r="B213" s="327" t="s">
        <v>601</v>
      </c>
      <c r="C213" s="319">
        <v>32</v>
      </c>
      <c r="D213" s="328" t="str">
        <f>INDEX(BoardDataBusConfig!F$16:F$47, MATCH("DDR_PHY_Dq4LnSel_2", BoardDataBusConfig!B$16:B$47,0),1)</f>
        <v>0x00000005</v>
      </c>
      <c r="E213" s="122" t="s">
        <v>633</v>
      </c>
      <c r="F213" s="122"/>
    </row>
    <row r="214" spans="1:6">
      <c r="A214" s="122" t="s">
        <v>384</v>
      </c>
      <c r="B214" s="327" t="s">
        <v>602</v>
      </c>
      <c r="C214" s="319">
        <v>32</v>
      </c>
      <c r="D214" s="328" t="str">
        <f>INDEX(BoardDataBusConfig!F$16:F$47, MATCH("DDR_PHY_Dq5LnSel_2", BoardDataBusConfig!B$16:B$47,0),1)</f>
        <v>0x00000004</v>
      </c>
      <c r="E214" s="122" t="s">
        <v>634</v>
      </c>
      <c r="F214" s="122"/>
    </row>
    <row r="215" spans="1:6">
      <c r="A215" s="122" t="s">
        <v>384</v>
      </c>
      <c r="B215" s="327" t="s">
        <v>603</v>
      </c>
      <c r="C215" s="319">
        <v>32</v>
      </c>
      <c r="D215" s="328" t="str">
        <f>INDEX(BoardDataBusConfig!F$16:F$47, MATCH("DDR_PHY_Dq6LnSel_2", BoardDataBusConfig!B$16:B$47,0),1)</f>
        <v>0x00000007</v>
      </c>
      <c r="E215" s="122" t="s">
        <v>635</v>
      </c>
      <c r="F215" s="122"/>
    </row>
    <row r="216" spans="1:6">
      <c r="A216" s="122" t="s">
        <v>384</v>
      </c>
      <c r="B216" s="327" t="s">
        <v>604</v>
      </c>
      <c r="C216" s="319">
        <v>32</v>
      </c>
      <c r="D216" s="328" t="str">
        <f>INDEX(BoardDataBusConfig!F$16:F$47, MATCH("DDR_PHY_Dq7LnSel_2", BoardDataBusConfig!B$16:B$47,0),1)</f>
        <v>0x00000006</v>
      </c>
      <c r="E216" s="122" t="s">
        <v>636</v>
      </c>
      <c r="F216" s="122"/>
    </row>
    <row r="217" spans="1:6">
      <c r="A217" s="122" t="s">
        <v>384</v>
      </c>
      <c r="B217" s="327" t="s">
        <v>605</v>
      </c>
      <c r="C217" s="319">
        <v>32</v>
      </c>
      <c r="D217" s="328" t="str">
        <f>INDEX(BoardDataBusConfig!F$16:F$47, MATCH("DDR_PHY_Dq0LnSel_3", BoardDataBusConfig!B$16:B$47,0),1)</f>
        <v>0x00000000</v>
      </c>
      <c r="E217" s="122" t="s">
        <v>637</v>
      </c>
      <c r="F217" s="122"/>
    </row>
    <row r="218" spans="1:6">
      <c r="A218" s="122" t="s">
        <v>384</v>
      </c>
      <c r="B218" s="327" t="s">
        <v>606</v>
      </c>
      <c r="C218" s="319">
        <v>32</v>
      </c>
      <c r="D218" s="328" t="str">
        <f>INDEX(BoardDataBusConfig!F$16:F$47, MATCH("DDR_PHY_Dq1LnSel_3", BoardDataBusConfig!B$16:B$47,0),1)</f>
        <v>0x00000001</v>
      </c>
      <c r="E218" s="122" t="s">
        <v>638</v>
      </c>
      <c r="F218" s="122"/>
    </row>
    <row r="219" spans="1:6">
      <c r="A219" s="122" t="s">
        <v>384</v>
      </c>
      <c r="B219" s="327" t="s">
        <v>607</v>
      </c>
      <c r="C219" s="319">
        <v>32</v>
      </c>
      <c r="D219" s="328" t="str">
        <f>INDEX(BoardDataBusConfig!F$16:F$47, MATCH("DDR_PHY_Dq2LnSel_3", BoardDataBusConfig!B$16:B$47,0),1)</f>
        <v>0x00000002</v>
      </c>
      <c r="E219" s="122" t="s">
        <v>639</v>
      </c>
      <c r="F219" s="122"/>
    </row>
    <row r="220" spans="1:6">
      <c r="A220" s="122" t="s">
        <v>384</v>
      </c>
      <c r="B220" s="327" t="s">
        <v>608</v>
      </c>
      <c r="C220" s="319">
        <v>32</v>
      </c>
      <c r="D220" s="328" t="str">
        <f>INDEX(BoardDataBusConfig!F$16:F$47, MATCH("DDR_PHY_Dq3LnSel_3", BoardDataBusConfig!B$16:B$47,0),1)</f>
        <v>0x00000003</v>
      </c>
      <c r="E220" s="122" t="s">
        <v>640</v>
      </c>
      <c r="F220" s="122"/>
    </row>
    <row r="221" spans="1:6">
      <c r="A221" s="122" t="s">
        <v>384</v>
      </c>
      <c r="B221" s="327" t="s">
        <v>609</v>
      </c>
      <c r="C221" s="319">
        <v>32</v>
      </c>
      <c r="D221" s="328" t="str">
        <f>INDEX(BoardDataBusConfig!F$16:F$47, MATCH("DDR_PHY_Dq4LnSel_3", BoardDataBusConfig!B$16:B$47,0),1)</f>
        <v>0x00000004</v>
      </c>
      <c r="E221" s="122" t="s">
        <v>641</v>
      </c>
      <c r="F221" s="122"/>
    </row>
    <row r="222" spans="1:6">
      <c r="A222" s="122" t="s">
        <v>384</v>
      </c>
      <c r="B222" s="327" t="s">
        <v>610</v>
      </c>
      <c r="C222" s="319">
        <v>32</v>
      </c>
      <c r="D222" s="328" t="str">
        <f>INDEX(BoardDataBusConfig!F$16:F$47, MATCH("DDR_PHY_Dq5LnSel_3", BoardDataBusConfig!B$16:B$47,0),1)</f>
        <v>0x00000005</v>
      </c>
      <c r="E222" s="122" t="s">
        <v>642</v>
      </c>
      <c r="F222" s="122"/>
    </row>
    <row r="223" spans="1:6">
      <c r="A223" s="122" t="s">
        <v>384</v>
      </c>
      <c r="B223" s="327" t="s">
        <v>611</v>
      </c>
      <c r="C223" s="319">
        <v>32</v>
      </c>
      <c r="D223" s="328" t="str">
        <f>INDEX(BoardDataBusConfig!F$16:F$47, MATCH("DDR_PHY_Dq6LnSel_3", BoardDataBusConfig!B$16:B$47,0),1)</f>
        <v>0x00000006</v>
      </c>
      <c r="E223" s="122" t="s">
        <v>643</v>
      </c>
      <c r="F223" s="122"/>
    </row>
    <row r="224" spans="1:6">
      <c r="A224" s="122" t="s">
        <v>384</v>
      </c>
      <c r="B224" s="327" t="s">
        <v>612</v>
      </c>
      <c r="C224" s="319">
        <v>32</v>
      </c>
      <c r="D224" s="328" t="str">
        <f>INDEX(BoardDataBusConfig!F$16:F$47, MATCH("DDR_PHY_Dq7LnSel_3", BoardDataBusConfig!B$16:B$47,0),1)</f>
        <v>0x00000007</v>
      </c>
      <c r="E224" s="122" t="s">
        <v>644</v>
      </c>
      <c r="F224" s="122"/>
    </row>
    <row r="225" spans="1:6">
      <c r="C225" s="319"/>
      <c r="F225" s="122"/>
    </row>
    <row r="226" spans="1:6">
      <c r="A226" s="122" t="s">
        <v>441</v>
      </c>
      <c r="C226" s="319"/>
      <c r="F226" s="122"/>
    </row>
    <row r="227" spans="1:6">
      <c r="A227" s="122" t="s">
        <v>440</v>
      </c>
    </row>
    <row r="228" spans="1:6">
      <c r="A228" s="122" t="s">
        <v>441</v>
      </c>
    </row>
    <row r="230" spans="1:6">
      <c r="A230" s="122" t="s">
        <v>439</v>
      </c>
      <c r="B230" s="327" t="s">
        <v>438</v>
      </c>
      <c r="D230" s="327">
        <v>2</v>
      </c>
      <c r="E230" s="327" t="s">
        <v>442</v>
      </c>
      <c r="F230" s="122"/>
    </row>
    <row r="231" spans="1:6">
      <c r="E231" s="327"/>
      <c r="F231" s="122"/>
    </row>
    <row r="232" spans="1:6">
      <c r="A232" s="122" t="s">
        <v>439</v>
      </c>
      <c r="B232" s="327" t="s">
        <v>800</v>
      </c>
      <c r="D232" s="328">
        <f>'Register Configuration'!C694</f>
        <v>32</v>
      </c>
      <c r="E232" s="327" t="s">
        <v>801</v>
      </c>
      <c r="F232" s="122"/>
    </row>
    <row r="233" spans="1:6">
      <c r="E233" s="327"/>
      <c r="F233" s="122"/>
    </row>
    <row r="234" spans="1:6">
      <c r="A234" s="122" t="s">
        <v>439</v>
      </c>
      <c r="B234" s="327" t="s">
        <v>656</v>
      </c>
      <c r="D234" s="328">
        <f>'Register Configuration'!H27</f>
        <v>3</v>
      </c>
      <c r="E234" s="327" t="s">
        <v>657</v>
      </c>
      <c r="F234" s="122"/>
    </row>
    <row r="235" spans="1:6">
      <c r="E235" s="327"/>
      <c r="F235" s="122"/>
    </row>
    <row r="236" spans="1:6">
      <c r="A236" s="122" t="s">
        <v>439</v>
      </c>
      <c r="B236" s="327" t="s">
        <v>658</v>
      </c>
      <c r="D236" s="328">
        <f>IF('Register Configuration'!I27="ENABLED", 1, 0)</f>
        <v>1</v>
      </c>
      <c r="E236" s="327" t="s">
        <v>659</v>
      </c>
      <c r="F236" s="122"/>
    </row>
    <row r="237" spans="1:6">
      <c r="D237" s="329"/>
      <c r="E237" s="327"/>
      <c r="F237" s="122"/>
    </row>
    <row r="238" spans="1:6">
      <c r="A238" s="122" t="s">
        <v>439</v>
      </c>
      <c r="B238" s="327" t="s">
        <v>789</v>
      </c>
      <c r="D238" s="328" t="str">
        <f>'Register Configuration'!C690</f>
        <v>0x14</v>
      </c>
      <c r="E238" s="327" t="s">
        <v>797</v>
      </c>
      <c r="F238" s="122"/>
    </row>
    <row r="239" spans="1:6">
      <c r="D239" s="329"/>
      <c r="E239" s="327"/>
      <c r="F239" s="122"/>
    </row>
    <row r="240" spans="1:6">
      <c r="A240" s="122" t="s">
        <v>439</v>
      </c>
      <c r="B240" s="327" t="s">
        <v>798</v>
      </c>
      <c r="D240" s="328" t="str">
        <f>'Register Configuration'!C692</f>
        <v>0x3</v>
      </c>
      <c r="E240" s="327"/>
      <c r="F240" s="122"/>
    </row>
    <row r="241" spans="1:6">
      <c r="D241" s="329"/>
      <c r="E241" s="327"/>
      <c r="F241" s="122"/>
    </row>
    <row r="242" spans="1:6">
      <c r="A242" s="122" t="s">
        <v>670</v>
      </c>
      <c r="D242" s="329"/>
      <c r="E242" s="327"/>
      <c r="F242" s="122"/>
    </row>
    <row r="243" spans="1:6">
      <c r="A243" s="122" t="s">
        <v>439</v>
      </c>
      <c r="B243" s="327" t="s">
        <v>671</v>
      </c>
      <c r="D243" s="328">
        <f>'Register Configuration'!C29</f>
        <v>2000</v>
      </c>
      <c r="E243" s="122" t="s">
        <v>889</v>
      </c>
    </row>
    <row r="244" spans="1:6">
      <c r="A244" s="122" t="s">
        <v>439</v>
      </c>
      <c r="B244" s="327" t="s">
        <v>672</v>
      </c>
      <c r="D244" s="329">
        <v>0</v>
      </c>
    </row>
    <row r="245" spans="1:6">
      <c r="A245" s="122" t="s">
        <v>987</v>
      </c>
      <c r="B245" s="327" t="s">
        <v>421</v>
      </c>
      <c r="C245" s="319">
        <v>32</v>
      </c>
      <c r="D245" s="329" t="s">
        <v>422</v>
      </c>
      <c r="E245" s="122" t="s">
        <v>423</v>
      </c>
    </row>
    <row r="246" spans="1:6">
      <c r="A246" s="122" t="s">
        <v>987</v>
      </c>
      <c r="B246" s="327" t="s">
        <v>424</v>
      </c>
      <c r="C246" s="319">
        <v>32</v>
      </c>
      <c r="D246" s="329" t="s">
        <v>425</v>
      </c>
      <c r="E246" s="122" t="s">
        <v>426</v>
      </c>
    </row>
    <row r="247" spans="1:6">
      <c r="A247" s="122" t="s">
        <v>987</v>
      </c>
      <c r="B247" s="327" t="s">
        <v>429</v>
      </c>
      <c r="C247" s="319">
        <v>32</v>
      </c>
      <c r="D247" s="329" t="s">
        <v>427</v>
      </c>
      <c r="E247" s="122" t="s">
        <v>680</v>
      </c>
    </row>
    <row r="248" spans="1:6">
      <c r="A248" s="122" t="s">
        <v>988</v>
      </c>
      <c r="B248" s="327" t="s">
        <v>430</v>
      </c>
      <c r="C248" s="319">
        <v>32</v>
      </c>
      <c r="D248" s="329" t="s">
        <v>678</v>
      </c>
      <c r="E248" s="122" t="s">
        <v>432</v>
      </c>
    </row>
    <row r="249" spans="1:6">
      <c r="A249" s="122" t="s">
        <v>673</v>
      </c>
      <c r="B249" s="327" t="s">
        <v>968</v>
      </c>
      <c r="C249" s="319">
        <v>32</v>
      </c>
      <c r="D249" s="328" t="str">
        <f t="shared" ref="D249:E253" si="0">D45</f>
        <v>0xFA031</v>
      </c>
      <c r="E249" s="327" t="str">
        <f t="shared" si="0"/>
        <v>#DRAM_PLL_FDIV_CTL0: For 2000MHz, pll_main_div = 250, pll_pre_div = 3, pll_post_div = 1</v>
      </c>
      <c r="F249" s="122"/>
    </row>
    <row r="250" spans="1:6">
      <c r="A250" s="122" t="s">
        <v>673</v>
      </c>
      <c r="B250" s="327" t="s">
        <v>969</v>
      </c>
      <c r="C250" s="319">
        <v>32</v>
      </c>
      <c r="D250" s="329" t="str">
        <f t="shared" si="0"/>
        <v>0x00000000</v>
      </c>
      <c r="E250" s="327" t="str">
        <f t="shared" si="0"/>
        <v>#DRAM_PLL_FDIV_CTL1: pll_dsm=0</v>
      </c>
      <c r="F250" s="122"/>
    </row>
    <row r="251" spans="1:6">
      <c r="A251" s="122" t="s">
        <v>674</v>
      </c>
      <c r="B251" s="327" t="s">
        <v>978</v>
      </c>
      <c r="C251" s="319">
        <v>32</v>
      </c>
      <c r="D251" s="329" t="str">
        <f t="shared" si="0"/>
        <v xml:space="preserve">0x200 </v>
      </c>
      <c r="E251" s="327" t="str">
        <f t="shared" si="0"/>
        <v>#DRAM_PLL_GNRL_CTL: pll_rst = 1</v>
      </c>
      <c r="F251" s="122"/>
    </row>
    <row r="252" spans="1:6">
      <c r="A252" s="122" t="s">
        <v>675</v>
      </c>
      <c r="B252" s="327" t="s">
        <v>977</v>
      </c>
      <c r="C252" s="319">
        <v>32</v>
      </c>
      <c r="D252" s="329" t="str">
        <f t="shared" si="0"/>
        <v>0x10</v>
      </c>
      <c r="E252" s="327" t="str">
        <f t="shared" si="0"/>
        <v>#DRAM_PLL_GNRL_CTL: pll_bypass = 0</v>
      </c>
      <c r="F252" s="122"/>
    </row>
    <row r="253" spans="1:6">
      <c r="A253" s="122" t="s">
        <v>676</v>
      </c>
      <c r="B253" s="327" t="s">
        <v>977</v>
      </c>
      <c r="C253" s="319">
        <v>32</v>
      </c>
      <c r="D253" s="329" t="str">
        <f t="shared" si="0"/>
        <v>0x80000000</v>
      </c>
      <c r="E253" s="327" t="str">
        <f t="shared" si="0"/>
        <v>#DRAM_PLL_GNRL_CTL: check pll_lock=1?</v>
      </c>
      <c r="F253" s="122"/>
    </row>
    <row r="254" spans="1:6">
      <c r="A254" s="122" t="s">
        <v>986</v>
      </c>
      <c r="B254" s="327" t="s">
        <v>677</v>
      </c>
      <c r="C254" s="319">
        <v>32</v>
      </c>
      <c r="D254" s="329" t="s">
        <v>679</v>
      </c>
      <c r="E254" s="327" t="s">
        <v>681</v>
      </c>
      <c r="F254" s="122"/>
    </row>
    <row r="255" spans="1:6">
      <c r="D255" s="329"/>
      <c r="E255" s="327"/>
      <c r="F255" s="122"/>
    </row>
    <row r="256" spans="1:6">
      <c r="A256" s="122" t="s">
        <v>682</v>
      </c>
      <c r="D256" s="329"/>
      <c r="E256" s="327"/>
      <c r="F256" s="122"/>
    </row>
    <row r="257" spans="1:6">
      <c r="A257" s="122" t="s">
        <v>963</v>
      </c>
      <c r="D257" s="329"/>
      <c r="E257" s="327"/>
      <c r="F257" s="122"/>
    </row>
    <row r="258" spans="1:6">
      <c r="A258" s="122" t="str">
        <f>IF( 'Register Configuration'!H27&gt;1, "", "#")&amp;"ddrparam set"</f>
        <v>ddrparam set</v>
      </c>
      <c r="B258" s="327" t="s">
        <v>691</v>
      </c>
      <c r="D258" s="328">
        <f>'Register Configuration'!C31</f>
        <v>200</v>
      </c>
      <c r="E258" s="327"/>
      <c r="F258" s="122"/>
    </row>
    <row r="259" spans="1:6">
      <c r="A259" s="122" t="str">
        <f>IF( 'Register Configuration'!H27&gt;1, "", "#")&amp;"ddrparam set"</f>
        <v>ddrparam set</v>
      </c>
      <c r="B259" s="327" t="s">
        <v>692</v>
      </c>
      <c r="D259" s="412">
        <f>IF(D258&lt;253, 1, 0)</f>
        <v>1</v>
      </c>
      <c r="E259" s="327"/>
      <c r="F259" s="122"/>
    </row>
    <row r="260" spans="1:6">
      <c r="A260" s="122" t="str">
        <f>IF('Register Configuration'!H27&gt;1, "", "#")&amp;"freq1 set"</f>
        <v>freq1 set</v>
      </c>
      <c r="B260" s="327" t="s">
        <v>683</v>
      </c>
      <c r="C260" s="319">
        <v>32</v>
      </c>
      <c r="D260" s="329" t="s">
        <v>422</v>
      </c>
      <c r="E260" s="327" t="s">
        <v>687</v>
      </c>
      <c r="F260" s="122"/>
    </row>
    <row r="261" spans="1:6">
      <c r="A261" s="122" t="str">
        <f>IF( 'Register Configuration'!H27&gt;1, "", "#")&amp;"freq1 set"</f>
        <v>freq1 set</v>
      </c>
      <c r="B261" s="327" t="s">
        <v>684</v>
      </c>
      <c r="C261" s="319">
        <v>32</v>
      </c>
      <c r="D261" s="329" t="s">
        <v>1032</v>
      </c>
      <c r="E261" s="327" t="s">
        <v>1033</v>
      </c>
      <c r="F261" s="122"/>
    </row>
    <row r="262" spans="1:6">
      <c r="A262" s="122" t="str">
        <f>IF( 'Register Configuration'!H27&gt;1, "", "#")&amp;"freq1 set"</f>
        <v>freq1 set</v>
      </c>
      <c r="B262" s="327" t="s">
        <v>421</v>
      </c>
      <c r="C262" s="319">
        <v>32</v>
      </c>
      <c r="D262" s="329" t="s">
        <v>422</v>
      </c>
      <c r="E262" s="327" t="s">
        <v>423</v>
      </c>
      <c r="F262" s="122"/>
    </row>
    <row r="263" spans="1:6">
      <c r="A263" s="122" t="str">
        <f>IF( 'Register Configuration'!H27&gt;1, "", "#")&amp;"freq1 set"</f>
        <v>freq1 set</v>
      </c>
      <c r="B263" s="327" t="s">
        <v>424</v>
      </c>
      <c r="C263" s="319">
        <v>32</v>
      </c>
      <c r="D263" s="329" t="s">
        <v>1034</v>
      </c>
      <c r="E263" s="327" t="s">
        <v>1035</v>
      </c>
      <c r="F263" s="122"/>
    </row>
    <row r="264" spans="1:6">
      <c r="A264" s="122" t="str">
        <f>IF( 'Register Configuration'!H27&gt;1, "", "#")&amp;"freq1 set"</f>
        <v>freq1 set</v>
      </c>
      <c r="B264" s="327" t="s">
        <v>429</v>
      </c>
      <c r="C264" s="319">
        <v>32</v>
      </c>
      <c r="D264" s="329" t="s">
        <v>427</v>
      </c>
      <c r="E264" s="327" t="s">
        <v>680</v>
      </c>
      <c r="F264" s="122"/>
    </row>
    <row r="265" spans="1:6">
      <c r="A265" s="122" t="str">
        <f>IF( 'Register Configuration'!H27&gt;1, "", "#")&amp;"freq1 setbit"</f>
        <v>freq1 setbit</v>
      </c>
      <c r="B265" s="327" t="s">
        <v>430</v>
      </c>
      <c r="C265" s="319">
        <v>32</v>
      </c>
      <c r="D265" s="329" t="s">
        <v>678</v>
      </c>
      <c r="E265" s="327" t="s">
        <v>432</v>
      </c>
      <c r="F265" s="122"/>
    </row>
    <row r="266" spans="1:6">
      <c r="A266" s="122" t="str">
        <f>IF( 'Register Configuration'!H27&gt;1, "", "#")&amp;"freq1 set"</f>
        <v>freq1 set</v>
      </c>
      <c r="B266" s="327" t="s">
        <v>685</v>
      </c>
      <c r="C266" s="319">
        <v>32</v>
      </c>
      <c r="D266" s="329" t="s">
        <v>679</v>
      </c>
      <c r="E266" s="327" t="s">
        <v>689</v>
      </c>
      <c r="F266" s="122"/>
    </row>
    <row r="267" spans="1:6">
      <c r="D267" s="329"/>
      <c r="E267" s="327"/>
      <c r="F267" s="122"/>
    </row>
    <row r="268" spans="1:6">
      <c r="A268" s="122" t="s">
        <v>690</v>
      </c>
      <c r="D268" s="329"/>
      <c r="E268" s="327"/>
      <c r="F268" s="122"/>
    </row>
    <row r="269" spans="1:6">
      <c r="A269" s="122" t="str">
        <f>IF('Register Configuration'!H27 = 3, "ddrparam set", "#ddrparam set")</f>
        <v>ddrparam set</v>
      </c>
      <c r="B269" s="327" t="s">
        <v>693</v>
      </c>
      <c r="D269" s="328">
        <f>'Register Configuration'!C33</f>
        <v>50</v>
      </c>
      <c r="E269" s="327"/>
      <c r="F269" s="122"/>
    </row>
    <row r="270" spans="1:6">
      <c r="A270" s="122" t="str">
        <f>IF('Register Configuration'!H27 = 3, "ddrparam set", "#ddrparam set")</f>
        <v>ddrparam set</v>
      </c>
      <c r="B270" s="327" t="s">
        <v>694</v>
      </c>
      <c r="D270" s="412">
        <f>IF(D269&lt;253, 1, 0)</f>
        <v>1</v>
      </c>
      <c r="E270" s="327"/>
      <c r="F270" s="122"/>
    </row>
    <row r="271" spans="1:6">
      <c r="A271" s="122" t="str">
        <f>IF('Register Configuration'!H27 = 3, "freq2 set", "#freq2 set")</f>
        <v>freq2 set</v>
      </c>
      <c r="B271" s="327" t="s">
        <v>683</v>
      </c>
      <c r="C271" s="319">
        <v>32</v>
      </c>
      <c r="D271" s="329" t="s">
        <v>422</v>
      </c>
      <c r="E271" s="327" t="s">
        <v>687</v>
      </c>
      <c r="F271" s="122"/>
    </row>
    <row r="272" spans="1:6">
      <c r="A272" s="122" t="str">
        <f>IF('Register Configuration'!H27 = 3, "freq2 set", "#freq2 set")</f>
        <v>freq2 set</v>
      </c>
      <c r="B272" s="327" t="s">
        <v>684</v>
      </c>
      <c r="C272" s="319">
        <v>32</v>
      </c>
      <c r="D272" s="329" t="s">
        <v>695</v>
      </c>
      <c r="E272" s="327" t="s">
        <v>696</v>
      </c>
      <c r="F272" s="122"/>
    </row>
    <row r="273" spans="1:6">
      <c r="A273" s="122" t="str">
        <f>IF('Register Configuration'!H27 = 3, "freq2 set", "#freq2 set")</f>
        <v>freq2 set</v>
      </c>
      <c r="B273" s="327" t="s">
        <v>421</v>
      </c>
      <c r="C273" s="319">
        <v>32</v>
      </c>
      <c r="D273" s="329" t="s">
        <v>422</v>
      </c>
      <c r="E273" s="327" t="s">
        <v>423</v>
      </c>
      <c r="F273" s="122"/>
    </row>
    <row r="274" spans="1:6">
      <c r="A274" s="122" t="str">
        <f>IF('Register Configuration'!H27 = 3, "freq2 set", "#freq2 set")</f>
        <v>freq2 set</v>
      </c>
      <c r="B274" s="327" t="s">
        <v>424</v>
      </c>
      <c r="C274" s="319">
        <v>32</v>
      </c>
      <c r="D274" s="329" t="s">
        <v>686</v>
      </c>
      <c r="E274" s="327" t="s">
        <v>688</v>
      </c>
      <c r="F274" s="122"/>
    </row>
    <row r="275" spans="1:6">
      <c r="A275" s="122" t="str">
        <f>IF('Register Configuration'!H27 = 3, "freq2 set", "#freq2 set")</f>
        <v>freq2 set</v>
      </c>
      <c r="B275" s="327" t="s">
        <v>429</v>
      </c>
      <c r="C275" s="319">
        <v>32</v>
      </c>
      <c r="D275" s="329" t="s">
        <v>427</v>
      </c>
      <c r="E275" s="327" t="s">
        <v>680</v>
      </c>
      <c r="F275" s="122"/>
    </row>
    <row r="276" spans="1:6">
      <c r="A276" s="122" t="str">
        <f>IF('Register Configuration'!H27 = 3, "freq2 setbit", "#freq2 setbit")</f>
        <v>freq2 setbit</v>
      </c>
      <c r="B276" s="327" t="s">
        <v>430</v>
      </c>
      <c r="C276" s="319">
        <v>32</v>
      </c>
      <c r="D276" s="329" t="s">
        <v>678</v>
      </c>
      <c r="E276" s="327" t="s">
        <v>432</v>
      </c>
      <c r="F276" s="122"/>
    </row>
    <row r="277" spans="1:6">
      <c r="A277" s="122" t="str">
        <f>IF('Register Configuration'!H27 = 3, "freq2 set", "#freq2 set")</f>
        <v>freq2 set</v>
      </c>
      <c r="B277" s="327" t="s">
        <v>685</v>
      </c>
      <c r="C277" s="319">
        <v>32</v>
      </c>
      <c r="D277" s="329" t="s">
        <v>679</v>
      </c>
      <c r="E277" s="327" t="s">
        <v>689</v>
      </c>
      <c r="F277" s="122"/>
    </row>
    <row r="278" spans="1:6">
      <c r="D278" s="329"/>
      <c r="E278" s="327"/>
      <c r="F278" s="122"/>
    </row>
    <row r="279" spans="1:6">
      <c r="A279" s="122" t="s">
        <v>518</v>
      </c>
    </row>
    <row r="280" spans="1:6">
      <c r="A280" s="122" t="s">
        <v>439</v>
      </c>
      <c r="B280" s="327" t="s">
        <v>661</v>
      </c>
      <c r="D280" s="327" t="s">
        <v>443</v>
      </c>
      <c r="E280" s="122" t="s">
        <v>444</v>
      </c>
    </row>
    <row r="281" spans="1:6">
      <c r="E281" s="122" t="s">
        <v>445</v>
      </c>
    </row>
    <row r="282" spans="1:6">
      <c r="E282" s="122" t="s">
        <v>446</v>
      </c>
    </row>
    <row r="283" spans="1:6">
      <c r="E283" s="122" t="s">
        <v>447</v>
      </c>
    </row>
    <row r="284" spans="1:6">
      <c r="E284" s="122" t="s">
        <v>448</v>
      </c>
    </row>
    <row r="285" spans="1:6">
      <c r="E285" s="122" t="s">
        <v>449</v>
      </c>
    </row>
    <row r="286" spans="1:6">
      <c r="E286" s="122" t="s">
        <v>450</v>
      </c>
    </row>
    <row r="287" spans="1:6">
      <c r="E287" s="122" t="s">
        <v>451</v>
      </c>
    </row>
    <row r="288" spans="1:6">
      <c r="E288" s="122" t="s">
        <v>452</v>
      </c>
    </row>
    <row r="289" spans="1:5">
      <c r="E289" s="122" t="s">
        <v>453</v>
      </c>
    </row>
    <row r="290" spans="1:5">
      <c r="E290" s="122" t="s">
        <v>454</v>
      </c>
    </row>
    <row r="291" spans="1:5">
      <c r="E291" s="122" t="s">
        <v>455</v>
      </c>
    </row>
    <row r="292" spans="1:5">
      <c r="E292" s="122" t="s">
        <v>456</v>
      </c>
    </row>
    <row r="293" spans="1:5">
      <c r="A293" s="122" t="str">
        <f>IF('Register Configuration'!H27&gt;1, "", "#")&amp;"ddrparam set"</f>
        <v>ddrparam set</v>
      </c>
      <c r="B293" s="327" t="s">
        <v>662</v>
      </c>
      <c r="D293" s="327" t="s">
        <v>664</v>
      </c>
    </row>
    <row r="294" spans="1:5">
      <c r="A294" s="122" t="str">
        <f>IF('Register Configuration'!H27=3, "", "#")&amp;"ddrparam set"</f>
        <v>ddrparam set</v>
      </c>
      <c r="B294" s="327" t="s">
        <v>663</v>
      </c>
      <c r="D294" s="327" t="s">
        <v>664</v>
      </c>
    </row>
    <row r="296" spans="1:5">
      <c r="A296" s="122" t="s">
        <v>519</v>
      </c>
    </row>
    <row r="297" spans="1:5">
      <c r="A297" s="122" t="s">
        <v>439</v>
      </c>
      <c r="B297" s="327" t="s">
        <v>457</v>
      </c>
      <c r="D297" s="327" t="s">
        <v>458</v>
      </c>
      <c r="E297" s="122" t="s">
        <v>459</v>
      </c>
    </row>
    <row r="298" spans="1:5">
      <c r="E298" s="122" t="s">
        <v>460</v>
      </c>
    </row>
    <row r="299" spans="1:5">
      <c r="E299" s="122" t="s">
        <v>461</v>
      </c>
    </row>
    <row r="300" spans="1:5">
      <c r="E300" s="122" t="s">
        <v>462</v>
      </c>
    </row>
    <row r="301" spans="1:5">
      <c r="E301" s="122" t="s">
        <v>463</v>
      </c>
    </row>
    <row r="302" spans="1:5">
      <c r="E302" s="122" t="s">
        <v>464</v>
      </c>
    </row>
    <row r="304" spans="1:5">
      <c r="A304" s="122" t="s">
        <v>439</v>
      </c>
      <c r="B304" s="327" t="s">
        <v>465</v>
      </c>
      <c r="D304" s="328" t="str">
        <f>'Register Configuration'!C634</f>
        <v>0xF4</v>
      </c>
    </row>
    <row r="305" spans="1:4">
      <c r="A305" s="122" t="s">
        <v>439</v>
      </c>
      <c r="B305" s="327" t="s">
        <v>466</v>
      </c>
      <c r="D305" s="328" t="str">
        <f>'Register Configuration'!C635</f>
        <v>0x3F</v>
      </c>
    </row>
    <row r="306" spans="1:4">
      <c r="A306" s="122" t="s">
        <v>439</v>
      </c>
      <c r="B306" s="327" t="s">
        <v>467</v>
      </c>
      <c r="D306" s="328" t="str">
        <f>'Register Configuration'!C636</f>
        <v>0x33</v>
      </c>
    </row>
    <row r="307" spans="1:4">
      <c r="A307" s="122" t="s">
        <v>439</v>
      </c>
      <c r="B307" s="327" t="s">
        <v>468</v>
      </c>
      <c r="D307" s="328" t="str">
        <f>'Register Configuration'!C637</f>
        <v>0x00</v>
      </c>
    </row>
    <row r="308" spans="1:4">
      <c r="A308" s="122" t="s">
        <v>439</v>
      </c>
      <c r="B308" s="327" t="s">
        <v>469</v>
      </c>
      <c r="D308" s="328" t="str">
        <f>'Register Configuration'!C638</f>
        <v>0x66</v>
      </c>
    </row>
    <row r="309" spans="1:4">
      <c r="A309" s="122" t="s">
        <v>439</v>
      </c>
      <c r="B309" s="327" t="s">
        <v>470</v>
      </c>
      <c r="D309" s="328" t="str">
        <f>'Register Configuration'!C639</f>
        <v>0x48</v>
      </c>
    </row>
    <row r="310" spans="1:4">
      <c r="A310" s="122" t="s">
        <v>439</v>
      </c>
      <c r="B310" s="327" t="s">
        <v>471</v>
      </c>
      <c r="D310" s="328" t="str">
        <f>'Register Configuration'!C640</f>
        <v>0x00</v>
      </c>
    </row>
    <row r="311" spans="1:4">
      <c r="A311" s="122" t="s">
        <v>439</v>
      </c>
      <c r="B311" s="327" t="s">
        <v>472</v>
      </c>
      <c r="D311" s="328" t="str">
        <f>'Register Configuration'!C641</f>
        <v>0x48</v>
      </c>
    </row>
    <row r="312" spans="1:4">
      <c r="A312" s="122" t="s">
        <v>439</v>
      </c>
      <c r="B312" s="327" t="s">
        <v>473</v>
      </c>
      <c r="D312" s="328" t="str">
        <f>'Register Configuration'!C642</f>
        <v>0x00</v>
      </c>
    </row>
    <row r="313" spans="1:4">
      <c r="A313" s="122" t="s">
        <v>439</v>
      </c>
      <c r="B313" s="327" t="s">
        <v>474</v>
      </c>
      <c r="D313" s="328" t="str">
        <f>'Register Configuration'!C643</f>
        <v>0x00</v>
      </c>
    </row>
    <row r="314" spans="1:4">
      <c r="A314" s="122" t="s">
        <v>439</v>
      </c>
      <c r="B314" s="327" t="s">
        <v>475</v>
      </c>
      <c r="D314" s="328" t="str">
        <f>'Register Configuration'!C644</f>
        <v>0x16</v>
      </c>
    </row>
    <row r="315" spans="1:4">
      <c r="A315" s="122" t="s">
        <v>439</v>
      </c>
      <c r="B315" s="327" t="s">
        <v>476</v>
      </c>
      <c r="D315" s="328" t="str">
        <f>'Register Configuration'!C645</f>
        <v>0x00</v>
      </c>
    </row>
    <row r="317" spans="1:4">
      <c r="A317" s="122" t="str">
        <f>IF('Register Configuration'!H27&gt;1, "", "#")&amp;"ddrparam set"</f>
        <v>ddrparam set</v>
      </c>
      <c r="B317" s="327" t="s">
        <v>882</v>
      </c>
      <c r="D317" s="328" t="str">
        <f>'Register Configuration'!C647</f>
        <v>0x84</v>
      </c>
    </row>
    <row r="318" spans="1:4">
      <c r="A318" s="122" t="str">
        <f>IF('Register Configuration'!H27&gt;1, "", "#")&amp;"ddrparam set"</f>
        <v>ddrparam set</v>
      </c>
      <c r="B318" s="327" t="s">
        <v>883</v>
      </c>
      <c r="D318" s="328" t="str">
        <f>'Register Configuration'!C648</f>
        <v>0x00</v>
      </c>
    </row>
    <row r="319" spans="1:4">
      <c r="A319" s="122" t="str">
        <f>IF('Register Configuration'!H27&gt;1, "", "#")&amp;"ddrparam set"</f>
        <v>ddrparam set</v>
      </c>
      <c r="B319" s="327" t="s">
        <v>989</v>
      </c>
      <c r="D319" s="328" t="str">
        <f>'Register Configuration'!C649</f>
        <v>0x33</v>
      </c>
    </row>
    <row r="320" spans="1:4">
      <c r="A320" s="122" t="str">
        <f>IF('Register Configuration'!H27&gt;1, "", "#")&amp;"ddrparam set"</f>
        <v>ddrparam set</v>
      </c>
      <c r="B320" s="327" t="s">
        <v>990</v>
      </c>
      <c r="D320" s="328" t="str">
        <f>'Register Configuration'!C650</f>
        <v>0x00</v>
      </c>
    </row>
    <row r="321" spans="1:4">
      <c r="A321" s="122" t="str">
        <f>IF('Register Configuration'!H27&gt;1, "", "#")&amp;"ddrparam set"</f>
        <v>ddrparam set</v>
      </c>
      <c r="B321" s="327" t="s">
        <v>991</v>
      </c>
      <c r="D321" s="328" t="str">
        <f>'Register Configuration'!C651</f>
        <v>0x66</v>
      </c>
    </row>
    <row r="322" spans="1:4">
      <c r="A322" s="122" t="str">
        <f>IF('Register Configuration'!H27&gt;1, "", "#")&amp;"ddrparam set"</f>
        <v>ddrparam set</v>
      </c>
      <c r="B322" s="327" t="s">
        <v>992</v>
      </c>
      <c r="D322" s="328" t="str">
        <f>'Register Configuration'!C652</f>
        <v>0x48</v>
      </c>
    </row>
    <row r="323" spans="1:4">
      <c r="A323" s="122" t="str">
        <f>IF('Register Configuration'!H27&gt;1, "", "#")&amp;"ddrparam set"</f>
        <v>ddrparam set</v>
      </c>
      <c r="B323" s="327" t="s">
        <v>993</v>
      </c>
      <c r="D323" s="328" t="str">
        <f>'Register Configuration'!C653</f>
        <v>0x00</v>
      </c>
    </row>
    <row r="324" spans="1:4">
      <c r="A324" s="122" t="str">
        <f>IF('Register Configuration'!H27&gt;1, "", "#")&amp;"ddrparam set"</f>
        <v>ddrparam set</v>
      </c>
      <c r="B324" s="327" t="s">
        <v>994</v>
      </c>
      <c r="D324" s="328" t="str">
        <f>'Register Configuration'!C654</f>
        <v>0x48</v>
      </c>
    </row>
    <row r="325" spans="1:4">
      <c r="A325" s="122" t="str">
        <f>IF('Register Configuration'!H27&gt;1, "", "#")&amp;"ddrparam set"</f>
        <v>ddrparam set</v>
      </c>
      <c r="B325" s="327" t="s">
        <v>995</v>
      </c>
      <c r="D325" s="328" t="str">
        <f>'Register Configuration'!C655</f>
        <v>0x00</v>
      </c>
    </row>
    <row r="326" spans="1:4">
      <c r="A326" s="122" t="str">
        <f>IF('Register Configuration'!H27&gt;1, "", "#")&amp;"ddrparam set"</f>
        <v>ddrparam set</v>
      </c>
      <c r="B326" s="327" t="s">
        <v>996</v>
      </c>
      <c r="D326" s="328" t="str">
        <f>'Register Configuration'!C656</f>
        <v>0x00</v>
      </c>
    </row>
    <row r="327" spans="1:4">
      <c r="A327" s="122" t="str">
        <f>IF('Register Configuration'!H27&gt;1, "", "#")&amp;"ddrparam set"</f>
        <v>ddrparam set</v>
      </c>
      <c r="B327" s="327" t="s">
        <v>997</v>
      </c>
      <c r="D327" s="328" t="str">
        <f>'Register Configuration'!C657</f>
        <v>0x16</v>
      </c>
    </row>
    <row r="328" spans="1:4">
      <c r="A328" s="122" t="str">
        <f>IF('Register Configuration'!H27&gt;1, "", "#")&amp;"ddrparam set"</f>
        <v>ddrparam set</v>
      </c>
      <c r="B328" s="327" t="s">
        <v>998</v>
      </c>
      <c r="D328" s="328" t="str">
        <f>'Register Configuration'!C658</f>
        <v>0x00</v>
      </c>
    </row>
    <row r="330" spans="1:4">
      <c r="A330" s="122" t="str">
        <f>IF('Register Configuration'!H27=3, "", "#")&amp;"ddrparam set"</f>
        <v>ddrparam set</v>
      </c>
      <c r="B330" s="327" t="s">
        <v>884</v>
      </c>
      <c r="D330" s="328" t="str">
        <f>'Register Configuration'!C660</f>
        <v>0x84</v>
      </c>
    </row>
    <row r="331" spans="1:4">
      <c r="A331" s="122" t="str">
        <f>IF('Register Configuration'!H27=3, "", "#")&amp;"ddrparam set"</f>
        <v>ddrparam set</v>
      </c>
      <c r="B331" s="327" t="s">
        <v>885</v>
      </c>
      <c r="D331" s="328" t="str">
        <f>'Register Configuration'!C661</f>
        <v>0x00</v>
      </c>
    </row>
    <row r="332" spans="1:4">
      <c r="A332" s="122" t="str">
        <f>IF('Register Configuration'!H27=3, "", "#")&amp;"ddrparam set"</f>
        <v>ddrparam set</v>
      </c>
      <c r="B332" s="327" t="s">
        <v>999</v>
      </c>
      <c r="D332" s="328" t="str">
        <f>'Register Configuration'!C662</f>
        <v>0x33</v>
      </c>
    </row>
    <row r="333" spans="1:4">
      <c r="A333" s="122" t="str">
        <f>IF('Register Configuration'!H27=3, "", "#")&amp;"ddrparam set"</f>
        <v>ddrparam set</v>
      </c>
      <c r="B333" s="327" t="s">
        <v>1000</v>
      </c>
      <c r="D333" s="328" t="str">
        <f>'Register Configuration'!C663</f>
        <v>0x00</v>
      </c>
    </row>
    <row r="334" spans="1:4">
      <c r="A334" s="122" t="str">
        <f>IF('Register Configuration'!H27=3, "", "#")&amp;"ddrparam set"</f>
        <v>ddrparam set</v>
      </c>
      <c r="B334" s="327" t="s">
        <v>1001</v>
      </c>
      <c r="D334" s="328" t="str">
        <f>'Register Configuration'!C664</f>
        <v>0x66</v>
      </c>
    </row>
    <row r="335" spans="1:4">
      <c r="A335" s="122" t="str">
        <f>IF('Register Configuration'!H27=3, "", "#")&amp;"ddrparam set"</f>
        <v>ddrparam set</v>
      </c>
      <c r="B335" s="327" t="s">
        <v>1002</v>
      </c>
      <c r="D335" s="328" t="str">
        <f>'Register Configuration'!C665</f>
        <v>0x48</v>
      </c>
    </row>
    <row r="336" spans="1:4">
      <c r="A336" s="122" t="str">
        <f>IF('Register Configuration'!H27=3, "", "#")&amp;"ddrparam set"</f>
        <v>ddrparam set</v>
      </c>
      <c r="B336" s="327" t="s">
        <v>1003</v>
      </c>
      <c r="D336" s="328" t="str">
        <f>'Register Configuration'!C666</f>
        <v>0x00</v>
      </c>
    </row>
    <row r="337" spans="1:4">
      <c r="A337" s="122" t="str">
        <f>IF('Register Configuration'!H27=3, "", "#")&amp;"ddrparam set"</f>
        <v>ddrparam set</v>
      </c>
      <c r="B337" s="327" t="s">
        <v>1004</v>
      </c>
      <c r="D337" s="328" t="str">
        <f>'Register Configuration'!C667</f>
        <v>0x48</v>
      </c>
    </row>
    <row r="338" spans="1:4">
      <c r="A338" s="122" t="str">
        <f>IF('Register Configuration'!H27=3, "", "#")&amp;"ddrparam set"</f>
        <v>ddrparam set</v>
      </c>
      <c r="B338" s="327" t="s">
        <v>1005</v>
      </c>
      <c r="D338" s="328" t="str">
        <f>'Register Configuration'!C668</f>
        <v>0x00</v>
      </c>
    </row>
    <row r="339" spans="1:4">
      <c r="A339" s="122" t="str">
        <f>IF('Register Configuration'!H27=3, "", "#")&amp;"ddrparam set"</f>
        <v>ddrparam set</v>
      </c>
      <c r="B339" s="327" t="s">
        <v>1006</v>
      </c>
      <c r="D339" s="328" t="str">
        <f>'Register Configuration'!C669</f>
        <v>0x00</v>
      </c>
    </row>
    <row r="340" spans="1:4">
      <c r="A340" s="122" t="str">
        <f>IF('Register Configuration'!H27=3, "", "#")&amp;"ddrparam set"</f>
        <v>ddrparam set</v>
      </c>
      <c r="B340" s="327" t="s">
        <v>1007</v>
      </c>
      <c r="D340" s="328" t="str">
        <f>'Register Configuration'!C670</f>
        <v>0x16</v>
      </c>
    </row>
    <row r="341" spans="1:4">
      <c r="A341" s="122" t="str">
        <f>IF('Register Configuration'!H27=3, "", "#")&amp;"ddrparam set"</f>
        <v>ddrparam set</v>
      </c>
      <c r="B341" s="327" t="s">
        <v>1008</v>
      </c>
      <c r="D341" s="328" t="str">
        <f>'Register Configuration'!C671</f>
        <v>0x00</v>
      </c>
    </row>
    <row r="343" spans="1:4">
      <c r="A343" s="122" t="s">
        <v>439</v>
      </c>
      <c r="B343" s="327" t="s">
        <v>478</v>
      </c>
      <c r="D343" s="328">
        <f>'Register Configuration'!C673</f>
        <v>40</v>
      </c>
    </row>
    <row r="344" spans="1:4">
      <c r="A344" s="122" t="s">
        <v>439</v>
      </c>
      <c r="B344" s="327" t="s">
        <v>479</v>
      </c>
      <c r="D344" s="328">
        <f>'Register Configuration'!C674</f>
        <v>40</v>
      </c>
    </row>
    <row r="345" spans="1:4">
      <c r="A345" s="122" t="s">
        <v>439</v>
      </c>
      <c r="B345" s="327" t="s">
        <v>480</v>
      </c>
      <c r="D345" s="328">
        <f>'Register Configuration'!C675</f>
        <v>34</v>
      </c>
    </row>
    <row r="347" spans="1:4">
      <c r="A347" s="122" t="s">
        <v>439</v>
      </c>
      <c r="B347" s="327" t="s">
        <v>481</v>
      </c>
      <c r="D347" s="328" t="str">
        <f>'Register Configuration'!C677</f>
        <v>0x00</v>
      </c>
    </row>
    <row r="348" spans="1:4">
      <c r="A348" s="122" t="s">
        <v>439</v>
      </c>
      <c r="B348" s="327" t="s">
        <v>482</v>
      </c>
      <c r="D348" s="328" t="str">
        <f>'Register Configuration'!C678</f>
        <v>0x00</v>
      </c>
    </row>
    <row r="349" spans="1:4">
      <c r="A349" s="122" t="s">
        <v>439</v>
      </c>
      <c r="B349" s="327" t="s">
        <v>483</v>
      </c>
      <c r="D349" s="328" t="str">
        <f>'Register Configuration'!C679</f>
        <v>0x00</v>
      </c>
    </row>
    <row r="350" spans="1:4">
      <c r="A350" s="122" t="s">
        <v>439</v>
      </c>
      <c r="B350" s="327" t="s">
        <v>484</v>
      </c>
      <c r="D350" s="328" t="str">
        <f>'Register Configuration'!C680</f>
        <v>0x01</v>
      </c>
    </row>
    <row r="352" spans="1:4">
      <c r="A352" s="122" t="s">
        <v>439</v>
      </c>
      <c r="B352" s="327" t="s">
        <v>485</v>
      </c>
      <c r="D352" s="328" t="str">
        <f>'Register Configuration'!C682</f>
        <v>0x0f</v>
      </c>
    </row>
    <row r="353" spans="1:4">
      <c r="A353" s="122" t="s">
        <v>439</v>
      </c>
      <c r="B353" s="327" t="s">
        <v>486</v>
      </c>
      <c r="D353" s="328" t="str">
        <f>'Register Configuration'!C683</f>
        <v>0x0f</v>
      </c>
    </row>
    <row r="354" spans="1:4">
      <c r="A354" s="122" t="s">
        <v>439</v>
      </c>
      <c r="B354" s="327" t="s">
        <v>487</v>
      </c>
      <c r="D354" s="328" t="str">
        <f>'Register Configuration'!C684</f>
        <v>0x0f</v>
      </c>
    </row>
    <row r="355" spans="1:4">
      <c r="A355" s="122" t="s">
        <v>439</v>
      </c>
      <c r="B355" s="327" t="s">
        <v>488</v>
      </c>
      <c r="D355" s="328" t="str">
        <f>'Register Configuration'!C685</f>
        <v>0x0f</v>
      </c>
    </row>
    <row r="357" spans="1:4">
      <c r="A357" s="122" t="s">
        <v>439</v>
      </c>
      <c r="B357" s="327" t="s">
        <v>489</v>
      </c>
      <c r="D357" s="328" t="str">
        <f>'Register Configuration'!C687</f>
        <v>0x09</v>
      </c>
    </row>
    <row r="358" spans="1:4">
      <c r="A358" s="122" t="s">
        <v>439</v>
      </c>
      <c r="B358" s="327" t="s">
        <v>490</v>
      </c>
      <c r="D358" s="328" t="str">
        <f>'Register Configuration'!C688</f>
        <v>0x00</v>
      </c>
    </row>
    <row r="360" spans="1:4">
      <c r="A360" s="122" t="s">
        <v>439</v>
      </c>
      <c r="B360" s="327" t="s">
        <v>665</v>
      </c>
      <c r="D360" s="327" t="s">
        <v>477</v>
      </c>
    </row>
    <row r="361" spans="1:4">
      <c r="A361" s="122" t="s">
        <v>439</v>
      </c>
      <c r="B361" s="327" t="s">
        <v>666</v>
      </c>
      <c r="D361" s="327" t="s">
        <v>477</v>
      </c>
    </row>
    <row r="362" spans="1:4">
      <c r="A362" s="122" t="s">
        <v>439</v>
      </c>
      <c r="B362" s="327" t="s">
        <v>667</v>
      </c>
      <c r="D362" s="327" t="s">
        <v>803</v>
      </c>
    </row>
    <row r="363" spans="1:4">
      <c r="A363" s="122" t="s">
        <v>439</v>
      </c>
      <c r="B363" s="327" t="s">
        <v>668</v>
      </c>
      <c r="D363" s="327" t="s">
        <v>804</v>
      </c>
    </row>
    <row r="364" spans="1:4">
      <c r="A364" s="122" t="s">
        <v>439</v>
      </c>
      <c r="B364" s="327" t="s">
        <v>669</v>
      </c>
      <c r="D364" s="327" t="s">
        <v>805</v>
      </c>
    </row>
  </sheetData>
  <dataConsolidate/>
  <phoneticPr fontId="34" type="noConversion"/>
  <pageMargins left="0.7" right="0.7" top="0.75" bottom="0.75" header="0.3" footer="0.3"/>
  <pageSetup orientation="portrait" r:id="rId1"/>
  <ignoredErrors>
    <ignoredError sqref="A276" formula="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How To Use</vt:lpstr>
      <vt:lpstr>Revision History</vt:lpstr>
      <vt:lpstr>Register Configuration</vt:lpstr>
      <vt:lpstr>BoardDataBusConfig</vt:lpstr>
      <vt:lpstr>ECC_Config_BinaryAligned</vt:lpstr>
      <vt:lpstr>ECC_Config_nonBinaryAligned</vt:lpstr>
      <vt:lpstr>DDR stress test file</vt:lpstr>
      <vt:lpstr>BusWidth</vt:lpstr>
      <vt:lpstr>DDRTypes</vt:lpstr>
      <vt:lpstr>'Register Configuration'!Print_Area</vt:lpstr>
      <vt:lpstr>RowBankInterleavingOption</vt:lpstr>
    </vt:vector>
  </TitlesOfParts>
  <Company>Freescale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ra7694</dc:creator>
  <cp:lastModifiedBy>Jan Spurek</cp:lastModifiedBy>
  <cp:lastPrinted>2009-11-19T19:37:47Z</cp:lastPrinted>
  <dcterms:created xsi:type="dcterms:W3CDTF">2008-07-23T13:35:02Z</dcterms:created>
  <dcterms:modified xsi:type="dcterms:W3CDTF">2022-11-15T13:34:39Z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