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nxa09406\MikeData\ApplicationProcessors\MX8_series\MX8QM_specific\DDR_controller\MX8QM_register_programming_aid\"/>
    </mc:Choice>
  </mc:AlternateContent>
  <xr:revisionPtr revIDLastSave="0" documentId="13_ncr:1_{A1AF63AD-203D-4CC6-9F3B-79CC047FFA2C}" xr6:coauthVersionLast="45" xr6:coauthVersionMax="45" xr10:uidLastSave="{00000000-0000-0000-0000-000000000000}"/>
  <bookViews>
    <workbookView xWindow="-108" yWindow="-108" windowWidth="23256" windowHeight="12576" tabRatio="713" activeTab="2" xr2:uid="{00000000-000D-0000-FFFF-FFFF00000000}"/>
  </bookViews>
  <sheets>
    <sheet name="How To Use" sheetId="4" r:id="rId1"/>
    <sheet name="Revision History" sheetId="7" r:id="rId2"/>
    <sheet name="Register Configuration" sheetId="1" r:id="rId3"/>
    <sheet name="BoardDataBusConfig" sheetId="9" r:id="rId4"/>
    <sheet name="DCD CFG file CBT" sheetId="12" r:id="rId5"/>
    <sheet name="DDR Stress Test Script CBT" sheetId="13" r:id="rId6"/>
    <sheet name="Factory use only DCD" sheetId="10" state="hidden" r:id="rId7"/>
    <sheet name="Factory use only stress test" sheetId="11" state="hidden" r:id="rId8"/>
  </sheets>
  <definedNames>
    <definedName name="_xlnm._FilterDatabase" localSheetId="2" hidden="1">'Register Configuration'!#REF!</definedName>
    <definedName name="BusWidth">'Register Configuration'!$AD$4:$AD$5</definedName>
    <definedName name="DDRTypes">'Register Configuration'!$AB$4:$AB$6</definedName>
    <definedName name="ENABLED">'Register Configuration'!$AB$9</definedName>
    <definedName name="_xlnm.Print_Area" localSheetId="2">'Register Configuration'!$B$43:$F$294</definedName>
    <definedName name="RowBankInterleavingOption">'Register Configuration'!$AB$9:$AB$10</definedName>
    <definedName name="WDQS">'Register Configuration'!$AB$9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0" i="1" l="1"/>
  <c r="C119" i="1"/>
  <c r="C151" i="1" l="1"/>
  <c r="C13" i="10" l="1"/>
  <c r="A57" i="12" l="1"/>
  <c r="A67" i="12"/>
  <c r="A608" i="12"/>
  <c r="A525" i="13" l="1"/>
  <c r="A604" i="12"/>
  <c r="A123" i="11" l="1"/>
  <c r="A202" i="10"/>
  <c r="A121" i="13"/>
  <c r="A207" i="12"/>
  <c r="C3" i="7"/>
  <c r="B3" i="7"/>
  <c r="A528" i="13" l="1"/>
  <c r="A463" i="11"/>
  <c r="A612" i="12"/>
  <c r="A533" i="10"/>
  <c r="A456" i="11" l="1"/>
  <c r="A455" i="11"/>
  <c r="A454" i="11"/>
  <c r="A521" i="13"/>
  <c r="A520" i="13"/>
  <c r="A519" i="13"/>
  <c r="A520" i="10"/>
  <c r="A519" i="10"/>
  <c r="A518" i="10"/>
  <c r="A599" i="12"/>
  <c r="A598" i="12"/>
  <c r="A597" i="12"/>
  <c r="D582" i="1"/>
  <c r="D565" i="1" l="1"/>
  <c r="D564" i="1"/>
  <c r="I567" i="1" l="1"/>
  <c r="H567" i="1"/>
  <c r="I575" i="1"/>
  <c r="H575" i="1"/>
  <c r="D18" i="13" l="1"/>
  <c r="D18" i="11"/>
  <c r="A101" i="10"/>
  <c r="A100" i="10"/>
  <c r="A99" i="10"/>
  <c r="A98" i="10"/>
  <c r="A96" i="10"/>
  <c r="A95" i="10"/>
  <c r="A94" i="10"/>
  <c r="A93" i="10"/>
  <c r="A92" i="10"/>
  <c r="A91" i="10"/>
  <c r="A90" i="10"/>
  <c r="A89" i="10"/>
  <c r="A88" i="10"/>
  <c r="A87" i="10"/>
  <c r="A86" i="10"/>
  <c r="A85" i="10"/>
  <c r="A84" i="10"/>
  <c r="A83" i="10"/>
  <c r="A82" i="10"/>
  <c r="A80" i="10"/>
  <c r="A79" i="10"/>
  <c r="A78" i="10"/>
  <c r="A76" i="10"/>
  <c r="A75" i="10"/>
  <c r="A74" i="10"/>
  <c r="A72" i="10"/>
  <c r="A71" i="10"/>
  <c r="A70" i="10"/>
  <c r="A69" i="10"/>
  <c r="A68" i="10"/>
  <c r="A67" i="10"/>
  <c r="A66" i="10"/>
  <c r="A65" i="10"/>
  <c r="A64" i="10"/>
  <c r="A63" i="10"/>
  <c r="A62" i="10"/>
  <c r="A61" i="10"/>
  <c r="A60" i="10"/>
  <c r="A59" i="10"/>
  <c r="A58" i="10"/>
  <c r="A56" i="10"/>
  <c r="A55" i="10"/>
  <c r="A54" i="10"/>
  <c r="A53" i="10"/>
  <c r="A52" i="10"/>
  <c r="A51" i="10"/>
  <c r="B50" i="10"/>
  <c r="B49" i="10"/>
  <c r="B48" i="10"/>
  <c r="B47" i="10"/>
  <c r="A46" i="10"/>
  <c r="A45" i="10"/>
  <c r="A60" i="12"/>
  <c r="A61" i="12"/>
  <c r="A62" i="12"/>
  <c r="A63" i="12"/>
  <c r="A64" i="12"/>
  <c r="A65" i="12"/>
  <c r="A66" i="12"/>
  <c r="A68" i="12"/>
  <c r="A69" i="12"/>
  <c r="A70" i="12"/>
  <c r="A71" i="12"/>
  <c r="A72" i="12"/>
  <c r="A74" i="12"/>
  <c r="A75" i="12"/>
  <c r="A76" i="12"/>
  <c r="A78" i="12"/>
  <c r="A79" i="12"/>
  <c r="A80" i="12"/>
  <c r="A82" i="12"/>
  <c r="A83" i="12"/>
  <c r="A84" i="12"/>
  <c r="A85" i="12"/>
  <c r="A86" i="12"/>
  <c r="A87" i="12"/>
  <c r="A88" i="12"/>
  <c r="A89" i="12"/>
  <c r="A90" i="12"/>
  <c r="A91" i="12"/>
  <c r="A92" i="12"/>
  <c r="A93" i="12"/>
  <c r="A94" i="12"/>
  <c r="A95" i="12"/>
  <c r="A96" i="12"/>
  <c r="A98" i="12"/>
  <c r="A99" i="12"/>
  <c r="A100" i="12"/>
  <c r="A59" i="12"/>
  <c r="A58" i="12"/>
  <c r="A56" i="12"/>
  <c r="A55" i="12"/>
  <c r="A54" i="12"/>
  <c r="B50" i="12"/>
  <c r="B49" i="12"/>
  <c r="B48" i="12"/>
  <c r="B47" i="12"/>
  <c r="A101" i="12"/>
  <c r="A53" i="12"/>
  <c r="A52" i="12"/>
  <c r="A51" i="12"/>
  <c r="A46" i="12"/>
  <c r="A45" i="12"/>
  <c r="A588" i="10" l="1"/>
  <c r="A6" i="10"/>
  <c r="A7" i="10"/>
  <c r="B7" i="10"/>
  <c r="A6" i="12"/>
  <c r="A7" i="12"/>
  <c r="B7" i="12"/>
  <c r="A667" i="12"/>
  <c r="D323" i="1" l="1"/>
  <c r="C91" i="1"/>
  <c r="D171" i="1"/>
  <c r="D355" i="1" l="1"/>
  <c r="E355" i="1" s="1"/>
  <c r="D353" i="1"/>
  <c r="E353" i="1" s="1"/>
  <c r="D351" i="1"/>
  <c r="E351" i="1" s="1"/>
  <c r="D350" i="1"/>
  <c r="K350" i="1" l="1"/>
  <c r="E366" i="1"/>
  <c r="A427" i="13" l="1"/>
  <c r="D584" i="13" l="1"/>
  <c r="C584" i="13"/>
  <c r="B584" i="13"/>
  <c r="A584" i="13"/>
  <c r="D583" i="13"/>
  <c r="C583" i="13"/>
  <c r="B583" i="13"/>
  <c r="A583" i="13"/>
  <c r="D582" i="13"/>
  <c r="C582" i="13"/>
  <c r="B582" i="13"/>
  <c r="A582" i="13"/>
  <c r="D581" i="13"/>
  <c r="C581" i="13"/>
  <c r="B581" i="13"/>
  <c r="A581" i="13"/>
  <c r="D580" i="13"/>
  <c r="C580" i="13"/>
  <c r="B580" i="13"/>
  <c r="A580" i="13"/>
  <c r="D579" i="13"/>
  <c r="C579" i="13"/>
  <c r="B579" i="13"/>
  <c r="A579" i="13"/>
  <c r="D578" i="13"/>
  <c r="C578" i="13"/>
  <c r="B578" i="13"/>
  <c r="A578" i="13"/>
  <c r="D577" i="13"/>
  <c r="C577" i="13"/>
  <c r="B577" i="13"/>
  <c r="A577" i="13"/>
  <c r="D576" i="13"/>
  <c r="C576" i="13"/>
  <c r="B576" i="13"/>
  <c r="A576" i="13"/>
  <c r="D575" i="13"/>
  <c r="C575" i="13"/>
  <c r="B575" i="13"/>
  <c r="A575" i="13"/>
  <c r="D574" i="13"/>
  <c r="C574" i="13"/>
  <c r="B574" i="13"/>
  <c r="A574" i="13"/>
  <c r="D573" i="13"/>
  <c r="C573" i="13"/>
  <c r="B573" i="13"/>
  <c r="A573" i="13"/>
  <c r="D572" i="13"/>
  <c r="C572" i="13"/>
  <c r="B572" i="13"/>
  <c r="A572" i="13"/>
  <c r="D571" i="13"/>
  <c r="C571" i="13"/>
  <c r="B571" i="13"/>
  <c r="A571" i="13"/>
  <c r="D570" i="13"/>
  <c r="C570" i="13"/>
  <c r="B570" i="13"/>
  <c r="A570" i="13"/>
  <c r="D569" i="13"/>
  <c r="C569" i="13"/>
  <c r="B569" i="13"/>
  <c r="A569" i="13"/>
  <c r="A568" i="13"/>
  <c r="C519" i="11"/>
  <c r="C518" i="11"/>
  <c r="C517" i="11"/>
  <c r="C516" i="11"/>
  <c r="C515" i="11"/>
  <c r="C514" i="11"/>
  <c r="C513" i="11"/>
  <c r="C512" i="11"/>
  <c r="C511" i="11"/>
  <c r="C510" i="11"/>
  <c r="C509" i="11"/>
  <c r="C508" i="11"/>
  <c r="C507" i="11"/>
  <c r="C506" i="11"/>
  <c r="C505" i="11"/>
  <c r="C504" i="11"/>
  <c r="D519" i="11"/>
  <c r="D518" i="11"/>
  <c r="D517" i="11"/>
  <c r="D516" i="11"/>
  <c r="D515" i="11"/>
  <c r="D514" i="11"/>
  <c r="D513" i="11"/>
  <c r="D512" i="11"/>
  <c r="D511" i="11"/>
  <c r="D510" i="11"/>
  <c r="D509" i="11"/>
  <c r="D508" i="11"/>
  <c r="D507" i="11"/>
  <c r="D506" i="11"/>
  <c r="D505" i="11"/>
  <c r="D504" i="11"/>
  <c r="B519" i="11"/>
  <c r="B518" i="11"/>
  <c r="B517" i="11"/>
  <c r="B516" i="11"/>
  <c r="B515" i="11"/>
  <c r="B514" i="11"/>
  <c r="B513" i="11"/>
  <c r="B512" i="11"/>
  <c r="B511" i="11"/>
  <c r="B510" i="11"/>
  <c r="B509" i="11"/>
  <c r="B508" i="11"/>
  <c r="B507" i="11"/>
  <c r="B506" i="11"/>
  <c r="B505" i="11"/>
  <c r="B504" i="11"/>
  <c r="A519" i="11"/>
  <c r="A518" i="11"/>
  <c r="A517" i="11"/>
  <c r="A516" i="11"/>
  <c r="A515" i="11"/>
  <c r="A514" i="11"/>
  <c r="A513" i="11"/>
  <c r="A512" i="11"/>
  <c r="A511" i="11"/>
  <c r="A510" i="11"/>
  <c r="A509" i="11"/>
  <c r="A508" i="11"/>
  <c r="A507" i="11"/>
  <c r="A506" i="11"/>
  <c r="A505" i="11"/>
  <c r="A504" i="11"/>
  <c r="A503" i="11"/>
  <c r="A649" i="12"/>
  <c r="A570" i="10"/>
  <c r="C665" i="12"/>
  <c r="B665" i="12"/>
  <c r="A665" i="12"/>
  <c r="C664" i="12"/>
  <c r="B664" i="12"/>
  <c r="A664" i="12"/>
  <c r="C663" i="12"/>
  <c r="B663" i="12"/>
  <c r="A663" i="12"/>
  <c r="C662" i="12"/>
  <c r="B662" i="12"/>
  <c r="A662" i="12"/>
  <c r="C661" i="12"/>
  <c r="B661" i="12"/>
  <c r="A661" i="12"/>
  <c r="C660" i="12"/>
  <c r="B660" i="12"/>
  <c r="A660" i="12"/>
  <c r="C659" i="12"/>
  <c r="B659" i="12"/>
  <c r="A659" i="12"/>
  <c r="C658" i="12"/>
  <c r="B658" i="12"/>
  <c r="A658" i="12"/>
  <c r="C657" i="12"/>
  <c r="B657" i="12"/>
  <c r="A657" i="12"/>
  <c r="C656" i="12"/>
  <c r="B656" i="12"/>
  <c r="A656" i="12"/>
  <c r="C655" i="12"/>
  <c r="B655" i="12"/>
  <c r="A655" i="12"/>
  <c r="C654" i="12"/>
  <c r="B654" i="12"/>
  <c r="A654" i="12"/>
  <c r="C653" i="12"/>
  <c r="B653" i="12"/>
  <c r="A653" i="12"/>
  <c r="C652" i="12"/>
  <c r="B652" i="12"/>
  <c r="A652" i="12"/>
  <c r="C651" i="12"/>
  <c r="B651" i="12"/>
  <c r="A651" i="12"/>
  <c r="C650" i="12"/>
  <c r="B650" i="12"/>
  <c r="A650" i="12"/>
  <c r="C586" i="10"/>
  <c r="C585" i="10"/>
  <c r="C584" i="10"/>
  <c r="C583" i="10"/>
  <c r="C582" i="10"/>
  <c r="C581" i="10"/>
  <c r="C580" i="10"/>
  <c r="C579" i="10"/>
  <c r="C578" i="10"/>
  <c r="C577" i="10"/>
  <c r="C576" i="10"/>
  <c r="C575" i="10"/>
  <c r="C574" i="10"/>
  <c r="C573" i="10"/>
  <c r="C572" i="10"/>
  <c r="C571" i="10"/>
  <c r="B586" i="10"/>
  <c r="B585" i="10"/>
  <c r="B584" i="10"/>
  <c r="B583" i="10"/>
  <c r="B582" i="10"/>
  <c r="B581" i="10"/>
  <c r="B580" i="10"/>
  <c r="B579" i="10"/>
  <c r="B578" i="10"/>
  <c r="B577" i="10"/>
  <c r="B576" i="10"/>
  <c r="B575" i="10"/>
  <c r="B574" i="10"/>
  <c r="B573" i="10"/>
  <c r="B572" i="10"/>
  <c r="B571" i="10"/>
  <c r="A586" i="10"/>
  <c r="A585" i="10"/>
  <c r="A584" i="10"/>
  <c r="A583" i="10"/>
  <c r="A582" i="10"/>
  <c r="A581" i="10"/>
  <c r="A580" i="10"/>
  <c r="A579" i="10"/>
  <c r="A578" i="10"/>
  <c r="A577" i="10"/>
  <c r="A576" i="10"/>
  <c r="A575" i="10"/>
  <c r="A574" i="10"/>
  <c r="A573" i="10"/>
  <c r="A572" i="10"/>
  <c r="A571" i="10"/>
  <c r="A566" i="13"/>
  <c r="A563" i="13"/>
  <c r="A559" i="13"/>
  <c r="A555" i="13"/>
  <c r="A554" i="13"/>
  <c r="A553" i="13"/>
  <c r="A544" i="13"/>
  <c r="A543" i="13"/>
  <c r="A542" i="13"/>
  <c r="A541" i="13"/>
  <c r="A532" i="13"/>
  <c r="A517" i="13"/>
  <c r="A516" i="13"/>
  <c r="A515" i="13"/>
  <c r="A511" i="13"/>
  <c r="A500" i="13"/>
  <c r="A499" i="13"/>
  <c r="A498" i="13"/>
  <c r="A496" i="13"/>
  <c r="A486" i="13"/>
  <c r="A485" i="13"/>
  <c r="A484" i="13"/>
  <c r="A481" i="13"/>
  <c r="A480" i="13"/>
  <c r="A467" i="13"/>
  <c r="A466" i="13"/>
  <c r="A465" i="13"/>
  <c r="A464" i="13"/>
  <c r="A463" i="13"/>
  <c r="A461" i="13"/>
  <c r="A460" i="13"/>
  <c r="A438" i="13"/>
  <c r="A430" i="13"/>
  <c r="A429" i="13"/>
  <c r="A425" i="13"/>
  <c r="A405" i="13"/>
  <c r="A404" i="13"/>
  <c r="A402" i="13"/>
  <c r="A388" i="13"/>
  <c r="A387" i="13"/>
  <c r="A386" i="13"/>
  <c r="A382" i="13"/>
  <c r="A381" i="13"/>
  <c r="A380" i="13"/>
  <c r="A379" i="13"/>
  <c r="A378" i="13"/>
  <c r="A377" i="13"/>
  <c r="A376" i="13"/>
  <c r="A375" i="13"/>
  <c r="A372" i="13"/>
  <c r="A371" i="13"/>
  <c r="A367" i="13"/>
  <c r="A366" i="13"/>
  <c r="A363" i="13"/>
  <c r="A360" i="13"/>
  <c r="A359" i="13"/>
  <c r="A355" i="13"/>
  <c r="A354" i="13"/>
  <c r="A353" i="13"/>
  <c r="A352" i="13"/>
  <c r="A348" i="13"/>
  <c r="A347" i="13"/>
  <c r="A346" i="13"/>
  <c r="A345" i="13"/>
  <c r="A344" i="13"/>
  <c r="A341" i="13"/>
  <c r="A340" i="13"/>
  <c r="A339" i="13"/>
  <c r="A338" i="13"/>
  <c r="A337" i="13"/>
  <c r="A336" i="13"/>
  <c r="A332" i="13"/>
  <c r="A331" i="13"/>
  <c r="A330" i="13"/>
  <c r="A329" i="13"/>
  <c r="A328" i="13"/>
  <c r="A327" i="13"/>
  <c r="A326" i="13"/>
  <c r="A325" i="13"/>
  <c r="A249" i="13"/>
  <c r="A248" i="13"/>
  <c r="A246" i="13"/>
  <c r="A245" i="13"/>
  <c r="A243" i="13"/>
  <c r="A242" i="13"/>
  <c r="A241" i="13"/>
  <c r="A239" i="13"/>
  <c r="A238" i="13"/>
  <c r="A218" i="13"/>
  <c r="A214" i="13"/>
  <c r="A213" i="13"/>
  <c r="A206" i="13"/>
  <c r="A205" i="13"/>
  <c r="A202" i="13"/>
  <c r="A199" i="13"/>
  <c r="A198" i="13"/>
  <c r="A195" i="13"/>
  <c r="A194" i="13"/>
  <c r="A191" i="13"/>
  <c r="A190" i="13"/>
  <c r="A189" i="13"/>
  <c r="A188" i="13"/>
  <c r="A186" i="13"/>
  <c r="A185" i="13"/>
  <c r="A184" i="13"/>
  <c r="A183" i="13"/>
  <c r="A182" i="13"/>
  <c r="A181" i="13"/>
  <c r="A180" i="13"/>
  <c r="A179" i="13"/>
  <c r="A178" i="13"/>
  <c r="A177" i="13"/>
  <c r="A176" i="13"/>
  <c r="A174" i="13"/>
  <c r="A132" i="13"/>
  <c r="A130" i="13"/>
  <c r="A128" i="13"/>
  <c r="A125" i="13"/>
  <c r="A118" i="13"/>
  <c r="A116" i="13"/>
  <c r="A114" i="13"/>
  <c r="A109" i="13"/>
  <c r="A108" i="13"/>
  <c r="A107" i="13"/>
  <c r="A106" i="13"/>
  <c r="A105" i="13"/>
  <c r="A104" i="13"/>
  <c r="A103" i="13"/>
  <c r="A102" i="13"/>
  <c r="A101" i="13"/>
  <c r="A100" i="13"/>
  <c r="A99" i="13"/>
  <c r="A98" i="13"/>
  <c r="A110"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25" i="13"/>
  <c r="A23" i="13"/>
  <c r="A21" i="13"/>
  <c r="A501" i="11"/>
  <c r="A498" i="11"/>
  <c r="A494" i="11"/>
  <c r="A490" i="11"/>
  <c r="A489" i="11"/>
  <c r="A488" i="11"/>
  <c r="A479" i="11"/>
  <c r="A478" i="11"/>
  <c r="A477" i="11"/>
  <c r="A476" i="11"/>
  <c r="A467" i="11"/>
  <c r="A452" i="11"/>
  <c r="A451" i="11"/>
  <c r="A450" i="11"/>
  <c r="A446" i="11"/>
  <c r="A435" i="11"/>
  <c r="A434" i="11"/>
  <c r="A433" i="11"/>
  <c r="A431" i="11"/>
  <c r="A421" i="11"/>
  <c r="A420" i="11"/>
  <c r="A419" i="11"/>
  <c r="A416" i="11"/>
  <c r="A415" i="11"/>
  <c r="A402" i="11"/>
  <c r="A401" i="11"/>
  <c r="A400" i="11"/>
  <c r="A399" i="11"/>
  <c r="A398" i="11"/>
  <c r="A396" i="11"/>
  <c r="A395" i="11"/>
  <c r="A382" i="11"/>
  <c r="A380" i="11"/>
  <c r="A379" i="11"/>
  <c r="A369" i="11"/>
  <c r="A367" i="11"/>
  <c r="A366" i="11"/>
  <c r="A358" i="11"/>
  <c r="A352" i="11"/>
  <c r="A351" i="11"/>
  <c r="A350" i="11"/>
  <c r="A346" i="11"/>
  <c r="A345" i="11"/>
  <c r="A344" i="11"/>
  <c r="A343" i="11"/>
  <c r="A342" i="11"/>
  <c r="A341" i="11"/>
  <c r="A340" i="11"/>
  <c r="A339" i="11"/>
  <c r="A336" i="11"/>
  <c r="A335" i="11"/>
  <c r="A331" i="11"/>
  <c r="A330" i="11"/>
  <c r="A327" i="11"/>
  <c r="A324" i="11"/>
  <c r="A323" i="11"/>
  <c r="A319" i="11"/>
  <c r="A318" i="11"/>
  <c r="A317" i="11"/>
  <c r="A316" i="11"/>
  <c r="A312" i="11"/>
  <c r="A311" i="11"/>
  <c r="A310" i="11"/>
  <c r="A309" i="11"/>
  <c r="A308" i="11"/>
  <c r="A305" i="11"/>
  <c r="A304" i="11"/>
  <c r="A303" i="11"/>
  <c r="A302" i="11"/>
  <c r="A301" i="11"/>
  <c r="A300" i="11"/>
  <c r="A296" i="11"/>
  <c r="A295" i="11"/>
  <c r="A294" i="11"/>
  <c r="A293" i="11"/>
  <c r="A292" i="11"/>
  <c r="A291" i="11"/>
  <c r="A290" i="11"/>
  <c r="A217" i="11"/>
  <c r="A216" i="11"/>
  <c r="A213" i="11"/>
  <c r="A212" i="11"/>
  <c r="A209" i="11"/>
  <c r="A206" i="11"/>
  <c r="A205" i="11"/>
  <c r="A202" i="11"/>
  <c r="A201" i="11"/>
  <c r="A198" i="11"/>
  <c r="A197" i="11"/>
  <c r="A196" i="11"/>
  <c r="A195" i="11"/>
  <c r="A193" i="11"/>
  <c r="A192" i="11"/>
  <c r="A191" i="11"/>
  <c r="A190" i="11"/>
  <c r="A189" i="11"/>
  <c r="A188" i="11"/>
  <c r="A187" i="11"/>
  <c r="A186" i="11"/>
  <c r="A185" i="11"/>
  <c r="A184" i="11"/>
  <c r="A183" i="11"/>
  <c r="A181" i="11"/>
  <c r="A134" i="11"/>
  <c r="A132" i="11"/>
  <c r="A130" i="11"/>
  <c r="A127" i="11"/>
  <c r="A120" i="11"/>
  <c r="A118" i="11"/>
  <c r="A116" i="11"/>
  <c r="A111" i="11"/>
  <c r="A110" i="11"/>
  <c r="A108" i="11"/>
  <c r="A109" i="11"/>
  <c r="A112"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25" i="11"/>
  <c r="A23" i="11"/>
  <c r="A21" i="11"/>
  <c r="A484" i="10"/>
  <c r="A483" i="10"/>
  <c r="A302" i="12"/>
  <c r="A647" i="12"/>
  <c r="A643" i="12"/>
  <c r="A639" i="12"/>
  <c r="A635" i="12"/>
  <c r="A634" i="12"/>
  <c r="A633" i="12"/>
  <c r="A631" i="12"/>
  <c r="A630" i="12"/>
  <c r="A629" i="12"/>
  <c r="A628" i="12"/>
  <c r="A616" i="12"/>
  <c r="A595" i="12"/>
  <c r="A594" i="12"/>
  <c r="A589" i="12"/>
  <c r="A588" i="12"/>
  <c r="A586" i="12"/>
  <c r="A584" i="12"/>
  <c r="A583" i="12"/>
  <c r="A571" i="12"/>
  <c r="A570" i="12"/>
  <c r="A568" i="12"/>
  <c r="A566" i="12"/>
  <c r="A565" i="12"/>
  <c r="A554" i="12"/>
  <c r="A553" i="12"/>
  <c r="A548" i="12"/>
  <c r="A547" i="12"/>
  <c r="A540" i="12"/>
  <c r="A539" i="12"/>
  <c r="A538" i="12"/>
  <c r="A536" i="12"/>
  <c r="A535" i="12"/>
  <c r="A534" i="12"/>
  <c r="A533" i="12"/>
  <c r="A511" i="12"/>
  <c r="A503" i="12"/>
  <c r="A502" i="12"/>
  <c r="A500" i="12"/>
  <c r="A498" i="12"/>
  <c r="A478" i="12"/>
  <c r="A477" i="12"/>
  <c r="A475" i="12"/>
  <c r="A461" i="12"/>
  <c r="A459" i="12"/>
  <c r="A458" i="12"/>
  <c r="A455" i="12"/>
  <c r="A454" i="12"/>
  <c r="A453" i="12"/>
  <c r="A452" i="12"/>
  <c r="A451" i="12"/>
  <c r="A450" i="12"/>
  <c r="A449" i="12"/>
  <c r="A448" i="12"/>
  <c r="A445" i="12"/>
  <c r="A446" i="12"/>
  <c r="A442" i="12"/>
  <c r="A441" i="12"/>
  <c r="A439" i="12"/>
  <c r="A437" i="12"/>
  <c r="A436" i="12"/>
  <c r="A433" i="12"/>
  <c r="A432" i="12"/>
  <c r="A431" i="12"/>
  <c r="A430" i="12"/>
  <c r="A427" i="12"/>
  <c r="A426" i="12"/>
  <c r="A425" i="12"/>
  <c r="A424" i="12"/>
  <c r="A423" i="12"/>
  <c r="A421" i="12"/>
  <c r="A420" i="12"/>
  <c r="A419" i="12"/>
  <c r="A418" i="12"/>
  <c r="A417" i="12"/>
  <c r="A416" i="12"/>
  <c r="A413" i="12"/>
  <c r="A412" i="12"/>
  <c r="A410" i="12"/>
  <c r="A409" i="12"/>
  <c r="A408" i="12"/>
  <c r="A406" i="12"/>
  <c r="A405" i="12"/>
  <c r="A404" i="12"/>
  <c r="A334" i="12"/>
  <c r="A333" i="12"/>
  <c r="A331" i="12"/>
  <c r="A330" i="12"/>
  <c r="A328" i="12"/>
  <c r="A327" i="12"/>
  <c r="A326" i="12"/>
  <c r="A324" i="12"/>
  <c r="A323" i="12"/>
  <c r="A298" i="12"/>
  <c r="A297" i="12"/>
  <c r="A275" i="12"/>
  <c r="A289" i="12"/>
  <c r="A288" i="12"/>
  <c r="A286" i="12"/>
  <c r="A284" i="12"/>
  <c r="A283" i="12"/>
  <c r="A281" i="12"/>
  <c r="A280" i="12"/>
  <c r="A278" i="12"/>
  <c r="A277" i="12"/>
  <c r="A276" i="12"/>
  <c r="A273" i="12"/>
  <c r="A272" i="12"/>
  <c r="A271" i="12"/>
  <c r="A270" i="12"/>
  <c r="A269" i="12"/>
  <c r="A268" i="12"/>
  <c r="A267" i="12"/>
  <c r="A266" i="12"/>
  <c r="A265" i="12"/>
  <c r="A264" i="12"/>
  <c r="A263" i="12"/>
  <c r="A261" i="12"/>
  <c r="A221" i="12"/>
  <c r="A219" i="12"/>
  <c r="A217" i="12"/>
  <c r="A211" i="12"/>
  <c r="A204" i="12"/>
  <c r="A202" i="12"/>
  <c r="A200"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11" i="12"/>
  <c r="A109" i="12"/>
  <c r="A107" i="12"/>
  <c r="A568" i="10"/>
  <c r="A564" i="10"/>
  <c r="A552" i="10"/>
  <c r="A551" i="10"/>
  <c r="A550" i="10"/>
  <c r="A549" i="10"/>
  <c r="A560" i="10"/>
  <c r="A556" i="10"/>
  <c r="A555" i="10"/>
  <c r="A554" i="10"/>
  <c r="A537" i="10"/>
  <c r="A516" i="10"/>
  <c r="A515" i="10"/>
  <c r="A511" i="10"/>
  <c r="A510" i="10"/>
  <c r="A505" i="10"/>
  <c r="A503" i="10"/>
  <c r="A502" i="10"/>
  <c r="A495" i="10"/>
  <c r="A494" i="10"/>
  <c r="A492" i="10"/>
  <c r="A479" i="10"/>
  <c r="A478" i="10"/>
  <c r="A473" i="10"/>
  <c r="A472" i="10"/>
  <c r="A465" i="10"/>
  <c r="A464" i="10"/>
  <c r="A463" i="10"/>
  <c r="A461" i="10"/>
  <c r="A460" i="10"/>
  <c r="A459" i="10"/>
  <c r="A458" i="10"/>
  <c r="A442" i="10"/>
  <c r="A437" i="10"/>
  <c r="A436" i="10"/>
  <c r="A429" i="10"/>
  <c r="A424" i="10"/>
  <c r="A423" i="10"/>
  <c r="A417" i="10"/>
  <c r="A411" i="10"/>
  <c r="A409" i="10"/>
  <c r="A408" i="10"/>
  <c r="A405" i="10"/>
  <c r="A404" i="10"/>
  <c r="A403" i="10"/>
  <c r="A402" i="10"/>
  <c r="A401" i="10"/>
  <c r="A400" i="10"/>
  <c r="A399" i="10"/>
  <c r="A398" i="10"/>
  <c r="A396" i="10"/>
  <c r="A395" i="10"/>
  <c r="A392" i="10"/>
  <c r="A391" i="10"/>
  <c r="A389" i="10"/>
  <c r="A387" i="10"/>
  <c r="A386" i="10"/>
  <c r="A383" i="10"/>
  <c r="A382" i="10"/>
  <c r="A381" i="10"/>
  <c r="A380" i="10"/>
  <c r="A377" i="10"/>
  <c r="A376" i="10"/>
  <c r="A375" i="10"/>
  <c r="A374" i="10"/>
  <c r="A373" i="10"/>
  <c r="A371" i="10"/>
  <c r="A370" i="10"/>
  <c r="A369" i="10"/>
  <c r="A368" i="10"/>
  <c r="A367" i="10"/>
  <c r="A366" i="10"/>
  <c r="A363" i="10"/>
  <c r="A362" i="10"/>
  <c r="A360" i="10"/>
  <c r="A359" i="10"/>
  <c r="A357" i="10"/>
  <c r="A356" i="10"/>
  <c r="A355" i="10"/>
  <c r="A287" i="10"/>
  <c r="A285" i="10"/>
  <c r="A283" i="10"/>
  <c r="A282" i="10"/>
  <c r="A280" i="10"/>
  <c r="A278" i="10"/>
  <c r="A277" i="10"/>
  <c r="A275" i="10"/>
  <c r="A274" i="10"/>
  <c r="A272" i="10"/>
  <c r="A271" i="10"/>
  <c r="A270" i="10"/>
  <c r="A269" i="10"/>
  <c r="A267" i="10"/>
  <c r="A266" i="10"/>
  <c r="A265" i="10"/>
  <c r="A264" i="10"/>
  <c r="A263" i="10"/>
  <c r="A262" i="10"/>
  <c r="A261" i="10"/>
  <c r="A260" i="10"/>
  <c r="A259" i="10"/>
  <c r="A258" i="10"/>
  <c r="A257" i="10"/>
  <c r="A255" i="10"/>
  <c r="A213" i="10"/>
  <c r="A211" i="10"/>
  <c r="A209" i="10"/>
  <c r="A206" i="10"/>
  <c r="A199" i="10"/>
  <c r="A197" i="10"/>
  <c r="A195" i="10"/>
  <c r="A191" i="10"/>
  <c r="A190" i="10"/>
  <c r="A189" i="10"/>
  <c r="A188" i="10"/>
  <c r="A187" i="10"/>
  <c r="A186" i="10"/>
  <c r="A185" i="10"/>
  <c r="A184" i="10"/>
  <c r="A183" i="10"/>
  <c r="A182" i="10"/>
  <c r="A181" i="10"/>
  <c r="A180" i="10"/>
  <c r="A179" i="10"/>
  <c r="A178" i="10"/>
  <c r="A177" i="10"/>
  <c r="A176" i="10"/>
  <c r="A175" i="10"/>
  <c r="A174" i="10"/>
  <c r="A173" i="10"/>
  <c r="A172" i="10"/>
  <c r="A171" i="10"/>
  <c r="A170" i="10"/>
  <c r="A169" i="10"/>
  <c r="A168" i="10"/>
  <c r="A167" i="10"/>
  <c r="A166" i="10"/>
  <c r="A165" i="10"/>
  <c r="A164" i="10"/>
  <c r="A163" i="10"/>
  <c r="A162" i="10"/>
  <c r="A161" i="10"/>
  <c r="A160" i="10"/>
  <c r="A159" i="10"/>
  <c r="A158" i="10"/>
  <c r="A157" i="10"/>
  <c r="A156" i="10"/>
  <c r="A155" i="10"/>
  <c r="A154" i="10"/>
  <c r="A153" i="10"/>
  <c r="A152" i="10"/>
  <c r="A108" i="10"/>
  <c r="A106" i="10"/>
  <c r="A104" i="10"/>
  <c r="A22" i="10"/>
  <c r="C27" i="12"/>
  <c r="B27" i="12"/>
  <c r="A27" i="12"/>
  <c r="C26" i="12"/>
  <c r="B26" i="12"/>
  <c r="A26" i="12"/>
  <c r="C25" i="12"/>
  <c r="B25" i="12"/>
  <c r="A25" i="12"/>
  <c r="C24" i="12"/>
  <c r="B24" i="12"/>
  <c r="A24" i="12"/>
  <c r="C23" i="12"/>
  <c r="B23" i="12"/>
  <c r="A23" i="12"/>
  <c r="C22" i="12"/>
  <c r="B22" i="12"/>
  <c r="A22" i="12"/>
  <c r="C21" i="12"/>
  <c r="B21" i="12"/>
  <c r="A21" i="12"/>
  <c r="C20" i="12"/>
  <c r="B20" i="12"/>
  <c r="A20" i="12"/>
  <c r="C19" i="12"/>
  <c r="C18" i="12"/>
  <c r="C17" i="12"/>
  <c r="C14" i="12"/>
  <c r="C22" i="10"/>
  <c r="C27" i="10"/>
  <c r="C26" i="10"/>
  <c r="C25" i="10"/>
  <c r="C24" i="10"/>
  <c r="C23" i="10"/>
  <c r="B27" i="10"/>
  <c r="B26" i="10"/>
  <c r="B25" i="10"/>
  <c r="B24" i="10"/>
  <c r="B23" i="10"/>
  <c r="A27" i="10"/>
  <c r="A26" i="10"/>
  <c r="A25" i="10"/>
  <c r="A24" i="10"/>
  <c r="A23" i="10"/>
  <c r="B22" i="10"/>
  <c r="C20" i="10"/>
  <c r="C14" i="10"/>
  <c r="C18" i="10"/>
  <c r="C13" i="12" l="1"/>
  <c r="D332" i="13" l="1"/>
  <c r="D331" i="13"/>
  <c r="D264" i="13"/>
  <c r="D263" i="13"/>
  <c r="B18" i="13"/>
  <c r="A18" i="13"/>
  <c r="E17" i="13"/>
  <c r="D17" i="13"/>
  <c r="C17" i="13"/>
  <c r="B17" i="13"/>
  <c r="A17" i="13"/>
  <c r="E16" i="13"/>
  <c r="D16" i="13"/>
  <c r="C16" i="13"/>
  <c r="B16" i="13"/>
  <c r="A16" i="13"/>
  <c r="A1" i="13"/>
  <c r="A18" i="11"/>
  <c r="B18" i="11"/>
  <c r="E492" i="1"/>
  <c r="D480" i="1"/>
  <c r="E480" i="1" s="1"/>
  <c r="D475" i="1"/>
  <c r="E475" i="1" s="1"/>
  <c r="K474" i="1" s="1"/>
  <c r="D472" i="1"/>
  <c r="E472" i="1" s="1"/>
  <c r="K471" i="1" s="1"/>
  <c r="D469" i="1"/>
  <c r="E469" i="1" s="1"/>
  <c r="K468" i="1" s="1"/>
  <c r="E363" i="1"/>
  <c r="E207" i="1"/>
  <c r="E205" i="1"/>
  <c r="D310" i="11" l="1"/>
  <c r="D241" i="11"/>
  <c r="C375" i="10"/>
  <c r="C313" i="10"/>
  <c r="C376" i="10"/>
  <c r="D242" i="11"/>
  <c r="C314" i="10"/>
  <c r="D311" i="11"/>
  <c r="D309" i="11"/>
  <c r="C312" i="10"/>
  <c r="D240" i="11"/>
  <c r="C374" i="10"/>
  <c r="D479" i="1"/>
  <c r="E479" i="1" s="1"/>
  <c r="D474" i="1"/>
  <c r="E474" i="1" s="1"/>
  <c r="D471" i="1"/>
  <c r="E471" i="1" s="1"/>
  <c r="D468" i="1"/>
  <c r="E468" i="1" s="1"/>
  <c r="D427" i="13" l="1"/>
  <c r="D418" i="13"/>
  <c r="E421" i="1"/>
  <c r="E420" i="1"/>
  <c r="E419" i="1"/>
  <c r="E418" i="1"/>
  <c r="E417" i="1"/>
  <c r="E416" i="1"/>
  <c r="E415" i="1"/>
  <c r="E414" i="1"/>
  <c r="A30" i="12"/>
  <c r="J414" i="1" l="1"/>
  <c r="D61" i="1"/>
  <c r="C409" i="12" l="1"/>
  <c r="D261" i="13"/>
  <c r="D329" i="13"/>
  <c r="C347" i="12"/>
  <c r="B21" i="10"/>
  <c r="B20" i="10"/>
  <c r="A21" i="10"/>
  <c r="A20" i="10"/>
  <c r="C21" i="10"/>
  <c r="C19" i="10"/>
  <c r="C17" i="10"/>
  <c r="D17" i="11" l="1"/>
  <c r="B17" i="11"/>
  <c r="A17" i="11"/>
  <c r="A16" i="11"/>
  <c r="B16" i="11"/>
  <c r="D16" i="11"/>
  <c r="E17" i="11"/>
  <c r="E16" i="11"/>
  <c r="C17" i="11"/>
  <c r="C16" i="11"/>
  <c r="A30" i="10"/>
  <c r="C92" i="1" l="1"/>
  <c r="C21" i="1"/>
  <c r="C23" i="1" s="1"/>
  <c r="D77" i="1"/>
  <c r="C58" i="9" s="1"/>
  <c r="D74" i="1"/>
  <c r="D78" i="1" s="1"/>
  <c r="D57" i="1"/>
  <c r="F58" i="9" l="1"/>
  <c r="C12" i="10" s="1"/>
  <c r="D80" i="1"/>
  <c r="D79" i="1"/>
  <c r="I291" i="1"/>
  <c r="H291" i="1"/>
  <c r="I288" i="1"/>
  <c r="H288" i="1"/>
  <c r="E292" i="1"/>
  <c r="E291" i="1"/>
  <c r="E289" i="1"/>
  <c r="E288" i="1"/>
  <c r="I286" i="1"/>
  <c r="H286" i="1"/>
  <c r="E286" i="1"/>
  <c r="J286" i="1" s="1"/>
  <c r="I279" i="1"/>
  <c r="H279" i="1"/>
  <c r="E284" i="1"/>
  <c r="E283" i="1"/>
  <c r="E282" i="1"/>
  <c r="E281" i="1"/>
  <c r="E280" i="1"/>
  <c r="E279" i="1"/>
  <c r="C12" i="12" l="1"/>
  <c r="J291" i="1"/>
  <c r="J288" i="1"/>
  <c r="J279" i="1"/>
  <c r="I463" i="1" l="1"/>
  <c r="H463" i="1"/>
  <c r="E466" i="1"/>
  <c r="E465" i="1"/>
  <c r="E464" i="1"/>
  <c r="E463" i="1"/>
  <c r="H336" i="1"/>
  <c r="I336" i="1"/>
  <c r="E348" i="1"/>
  <c r="E347" i="1"/>
  <c r="E346" i="1"/>
  <c r="E345" i="1"/>
  <c r="E344" i="1"/>
  <c r="E343" i="1"/>
  <c r="E342" i="1"/>
  <c r="E341" i="1"/>
  <c r="E340" i="1"/>
  <c r="E339" i="1"/>
  <c r="E338" i="1"/>
  <c r="E337" i="1"/>
  <c r="E336" i="1"/>
  <c r="I275" i="1"/>
  <c r="E277" i="1"/>
  <c r="E276" i="1"/>
  <c r="H275" i="1"/>
  <c r="E275" i="1"/>
  <c r="I267" i="1"/>
  <c r="E273" i="1"/>
  <c r="E272" i="1"/>
  <c r="E271" i="1"/>
  <c r="E270" i="1"/>
  <c r="E269" i="1"/>
  <c r="E268" i="1"/>
  <c r="H267" i="1"/>
  <c r="E267" i="1"/>
  <c r="J463" i="1" l="1"/>
  <c r="J336" i="1"/>
  <c r="J275" i="1"/>
  <c r="J267" i="1"/>
  <c r="D124" i="13" l="1"/>
  <c r="D125" i="13"/>
  <c r="D116" i="13"/>
  <c r="D115" i="13"/>
  <c r="D319" i="13"/>
  <c r="D387" i="13"/>
  <c r="D239" i="11"/>
  <c r="D344" i="13"/>
  <c r="D276" i="13"/>
  <c r="D308" i="11"/>
  <c r="C311" i="10"/>
  <c r="C373" i="10"/>
  <c r="C423" i="12"/>
  <c r="C361" i="12"/>
  <c r="C397" i="12"/>
  <c r="C459" i="12"/>
  <c r="C211" i="12"/>
  <c r="C210" i="12"/>
  <c r="C202" i="12"/>
  <c r="C201" i="12"/>
  <c r="C409" i="10"/>
  <c r="C347" i="10"/>
  <c r="D282" i="11"/>
  <c r="D351" i="11"/>
  <c r="D117" i="11"/>
  <c r="C196" i="10"/>
  <c r="D118" i="11"/>
  <c r="C197" i="10"/>
  <c r="D126" i="11"/>
  <c r="C206" i="10"/>
  <c r="D127" i="11"/>
  <c r="C205" i="10"/>
  <c r="H592" i="1" l="1"/>
  <c r="I592" i="1"/>
  <c r="I599" i="1"/>
  <c r="H599" i="1"/>
  <c r="E603" i="1"/>
  <c r="D602" i="1"/>
  <c r="E602" i="1" s="1"/>
  <c r="D601" i="1"/>
  <c r="E601" i="1" s="1"/>
  <c r="D600" i="1"/>
  <c r="E600" i="1" s="1"/>
  <c r="E599" i="1"/>
  <c r="D595" i="1"/>
  <c r="E595" i="1" s="1"/>
  <c r="E594" i="1"/>
  <c r="D593" i="1"/>
  <c r="E593" i="1" s="1"/>
  <c r="E596" i="1"/>
  <c r="E592" i="1"/>
  <c r="J599" i="1" l="1"/>
  <c r="J592" i="1"/>
  <c r="C30" i="1"/>
  <c r="C131" i="1" l="1"/>
  <c r="C111" i="1"/>
  <c r="C130" i="1"/>
  <c r="C128" i="1"/>
  <c r="C115" i="1"/>
  <c r="C478" i="1"/>
  <c r="D478" i="1" s="1"/>
  <c r="E478" i="1" s="1"/>
  <c r="K477" i="1" s="1"/>
  <c r="C377" i="10" s="1"/>
  <c r="D360" i="1"/>
  <c r="E360" i="1" s="1"/>
  <c r="D358" i="1"/>
  <c r="E358" i="1" s="1"/>
  <c r="D168" i="13"/>
  <c r="D205" i="13"/>
  <c r="D169" i="13"/>
  <c r="D206" i="13"/>
  <c r="D96" i="1"/>
  <c r="E96" i="1" s="1"/>
  <c r="D99" i="1"/>
  <c r="E99" i="1" s="1"/>
  <c r="D379" i="1"/>
  <c r="C477" i="1"/>
  <c r="C255" i="12"/>
  <c r="C288" i="12"/>
  <c r="D213" i="11"/>
  <c r="C256" i="12"/>
  <c r="C289" i="12"/>
  <c r="D171" i="11"/>
  <c r="D212" i="11"/>
  <c r="D170" i="11"/>
  <c r="C245" i="10"/>
  <c r="C282" i="10"/>
  <c r="C246" i="10"/>
  <c r="C283" i="10"/>
  <c r="K357" i="1" l="1"/>
  <c r="D246" i="13" s="1"/>
  <c r="D312" i="11"/>
  <c r="D243" i="11"/>
  <c r="C315" i="10"/>
  <c r="D295" i="11"/>
  <c r="D296" i="11"/>
  <c r="D226" i="11"/>
  <c r="D227" i="11"/>
  <c r="C317" i="12" l="1"/>
  <c r="C331" i="12"/>
  <c r="D232" i="13"/>
  <c r="A1" i="11"/>
  <c r="D65" i="1" l="1"/>
  <c r="D64" i="1"/>
  <c r="D63" i="1"/>
  <c r="I263" i="1" l="1"/>
  <c r="H263" i="1"/>
  <c r="E263" i="1"/>
  <c r="E264" i="1"/>
  <c r="E265" i="1"/>
  <c r="I253" i="1"/>
  <c r="E261" i="1"/>
  <c r="E260" i="1"/>
  <c r="E259" i="1"/>
  <c r="E258" i="1"/>
  <c r="E257" i="1"/>
  <c r="E256" i="1"/>
  <c r="E255" i="1"/>
  <c r="E254" i="1"/>
  <c r="H253" i="1"/>
  <c r="E253" i="1"/>
  <c r="J263" i="1" l="1"/>
  <c r="J253" i="1"/>
  <c r="D114" i="13" l="1"/>
  <c r="D113" i="13"/>
  <c r="D117" i="13"/>
  <c r="D118" i="13"/>
  <c r="C200" i="12"/>
  <c r="C199" i="12"/>
  <c r="C204" i="12"/>
  <c r="C203" i="12"/>
  <c r="D115" i="11"/>
  <c r="C194" i="10"/>
  <c r="D116" i="11"/>
  <c r="C195" i="10"/>
  <c r="C199" i="10"/>
  <c r="D119" i="11"/>
  <c r="C198" i="10"/>
  <c r="D120" i="11"/>
  <c r="D352" i="1" l="1"/>
  <c r="I173" i="1" l="1"/>
  <c r="H173" i="1"/>
  <c r="E171" i="1"/>
  <c r="K171" i="1" s="1"/>
  <c r="I168" i="1"/>
  <c r="H168" i="1"/>
  <c r="E77" i="1" l="1"/>
  <c r="D368" i="1" l="1"/>
  <c r="E582" i="1"/>
  <c r="E575" i="1"/>
  <c r="E576" i="1"/>
  <c r="E577" i="1"/>
  <c r="E578" i="1"/>
  <c r="E579" i="1"/>
  <c r="E580" i="1"/>
  <c r="E581" i="1"/>
  <c r="E583" i="1"/>
  <c r="E584" i="1"/>
  <c r="E585" i="1"/>
  <c r="E586" i="1"/>
  <c r="E587" i="1"/>
  <c r="E588" i="1"/>
  <c r="E589" i="1"/>
  <c r="J575" i="1" l="1"/>
  <c r="E63" i="1"/>
  <c r="E64" i="1"/>
  <c r="E65" i="1"/>
  <c r="D66" i="1"/>
  <c r="E66" i="1" s="1"/>
  <c r="I63" i="1"/>
  <c r="H63" i="1"/>
  <c r="D480" i="13" l="1"/>
  <c r="D472" i="13"/>
  <c r="C547" i="12"/>
  <c r="C545" i="12"/>
  <c r="D407" i="11"/>
  <c r="D415" i="11"/>
  <c r="C470" i="10"/>
  <c r="C472" i="10"/>
  <c r="J63" i="1"/>
  <c r="D103" i="13" l="1"/>
  <c r="D62" i="13"/>
  <c r="C189" i="12"/>
  <c r="C148" i="12"/>
  <c r="D62" i="11"/>
  <c r="D104" i="11"/>
  <c r="C183" i="10"/>
  <c r="C141" i="10"/>
  <c r="D567" i="1"/>
  <c r="D43" i="1"/>
  <c r="O121" i="1" l="1"/>
  <c r="O122" i="1"/>
  <c r="D69" i="1"/>
  <c r="D68" i="1"/>
  <c r="AA34" i="9" l="1"/>
  <c r="AE35" i="9" s="1"/>
  <c r="S34" i="9"/>
  <c r="T35" i="9" s="1"/>
  <c r="K34" i="9"/>
  <c r="K35" i="9" s="1"/>
  <c r="C34" i="9"/>
  <c r="E11" i="9"/>
  <c r="AA10" i="9"/>
  <c r="AG11" i="9" s="1"/>
  <c r="S10" i="9"/>
  <c r="X11" i="9" s="1"/>
  <c r="K10" i="9"/>
  <c r="C10" i="9"/>
  <c r="K15" i="9" s="1"/>
  <c r="I11" i="9" l="1"/>
  <c r="H11" i="9"/>
  <c r="T11" i="9"/>
  <c r="S35" i="9"/>
  <c r="AB11" i="9"/>
  <c r="AA35" i="9"/>
  <c r="Z35" i="9"/>
  <c r="B41" i="9"/>
  <c r="B40" i="9"/>
  <c r="J35" i="9"/>
  <c r="C49" i="9"/>
  <c r="D186" i="13" s="1"/>
  <c r="C48" i="9"/>
  <c r="D185" i="13" s="1"/>
  <c r="B45" i="9"/>
  <c r="B44" i="9"/>
  <c r="W35" i="9"/>
  <c r="X35" i="9"/>
  <c r="C25" i="9"/>
  <c r="D149" i="13" s="1"/>
  <c r="C24" i="9"/>
  <c r="D148" i="13" s="1"/>
  <c r="B21" i="9"/>
  <c r="B20" i="9"/>
  <c r="B19" i="9"/>
  <c r="B18" i="9"/>
  <c r="B17" i="9"/>
  <c r="B16" i="9"/>
  <c r="D169" i="1"/>
  <c r="E169" i="1" s="1"/>
  <c r="C28" i="9"/>
  <c r="D139" i="13" s="1"/>
  <c r="B15" i="9"/>
  <c r="B14" i="9"/>
  <c r="AC11" i="9"/>
  <c r="R35" i="9"/>
  <c r="B43" i="9"/>
  <c r="B42" i="9"/>
  <c r="C52" i="9"/>
  <c r="D176" i="13" s="1"/>
  <c r="K169" i="1"/>
  <c r="B39" i="9"/>
  <c r="B38" i="9"/>
  <c r="AB35" i="9"/>
  <c r="D11" i="9"/>
  <c r="AF11" i="9"/>
  <c r="O35" i="9"/>
  <c r="AF35" i="9"/>
  <c r="P11" i="9"/>
  <c r="G35" i="9"/>
  <c r="M11" i="9"/>
  <c r="Q11" i="9"/>
  <c r="U11" i="9"/>
  <c r="Y11" i="9"/>
  <c r="K14" i="9"/>
  <c r="H35" i="9"/>
  <c r="F11" i="9"/>
  <c r="J11" i="9"/>
  <c r="N11" i="9"/>
  <c r="R11" i="9"/>
  <c r="V11" i="9"/>
  <c r="Z11" i="9"/>
  <c r="AD11" i="9"/>
  <c r="AH11" i="9"/>
  <c r="E35" i="9"/>
  <c r="I35" i="9"/>
  <c r="C44" i="9" s="1"/>
  <c r="M35" i="9"/>
  <c r="Q35" i="9"/>
  <c r="U35" i="9"/>
  <c r="C41" i="9" s="1"/>
  <c r="Y35" i="9"/>
  <c r="AC35" i="9"/>
  <c r="AG35" i="9"/>
  <c r="K38" i="9"/>
  <c r="L11" i="9"/>
  <c r="C35" i="9"/>
  <c r="D35" i="9"/>
  <c r="L35" i="9"/>
  <c r="P35" i="9"/>
  <c r="K39" i="9"/>
  <c r="C11" i="9"/>
  <c r="G11" i="9"/>
  <c r="K11" i="9"/>
  <c r="O11" i="9"/>
  <c r="S11" i="9"/>
  <c r="W11" i="9"/>
  <c r="AA11" i="9"/>
  <c r="AE11" i="9"/>
  <c r="F35" i="9"/>
  <c r="N35" i="9"/>
  <c r="V35" i="9"/>
  <c r="AD35" i="9"/>
  <c r="AH35" i="9"/>
  <c r="C42" i="9" l="1"/>
  <c r="D181" i="13" s="1"/>
  <c r="C15" i="9"/>
  <c r="D143" i="13" s="1"/>
  <c r="D178" i="13"/>
  <c r="D183" i="13"/>
  <c r="C265" i="12"/>
  <c r="C270" i="12"/>
  <c r="C268" i="12"/>
  <c r="D190" i="11"/>
  <c r="D185" i="11"/>
  <c r="C264" i="10"/>
  <c r="C262" i="10"/>
  <c r="C259" i="10"/>
  <c r="C234" i="12"/>
  <c r="D145" i="11"/>
  <c r="C224" i="10"/>
  <c r="C272" i="12"/>
  <c r="D192" i="11"/>
  <c r="C266" i="10"/>
  <c r="C273" i="12"/>
  <c r="D193" i="11"/>
  <c r="C267" i="10"/>
  <c r="C230" i="12"/>
  <c r="D141" i="11"/>
  <c r="C220" i="10"/>
  <c r="C239" i="12"/>
  <c r="D150" i="11"/>
  <c r="C229" i="10"/>
  <c r="C240" i="12"/>
  <c r="D151" i="11"/>
  <c r="C230" i="10"/>
  <c r="C21" i="9"/>
  <c r="C228" i="10" s="1"/>
  <c r="C39" i="9"/>
  <c r="C267" i="12" s="1"/>
  <c r="C263" i="12"/>
  <c r="D183" i="11"/>
  <c r="C257" i="10"/>
  <c r="C40" i="9"/>
  <c r="C264" i="12" s="1"/>
  <c r="C45" i="9"/>
  <c r="D191" i="11" s="1"/>
  <c r="C17" i="9"/>
  <c r="D143" i="11" s="1"/>
  <c r="C16" i="9"/>
  <c r="C221" i="10" s="1"/>
  <c r="C20" i="9"/>
  <c r="C237" i="12" s="1"/>
  <c r="C43" i="9"/>
  <c r="D189" i="11" s="1"/>
  <c r="C19" i="9"/>
  <c r="C236" i="12" s="1"/>
  <c r="C38" i="9"/>
  <c r="C266" i="12" s="1"/>
  <c r="C14" i="9"/>
  <c r="D144" i="11" s="1"/>
  <c r="C18" i="9"/>
  <c r="C235" i="12" s="1"/>
  <c r="D188" i="11" l="1"/>
  <c r="D184" i="13"/>
  <c r="D144" i="13"/>
  <c r="D145" i="13"/>
  <c r="D179" i="13"/>
  <c r="D146" i="13"/>
  <c r="D180" i="13"/>
  <c r="C258" i="10"/>
  <c r="D147" i="13"/>
  <c r="D140" i="13"/>
  <c r="D182" i="13"/>
  <c r="D141" i="13"/>
  <c r="D142" i="13"/>
  <c r="D177" i="13"/>
  <c r="C223" i="10"/>
  <c r="C238" i="12"/>
  <c r="C222" i="10"/>
  <c r="D142" i="11"/>
  <c r="C231" i="12"/>
  <c r="C260" i="10"/>
  <c r="D186" i="11"/>
  <c r="C269" i="12"/>
  <c r="C232" i="12"/>
  <c r="C261" i="10"/>
  <c r="D149" i="11"/>
  <c r="C227" i="10"/>
  <c r="D147" i="11"/>
  <c r="C263" i="10"/>
  <c r="D184" i="11"/>
  <c r="C271" i="12"/>
  <c r="D146" i="11"/>
  <c r="C233" i="12"/>
  <c r="D187" i="11"/>
  <c r="C225" i="10"/>
  <c r="D148" i="11"/>
  <c r="C226" i="10"/>
  <c r="C265" i="10"/>
  <c r="H155" i="1"/>
  <c r="I155" i="1"/>
  <c r="D530" i="1" l="1"/>
  <c r="D104" i="1" l="1"/>
  <c r="I249" i="1"/>
  <c r="H249" i="1"/>
  <c r="E251" i="1"/>
  <c r="E250" i="1"/>
  <c r="E249" i="1"/>
  <c r="J249" i="1" l="1"/>
  <c r="D193" i="1"/>
  <c r="D187" i="1" s="1"/>
  <c r="D108" i="13" l="1"/>
  <c r="D67" i="13"/>
  <c r="C194" i="12"/>
  <c r="C153" i="12"/>
  <c r="D67" i="11"/>
  <c r="D109" i="11"/>
  <c r="C146" i="10"/>
  <c r="C188" i="10"/>
  <c r="D194" i="1"/>
  <c r="E567" i="1"/>
  <c r="E573" i="1"/>
  <c r="E572" i="1"/>
  <c r="E571" i="1"/>
  <c r="E570" i="1"/>
  <c r="E569" i="1"/>
  <c r="E568" i="1"/>
  <c r="J567" i="1" l="1"/>
  <c r="D473" i="13" l="1"/>
  <c r="D481" i="13"/>
  <c r="C548" i="12"/>
  <c r="C546" i="12"/>
  <c r="D416" i="11"/>
  <c r="D408" i="11"/>
  <c r="C473" i="10"/>
  <c r="C471" i="10"/>
  <c r="D451" i="1"/>
  <c r="D436" i="1"/>
  <c r="E436" i="1" s="1"/>
  <c r="D454" i="1"/>
  <c r="E454" i="1" s="1"/>
  <c r="C500" i="12" l="1"/>
  <c r="C491" i="12"/>
  <c r="D221" i="1"/>
  <c r="E323" i="1"/>
  <c r="D59" i="1"/>
  <c r="D126" i="1" l="1"/>
  <c r="E126" i="1" s="1"/>
  <c r="D105" i="1"/>
  <c r="I309" i="1" l="1"/>
  <c r="H309" i="1"/>
  <c r="E309" i="1"/>
  <c r="E310" i="1"/>
  <c r="E311" i="1"/>
  <c r="E312" i="1"/>
  <c r="E313" i="1"/>
  <c r="E314" i="1"/>
  <c r="I499" i="1"/>
  <c r="H499" i="1"/>
  <c r="E514" i="1"/>
  <c r="E513" i="1"/>
  <c r="E512" i="1"/>
  <c r="E511" i="1"/>
  <c r="E510" i="1"/>
  <c r="E509" i="1"/>
  <c r="E508" i="1"/>
  <c r="E507" i="1"/>
  <c r="E502" i="1"/>
  <c r="E506" i="1"/>
  <c r="E505" i="1"/>
  <c r="E504" i="1"/>
  <c r="E503" i="1"/>
  <c r="E501" i="1"/>
  <c r="E500" i="1"/>
  <c r="E499" i="1"/>
  <c r="E423" i="1"/>
  <c r="E424" i="1"/>
  <c r="E425" i="1"/>
  <c r="E426" i="1"/>
  <c r="I423" i="1"/>
  <c r="H423" i="1"/>
  <c r="I410" i="1"/>
  <c r="H410" i="1"/>
  <c r="E411" i="1"/>
  <c r="E410" i="1"/>
  <c r="E555" i="1"/>
  <c r="E556" i="1"/>
  <c r="J410" i="1" l="1"/>
  <c r="J423" i="1"/>
  <c r="J309" i="1"/>
  <c r="J499" i="1"/>
  <c r="D363" i="13" l="1"/>
  <c r="D295" i="13"/>
  <c r="D152" i="13"/>
  <c r="D189" i="13"/>
  <c r="D262" i="13"/>
  <c r="D330" i="13"/>
  <c r="D260" i="13"/>
  <c r="D328" i="13"/>
  <c r="C276" i="12"/>
  <c r="C243" i="12"/>
  <c r="C377" i="12"/>
  <c r="C439" i="12"/>
  <c r="C348" i="12"/>
  <c r="C410" i="12"/>
  <c r="C346" i="12"/>
  <c r="C408" i="12"/>
  <c r="D258" i="11"/>
  <c r="D327" i="11"/>
  <c r="D196" i="11"/>
  <c r="D154" i="11"/>
  <c r="C360" i="10"/>
  <c r="D225" i="11"/>
  <c r="D294" i="11"/>
  <c r="C297" i="10"/>
  <c r="D224" i="11"/>
  <c r="D293" i="11"/>
  <c r="C359" i="10"/>
  <c r="C298" i="10"/>
  <c r="C389" i="10"/>
  <c r="C327" i="10"/>
  <c r="C233" i="10"/>
  <c r="C270" i="10"/>
  <c r="E89" i="1"/>
  <c r="E88" i="1"/>
  <c r="E87" i="1"/>
  <c r="E86" i="1"/>
  <c r="I86" i="1"/>
  <c r="H86" i="1"/>
  <c r="J86" i="1" l="1"/>
  <c r="D442" i="1"/>
  <c r="D75" i="13" l="1"/>
  <c r="D34" i="13"/>
  <c r="C161" i="12"/>
  <c r="C120" i="12"/>
  <c r="D76" i="11"/>
  <c r="D34" i="11"/>
  <c r="C155" i="10"/>
  <c r="C113" i="10"/>
  <c r="I555" i="1"/>
  <c r="I549" i="1"/>
  <c r="I536" i="1"/>
  <c r="I525" i="1"/>
  <c r="I516" i="1"/>
  <c r="I494" i="1"/>
  <c r="I482" i="1"/>
  <c r="I477" i="1"/>
  <c r="I474" i="1"/>
  <c r="I471" i="1"/>
  <c r="I468" i="1"/>
  <c r="I458" i="1"/>
  <c r="I453" i="1"/>
  <c r="I447" i="1"/>
  <c r="I440" i="1"/>
  <c r="I435" i="1"/>
  <c r="I429" i="1"/>
  <c r="I404" i="1"/>
  <c r="I398" i="1"/>
  <c r="I391" i="1"/>
  <c r="I377" i="1"/>
  <c r="I369" i="1"/>
  <c r="I362" i="1"/>
  <c r="I357" i="1"/>
  <c r="I350" i="1"/>
  <c r="I325" i="1"/>
  <c r="I316" i="1"/>
  <c r="I297" i="1"/>
  <c r="I247" i="1"/>
  <c r="I244" i="1"/>
  <c r="I239" i="1"/>
  <c r="I235" i="1"/>
  <c r="I232" i="1"/>
  <c r="I226" i="1"/>
  <c r="I219" i="1"/>
  <c r="I198" i="1"/>
  <c r="I186" i="1"/>
  <c r="I175" i="1"/>
  <c r="I165" i="1"/>
  <c r="I157" i="1"/>
  <c r="I151" i="1"/>
  <c r="I147" i="1"/>
  <c r="I144" i="1"/>
  <c r="I139" i="1"/>
  <c r="I133" i="1"/>
  <c r="I128" i="1"/>
  <c r="I124" i="1"/>
  <c r="I119" i="1"/>
  <c r="I113" i="1"/>
  <c r="I108" i="1"/>
  <c r="I104" i="1"/>
  <c r="I99" i="1"/>
  <c r="I95" i="1"/>
  <c r="I91" i="1"/>
  <c r="I76" i="1"/>
  <c r="I71" i="1"/>
  <c r="I68" i="1"/>
  <c r="I59" i="1"/>
  <c r="I56" i="1"/>
  <c r="I41" i="1"/>
  <c r="E558" i="1" l="1"/>
  <c r="E559" i="1"/>
  <c r="E560" i="1"/>
  <c r="E561" i="1"/>
  <c r="E562" i="1"/>
  <c r="E563" i="1"/>
  <c r="E564" i="1"/>
  <c r="E565" i="1"/>
  <c r="E557" i="1"/>
  <c r="H555" i="1"/>
  <c r="E553" i="1"/>
  <c r="E552" i="1"/>
  <c r="E551" i="1"/>
  <c r="E550" i="1"/>
  <c r="E549" i="1"/>
  <c r="H549" i="1"/>
  <c r="E547" i="1"/>
  <c r="E546" i="1"/>
  <c r="E545" i="1"/>
  <c r="E544" i="1"/>
  <c r="E543" i="1"/>
  <c r="E542" i="1"/>
  <c r="E541" i="1"/>
  <c r="E540" i="1"/>
  <c r="E539" i="1"/>
  <c r="E538" i="1"/>
  <c r="E537" i="1"/>
  <c r="E536" i="1"/>
  <c r="H536" i="1"/>
  <c r="E534" i="1"/>
  <c r="E533" i="1"/>
  <c r="E532" i="1"/>
  <c r="E531" i="1"/>
  <c r="E530" i="1"/>
  <c r="E529" i="1"/>
  <c r="E528" i="1"/>
  <c r="E527" i="1"/>
  <c r="E526" i="1"/>
  <c r="E525" i="1"/>
  <c r="H525" i="1"/>
  <c r="E523" i="1"/>
  <c r="E522" i="1"/>
  <c r="E521" i="1"/>
  <c r="E520" i="1"/>
  <c r="E519" i="1"/>
  <c r="E518" i="1"/>
  <c r="E517" i="1"/>
  <c r="E516" i="1"/>
  <c r="H516" i="1"/>
  <c r="E496" i="1"/>
  <c r="E495" i="1"/>
  <c r="E494" i="1"/>
  <c r="H494" i="1"/>
  <c r="E497" i="1"/>
  <c r="E491" i="1"/>
  <c r="E490" i="1"/>
  <c r="E489" i="1"/>
  <c r="E488" i="1"/>
  <c r="E487" i="1"/>
  <c r="E486" i="1"/>
  <c r="E485" i="1"/>
  <c r="E484" i="1"/>
  <c r="E483" i="1"/>
  <c r="E482" i="1"/>
  <c r="K482" i="1" s="1"/>
  <c r="J525" i="1" l="1"/>
  <c r="K555" i="1"/>
  <c r="D511" i="13" s="1"/>
  <c r="D254" i="11"/>
  <c r="C324" i="10"/>
  <c r="D323" i="11"/>
  <c r="C386" i="10"/>
  <c r="J555" i="1"/>
  <c r="J549" i="1"/>
  <c r="J536" i="1"/>
  <c r="J516" i="1"/>
  <c r="J494" i="1"/>
  <c r="J482" i="1"/>
  <c r="H482" i="1"/>
  <c r="H477" i="1"/>
  <c r="H474" i="1"/>
  <c r="H471" i="1"/>
  <c r="H468" i="1"/>
  <c r="H458" i="1"/>
  <c r="E455" i="1"/>
  <c r="E453" i="1"/>
  <c r="H453" i="1"/>
  <c r="C577" i="12" l="1"/>
  <c r="C586" i="12"/>
  <c r="D438" i="11"/>
  <c r="D446" i="11"/>
  <c r="C500" i="10"/>
  <c r="C505" i="10"/>
  <c r="D503" i="13"/>
  <c r="C568" i="12"/>
  <c r="C492" i="10"/>
  <c r="C487" i="10"/>
  <c r="D496" i="13"/>
  <c r="D490" i="13"/>
  <c r="D431" i="11"/>
  <c r="D425" i="11"/>
  <c r="C559" i="12"/>
  <c r="D320" i="13"/>
  <c r="D388" i="13"/>
  <c r="D299" i="13"/>
  <c r="D367" i="13"/>
  <c r="D318" i="13"/>
  <c r="D386" i="13"/>
  <c r="D359" i="13"/>
  <c r="D291" i="13"/>
  <c r="D360" i="13"/>
  <c r="D292" i="13"/>
  <c r="D366" i="13"/>
  <c r="D298" i="13"/>
  <c r="C374" i="12"/>
  <c r="C436" i="12"/>
  <c r="C461" i="12"/>
  <c r="C399" i="12"/>
  <c r="C396" i="12"/>
  <c r="C458" i="12"/>
  <c r="C437" i="12"/>
  <c r="C375" i="12"/>
  <c r="C380" i="12"/>
  <c r="C442" i="12"/>
  <c r="C441" i="12"/>
  <c r="C379" i="12"/>
  <c r="D350" i="11"/>
  <c r="D281" i="11"/>
  <c r="D352" i="11"/>
  <c r="D283" i="11"/>
  <c r="D324" i="11"/>
  <c r="D255" i="11"/>
  <c r="D330" i="11"/>
  <c r="D261" i="11"/>
  <c r="D262" i="11"/>
  <c r="D331" i="11"/>
  <c r="C411" i="10"/>
  <c r="C349" i="10"/>
  <c r="C408" i="10"/>
  <c r="C346" i="10"/>
  <c r="C387" i="10"/>
  <c r="C325" i="10"/>
  <c r="C391" i="10"/>
  <c r="C329" i="10"/>
  <c r="C330" i="10"/>
  <c r="C392" i="10"/>
  <c r="E451" i="1"/>
  <c r="E447" i="1"/>
  <c r="E448" i="1"/>
  <c r="E449" i="1"/>
  <c r="H447" i="1"/>
  <c r="E442" i="1"/>
  <c r="E441" i="1"/>
  <c r="E440" i="1"/>
  <c r="H440" i="1"/>
  <c r="H435" i="1"/>
  <c r="E437" i="1"/>
  <c r="E435" i="1"/>
  <c r="H429" i="1"/>
  <c r="D408" i="1"/>
  <c r="E408" i="1" s="1"/>
  <c r="D407" i="1"/>
  <c r="E407" i="1" s="1"/>
  <c r="D405" i="1"/>
  <c r="E405" i="1" s="1"/>
  <c r="D406" i="1"/>
  <c r="E406" i="1" s="1"/>
  <c r="D404" i="1"/>
  <c r="E404" i="1" s="1"/>
  <c r="H404" i="1"/>
  <c r="D401" i="1"/>
  <c r="E401" i="1" s="1"/>
  <c r="D400" i="1"/>
  <c r="E400" i="1" s="1"/>
  <c r="D399" i="1"/>
  <c r="E399" i="1" s="1"/>
  <c r="D398" i="1"/>
  <c r="E398" i="1" s="1"/>
  <c r="H398" i="1"/>
  <c r="D395" i="1"/>
  <c r="E395" i="1" s="1"/>
  <c r="D394" i="1"/>
  <c r="E394" i="1" s="1"/>
  <c r="D393" i="1"/>
  <c r="E393" i="1" s="1"/>
  <c r="D392" i="1"/>
  <c r="E392" i="1" s="1"/>
  <c r="D391" i="1"/>
  <c r="E391" i="1" s="1"/>
  <c r="H391" i="1"/>
  <c r="E388" i="1"/>
  <c r="E387" i="1"/>
  <c r="E386" i="1"/>
  <c r="E385" i="1"/>
  <c r="E384" i="1"/>
  <c r="E383" i="1"/>
  <c r="E382" i="1"/>
  <c r="E381" i="1"/>
  <c r="E380" i="1"/>
  <c r="E379" i="1"/>
  <c r="E378" i="1"/>
  <c r="E377" i="1"/>
  <c r="H377" i="1"/>
  <c r="H369" i="1"/>
  <c r="J391" i="1" l="1"/>
  <c r="J398" i="1"/>
  <c r="J404" i="1"/>
  <c r="J377" i="1"/>
  <c r="E375" i="1"/>
  <c r="E374" i="1"/>
  <c r="E373" i="1"/>
  <c r="E372" i="1"/>
  <c r="E371" i="1"/>
  <c r="E370" i="1"/>
  <c r="E369" i="1"/>
  <c r="E368" i="1"/>
  <c r="E367" i="1"/>
  <c r="E365" i="1"/>
  <c r="E364" i="1"/>
  <c r="E362" i="1"/>
  <c r="H362" i="1"/>
  <c r="H357" i="1"/>
  <c r="E354" i="1"/>
  <c r="E350" i="1"/>
  <c r="H350" i="1"/>
  <c r="E325" i="1"/>
  <c r="E326" i="1"/>
  <c r="E327" i="1"/>
  <c r="E328" i="1"/>
  <c r="E329" i="1"/>
  <c r="E330" i="1"/>
  <c r="E331" i="1"/>
  <c r="E332" i="1"/>
  <c r="E333" i="1"/>
  <c r="E334" i="1"/>
  <c r="H325" i="1"/>
  <c r="E316" i="1"/>
  <c r="E317" i="1"/>
  <c r="E318" i="1"/>
  <c r="E319" i="1"/>
  <c r="E320" i="1"/>
  <c r="E321" i="1"/>
  <c r="E322" i="1"/>
  <c r="H316" i="1"/>
  <c r="H297" i="1"/>
  <c r="E307" i="1"/>
  <c r="E306" i="1"/>
  <c r="E305" i="1"/>
  <c r="E304" i="1"/>
  <c r="E303" i="1"/>
  <c r="E302" i="1"/>
  <c r="E301" i="1"/>
  <c r="E300" i="1"/>
  <c r="E299" i="1"/>
  <c r="E298" i="1"/>
  <c r="E297" i="1"/>
  <c r="L362" i="1" l="1"/>
  <c r="C324" i="12" s="1"/>
  <c r="D231" i="13"/>
  <c r="D245" i="13"/>
  <c r="C330" i="12"/>
  <c r="C316" i="12"/>
  <c r="D225" i="13"/>
  <c r="D224" i="13"/>
  <c r="D239" i="13"/>
  <c r="D238" i="13"/>
  <c r="K362" i="1"/>
  <c r="D165" i="13"/>
  <c r="D202" i="13"/>
  <c r="D259" i="13"/>
  <c r="D327" i="13"/>
  <c r="D258" i="13"/>
  <c r="D326" i="13"/>
  <c r="D325" i="13"/>
  <c r="D257" i="13"/>
  <c r="J362" i="1"/>
  <c r="C406" i="12"/>
  <c r="C344" i="12"/>
  <c r="C286" i="12"/>
  <c r="C253" i="12"/>
  <c r="C343" i="12"/>
  <c r="C405" i="12"/>
  <c r="C293" i="10"/>
  <c r="C404" i="12"/>
  <c r="C342" i="12"/>
  <c r="D209" i="11"/>
  <c r="D167" i="11"/>
  <c r="D292" i="11"/>
  <c r="D223" i="11"/>
  <c r="C294" i="10"/>
  <c r="D291" i="11"/>
  <c r="D222" i="11"/>
  <c r="C355" i="10"/>
  <c r="D290" i="11"/>
  <c r="D221" i="11"/>
  <c r="C356" i="10"/>
  <c r="C280" i="10"/>
  <c r="C243" i="10"/>
  <c r="C357" i="10"/>
  <c r="C295" i="10"/>
  <c r="J297" i="1"/>
  <c r="J325" i="1"/>
  <c r="E237" i="1"/>
  <c r="E236" i="1"/>
  <c r="E235" i="1"/>
  <c r="H235" i="1"/>
  <c r="H232" i="1"/>
  <c r="D224" i="1"/>
  <c r="D233" i="1" s="1"/>
  <c r="E233" i="1" s="1"/>
  <c r="C309" i="12" l="1"/>
  <c r="C310" i="12"/>
  <c r="C323" i="12"/>
  <c r="D191" i="13"/>
  <c r="D154" i="13"/>
  <c r="D174" i="13"/>
  <c r="D137" i="13"/>
  <c r="D164" i="11"/>
  <c r="D163" i="11"/>
  <c r="C240" i="10"/>
  <c r="D206" i="11"/>
  <c r="C277" i="10"/>
  <c r="D205" i="11"/>
  <c r="C241" i="10"/>
  <c r="C278" i="10"/>
  <c r="D199" i="13"/>
  <c r="D161" i="13"/>
  <c r="D198" i="13"/>
  <c r="D162" i="13"/>
  <c r="C278" i="12"/>
  <c r="C245" i="12"/>
  <c r="C261" i="12"/>
  <c r="C228" i="12"/>
  <c r="C250" i="12"/>
  <c r="C284" i="12"/>
  <c r="C283" i="12"/>
  <c r="C251" i="12"/>
  <c r="D198" i="11"/>
  <c r="D156" i="11"/>
  <c r="D181" i="11"/>
  <c r="D139" i="11"/>
  <c r="C235" i="10"/>
  <c r="C272" i="10"/>
  <c r="C255" i="10"/>
  <c r="C218" i="10"/>
  <c r="J235" i="1"/>
  <c r="D57" i="13" l="1"/>
  <c r="D98" i="13"/>
  <c r="C184" i="12"/>
  <c r="C143" i="12"/>
  <c r="D99" i="11"/>
  <c r="D57" i="11"/>
  <c r="C178" i="10"/>
  <c r="C136" i="10"/>
  <c r="E160" i="1"/>
  <c r="D153" i="1"/>
  <c r="E153" i="1" s="1"/>
  <c r="D152" i="1"/>
  <c r="E152" i="1" s="1"/>
  <c r="D151" i="1"/>
  <c r="E151" i="1" s="1"/>
  <c r="H151" i="1"/>
  <c r="H147" i="1"/>
  <c r="E149" i="1"/>
  <c r="D145" i="1"/>
  <c r="C110" i="1"/>
  <c r="E213" i="1"/>
  <c r="E212" i="1"/>
  <c r="E211" i="1"/>
  <c r="E210" i="1"/>
  <c r="E209" i="1"/>
  <c r="E208" i="1"/>
  <c r="E206" i="1"/>
  <c r="E204" i="1"/>
  <c r="E198" i="1"/>
  <c r="E199" i="1"/>
  <c r="E200" i="1"/>
  <c r="E201" i="1"/>
  <c r="E202" i="1"/>
  <c r="E203" i="1"/>
  <c r="E194" i="1"/>
  <c r="E193" i="1"/>
  <c r="E192" i="1"/>
  <c r="E191" i="1"/>
  <c r="E190" i="1"/>
  <c r="E189" i="1"/>
  <c r="E188" i="1"/>
  <c r="E187" i="1"/>
  <c r="E186" i="1"/>
  <c r="D44" i="1"/>
  <c r="D121" i="1" s="1"/>
  <c r="D50" i="1"/>
  <c r="E50" i="1" s="1"/>
  <c r="D49" i="1"/>
  <c r="E49" i="1" s="1"/>
  <c r="E42" i="1"/>
  <c r="D41" i="1"/>
  <c r="E41" i="1" s="1"/>
  <c r="J198" i="1" l="1"/>
  <c r="K198" i="1"/>
  <c r="J151" i="1"/>
  <c r="J186" i="1"/>
  <c r="D38" i="13" l="1"/>
  <c r="D79" i="13"/>
  <c r="D50" i="13"/>
  <c r="D91" i="13"/>
  <c r="D81" i="11"/>
  <c r="D39" i="11"/>
  <c r="C160" i="10"/>
  <c r="C118" i="10"/>
  <c r="D80" i="13"/>
  <c r="D39" i="13"/>
  <c r="C165" i="12"/>
  <c r="C124" i="12"/>
  <c r="C177" i="12"/>
  <c r="C136" i="12"/>
  <c r="C125" i="12"/>
  <c r="C166" i="12"/>
  <c r="D80" i="11"/>
  <c r="D38" i="11"/>
  <c r="D92" i="11"/>
  <c r="D50" i="11"/>
  <c r="C159" i="10"/>
  <c r="C117" i="10"/>
  <c r="C129" i="10"/>
  <c r="C171" i="10"/>
  <c r="D129" i="1"/>
  <c r="D46" i="1" l="1"/>
  <c r="D119" i="1" l="1"/>
  <c r="D120" i="1"/>
  <c r="H41" i="1" l="1"/>
  <c r="D60" i="1"/>
  <c r="C27" i="1"/>
  <c r="D72" i="1"/>
  <c r="E79" i="1" l="1"/>
  <c r="D71" i="1"/>
  <c r="E71" i="1" s="1"/>
  <c r="D81" i="1"/>
  <c r="E81" i="1" s="1"/>
  <c r="E59" i="1"/>
  <c r="D73" i="1"/>
  <c r="E73" i="1" s="1"/>
  <c r="E80" i="1"/>
  <c r="E119" i="1"/>
  <c r="E68" i="1"/>
  <c r="H165" i="1"/>
  <c r="E69" i="1"/>
  <c r="H68" i="1"/>
  <c r="E145" i="1"/>
  <c r="E140" i="1"/>
  <c r="E139" i="1"/>
  <c r="H139" i="1"/>
  <c r="H144" i="1"/>
  <c r="H104" i="1"/>
  <c r="H175" i="1"/>
  <c r="H76" i="1"/>
  <c r="H71" i="1"/>
  <c r="H59" i="1"/>
  <c r="H56" i="1"/>
  <c r="H247" i="1"/>
  <c r="H244" i="1"/>
  <c r="H239" i="1"/>
  <c r="H226" i="1"/>
  <c r="H219" i="1"/>
  <c r="H157" i="1"/>
  <c r="H133" i="1"/>
  <c r="H128" i="1"/>
  <c r="H124" i="1"/>
  <c r="H119" i="1"/>
  <c r="H113" i="1"/>
  <c r="H108" i="1"/>
  <c r="E104" i="1"/>
  <c r="E106" i="1"/>
  <c r="E105" i="1"/>
  <c r="H198" i="1"/>
  <c r="H186" i="1"/>
  <c r="E95" i="1"/>
  <c r="H95" i="1"/>
  <c r="H99" i="1"/>
  <c r="E100" i="1"/>
  <c r="H91" i="1"/>
  <c r="D53" i="1"/>
  <c r="E53" i="1" s="1"/>
  <c r="D52" i="1"/>
  <c r="E52" i="1" s="1"/>
  <c r="D51" i="1"/>
  <c r="E51" i="1" s="1"/>
  <c r="E48" i="1"/>
  <c r="E47" i="1"/>
  <c r="E46" i="1"/>
  <c r="E45" i="1"/>
  <c r="E44" i="1"/>
  <c r="E43" i="1"/>
  <c r="E175" i="1"/>
  <c r="E78" i="1"/>
  <c r="E57" i="1"/>
  <c r="E240" i="1"/>
  <c r="E223" i="1"/>
  <c r="E159" i="1"/>
  <c r="E177" i="1"/>
  <c r="E60" i="1"/>
  <c r="E242" i="1"/>
  <c r="E226" i="1"/>
  <c r="E56" i="1"/>
  <c r="E239" i="1"/>
  <c r="E222" i="1"/>
  <c r="E158" i="1"/>
  <c r="E72" i="1"/>
  <c r="E229" i="1"/>
  <c r="E247" i="1"/>
  <c r="J247" i="1" s="1"/>
  <c r="E219" i="1"/>
  <c r="E245" i="1"/>
  <c r="E224" i="1"/>
  <c r="E230" i="1"/>
  <c r="E157" i="1"/>
  <c r="E220" i="1"/>
  <c r="E244" i="1"/>
  <c r="E228" i="1"/>
  <c r="E178" i="1"/>
  <c r="E61" i="1"/>
  <c r="E227" i="1"/>
  <c r="E176" i="1"/>
  <c r="E241" i="1"/>
  <c r="E74" i="1"/>
  <c r="E129" i="1"/>
  <c r="E120" i="1"/>
  <c r="D101" i="13" l="1"/>
  <c r="D60" i="13"/>
  <c r="C187" i="12"/>
  <c r="C146" i="12"/>
  <c r="D477" i="1"/>
  <c r="E477" i="1" s="1"/>
  <c r="C144" i="1"/>
  <c r="D144" i="1" s="1"/>
  <c r="E144" i="1" s="1"/>
  <c r="C135" i="1"/>
  <c r="D135" i="1" s="1"/>
  <c r="E135" i="1" s="1"/>
  <c r="C165" i="1"/>
  <c r="D165" i="1" s="1"/>
  <c r="E165" i="1" s="1"/>
  <c r="C148" i="1"/>
  <c r="D148" i="1" s="1"/>
  <c r="E148" i="1" s="1"/>
  <c r="D131" i="1"/>
  <c r="C147" i="1"/>
  <c r="D147" i="1" s="1"/>
  <c r="E147" i="1" s="1"/>
  <c r="C136" i="1"/>
  <c r="D136" i="1" s="1"/>
  <c r="E136" i="1" s="1"/>
  <c r="C134" i="1"/>
  <c r="D134" i="1" s="1"/>
  <c r="E134" i="1" s="1"/>
  <c r="C162" i="1"/>
  <c r="D162" i="1" s="1"/>
  <c r="E162" i="1" s="1"/>
  <c r="C133" i="1"/>
  <c r="D133" i="1" s="1"/>
  <c r="E133" i="1" s="1"/>
  <c r="C125" i="1"/>
  <c r="C124" i="1"/>
  <c r="D124" i="1" s="1"/>
  <c r="E124" i="1" s="1"/>
  <c r="C122" i="1"/>
  <c r="D122" i="1" s="1"/>
  <c r="C114" i="1"/>
  <c r="D114" i="1" s="1"/>
  <c r="E114" i="1" s="1"/>
  <c r="C108" i="1"/>
  <c r="D108" i="1" s="1"/>
  <c r="E108" i="1" s="1"/>
  <c r="C113" i="1"/>
  <c r="C155" i="1"/>
  <c r="D155" i="1" s="1"/>
  <c r="E155" i="1" s="1"/>
  <c r="E121" i="1"/>
  <c r="D60" i="11"/>
  <c r="D102" i="11"/>
  <c r="D97" i="1"/>
  <c r="E97" i="1" s="1"/>
  <c r="D168" i="1"/>
  <c r="E168" i="1" s="1"/>
  <c r="K168" i="1" s="1"/>
  <c r="D173" i="1"/>
  <c r="E173" i="1" s="1"/>
  <c r="J173" i="1" s="1"/>
  <c r="D170" i="1"/>
  <c r="E170" i="1" s="1"/>
  <c r="K170" i="1" s="1"/>
  <c r="C181" i="10"/>
  <c r="C139" i="10"/>
  <c r="D91" i="1"/>
  <c r="E91" i="1" s="1"/>
  <c r="D444" i="1"/>
  <c r="E444" i="1" s="1"/>
  <c r="D166" i="1"/>
  <c r="E166" i="1" s="1"/>
  <c r="D109" i="1"/>
  <c r="E109" i="1" s="1"/>
  <c r="D458" i="1"/>
  <c r="E458" i="1" s="1"/>
  <c r="E352" i="1"/>
  <c r="J474" i="1"/>
  <c r="D359" i="1"/>
  <c r="E359" i="1" s="1"/>
  <c r="J468" i="1"/>
  <c r="D357" i="1"/>
  <c r="E357" i="1" s="1"/>
  <c r="J471" i="1"/>
  <c r="C363" i="12" s="1"/>
  <c r="D450" i="1"/>
  <c r="J316" i="1"/>
  <c r="D110" i="1"/>
  <c r="E110" i="1" s="1"/>
  <c r="J41" i="1"/>
  <c r="D161" i="1"/>
  <c r="E161" i="1" s="1"/>
  <c r="D92" i="1"/>
  <c r="E92" i="1" s="1"/>
  <c r="J68" i="1"/>
  <c r="J239" i="1"/>
  <c r="J175" i="1"/>
  <c r="J226" i="1"/>
  <c r="J244" i="1"/>
  <c r="J104" i="1"/>
  <c r="J71" i="1"/>
  <c r="J56" i="1"/>
  <c r="J59" i="1"/>
  <c r="E76" i="1"/>
  <c r="J76" i="1" s="1"/>
  <c r="D33" i="13" l="1"/>
  <c r="D74" i="13"/>
  <c r="D58" i="13"/>
  <c r="D99" i="13"/>
  <c r="D278" i="13"/>
  <c r="D346" i="13"/>
  <c r="D190" i="13"/>
  <c r="D153" i="13"/>
  <c r="D63" i="13"/>
  <c r="D104" i="13"/>
  <c r="D68" i="13"/>
  <c r="D109" i="13"/>
  <c r="C362" i="12"/>
  <c r="D277" i="13"/>
  <c r="D345" i="13"/>
  <c r="D55" i="13"/>
  <c r="D96" i="13"/>
  <c r="D279" i="13"/>
  <c r="D347" i="13"/>
  <c r="D40" i="13"/>
  <c r="D81" i="13"/>
  <c r="D100" i="13"/>
  <c r="D59" i="13"/>
  <c r="D105" i="13"/>
  <c r="D64" i="13"/>
  <c r="D31" i="13"/>
  <c r="D72" i="13"/>
  <c r="D66" i="13"/>
  <c r="D107" i="13"/>
  <c r="D102" i="13"/>
  <c r="D61" i="13"/>
  <c r="D65" i="13"/>
  <c r="D106" i="13"/>
  <c r="J350" i="1"/>
  <c r="C160" i="12"/>
  <c r="C119" i="12"/>
  <c r="C188" i="12"/>
  <c r="C147" i="12"/>
  <c r="C277" i="12"/>
  <c r="C244" i="12"/>
  <c r="C424" i="12"/>
  <c r="C192" i="12"/>
  <c r="C151" i="12"/>
  <c r="C195" i="12"/>
  <c r="C154" i="12"/>
  <c r="C193" i="12"/>
  <c r="C152" i="12"/>
  <c r="C167" i="12"/>
  <c r="C126" i="12"/>
  <c r="C185" i="12"/>
  <c r="C144" i="12"/>
  <c r="C158" i="12"/>
  <c r="C117" i="12"/>
  <c r="C425" i="12"/>
  <c r="C364" i="12"/>
  <c r="C426" i="12"/>
  <c r="C182" i="12"/>
  <c r="C141" i="12"/>
  <c r="C150" i="12"/>
  <c r="C191" i="12"/>
  <c r="C186" i="12"/>
  <c r="C145" i="12"/>
  <c r="C190" i="12"/>
  <c r="C149" i="12"/>
  <c r="L168" i="1"/>
  <c r="D461" i="1"/>
  <c r="E461" i="1" s="1"/>
  <c r="E122" i="1"/>
  <c r="J119" i="1" s="1"/>
  <c r="D128" i="1"/>
  <c r="E128" i="1" s="1"/>
  <c r="D460" i="1"/>
  <c r="E460" i="1" s="1"/>
  <c r="D431" i="1"/>
  <c r="E431" i="1" s="1"/>
  <c r="D459" i="1"/>
  <c r="E459" i="1" s="1"/>
  <c r="D115" i="1"/>
  <c r="E115" i="1" s="1"/>
  <c r="D438" i="1"/>
  <c r="E438" i="1" s="1"/>
  <c r="J435" i="1" s="1"/>
  <c r="D125" i="1"/>
  <c r="E125" i="1" s="1"/>
  <c r="J124" i="1" s="1"/>
  <c r="D456" i="1"/>
  <c r="D141" i="1"/>
  <c r="D113" i="1"/>
  <c r="E113" i="1" s="1"/>
  <c r="D430" i="1"/>
  <c r="E430" i="1" s="1"/>
  <c r="D111" i="1"/>
  <c r="E111" i="1" s="1"/>
  <c r="D432" i="1"/>
  <c r="E432" i="1" s="1"/>
  <c r="D130" i="1"/>
  <c r="E130" i="1" s="1"/>
  <c r="D429" i="1"/>
  <c r="E429" i="1" s="1"/>
  <c r="D68" i="11"/>
  <c r="D110" i="11"/>
  <c r="D103" i="11"/>
  <c r="D61" i="11"/>
  <c r="D59" i="11"/>
  <c r="D101" i="11"/>
  <c r="D105" i="11"/>
  <c r="D63" i="11"/>
  <c r="D107" i="11"/>
  <c r="D65" i="11"/>
  <c r="D55" i="11"/>
  <c r="D97" i="11"/>
  <c r="D108" i="11"/>
  <c r="D66" i="11"/>
  <c r="D64" i="11"/>
  <c r="D106" i="11"/>
  <c r="D82" i="11"/>
  <c r="D40" i="11"/>
  <c r="D100" i="11"/>
  <c r="D58" i="11"/>
  <c r="D73" i="11"/>
  <c r="D31" i="11"/>
  <c r="J168" i="1"/>
  <c r="D32" i="13" s="1"/>
  <c r="D197" i="11"/>
  <c r="D155" i="11"/>
  <c r="D75" i="11"/>
  <c r="D33" i="11"/>
  <c r="C154" i="10"/>
  <c r="C112" i="10"/>
  <c r="C180" i="10"/>
  <c r="C138" i="10"/>
  <c r="C144" i="10"/>
  <c r="C186" i="10"/>
  <c r="C176" i="10"/>
  <c r="C134" i="10"/>
  <c r="C147" i="10"/>
  <c r="C189" i="10"/>
  <c r="C161" i="10"/>
  <c r="C119" i="10"/>
  <c r="C179" i="10"/>
  <c r="C137" i="10"/>
  <c r="J144" i="1"/>
  <c r="J147" i="1"/>
  <c r="C271" i="10"/>
  <c r="C234" i="10"/>
  <c r="C110" i="10"/>
  <c r="C152" i="10"/>
  <c r="C184" i="10"/>
  <c r="C142" i="10"/>
  <c r="D445" i="1"/>
  <c r="E445" i="1" s="1"/>
  <c r="C143" i="10"/>
  <c r="C185" i="10"/>
  <c r="C182" i="10"/>
  <c r="C140" i="10"/>
  <c r="C145" i="10"/>
  <c r="C187" i="10"/>
  <c r="J165" i="1"/>
  <c r="J99" i="1"/>
  <c r="E450" i="1"/>
  <c r="J447" i="1" s="1"/>
  <c r="J357" i="1"/>
  <c r="J477" i="1"/>
  <c r="E131" i="1"/>
  <c r="J133" i="1"/>
  <c r="D443" i="1"/>
  <c r="E443" i="1" s="1"/>
  <c r="J157" i="1"/>
  <c r="J95" i="1"/>
  <c r="J91" i="1"/>
  <c r="A517" i="12" l="1"/>
  <c r="A444" i="13"/>
  <c r="D194" i="13"/>
  <c r="D157" i="13"/>
  <c r="D201" i="11"/>
  <c r="D280" i="13"/>
  <c r="D348" i="13"/>
  <c r="D84" i="13"/>
  <c r="D43" i="13"/>
  <c r="D195" i="13"/>
  <c r="D158" i="13"/>
  <c r="D85" i="13"/>
  <c r="D44" i="13"/>
  <c r="D271" i="13"/>
  <c r="D339" i="13"/>
  <c r="D337" i="13"/>
  <c r="D269" i="13"/>
  <c r="D159" i="11"/>
  <c r="D76" i="13"/>
  <c r="D35" i="13"/>
  <c r="D77" i="13"/>
  <c r="D36" i="13"/>
  <c r="D78" i="13"/>
  <c r="D37" i="13"/>
  <c r="C274" i="10"/>
  <c r="C247" i="12"/>
  <c r="D87" i="13"/>
  <c r="D46" i="13"/>
  <c r="D93" i="13"/>
  <c r="D52" i="13"/>
  <c r="C237" i="10"/>
  <c r="C280" i="12"/>
  <c r="D49" i="13"/>
  <c r="D90" i="13"/>
  <c r="D94" i="13"/>
  <c r="D53" i="13"/>
  <c r="D48" i="13"/>
  <c r="D89" i="13"/>
  <c r="C159" i="12"/>
  <c r="D73" i="13"/>
  <c r="E141" i="1"/>
  <c r="J139" i="1" s="1"/>
  <c r="E456" i="1"/>
  <c r="J453" i="1" s="1"/>
  <c r="C164" i="12"/>
  <c r="C123" i="12"/>
  <c r="C130" i="12"/>
  <c r="C171" i="12"/>
  <c r="C163" i="12"/>
  <c r="C122" i="12"/>
  <c r="C179" i="12"/>
  <c r="C138" i="12"/>
  <c r="C427" i="12"/>
  <c r="C365" i="12"/>
  <c r="C175" i="12"/>
  <c r="C134" i="12"/>
  <c r="C180" i="12"/>
  <c r="C139" i="12"/>
  <c r="C417" i="12"/>
  <c r="C355" i="12"/>
  <c r="C281" i="12"/>
  <c r="C248" i="12"/>
  <c r="C176" i="12"/>
  <c r="C135" i="12"/>
  <c r="C162" i="12"/>
  <c r="C121" i="12"/>
  <c r="C173" i="12"/>
  <c r="C132" i="12"/>
  <c r="C419" i="12"/>
  <c r="C357" i="12"/>
  <c r="C170" i="12"/>
  <c r="C129" i="12"/>
  <c r="D32" i="11"/>
  <c r="C118" i="12"/>
  <c r="C164" i="10"/>
  <c r="D85" i="11"/>
  <c r="D43" i="11"/>
  <c r="C122" i="10"/>
  <c r="D74" i="11"/>
  <c r="C153" i="10"/>
  <c r="J458" i="1"/>
  <c r="J113" i="1"/>
  <c r="C111" i="10"/>
  <c r="D78" i="11"/>
  <c r="D36" i="11"/>
  <c r="D303" i="11"/>
  <c r="D234" i="11"/>
  <c r="D95" i="11"/>
  <c r="D53" i="11"/>
  <c r="D90" i="11"/>
  <c r="D48" i="11"/>
  <c r="D86" i="11"/>
  <c r="D44" i="11"/>
  <c r="D232" i="11"/>
  <c r="D301" i="11"/>
  <c r="D91" i="11"/>
  <c r="D49" i="11"/>
  <c r="D94" i="11"/>
  <c r="D52" i="11"/>
  <c r="D88" i="11"/>
  <c r="D46" i="11"/>
  <c r="D77" i="11"/>
  <c r="D35" i="11"/>
  <c r="D160" i="11"/>
  <c r="D202" i="11"/>
  <c r="D79" i="11"/>
  <c r="D37" i="11"/>
  <c r="C128" i="10"/>
  <c r="C170" i="10"/>
  <c r="C169" i="10"/>
  <c r="C127" i="10"/>
  <c r="C369" i="10"/>
  <c r="C307" i="10"/>
  <c r="J440" i="1"/>
  <c r="C305" i="10"/>
  <c r="C367" i="10"/>
  <c r="C275" i="10"/>
  <c r="C238" i="10"/>
  <c r="C132" i="10"/>
  <c r="C174" i="10"/>
  <c r="C131" i="10"/>
  <c r="C173" i="10"/>
  <c r="C165" i="10"/>
  <c r="C123" i="10"/>
  <c r="C116" i="10"/>
  <c r="C158" i="10"/>
  <c r="C157" i="10"/>
  <c r="C115" i="10"/>
  <c r="C125" i="10"/>
  <c r="C167" i="10"/>
  <c r="C156" i="10"/>
  <c r="C114" i="10"/>
  <c r="J155" i="1"/>
  <c r="D232" i="1"/>
  <c r="E232" i="1" s="1"/>
  <c r="J232" i="1" s="1"/>
  <c r="E221" i="1"/>
  <c r="J219" i="1" s="1"/>
  <c r="J128" i="1"/>
  <c r="J429" i="1"/>
  <c r="J108" i="1"/>
  <c r="D336" i="13" l="1"/>
  <c r="D268" i="13"/>
  <c r="D273" i="13"/>
  <c r="D341" i="13"/>
  <c r="D41" i="13"/>
  <c r="D82" i="13"/>
  <c r="D45" i="13"/>
  <c r="D86" i="13"/>
  <c r="D54" i="13"/>
  <c r="D95" i="13"/>
  <c r="D42" i="13"/>
  <c r="D83" i="13"/>
  <c r="D56" i="13"/>
  <c r="D97" i="13"/>
  <c r="D92" i="13"/>
  <c r="D51" i="13"/>
  <c r="D272" i="13"/>
  <c r="D340" i="13"/>
  <c r="D338" i="13"/>
  <c r="D270" i="13"/>
  <c r="D47" i="13"/>
  <c r="D88" i="13"/>
  <c r="C358" i="12"/>
  <c r="C420" i="12"/>
  <c r="D304" i="11"/>
  <c r="C370" i="10"/>
  <c r="C174" i="12"/>
  <c r="C126" i="10"/>
  <c r="C133" i="12"/>
  <c r="C168" i="10"/>
  <c r="D89" i="11"/>
  <c r="C308" i="10"/>
  <c r="D235" i="11"/>
  <c r="D47" i="11"/>
  <c r="C172" i="12"/>
  <c r="C131" i="12"/>
  <c r="C181" i="12"/>
  <c r="C140" i="12"/>
  <c r="C168" i="12"/>
  <c r="C127" i="12"/>
  <c r="C356" i="12"/>
  <c r="C418" i="12"/>
  <c r="C121" i="10"/>
  <c r="C169" i="12"/>
  <c r="C128" i="12"/>
  <c r="C183" i="12"/>
  <c r="C142" i="12"/>
  <c r="C354" i="12"/>
  <c r="C416" i="12"/>
  <c r="C137" i="12"/>
  <c r="C178" i="12"/>
  <c r="D305" i="11"/>
  <c r="C421" i="12"/>
  <c r="C359" i="12"/>
  <c r="C371" i="10"/>
  <c r="D84" i="11"/>
  <c r="C309" i="10"/>
  <c r="D236" i="11"/>
  <c r="C163" i="10"/>
  <c r="D42" i="11"/>
  <c r="D96" i="11"/>
  <c r="D54" i="11"/>
  <c r="D83" i="11"/>
  <c r="D41" i="11"/>
  <c r="D98" i="11"/>
  <c r="D56" i="11"/>
  <c r="D300" i="11"/>
  <c r="D231" i="11"/>
  <c r="D93" i="11"/>
  <c r="D51" i="11"/>
  <c r="D87" i="11"/>
  <c r="D45" i="11"/>
  <c r="D233" i="11"/>
  <c r="D302" i="11"/>
  <c r="C306" i="10"/>
  <c r="C368" i="10"/>
  <c r="C175" i="10"/>
  <c r="C133" i="10"/>
  <c r="C177" i="10"/>
  <c r="C135" i="10"/>
  <c r="C366" i="10"/>
  <c r="C304" i="10"/>
  <c r="C166" i="10"/>
  <c r="C124" i="10"/>
  <c r="C162" i="10"/>
  <c r="C120" i="10"/>
  <c r="C130" i="10"/>
  <c r="C172" i="10"/>
</calcChain>
</file>

<file path=xl/sharedStrings.xml><?xml version="1.0" encoding="utf-8"?>
<sst xmlns="http://schemas.openxmlformats.org/spreadsheetml/2006/main" count="5723" uniqueCount="2260">
  <si>
    <t>-</t>
  </si>
  <si>
    <t>Notes</t>
  </si>
  <si>
    <t>value from DDR data sheet (ns)</t>
  </si>
  <si>
    <t>Register name</t>
  </si>
  <si>
    <t>Register value (HEX)</t>
  </si>
  <si>
    <t>N/A</t>
  </si>
  <si>
    <t>bit setting within register</t>
  </si>
  <si>
    <t>control bit setting (decimal)</t>
  </si>
  <si>
    <t>Memory type:</t>
  </si>
  <si>
    <t>Memory part number:</t>
  </si>
  <si>
    <t>Device Information</t>
  </si>
  <si>
    <t>Clock Cycle Time (ns)</t>
  </si>
  <si>
    <t>Instructions</t>
  </si>
  <si>
    <t>LPDDR2</t>
  </si>
  <si>
    <t>Manufacturer:</t>
  </si>
  <si>
    <t xml:space="preserve">Shaded cells may require updating per the DRAM memory data sheet parameters. Certain registers should not need to be modified by the user. If a register is not provided then it is assumed this parameter is not to be changed per the provided initialization script.Certain registers are provided though they may be noted as recommended to not change. </t>
  </si>
  <si>
    <t>Legend</t>
  </si>
  <si>
    <t>On other tabs, this color indicates the cells that are affected by changes on the Register Configuration tab.</t>
  </si>
  <si>
    <t>On Register Configuration Tab, this color indicates the bitfields that would commonly require updating.</t>
  </si>
  <si>
    <t>Clock Cycle or Binary Setting</t>
  </si>
  <si>
    <t>Revision History</t>
  </si>
  <si>
    <t>On Register Configuration Tab, this color indicates the bitfields that may be updated, but should typically not require it.</t>
  </si>
  <si>
    <t>Automatically Updated Setting</t>
  </si>
  <si>
    <t>On Register Configuration Tab, this color indicates the bitfields that are updated automatically from setting provided in the "Device Information" table or other cells, and should not be changed manually</t>
  </si>
  <si>
    <t>2. Important, these fields need to be filled out correctly as these values are used later in this tool for register settings.</t>
  </si>
  <si>
    <r>
      <t>Number of Chip Selects used</t>
    </r>
    <r>
      <rPr>
        <vertAlign val="superscript"/>
        <sz val="10"/>
        <rFont val="Arial"/>
        <family val="2"/>
      </rPr>
      <t>2</t>
    </r>
  </si>
  <si>
    <r>
      <t>Number of ROW Addresses</t>
    </r>
    <r>
      <rPr>
        <vertAlign val="superscript"/>
        <sz val="10"/>
        <rFont val="Arial"/>
        <family val="2"/>
      </rPr>
      <t>2</t>
    </r>
  </si>
  <si>
    <r>
      <t>Number of COLUMN Addresses</t>
    </r>
    <r>
      <rPr>
        <vertAlign val="superscript"/>
        <sz val="10"/>
        <rFont val="Arial"/>
        <family val="2"/>
      </rPr>
      <t>2</t>
    </r>
  </si>
  <si>
    <r>
      <t>Number of BANKS</t>
    </r>
    <r>
      <rPr>
        <vertAlign val="superscript"/>
        <sz val="10"/>
        <rFont val="Arial"/>
        <family val="2"/>
      </rPr>
      <t>2</t>
    </r>
  </si>
  <si>
    <t>On Register Configuration Tab, an unshaded cell means that the value should remain as is and should not be modified. In these cases, the settings are provided for completeness.</t>
  </si>
  <si>
    <t>How to use the DRAM register programming aid outline</t>
  </si>
  <si>
    <t>Step 1. Obtain the desired DRAM data sheet from the DRAM vendor</t>
  </si>
  <si>
    <t xml:space="preserve">Step 2. Update the Device Information table to include the DRAM information and system usage </t>
  </si>
  <si>
    <t>Step 3. Go through the various shaded cells in the spread sheet to update with data from the DRAM sheet (take special note of the “Legend” table to ascertain the meaning of different shaded cells; in many cases, the cells may not need to be updated).</t>
  </si>
  <si>
    <t>Total DRAM density (Gb)</t>
  </si>
  <si>
    <t>LPDDR3</t>
  </si>
  <si>
    <t>DDRC_MSTR</t>
  </si>
  <si>
    <t>Description: Set to 1 when the uMCTL2 and DRAM has to be put in DLL-off mode for low frequency operation.
Set to 0 to put uMCTL2 and DRAM in DLL-on mode for normal frequency operation.
Value After Reset: 0x0</t>
  </si>
  <si>
    <t>DDRC_RFSHTMG</t>
  </si>
  <si>
    <t>Description: Wait period before driving the OCD complete command to SDRAM.
Unit: Counts of a global timer that pulses every 32 clock cycles.
There is no known specific requirement for this; it may be set to zero.
Value After Reset: 0x0</t>
  </si>
  <si>
    <t>DDRC_INIT1</t>
  </si>
  <si>
    <t>DDRC_INIT0</t>
  </si>
  <si>
    <t>DDRC_INIT4</t>
  </si>
  <si>
    <t>DDRC_INIT3</t>
  </si>
  <si>
    <t>DDRC_RANKCTL</t>
  </si>
  <si>
    <t>DDRC_DRAMTMG0</t>
  </si>
  <si>
    <t>DDRC_DRAMTMG1</t>
  </si>
  <si>
    <t>DDRC_DRAMTMG2</t>
  </si>
  <si>
    <t>DDRC_DRAMTMG3</t>
  </si>
  <si>
    <t>DDRC_DRAMTMG4</t>
  </si>
  <si>
    <t>DDRC_DRAMTMG5</t>
  </si>
  <si>
    <t>DDRC_ZQCTL0</t>
  </si>
  <si>
    <t>DDRC_DFITMG0</t>
  </si>
  <si>
    <t>DDRC_DFITMG1</t>
  </si>
  <si>
    <t>DDRC_DFIUPD0</t>
  </si>
  <si>
    <t>DDRC_DFIUPD1</t>
  </si>
  <si>
    <t>DDRC_DFIUPD2</t>
  </si>
  <si>
    <t>DDRC_ADDRMAP0</t>
  </si>
  <si>
    <t>DDRC_ADDRMAP1</t>
  </si>
  <si>
    <t>DDRC_ADDRMAP5</t>
  </si>
  <si>
    <t>DDRC_ADDRMAP6</t>
  </si>
  <si>
    <t>DDRC_ODTMAP</t>
  </si>
  <si>
    <t>Description: Indicates which remote ODTs must be turned on during a write to rank 0.
Each rank has a remote ODT (in the SDRAM) which can be turned on by setting the appropriate bit here.
Rank 0 is controlled by the LSB; rank 1 is controlled by bit next to the LSB and so on.
For each rank, set its bit to 1 to enable its ODT.
Value After Reset: 0x1</t>
  </si>
  <si>
    <t>Description: Indicates which remote ODTs must be turned on during a read from rank 0.
Each rank has a remote ODT (in the SDRAM) which can be turned on by setting the appropriate bit here.
Rank 0 is controlled by the LSB; rank 1 is controlled by bit next to the LSB and so on.
For each rank, set its bit to 1 to enable its ODT.
Value After Reset: 0x1</t>
  </si>
  <si>
    <t>Description: Indicates which remote ODTs must be turned on during a read from rank 1.
Each rank has a remote ODT (in the SDRAM) which can be turned on by setting the appropriate bit here.
Rank 0 is controlled by the LSB; rank 1 is controlled by bit next to the LSB and so on.
For each rank, set its bit to 1 to enable its ODT.
Value After Reset: 0x2</t>
  </si>
  <si>
    <t>Description: Indicates which remote ODTs must be turned on during a write to rank 1.
Each rank has a remote ODT (in the SDRAM) which can be turned on by setting the appropriate bit here.
Rank 0 is controlled by the LSB; rank 1 is controlled by bit next to the LSB and so on.
For each rank, set its bit to 1 to enable its ODT.
Value After Reset: 0x2</t>
  </si>
  <si>
    <t>Description: Enables the support for acknowledging PHY-initiated updates:
■ 0 - Disabled
■ 1 - Enabled
Value After Reset: 0x1</t>
  </si>
  <si>
    <t>Description: This is the minimum amount of time between uMCTL2 initiated DFI update requests (which is executed whenever the uMCTL2 is idle).
Set this number higher to reduce the frequency of update requests, which can have a small impact on the latency of the first read request when the uMCTL2 is idle.
Unit: 1024 clocks
Value After Reset: 0x0</t>
  </si>
  <si>
    <t>Description: Specifies the maximum number of clock cycles that the dfi_ctrlupd_req signal can assert.
Lowest value to assign to this variable is 0x40.
Unit: Clocks
Value After Reset: 0x40</t>
  </si>
  <si>
    <t>Description: Specifies the minimum number of clock cycles that the dfi_ctrlupd_req signal must be asserted.
The uMCTL2 expects the PHY to respond within this time. If the PHY does not respond, the uMCTL2 de-asserts dfi_ctrlupd_req after dfi_t_ctrlup_min + 2 cycles.
Lowest value to assign to this variable is 0x3.
Unit: Clocks
Value After Reset: 0x3</t>
  </si>
  <si>
    <t>Description: Disable the automatic dfi_ctrlupd_req generation by the uMCTL2 following a self-refresh exit.
■ 1 - Disable the automatic dfi_ctrlupd_req generation by the uMCTL2 following a self-refresh exit. The core must issue the dfi_ctrlupd_req signal using register reg_ddrc_ctrlupd. .
■ 0 - uMCTL2 issues a dfi_ctrlupd_req after exiting self-refresh.
This register field is changeable on the fly.
Value After Reset: 0x0</t>
  </si>
  <si>
    <t>Description: Disable the automatic dfi_ctrlupd_req generation by the uMCTL2.
■ 1 - Disable the automatic dfi_ctrlupd_req generation by the uMCTL2. The core must issue the dfi_ctrlupd_req signal using register reg_ddrc_ctrlupd.
■ 0 - uMCTL2 issues dfi_ctrlupd_req periodically.
This register field is changeable on the fly.
Value After Reset: 0x0</t>
  </si>
  <si>
    <t>Description: Specifies the number of DFI clock cycles from the assertion of the dfi_dram_clk_disable signal on the DFI until the clock to the DRAM memory devices, at the PHY-DRAM boundary, maintains a low value.
If the DFI clock and the memory clock are not phase aligned, this timing parameter should be rounded up to the next integer value.
Value After Reset: 0x4</t>
  </si>
  <si>
    <t>Description: Specifies the number of DFI clock cycles from the de-assertion of the dfi_dram_clk_disable signal on the DFI until the first valid rising edge of the clock to the DRAM memory devices, at the PHY-DRAM boundary.
If the DFI clock and the memory clock are not phase aligned, this timing parameter should be rounded up to the next integer value.
Value After Reset: 0x4</t>
  </si>
  <si>
    <t>Description: Specifies the number of DFI clock cycles after an assertion or de-assertion of the DFI control signals that the control signals at the PHY-DRAM interface reflect the assertion or de-assertion.
If the DFI clock and the memory clock are not phase-aligned, this timing parameter should be rounded up to the next integer value.
INote that if using RDIMM, depending on the PHY, it may be necessary to increment this parameter by 1. This is to compensate for the extra cycle of latency through the RDIMM
Value After Reset: 0x7</t>
  </si>
  <si>
    <t>Description: Specifies the number of clock cycles between when dfi_wrdata_en is asserted to when the associated write data is driven on the dfi_wrdata signal.
This corresponds to the DFI timing parameter tphy_wrdata.
Refer to PHY specification for correct value.
Note, max supported value is 8.
Unit: Clocks
Value After Reset: 0x0</t>
  </si>
  <si>
    <t>Description: Disable Automatic ZQ Calibration
■ 1 - Disables uMCTL2 generation of ZQCS command. Register DBGCMD.zq_calib_short can be used instead to issue ZQ calibration request from APB module.
■ 0 - Internally generate ZQCS commands based on ZQCTL1.t_zq_short_interval_x1024.
Value After Reset: 0x0</t>
  </si>
  <si>
    <t>Description: Disable ZQCL command at Self-Refresh exit.
■ 1 - Disable issuing of ZQCL command at Self-Refresh exit.
■ 0 - Enable issuing of ZQCL command at Self-Refresh exit.
Value After Reset: 0x0</t>
  </si>
  <si>
    <t>Description: Shared ZQ resistor between ranks.
■ 1 - Denotes that ZQ resistor is shared between ranks. Means ZQinit/ZQCL/ZQCS commands are sent to one rank at a time with tZQinit/tZQCL/tZQCS timing met between commands so that commands to different ranks do not overlap.
■ 0 - ZQ resistor is not shared.
Value After Reset: 0x0</t>
  </si>
  <si>
    <t>DDRC timing parameter (DDR device timing parameter)</t>
  </si>
  <si>
    <t>DDRC Control Parameter</t>
  </si>
  <si>
    <t>Description: Set this to 1 if there is an LPDDR3 SDRAM 6Gb or 12Gb device in use.
■ 0 - non-LPDDR3 6Gb/12Gb device in use. All addresses are valid.
■ 1 - LPDDR3 SDRAM 6Gb/12Gb device in use. Every address having row[14:13]==2'b11 is considered as invalid
Value After Reset: 0x0</t>
  </si>
  <si>
    <t>Description: Selects the HIF address bit used as rank address bit 0.
Valid Range: 0 to 27, and 31
Internal Base: 6
The selected HIF address bit is determined by adding the internal base to the value of this field.
If set to 31, rank address bit 0 is set to 0.
Value After Reset: 0x0</t>
  </si>
  <si>
    <t>Description: Selects the HIF address bit used as bank address bit 2.
Valid Range: 0 to 29 and 31
Internal Base: 4
The selected HIF address bit is determined by adding the internal base to the value of this field.
If set to 31, bank address bit 2 is set to 0.
Value After Reset: 0x0</t>
  </si>
  <si>
    <t>Description: Selects the HIF address bits used as bank address bit 1.
Valid Range: 0 to 30
Internal Base: 3
The selected HIF address bit for each of the bank address bits is determined by adding the internal base to the value of this field.
Value After Reset: 0x0</t>
  </si>
  <si>
    <t>Description: Selects the HIF address bits used as bank address bit 0.
Valid Range: 0 to 30
Internal Base: 2
The selected HIF address bit for each of the bank address bits is determined by adding the internal base to the value of this field.
Value After Reset: 0x0</t>
  </si>
  <si>
    <t>Description: Selects the HIF address bit used as row address bit 11.
Valid Range: 0 to 11, and 15
Internal Base: 17
The selected HIF address bit is determined by adding the internal base to the value of this field.
If set to 15, row address bit 11 is set to 0.
Value After Reset: 0x0</t>
  </si>
  <si>
    <t>Description: Selects the HIF address bits used as row address bits 2 to 10.
Valid Range: 0 to 11
Internal Base: 8 (for row address bit 2), 9 (for row address bit 3), 10 (for row address bit 4) and so on, increasing to 16 (for row address bit 10)
The selected HIF address bit for each of the row address bits is determined by adding the internal base to the value of this field.
Value After Reset: 0x0</t>
  </si>
  <si>
    <t>Description: Selects the HIF address bits used as row address bit 1.
Valid Range: 0 to 11
Internal Base: 7
The selected HIF address bit for each of the row address bits is determined by adding the internal base to the value of this field.
Value After Reset: 0x0</t>
  </si>
  <si>
    <t>Description: Selects the HIF address bits used as row address bit 0.
Valid Range: 0 to 11
Internal Base: 6
The selected HIF address bit for each of the row address bits is determined by adding the internal base to the value of this field.
Value After Reset: 0x0</t>
  </si>
  <si>
    <t>Description: Selects the HIF address bit used as row address bit 15.
Valid Range: 0 to 11, and 15
Internal Base: 21
The selected HIF address bit is determined by adding the internal base to the value of this field.
If set to 15, row address bit 15 is set to 0.
Value After Reset: 0x0</t>
  </si>
  <si>
    <t>Description: Selects the HIF address bit used as row address bit 14.
Valid Range: 0 to 11, and 15
Internal Base: 20
The selected HIF address bit is determined by adding the internal base to the value of this field.
If set to 15, row address bit 14 is set to 0.
Value After Reset: 0x0</t>
  </si>
  <si>
    <t>Description: Selects the HIF address bit used as row address bit 13.
Valid Range: 0 to 11, and 15
Internal Base: 19
The selected HIF address bit is determined by adding the internal base to the value of this field.
If set to 15, row address bit 13 is set to 0.
Value After Reset: 0x0</t>
  </si>
  <si>
    <t>Description: Selects the HIF address bit used as row address bit 12.
Valid Range: 0 to 11, and 15
Internal Base: 18
The selected HIF address bit is determined by adding the internal base to the value of this field.
If set to 15, row address bit 12 is set to 0.
Value After Reset: 0x0</t>
  </si>
  <si>
    <t>Description: If lower bit is enabled the SDRAM initialization routine is skipped. The upper bit decides what state the controller starts up in when reset is removed
■ 00 - SDRAM Initialization routine is run after power-up
■ 01 - SDRAM Initialization routine is skipped after power-up. Controller starts up in Normal Mode
■ 11 - SDRAM Initialization routine is skipped after power-up. Controller starts up in Self-refresh Mode
■ 10 - SDRAM Initialization routine is run after power-up.
Value After Reset: 0x0</t>
  </si>
  <si>
    <t>Description: Only present for multi-rank configurations.
Background: Reads to the same rank can be performed back-to-back. Reads to different ranks require additional gap dictated by the register RANKCTL.diff_rank_rd_gap. This is to avoid possible data bus contention as well as to give PHY enough time to switch the delay when changing ranks. The uMCTL2 arbitrates for bus access on a cycle-by-cycle basis; therefore after a read is scheduled, there are few clock cycles (determined by the value on RANKCTL.diff_rank_rd_gap register) in which only reads from the same rank are eligible to be scheduled. This prevents reads from other ranks from having fair access to the data bus.
This parameter represents the maximum number of reads that can be scheduled consecutively to the same rank. After this number is reached, a delay equal to RANKCTL.diff_rank_rd_gap is inserted by the scheduler to allow all ranks a fair opportunity to be scheduled. Higher numbers increase bandwidth utilization, lower numbers increase fairness.
This feature can be DISABLED by setting this register to 0. When set to 0, the Controller stays on the same rank as long as commands are available for it.
Minimum programmable value is 0 (feature disabled) and maximum programmable value is 0xF.
FOR PERFORMANCE ONLY. Recommend leave as default.
Value After Reset: 0xf</t>
  </si>
  <si>
    <t>DDRC_DRAMTMG7</t>
  </si>
  <si>
    <t>DDRC_DRAMTMG6</t>
  </si>
  <si>
    <t>DDRC_ADDRMAP4</t>
  </si>
  <si>
    <t>DDRC_ZQCTL1</t>
  </si>
  <si>
    <r>
      <t>Number of BANK addresses</t>
    </r>
    <r>
      <rPr>
        <vertAlign val="superscript"/>
        <sz val="10"/>
        <rFont val="Arial"/>
        <family val="2"/>
      </rPr>
      <t>2</t>
    </r>
  </si>
  <si>
    <t>Reserved for future use. Set to zero as these bits are not write-able in this design.
Value After Reset: 0x0</t>
  </si>
  <si>
    <t>SKIP_DRAM_INIT</t>
  </si>
  <si>
    <t>POST_CKE_X1024</t>
  </si>
  <si>
    <t>PRE_CKE_X1024</t>
  </si>
  <si>
    <t>Number of DDRC Clock Cycles</t>
  </si>
  <si>
    <t>Number of DDR Clock Cycles or time (ns)</t>
  </si>
  <si>
    <t>WR2RD</t>
  </si>
  <si>
    <t>RD2WR</t>
  </si>
  <si>
    <t>WRITE_LATENCY</t>
  </si>
  <si>
    <t>READ_LATENCY</t>
  </si>
  <si>
    <t>T_XP</t>
  </si>
  <si>
    <t>RD2PRE</t>
  </si>
  <si>
    <t>T_MRW</t>
  </si>
  <si>
    <t>T_MRD</t>
  </si>
  <si>
    <t>T_MOD</t>
  </si>
  <si>
    <t>ACTIVE_RANKS</t>
  </si>
  <si>
    <t>BURST_RDWR</t>
  </si>
  <si>
    <t>DLL_OFF_MODE</t>
  </si>
  <si>
    <t>DATA_BUS_WIDTH</t>
  </si>
  <si>
    <t>BURSTCHOP</t>
  </si>
  <si>
    <t>BURST_MODE</t>
  </si>
  <si>
    <t>DDR3</t>
  </si>
  <si>
    <r>
      <rPr>
        <b/>
        <sz val="10"/>
        <color theme="1"/>
        <rFont val="Arial"/>
        <family val="2"/>
      </rPr>
      <t>Note, this information is automatically obtained from the Device Information table above.</t>
    </r>
    <r>
      <rPr>
        <sz val="10"/>
        <color theme="1"/>
        <rFont val="Arial"/>
        <family val="2"/>
      </rPr>
      <t xml:space="preserve">
Description: Select LPDDR3 SDRAM
■1 - LPDDR3 SDRAM device in use.
■0 - non-LPDDR3 device in use
Present only in designs configured to support LPDDR3.
Value After Reset: 0x0</t>
    </r>
  </si>
  <si>
    <r>
      <rPr>
        <b/>
        <sz val="10"/>
        <color theme="1"/>
        <rFont val="Arial"/>
        <family val="2"/>
      </rPr>
      <t>Note, this information is automatically obtained from the Device Information table above</t>
    </r>
    <r>
      <rPr>
        <sz val="10"/>
        <color theme="1"/>
        <rFont val="Arial"/>
        <family val="2"/>
      </rPr>
      <t>.
Description: Select LPDDR2 SDRAM
■1 - LPDDR2 SDRAM device in use.
■0 - non-LPDDR2 device in use
Present only in designs configured to support LPDDR2.
Value After Reset: 0x0</t>
    </r>
  </si>
  <si>
    <r>
      <rPr>
        <b/>
        <sz val="10"/>
        <color theme="1"/>
        <rFont val="Arial"/>
        <family val="2"/>
      </rPr>
      <t>Note, this information is automatically obtained from the Device Information table above.</t>
    </r>
    <r>
      <rPr>
        <sz val="10"/>
        <color theme="1"/>
        <rFont val="Arial"/>
        <family val="2"/>
      </rPr>
      <t xml:space="preserve">
Description: Select DDR3 SDRAM
■1 - DDR3 SDRAM device in use
■0 - non-DDR3 SDRAM device in use
Only present in designs that support DDR3.
Value After Reset: (MEMC_DDR3==1) ? 0x1 : 0x0</t>
    </r>
  </si>
  <si>
    <t>T_RCD</t>
  </si>
  <si>
    <t>T_CCD</t>
  </si>
  <si>
    <t>T_RRD</t>
  </si>
  <si>
    <t>T_RP</t>
  </si>
  <si>
    <t>T_CKSRX</t>
  </si>
  <si>
    <t>T_CKSRE</t>
  </si>
  <si>
    <t>T_CKCSX</t>
  </si>
  <si>
    <t>T_CKDPDX</t>
  </si>
  <si>
    <t>T_CKDPDE</t>
  </si>
  <si>
    <t>T_CKPDE</t>
  </si>
  <si>
    <t>T_CKPDX</t>
  </si>
  <si>
    <t>DRAM_RSTN_X1024</t>
  </si>
  <si>
    <t>PRE_OCD_X32</t>
  </si>
  <si>
    <t>T_RFC_NOM_X32</t>
  </si>
  <si>
    <t>T_RFC_MIN</t>
  </si>
  <si>
    <t>DIS_AUTO_ZQ</t>
  </si>
  <si>
    <t>DIS_SRX_ZQCL</t>
  </si>
  <si>
    <t>ZQ_RESISTOR_SHARED</t>
  </si>
  <si>
    <t>T_ZQ_LONG_NOP</t>
  </si>
  <si>
    <t>T_ZQ_SHORT_NOP</t>
  </si>
  <si>
    <t>T_ZQ_RESET_NOP</t>
  </si>
  <si>
    <t>T_ZQ_SHORT_INTERVAL_X1024</t>
  </si>
  <si>
    <t>DFI_T_CTRL_DELAY</t>
  </si>
  <si>
    <t>DFI_RDDATA_USE_SDR</t>
  </si>
  <si>
    <t>DFI_T_RDDDATA_EN</t>
  </si>
  <si>
    <t>DFI_WRDATA_USE_SDR</t>
  </si>
  <si>
    <t>DFI_TPHY_WRDATA</t>
  </si>
  <si>
    <t>DFI_TPHY_WRLAT</t>
  </si>
  <si>
    <t>DFI_T_DRAM_CLK_DISABLE</t>
  </si>
  <si>
    <t>DFI_T_DRAM_CLK_ENABLE</t>
  </si>
  <si>
    <t>DIS_AUTO_CTRLUPD</t>
  </si>
  <si>
    <t>DIS_AUTO_CTRLUPD_SRX</t>
  </si>
  <si>
    <t>DFI_T_CTRLUP_MAX</t>
  </si>
  <si>
    <t>DFI_T_CTRLUP_MIN</t>
  </si>
  <si>
    <t>DFI_T_CTRLUPD_INTERVAL_MIN_X1024</t>
  </si>
  <si>
    <t>DFI_T_CTRLUPD_INTERVAL_MAX_X1024</t>
  </si>
  <si>
    <t>DFI_PHYUPD_EN</t>
  </si>
  <si>
    <t>Description: Indicates burst mode.
0 - Sequential burst mode
1 - Interleaved burst mode (not supported in current design)
Value After Reset: 0x0</t>
  </si>
  <si>
    <t>The following ADDRMAP registers are automatically updated from the Device Information table above and should NOT be manually changed.</t>
  </si>
  <si>
    <t>ADDRMAP_CS_BIT1</t>
  </si>
  <si>
    <t>ADDRMAP_CS_BIT0</t>
  </si>
  <si>
    <t>ADDRMAP_BANK_B2</t>
  </si>
  <si>
    <t>ADDRMAP_BANK_B1</t>
  </si>
  <si>
    <t>ADDRMAP_BANK_B0</t>
  </si>
  <si>
    <t>ADDRMAP_COL_B11</t>
  </si>
  <si>
    <t>ADDRMAP_COL_B10</t>
  </si>
  <si>
    <t>LPDDR3_6GB_12_GB</t>
  </si>
  <si>
    <t>ADDRMAP_ROW_B11</t>
  </si>
  <si>
    <t>ADDRMAP_ROW_B2_10</t>
  </si>
  <si>
    <t>ADDRMAP_ROW_B1</t>
  </si>
  <si>
    <t>ADDRMAP_ROW_B0</t>
  </si>
  <si>
    <t>ADDRMAP_ROW_B15</t>
  </si>
  <si>
    <t>ADDRMAP_ROW_B14</t>
  </si>
  <si>
    <t>ADDRMAP_ROW_B13</t>
  </si>
  <si>
    <t>ADDRMAP_ROW_B12</t>
  </si>
  <si>
    <t>The following registers are not recommended to be changed by the user</t>
  </si>
  <si>
    <t>The following register is not recommended to be changed by the user</t>
  </si>
  <si>
    <t>DIFF_RANK_WR_GAP</t>
  </si>
  <si>
    <t>DIFF_RANK_RD_GAP</t>
  </si>
  <si>
    <t>MAX_RANK_RD</t>
  </si>
  <si>
    <t>WR2PRE</t>
  </si>
  <si>
    <t>T_FAW</t>
  </si>
  <si>
    <t>T_RAS_MAX</t>
  </si>
  <si>
    <t>T_RAS_MIN</t>
  </si>
  <si>
    <t>(Automatically Calculated) Number of DDRC Clock Cycles</t>
  </si>
  <si>
    <t>RANK1_RD_ODT</t>
  </si>
  <si>
    <t>RANK1_WR_ODT</t>
  </si>
  <si>
    <t>RANK0_RD_ODT</t>
  </si>
  <si>
    <t>RANK0_WR_ODT</t>
  </si>
  <si>
    <t>Mode register programming - CONFIGURABLE BASED ON DRAM TYPE</t>
  </si>
  <si>
    <t>Mode Register Settings are the same for all Chip Selects. 
Look for the supported memory type and fill in the parameters for that memory type.</t>
  </si>
  <si>
    <t>Details:</t>
  </si>
  <si>
    <t>Version number
(Highest to Lowest)</t>
  </si>
  <si>
    <t>DDR PHY Control Parameter</t>
  </si>
  <si>
    <t>Latest Version Number</t>
  </si>
  <si>
    <t>This tool is configured to work with (enter board name):</t>
  </si>
  <si>
    <t>ENABLED</t>
  </si>
  <si>
    <t>DISABLED</t>
  </si>
  <si>
    <t>Description: Selects proportion of DQ bus width that is used by the SDRAM
■00 - Full DQ bus width to SDRAM 
■01 - Half DQ bus width to SDRAM
(The following bit settings are not implmented in this design)
■10 - Quarter DQ bus width to SDRAM
■11 - Reserved.
Value After Reset: 0x0</t>
  </si>
  <si>
    <t>5C010000</t>
  </si>
  <si>
    <t>5C000000</t>
  </si>
  <si>
    <t>DDRC_DRAMTMG14</t>
  </si>
  <si>
    <t>T_XSR</t>
  </si>
  <si>
    <t>LPDDR4</t>
  </si>
  <si>
    <t>DDR4</t>
  </si>
  <si>
    <t>DEVICE_CONFIG</t>
  </si>
  <si>
    <t>Indicates the configuration of the device used in the system.
■ 10 - x16 device
■ 11 - x32 device</t>
  </si>
  <si>
    <r>
      <rPr>
        <b/>
        <sz val="10"/>
        <color theme="1"/>
        <rFont val="Arial"/>
        <family val="2"/>
      </rPr>
      <t>Note, this information is automatically obtained from the Device Information table above.</t>
    </r>
    <r>
      <rPr>
        <sz val="10"/>
        <color theme="1"/>
        <rFont val="Arial"/>
        <family val="2"/>
      </rPr>
      <t xml:space="preserve">
Description: Maps the Chip Selects in use.
Only the following bit configurations are legal:
■ 01 - for one rank (CS0 populated)
■ 11 - for two ranks (CS1 and CS0 populated)
Value After Reset: 0x3</t>
    </r>
  </si>
  <si>
    <t xml:space="preserve">Choose which registers are used.
■ 0 - Original registers (default, recommended setting)
■ 1 - Shadow registers </t>
  </si>
  <si>
    <t>FREQUENCY_MODE</t>
  </si>
  <si>
    <t>Description: When set, enable burst-chop in DDR3/DDR4. This is only supported in AXI bus configurations (UMCTL2_INCL_ARB not set) using full bus width mode (MSTR.data_bus_width = 00).
■ 0 - Disabled.
■ 1 - Burst-Chop enabled.
Value After Reset: 0x0</t>
  </si>
  <si>
    <r>
      <rPr>
        <b/>
        <sz val="10"/>
        <color theme="1"/>
        <rFont val="Arial"/>
        <family val="2"/>
      </rPr>
      <t>Note, this information is automatically obtained from the Device Information table above.</t>
    </r>
    <r>
      <rPr>
        <sz val="10"/>
        <color theme="1"/>
        <rFont val="Arial"/>
        <family val="2"/>
      </rPr>
      <t xml:space="preserve">
Description: Select LPDDR4 SDRAM
■1 - LPDDR4 SDRAM device in use.
■0 - non-LPDDR4 device in use
Present only in designs configured to support LPDDR4.
Value After Reset: 0x0</t>
    </r>
  </si>
  <si>
    <r>
      <rPr>
        <b/>
        <sz val="10"/>
        <color theme="1"/>
        <rFont val="Arial"/>
        <family val="2"/>
      </rPr>
      <t>Note, this information is automatically obtained from the Device Information table above.</t>
    </r>
    <r>
      <rPr>
        <sz val="10"/>
        <color theme="1"/>
        <rFont val="Arial"/>
        <family val="2"/>
      </rPr>
      <t xml:space="preserve">
Description: Select DDR4 SDRAM
■1 - DDR4 SDRAM device in use.
■0 - non-DDR4 device in use
Present only in designs configured to support DDR4.
Value After Reset: 0x0</t>
    </r>
  </si>
  <si>
    <r>
      <t xml:space="preserve">Description: SDRAM burst length used:
■0001 - Reserved.
</t>
    </r>
    <r>
      <rPr>
        <b/>
        <sz val="10"/>
        <color theme="1"/>
        <rFont val="Arial"/>
        <family val="2"/>
      </rPr>
      <t>■0010 - Burst length of 4 (recommended for LPDDR2)</t>
    </r>
    <r>
      <rPr>
        <sz val="10"/>
        <color theme="1"/>
        <rFont val="Arial"/>
        <family val="2"/>
      </rPr>
      <t xml:space="preserve">
■</t>
    </r>
    <r>
      <rPr>
        <b/>
        <sz val="10"/>
        <color theme="1"/>
        <rFont val="Arial"/>
        <family val="2"/>
      </rPr>
      <t>0100 - Burst length of 8 (recommended for DDR4/DDR3/LPDDR3)</t>
    </r>
    <r>
      <rPr>
        <sz val="10"/>
        <color theme="1"/>
        <rFont val="Arial"/>
        <family val="2"/>
      </rPr>
      <t xml:space="preserve">
■</t>
    </r>
    <r>
      <rPr>
        <b/>
        <sz val="10"/>
        <color theme="1"/>
        <rFont val="Arial"/>
        <family val="2"/>
      </rPr>
      <t>1000 - Burst length of 16 (recommended for LPDDR4)</t>
    </r>
    <r>
      <rPr>
        <sz val="10"/>
        <color theme="1"/>
        <rFont val="Arial"/>
        <family val="2"/>
      </rPr>
      <t xml:space="preserve">
All other values are reserved.
This controls the burst size used to access the SDRAM. This must match the burst length mode register setting in the SDRAM. 
Value After Reset: 0x4</t>
    </r>
  </si>
  <si>
    <t>DDRC_INIT1 is used only for DDR3/LPDDR4 configurations and can be left as is for LPDDR3/LPDDR2. In either case, it is not recommended to change these settings.</t>
  </si>
  <si>
    <r>
      <rPr>
        <b/>
        <sz val="10"/>
        <rFont val="Arial"/>
        <family val="2"/>
      </rPr>
      <t>LPDDR4 MR1:</t>
    </r>
    <r>
      <rPr>
        <sz val="10"/>
        <rFont val="Arial"/>
        <family val="2"/>
      </rPr>
      <t xml:space="preserve">
Read Post-amble length
0B: RD Post-amble = 0.5*tCK (default)
1B: RD Post-amble = 1.5*tCK</t>
    </r>
  </si>
  <si>
    <t>WR-PRE</t>
  </si>
  <si>
    <r>
      <rPr>
        <b/>
        <sz val="10"/>
        <rFont val="Arial"/>
        <family val="2"/>
      </rPr>
      <t>LPDDR4 MR1:</t>
    </r>
    <r>
      <rPr>
        <sz val="10"/>
        <rFont val="Arial"/>
        <family val="2"/>
      </rPr>
      <t xml:space="preserve">
Read Pre-amble Type
0B: RD Pre-amble = Static (default)
1B: RD Pre-amble = Toggle</t>
    </r>
  </si>
  <si>
    <r>
      <rPr>
        <b/>
        <sz val="10"/>
        <rFont val="Arial"/>
        <family val="2"/>
      </rPr>
      <t>LPDDR4 MR1:</t>
    </r>
    <r>
      <rPr>
        <sz val="10"/>
        <rFont val="Arial"/>
        <family val="2"/>
      </rPr>
      <t xml:space="preserve">
Write Pre-amble Length
0B: Reserved
1B: WR Pre-amble = 2*tCK</t>
    </r>
  </si>
  <si>
    <r>
      <rPr>
        <b/>
        <sz val="10"/>
        <rFont val="Arial"/>
        <family val="2"/>
      </rPr>
      <t>LPDDR4 MR1:</t>
    </r>
    <r>
      <rPr>
        <sz val="10"/>
        <rFont val="Arial"/>
        <family val="2"/>
      </rPr>
      <t xml:space="preserve">
Burst Length
00B: BL=16 Sequential (default)
01B: BL=32 Sequential
10B: BL=16 or 32 Sequential (on-the-fly)
All Others: Reserved</t>
    </r>
  </si>
  <si>
    <r>
      <rPr>
        <b/>
        <sz val="10"/>
        <rFont val="Arial"/>
        <family val="2"/>
      </rPr>
      <t>LPDDR4 MR2:</t>
    </r>
    <r>
      <rPr>
        <sz val="10"/>
        <rFont val="Arial"/>
        <family val="2"/>
      </rPr>
      <t xml:space="preserve">
Enable write leveling
0B: Disabled (default)
1B: Enabled</t>
    </r>
  </si>
  <si>
    <r>
      <rPr>
        <b/>
        <sz val="10"/>
        <rFont val="Arial"/>
        <family val="2"/>
      </rPr>
      <t>LPDDR4 MR2:</t>
    </r>
    <r>
      <rPr>
        <sz val="10"/>
        <rFont val="Arial"/>
        <family val="2"/>
      </rPr>
      <t xml:space="preserve">
Write latency set: MR2 OP[6] setting
0B: WL set "A" (default)
1B: WL set "B"</t>
    </r>
  </si>
  <si>
    <r>
      <t xml:space="preserve">LPDDR4 MR3:
</t>
    </r>
    <r>
      <rPr>
        <sz val="10"/>
        <rFont val="Arial"/>
        <family val="2"/>
      </rPr>
      <t>DBI-WR</t>
    </r>
    <r>
      <rPr>
        <b/>
        <sz val="10"/>
        <rFont val="Arial"/>
        <family val="2"/>
      </rPr>
      <t xml:space="preserve">
</t>
    </r>
    <r>
      <rPr>
        <sz val="10"/>
        <rFont val="Arial"/>
        <family val="2"/>
      </rPr>
      <t>0B: Disabled (default)
1B: Enabled</t>
    </r>
  </si>
  <si>
    <r>
      <t xml:space="preserve">LPDDR4 MR3:
</t>
    </r>
    <r>
      <rPr>
        <sz val="10"/>
        <rFont val="Arial"/>
        <family val="2"/>
      </rPr>
      <t>DBI-RD</t>
    </r>
    <r>
      <rPr>
        <b/>
        <sz val="10"/>
        <rFont val="Arial"/>
        <family val="2"/>
      </rPr>
      <t xml:space="preserve">
</t>
    </r>
    <r>
      <rPr>
        <sz val="10"/>
        <rFont val="Arial"/>
        <family val="2"/>
      </rPr>
      <t>0B: Disabled (default)
1B: Enabled</t>
    </r>
  </si>
  <si>
    <r>
      <t xml:space="preserve">LPDDR4 MR3:
</t>
    </r>
    <r>
      <rPr>
        <sz val="10"/>
        <rFont val="Arial"/>
        <family val="2"/>
      </rPr>
      <t>PDDS</t>
    </r>
    <r>
      <rPr>
        <b/>
        <sz val="10"/>
        <rFont val="Arial"/>
        <family val="2"/>
      </rPr>
      <t xml:space="preserve">
</t>
    </r>
    <r>
      <rPr>
        <sz val="10"/>
        <rFont val="Arial"/>
        <family val="2"/>
      </rPr>
      <t>000B: RFU
001B: RZQ/1
010B: RZQ/2
011B: RZQ/3
100B: RZQ/4
101B: RZQ/5
110B: RZQ/6 (default)
111B: Reserved</t>
    </r>
  </si>
  <si>
    <r>
      <t xml:space="preserve">LPDDR4 MR3:
</t>
    </r>
    <r>
      <rPr>
        <sz val="10"/>
        <rFont val="Arial"/>
        <family val="2"/>
      </rPr>
      <t>PPRP
0B: PPR protection disabled (default)
1B: PPR protection enabled</t>
    </r>
  </si>
  <si>
    <r>
      <t xml:space="preserve">LPDDR4 MR3:
</t>
    </r>
    <r>
      <rPr>
        <sz val="10"/>
        <rFont val="Arial"/>
        <family val="2"/>
      </rPr>
      <t>WR PST
0B: WR Post-amble = 0.5*tCK (default)
1B: WR Post-amble = 1.5*tCK(Vendor specific
function)</t>
    </r>
  </si>
  <si>
    <r>
      <t xml:space="preserve">LPDDR4 MR3:
</t>
    </r>
    <r>
      <rPr>
        <sz val="10"/>
        <rFont val="Arial"/>
        <family val="2"/>
      </rPr>
      <t>PU-CAL
0B: VDDQ/2.5
1B: VDDQ/3 (default)</t>
    </r>
  </si>
  <si>
    <r>
      <t xml:space="preserve">LPDDR4 MR13:
</t>
    </r>
    <r>
      <rPr>
        <sz val="10"/>
        <rFont val="Arial"/>
        <family val="2"/>
      </rPr>
      <t>FSP-OP
0B: Frequency-Set-Point[0] (default)
1B: Frequency-Set-Point [1]</t>
    </r>
  </si>
  <si>
    <r>
      <t xml:space="preserve">LPDDR4 MR13:
</t>
    </r>
    <r>
      <rPr>
        <sz val="10"/>
        <rFont val="Arial"/>
        <family val="2"/>
      </rPr>
      <t>FSP-WR</t>
    </r>
    <r>
      <rPr>
        <b/>
        <sz val="10"/>
        <rFont val="Arial"/>
        <family val="2"/>
      </rPr>
      <t xml:space="preserve">
</t>
    </r>
    <r>
      <rPr>
        <sz val="10"/>
        <rFont val="Arial"/>
        <family val="2"/>
      </rPr>
      <t>0B: Frequency-Set-Point[0] (default)
1B: Frequency-Set-Point [1]</t>
    </r>
  </si>
  <si>
    <r>
      <t xml:space="preserve">LPDDR4 MR13:
</t>
    </r>
    <r>
      <rPr>
        <sz val="10"/>
        <rFont val="Arial"/>
        <family val="2"/>
      </rPr>
      <t>DMD</t>
    </r>
    <r>
      <rPr>
        <b/>
        <sz val="10"/>
        <rFont val="Arial"/>
        <family val="2"/>
      </rPr>
      <t xml:space="preserve">
</t>
    </r>
    <r>
      <rPr>
        <sz val="10"/>
        <rFont val="Arial"/>
        <family val="2"/>
      </rPr>
      <t>0B: Data Mask Operation Enabled (default)
1B: Data Mask Operation Disabled</t>
    </r>
  </si>
  <si>
    <r>
      <t xml:space="preserve">LPDDR4 MR13:
</t>
    </r>
    <r>
      <rPr>
        <sz val="10"/>
        <rFont val="Arial"/>
        <family val="2"/>
      </rPr>
      <t>RRO</t>
    </r>
    <r>
      <rPr>
        <b/>
        <sz val="10"/>
        <rFont val="Arial"/>
        <family val="2"/>
      </rPr>
      <t xml:space="preserve">
</t>
    </r>
    <r>
      <rPr>
        <sz val="10"/>
        <rFont val="Arial"/>
        <family val="2"/>
      </rPr>
      <t>0B: Disable codes 001 and 010 in MR4 OP[2:0]
1B: Enable all codes in MR4 OP[2:0]</t>
    </r>
  </si>
  <si>
    <r>
      <t xml:space="preserve">LPDDR4 MR13:
</t>
    </r>
    <r>
      <rPr>
        <sz val="10"/>
        <rFont val="Arial"/>
        <family val="2"/>
      </rPr>
      <t>VRCG</t>
    </r>
    <r>
      <rPr>
        <b/>
        <sz val="10"/>
        <rFont val="Arial"/>
        <family val="2"/>
      </rPr>
      <t xml:space="preserve">
</t>
    </r>
    <r>
      <rPr>
        <sz val="10"/>
        <rFont val="Arial"/>
        <family val="2"/>
      </rPr>
      <t>0B: Normal Operation (default)
1B: VREF Fast Response (high current) mode</t>
    </r>
  </si>
  <si>
    <r>
      <t xml:space="preserve">LPDDR4 MR13:
</t>
    </r>
    <r>
      <rPr>
        <sz val="10"/>
        <rFont val="Arial"/>
        <family val="2"/>
      </rPr>
      <t>VRO</t>
    </r>
    <r>
      <rPr>
        <b/>
        <sz val="10"/>
        <rFont val="Arial"/>
        <family val="2"/>
      </rPr>
      <t xml:space="preserve">
</t>
    </r>
    <r>
      <rPr>
        <sz val="10"/>
        <rFont val="Arial"/>
        <family val="2"/>
      </rPr>
      <t>0B: Normal operation (default)
1B: Output the VREF(ca) and VREF(dq) values on DQ bits</t>
    </r>
  </si>
  <si>
    <r>
      <t xml:space="preserve">LPDDR4 MR13:
</t>
    </r>
    <r>
      <rPr>
        <sz val="10"/>
        <rFont val="Arial"/>
        <family val="2"/>
      </rPr>
      <t>RPT</t>
    </r>
    <r>
      <rPr>
        <b/>
        <sz val="10"/>
        <rFont val="Arial"/>
        <family val="2"/>
      </rPr>
      <t xml:space="preserve">
</t>
    </r>
    <r>
      <rPr>
        <sz val="10"/>
        <rFont val="Arial"/>
        <family val="2"/>
      </rPr>
      <t>0B : Disable (default)
1B : Enable</t>
    </r>
  </si>
  <si>
    <r>
      <t xml:space="preserve">LPDDR4 MR13:
</t>
    </r>
    <r>
      <rPr>
        <sz val="10"/>
        <rFont val="Arial"/>
        <family val="2"/>
      </rPr>
      <t>CBT
0B: Normal Operation (default)
1B: Command Bus Training Mode Enabled</t>
    </r>
  </si>
  <si>
    <t>DDRC_DRAMTMG6 is used only for LPDDR4/LPDDR3/LPDDR2 configurations and can be left as is for other memory types In either case, it is not recommended to change these settings.</t>
  </si>
  <si>
    <t>DDRC_DRAMTMG7 is used only for LPDDR4/LPDDR3/LPDDR2 configurations and can be left as is for other memory types. In either case, it is not recommended to change these settings.</t>
  </si>
  <si>
    <t>T_CMDCKE</t>
  </si>
  <si>
    <t>T_CKEHCMD</t>
  </si>
  <si>
    <t>T_MRD_PDA</t>
  </si>
  <si>
    <t>DDRC_DRAMTMG12</t>
  </si>
  <si>
    <t>ODTLOFF</t>
  </si>
  <si>
    <t>T_CCD_MW</t>
  </si>
  <si>
    <t>T_PPD</t>
  </si>
  <si>
    <t>DDRC_DRAMTMG13</t>
  </si>
  <si>
    <t>DIS_MPSMX_ZQCL</t>
  </si>
  <si>
    <t>Description:
■1 - Disable issuing of ZQCL command at Maximum Power Saving Mode exit. Only applicable when run in DDR4 mode.
■0 - Enable issuing of ZQCL command at Maximum Power Saving Mode exit. Only applicable when run in DDR4 mode.
This is only present for designs supporting DDR4 devices.</t>
  </si>
  <si>
    <t>Description: Specifies the number of DFI clocks between when the dfi_wrdata_en signal is asserted and when the corresponding write data transfer is completed on the DRAM bus.
This corresponds to the DFI timing parameter twrdata_delay. Refer to PHY specification for correct value.
For DFI 3.0 PHY, set to twrdata_delay, a new timing parameter introduced in DFI 3.0.
For DFI 2.1 PHY, set to tphy_wrdata + (delay of DFI write data to the DRAM).
Value to be programmed is in terms of DFI clocks, not PHY clocks.
In FREQ_RATIO=2, divide PHY's value by 2 and round up to next integer.
If using DFITMG0.dfi_wrdata_use_sdr=1, add 1 to the value.
Unit: Clocks
Value After Reset: 0x0</t>
  </si>
  <si>
    <t>DFI_T_CMD_LAT</t>
  </si>
  <si>
    <t>Description: Specifies the number of DFI PHY clocks between when the dfi_cs signal is asserted and when the associated command is driven. This field is used for CAL mode, should be set to '0' or the value which matches the CAL mode register setting in the DRAM.
If the PHY can add the latency for CAL mode, this should be set to '0'.
Valid Range: 0, 3, 4, 5, 6, and 8
Value After Reset: 0x0</t>
  </si>
  <si>
    <t>DFI_T_PARIN_LAT</t>
  </si>
  <si>
    <t>Description: Specifies the number of DFI PHY clocks between when the dfi_cs signal is asserted and when the associated dfi_parity_in signal is driven.
Value After Reset: 0x0</t>
  </si>
  <si>
    <t>DDRC_DFITMG2</t>
  </si>
  <si>
    <t>DFI_TPHY_RDCSLAT</t>
  </si>
  <si>
    <t>DFI_TPHY_WRCSLAT</t>
  </si>
  <si>
    <t>DDRC_DFIMISC</t>
  </si>
  <si>
    <t>DFI_DATA_CS_POLARITY</t>
  </si>
  <si>
    <t>PHY_DBI_MODE</t>
  </si>
  <si>
    <t>DFI_INIT_COMPLETE_EN</t>
  </si>
  <si>
    <t>Description: Defines polarity of dfi_wrdata_cs and dfi_rddata_cs signals.
■0: Signals are active low
■1: Signals are active high
Value After Reset: 0x0</t>
  </si>
  <si>
    <t>Description: DBI implemented in DDRC or PHY.
■0 - DDRC implements DBI functionality.
■1 - PHY implements DBI functionality. Present only in designs configured to support DDR4 and LPDDR4.
Value After Reset: 0x0</t>
  </si>
  <si>
    <t>Description: PHY initialization complete enable signal.
When asserted the dfi_init_complete signal can be used to trigger SDRAM initialization
Value After Reset: 0x1</t>
  </si>
  <si>
    <t>Description: This is the maximum amount of time between uMCTL2 initiated DFI update requests.
This timer resets with each update request; when the timer expires dfi_ctrlupd_req is sent and traffic is blocked until the dfi_ctrlupd_ackx is received. PHY can use this idle time to recalibrate the delay lines to the DLLs. The DFI controller update is also used to reset PHY FIFO pointers in case of data capture errors. Updates are required to maintain calibration over PVT, but frequent updates may impact performance.
Note: Value programmed for DFIUPD1.dfi_t_ctrlupd_interval_max_x1024 must be greater than DFIUPD1.dfi_t_ctrlupd_interval_min_x1024.
Unit: 1024 clocks
Value After Reset: 0x0</t>
  </si>
  <si>
    <t>PHY Registers</t>
  </si>
  <si>
    <t>DDRC MR and EMR:
LPDDR4/LPDDR3/LPDDR2 MR1 and MR2 Register Settings
or
DDR3 MR0 and MR1 Register Settings</t>
  </si>
  <si>
    <t>DDRC EMR and EMR3:
LPDDR4/LPDDR3/LPDDR2 MR3 Register Settings 
or
DDR3 MR2 and MR3 Register Settings</t>
  </si>
  <si>
    <t>DDR_PHY_DCR</t>
  </si>
  <si>
    <t>DDR Mode: SDRAM DDR mode. Valid values are:
000 = RESERVED
001 = LPDDR3
010 = RESERVED
011 = DDR3
100 = DDR4
101 = LPDDR4
111 = RESERVED</t>
  </si>
  <si>
    <t>DDR Type: Selects the DDR type for the specified DDR mode.
00 = All DRAM types
01, 10, 11 = Reserved</t>
  </si>
  <si>
    <t>GEARDN</t>
  </si>
  <si>
    <t>UBG</t>
  </si>
  <si>
    <t>UDIMM</t>
  </si>
  <si>
    <t>DDR2T</t>
  </si>
  <si>
    <t>NOSRA</t>
  </si>
  <si>
    <t>BYTEMASK</t>
  </si>
  <si>
    <t>DDRTYPE</t>
  </si>
  <si>
    <t>MPRDQ</t>
  </si>
  <si>
    <t>PDQ</t>
  </si>
  <si>
    <t>DDR8BNK</t>
  </si>
  <si>
    <t>DDRMD</t>
  </si>
  <si>
    <t>DDR_PHY_PGCR2</t>
  </si>
  <si>
    <t>CLRTSTAT</t>
  </si>
  <si>
    <t>Clear Impedance Calibration: A write of 1b1 to this bit will reset the
impedance calibration FSM and clear the ZQnSR error/done status
btis ZQnSR[9:0]. This bit is self clearing.</t>
  </si>
  <si>
    <t>CLRZCAL</t>
  </si>
  <si>
    <t>CLRPERR</t>
  </si>
  <si>
    <t>Clear Parity Error: A write of 1b1 to this bit will clear the PGSR1[31]
PARERR. This bit is self clearing.</t>
  </si>
  <si>
    <t>Initialization Complete Pin Configuration: Specifies how the DFI
initialization complete output pin (dfi_init_complete) should be used
to indicate the status of initialization. Valid value are:
1b0 = Asserted after PHY initialization (PLL locking and impedance
calibration) if enabled is complete.
1b1 = Asserted after PHY initialization is complete and the triggered
the PUB initialization (DRAM initialization and data training) if
enabled is complete.</t>
  </si>
  <si>
    <t>ICPC</t>
  </si>
  <si>
    <t>PLL FSM Bypass: Forces, if set, the PLL FSM to the DONE state.
This bit is not self-clearing so it must be cleared before triggering any
operation in the PIR.
Set this bit to 1’b1 when PLL is in bypass mode.</t>
  </si>
  <si>
    <t>DTPMXTMR</t>
  </si>
  <si>
    <t>INITFSMBYP</t>
  </si>
  <si>
    <t>PLLFSMBYP</t>
  </si>
  <si>
    <t>tREFPRD</t>
  </si>
  <si>
    <t>DDR_PHY_PGCR3</t>
  </si>
  <si>
    <t>Selects the level to which clocks will be stalled when clock gating is
enabled in PHY. Valid values are:
2b00 = Clocks will stall to static level 0
2b01 = Clocks will stall to static level 1
2b10 – 2b11= Clocks will toggle at slow speed.</t>
  </si>
  <si>
    <t>Disables the Read FIFO reset: When set, read receive fifo can’t be
reset from ctl_dx_rdfifo_rstn input. Valid values are:
1b0 = RX Read fifo is reset when ctl_dx_rxfifo_rstn is LOW.
1b1 = RX Read fifo can’t be reset by ctl_dx_rxfifo_rstn</t>
  </si>
  <si>
    <t>AC Receive FIFO Read Mode. Valid values are:
2b00 = 2 stage synchronizer async FIFO
2b01 = 3 stage synchronizer async FIFO
2b10 = 4 stage synchronizer async FIFO
2b11 = AC loopback read mode FIFO static read response enabled
Note: The static response mode should be selected only when
system is in IDLE. The static response mode must be OFF when
Initialization, Training, or DCU operation is performed.</t>
  </si>
  <si>
    <t>AC I/O Loop-Back Select: Selects where inside the I/O the loop-back
of signals happens. Valid values are:
1b0 = Loopback is after output buffer; output enable must be
asserted
1b1 = Loopback is before output buffer; output enable is don’t care</t>
  </si>
  <si>
    <t>Controls AC DDL Bypass Modes. Valid values are:
2b00 = Normal dynamic control
2b01 = All DDLs bypassed
2b10 = No DDLs bypassed
2b11 = Reserved</t>
  </si>
  <si>
    <t>Enable Clock Gating for ctl_clk of the AC Macros: Enables, when set,
clock gating for power saving. Valid values are:
2b00 = Dynamic
2b01 = always ON
2b10 = always OFF
2b11 = Reserved 2b11 = Clock gating is enabled</t>
  </si>
  <si>
    <t>Enable Clock Gating for ctl_clk of the AC Macros: Enables, when set,
clock gating for power saving. Valid values are:
2b00 = Dynamic
2b01 = always ON
2b10 = always OFF
2b11 = Reserved</t>
  </si>
  <si>
    <t>CKNEN</t>
  </si>
  <si>
    <t>CKEN</t>
  </si>
  <si>
    <t>GATEACRDCLK</t>
  </si>
  <si>
    <t>GATEACDDRCLK</t>
  </si>
  <si>
    <t>GATEACCTLCLK</t>
  </si>
  <si>
    <t>DDLBYPMODE</t>
  </si>
  <si>
    <t>IOLB</t>
  </si>
  <si>
    <t>RDMODE</t>
  </si>
  <si>
    <t>DISRST</t>
  </si>
  <si>
    <t>CLKLEVEL</t>
  </si>
  <si>
    <t>DDR_PHY_PTR0</t>
  </si>
  <si>
    <t>DDR_PHY_PTR1</t>
  </si>
  <si>
    <t>DTC</t>
  </si>
  <si>
    <t>ATC</t>
  </si>
  <si>
    <t>ATOEN</t>
  </si>
  <si>
    <t>GSHIFT</t>
  </si>
  <si>
    <t>CPIC</t>
  </si>
  <si>
    <t>CPPC</t>
  </si>
  <si>
    <t>RLOCKM</t>
  </si>
  <si>
    <t>FRQSEL</t>
  </si>
  <si>
    <t>RSTOPM</t>
  </si>
  <si>
    <t>PLLRST</t>
  </si>
  <si>
    <t>Reference Stop Mode. Connects to pin REF_STOP_MODE.
Valid values are:
1b0 = Default, normal mode
1b1 = Reference stop mode is enabled</t>
  </si>
  <si>
    <t>PLL Bypass: Bypasses the PLL if set to 1b1.</t>
  </si>
  <si>
    <t>DDR_PHY_ZQCR</t>
  </si>
  <si>
    <t>ZQPD</t>
  </si>
  <si>
    <t>ZQ Power Down; Powers down, if set, all PZQ cells</t>
  </si>
  <si>
    <t>ZCALT</t>
  </si>
  <si>
    <t>AVGMAX</t>
  </si>
  <si>
    <t>AVGEN</t>
  </si>
  <si>
    <t>IODLMT</t>
  </si>
  <si>
    <t>FORCE_ZCAL_VT_UPDATE</t>
  </si>
  <si>
    <t>ODT_MODE</t>
  </si>
  <si>
    <t>ZQREFIEN</t>
  </si>
  <si>
    <t>ZQREFPEN</t>
  </si>
  <si>
    <t>PGWAIT_FRQA</t>
  </si>
  <si>
    <t>PGWAIT_FRQB</t>
  </si>
  <si>
    <t>ZQREFISELRANGE</t>
  </si>
  <si>
    <t>DDR_PHY_PLLCR0
DDR_PHY_DX8SLbPLLCR0</t>
  </si>
  <si>
    <t>RDPST</t>
  </si>
  <si>
    <t>nWR</t>
  </si>
  <si>
    <t>RD-PRE</t>
  </si>
  <si>
    <t>BL</t>
  </si>
  <si>
    <t>Burst length:
00b: BL = 16 sequential (default)
01b: BL= 32 sequential
10b: BL = 16 or 32 sequential (on-the-fly)
11b: Reserved</t>
  </si>
  <si>
    <t>Read Preamble Type
0b: RD preamble = Static (default)
1b: RD preamble = Toggle</t>
  </si>
  <si>
    <t>Write-recovery for auto-precharge command
000b: nWR = 6 (default)
001b: nWR = 10
010b: nWR = 16
011b: nWR = 20
100b: nWR = 24
101b: nWR = 30
110b: nWR = 34
111b: nWR = 40</t>
  </si>
  <si>
    <t>Read Postamble Length</t>
  </si>
  <si>
    <t>DDR_PHY_MR1</t>
  </si>
  <si>
    <t>DDR_PHY_MR2</t>
  </si>
  <si>
    <t>WR Lev</t>
  </si>
  <si>
    <t>WLS</t>
  </si>
  <si>
    <t>WL</t>
  </si>
  <si>
    <t>RL</t>
  </si>
  <si>
    <t>RL and nRTP for DBI-RD Disabled (MR3 OP[6] =0b)
000b: RL = 6, nRTP = 8 (default)
001b: RL = 10, nRTP = 8
010b: RL = 14, nRTP = 8
011b: RL = 20, nRTP = 8
100b: RL = 24, nRTP = 10
101b: RL = 28, nRTP = 12
110b: RL = 32, nRTP = 14
111b: RL = 36, nRTP = 16
RL and nRTP for DBI-RD Enabled (MR3 OP[6] =1b)
000b: RL = 6, nRTP = 8
001b: RL = 12,nRTP = 8
010b: RL = 16, nRTP = 8
011b: RL = 22, nRTP = 8
100b: RL = 28, nRTP = 10
101b: RL = 32, nRTP = 12
110b: RL = 36, nRTP = 14
111b: RL = 40, nRTP = 16</t>
  </si>
  <si>
    <t>WL Set A (MR2 OP[6] = 0b)
000b: WL = 4 (default)
001b: WL = 6
010b: WL = 8
011b: WL = 10
100b: WL = 12
101b: WL = 14
110b: WL = 16
111b: WL = 18
WL Set B (MR2 OP[6] = 1b)
000b: WL = 4
001b: WL = 8
010b: WL = 12
011b: WL = 18
100b: WL = 22
101b: WL = 26
110b: WL = 30
111b: WL = 34</t>
  </si>
  <si>
    <t>Write Latency Set
0b: Use WL Set A (default)
1b: Use WL Set B</t>
  </si>
  <si>
    <t>Write Leveling
0b: Disable write leveling (default)
1b: Enable write leveling</t>
  </si>
  <si>
    <t>DDR_PHY_MR1 bit fields matches the DDRC register contents of DDRC_INIT3 MR1 bit fields and it is recommended not to modify these separately.</t>
  </si>
  <si>
    <t>DDR_PHY_MR2 bit fields matches the DDRC register contents of DDRC_INIT3 MR2 bit fields and it is recommended not to modify these separately.</t>
  </si>
  <si>
    <t>DDR_PHY_MR3</t>
  </si>
  <si>
    <t>DBI-WR</t>
  </si>
  <si>
    <t>DBI-RD</t>
  </si>
  <si>
    <t>PDDS</t>
  </si>
  <si>
    <t>WR-PST</t>
  </si>
  <si>
    <t>PU-CAL</t>
  </si>
  <si>
    <t>Pull-up calibration point
0b: VDDQ/2.5
1b: VDDQ/3 (default)</t>
  </si>
  <si>
    <t>Pull-down drive strength
000b: RFU
001b: RZQ/1
010b: RZQ/2
011b: RZQ/3
100b: RZQ/4
101b: RZQ/5
110b:RZQ/6 (default)
111b: Reserved</t>
  </si>
  <si>
    <t>DBI-read enable
0b: Disabled (default)
1b: Enabled</t>
  </si>
  <si>
    <t>DBI-write enable
0b: Disabled (default)
1b: Enabled</t>
  </si>
  <si>
    <t>DDR_PHY_MR3 bit fields matches the DDRC register contents of DDRC_INIT4 MR3 bit fields and it is recommended not to modify these separately.</t>
  </si>
  <si>
    <t>tRRD</t>
  </si>
  <si>
    <t>tRAS</t>
  </si>
  <si>
    <t>tRP</t>
  </si>
  <si>
    <t>tRTP</t>
  </si>
  <si>
    <t>Activate to precharge command delay.</t>
  </si>
  <si>
    <t>DDR_PHY_DTPR0</t>
  </si>
  <si>
    <t>DDR_PHY_DTPR1 bit fields matches the register contents of various DDRC timing registers it is recommended not to modify these separately.</t>
  </si>
  <si>
    <t>DDR_PHY_DTPR1</t>
  </si>
  <si>
    <t>tWLMRD</t>
  </si>
  <si>
    <t>tFAW</t>
  </si>
  <si>
    <t>tMOD</t>
  </si>
  <si>
    <t>tMRD</t>
  </si>
  <si>
    <t>tXS</t>
  </si>
  <si>
    <t>tVRCG</t>
  </si>
  <si>
    <t>tCKE</t>
  </si>
  <si>
    <t>tCmdcKE, tESCKE</t>
  </si>
  <si>
    <t>tRTODT</t>
  </si>
  <si>
    <t>tRTW</t>
  </si>
  <si>
    <t>DDR_PHY_DTPR2</t>
  </si>
  <si>
    <t>DDR_PHY_DTPR3</t>
  </si>
  <si>
    <t>tOFDx</t>
  </si>
  <si>
    <t>tCCD</t>
  </si>
  <si>
    <t>tDLLK</t>
  </si>
  <si>
    <t>tDQSCKmax</t>
  </si>
  <si>
    <t>TDQSCK</t>
  </si>
  <si>
    <t>DDR_PHY_DTPR4</t>
  </si>
  <si>
    <t>tXP</t>
  </si>
  <si>
    <t>tWLO</t>
  </si>
  <si>
    <t>tRFC</t>
  </si>
  <si>
    <t>tAOND_tAOFD</t>
  </si>
  <si>
    <t>ODT turn-on/turn-off delays. The delays are in clock cycles.
Valid values are:
2b00 = 2/2.5
2b01 = 3/3.5
2b10 = 4/4.5
2b11 = 5/5.5</t>
  </si>
  <si>
    <t>DDR_PHY_DTPR5</t>
  </si>
  <si>
    <t>tODTUP</t>
  </si>
  <si>
    <t>tRC</t>
  </si>
  <si>
    <t>tRCD</t>
  </si>
  <si>
    <t>tWTR</t>
  </si>
  <si>
    <t>DDR_PHY_PTR3</t>
  </si>
  <si>
    <t>DDR_PHY_PTR4</t>
  </si>
  <si>
    <t>DDR_PHY_PTR5</t>
  </si>
  <si>
    <t>DDR_PHY_PTR6</t>
  </si>
  <si>
    <t>ACSR</t>
  </si>
  <si>
    <t>RSTIOM</t>
  </si>
  <si>
    <t>RSTPDR</t>
  </si>
  <si>
    <t>RSTODT</t>
  </si>
  <si>
    <t>ESR</t>
  </si>
  <si>
    <t>ACPNUMSEL</t>
  </si>
  <si>
    <t>CKDCC</t>
  </si>
  <si>
    <t>ACPDRMODE</t>
  </si>
  <si>
    <t>ACODTMODE</t>
  </si>
  <si>
    <t>DDR_PHY_ACIOCR0</t>
  </si>
  <si>
    <t>Decoupling Capacitance ESR Control in D5M I/O ring.
Note: ESR[7:4] control signals are dummy. Bits[23:16]</t>
  </si>
  <si>
    <t>CK Duty Cycle Correction Bits[9:6]</t>
  </si>
  <si>
    <t>AC Power Down Receiver mode for AC CK, CK_N Bits[5:4]
2b00 = PDR Dynamic
2b01 = PDR always ON
2b10 = PDR always OFF
2b11 = Reserved</t>
  </si>
  <si>
    <t>Address/Command On-Die mode for AC, CK, CK_N Bits[3:2]
2b00 = ODT Dynamic
2b01 = ODT always ON
2b10 = ODT always OFF
2b11 = Reserved</t>
  </si>
  <si>
    <t>ACVREFIOM</t>
  </si>
  <si>
    <t>ACXIOM</t>
  </si>
  <si>
    <t>ACTXM</t>
  </si>
  <si>
    <t>ACRXM</t>
  </si>
  <si>
    <t>AC IO receiver mode. Bits[10:0]
Controls AC gain, DC gain, CTLE ON/OFF etc.</t>
  </si>
  <si>
    <t>AC IO transmitter mode Bits[21:11]</t>
  </si>
  <si>
    <t>I/O Mode: I/O Mode select bits[24:22]
000 = DDR3, DDR3L mode
001 = CMOS mode
010 = DDR4, LPDDR3 mode
011 = Reserved
100 = LPDDR4 mode
101 = Reserved
110 = Reserved
111 = Reserved</t>
  </si>
  <si>
    <t>IOM bits for PVREF and PVREFE cells in AC IO ring Bits[27:25]
000 = DDR3, DDR3L mode
001 = CMOS mode
010 = DDR4, LPDDR3 mode
011 = Reserved
100 = LPDDR4 mode
101 = Reserved
110 = Reserved
111 = Reserved</t>
  </si>
  <si>
    <t>DDR_PHY_ACIOCR5</t>
  </si>
  <si>
    <t>DDR_PHY_VTCR0</t>
  </si>
  <si>
    <t>DVINIT</t>
  </si>
  <si>
    <t>DVMIN</t>
  </si>
  <si>
    <t>DVMAX</t>
  </si>
  <si>
    <t>DVSS</t>
  </si>
  <si>
    <t>VWCR</t>
  </si>
  <si>
    <t>PDAEN</t>
  </si>
  <si>
    <t>DVEN</t>
  </si>
  <si>
    <t>tVREF</t>
  </si>
  <si>
    <t>DRM DQ VREF training Enable: When set, DQ VREF training will be
performed for all enabled byte lanes and all enabled ranks. Bit[28]</t>
  </si>
  <si>
    <t>Per Device Addressability Enable: When Enabled, each device will
receive VREF DQ values independently. Bit[27]
Note: This is applicable in DDR4 mode only</t>
  </si>
  <si>
    <t>DRAM DQ VREF step size used during DRAM VREF training. The
register value of N indicates step size of (N+1). The valid step sizes
are 1 to 16. Bits[21:18]</t>
  </si>
  <si>
    <t>Maximum VREF limit value used during DRAM VREF training. Bits[17:12]</t>
  </si>
  <si>
    <t>Minimum VREF limit value used during DRAM VREF training. Bits[11:6]</t>
  </si>
  <si>
    <t>Initial DRAM DQ VREF value used during DRAM VREF training. Bits[5:0]</t>
  </si>
  <si>
    <t>VREF Word Count: This register is used to program the number of
words to generate during write/read for each loop in VREF training.
No of words generated = (VWCR + 1) * 8. Bits[25:22]</t>
  </si>
  <si>
    <t>DDR_PHY_VTCR1</t>
  </si>
  <si>
    <t>HVIO</t>
  </si>
  <si>
    <t>HVEN</t>
  </si>
  <si>
    <t>ENUM</t>
  </si>
  <si>
    <t>EOFF</t>
  </si>
  <si>
    <t>tVREFIO</t>
  </si>
  <si>
    <t>SHREN</t>
  </si>
  <si>
    <t>SHRNK</t>
  </si>
  <si>
    <t>HVMIN</t>
  </si>
  <si>
    <t>HVMAX</t>
  </si>
  <si>
    <t>HVSS</t>
  </si>
  <si>
    <t>Maximum VREF limit value used during Host VREF training. Bits[26:20]</t>
  </si>
  <si>
    <t>Minimum VREF limit value used during Host VREF training. Bits[18:12]</t>
  </si>
  <si>
    <t>Static Host Vref Rank Enable:
When Enabled, vref rank control for all DQ IO buffers will be static
i.e. SHRNK [1:0].
When Disabled, vref rank control for DQ IOs will be dynamically
changing based on rank of read command.
Single-rank systems or designs that do not include a
PVREF_DAC IO cell should always use SHREN=1b1. Bit[8]</t>
  </si>
  <si>
    <t>Number of ctl_clk required to meet (&gt; 200ns) VREF Settling
timing requirements during Host IO VREF training. The valid
values are below:
3'b000: No of ctl_clk = 32
3'b001: No of ctl_clk = 64
3'b010: No of ctl_clk = 96
3'b011: No of ctl_clk = 128
3'b100: No of ctl_clk = 160
3'b101: No of ctl_clk = 192
3'b110: No of ctl_clk = 224
3'b111: No of ctl_clk = 256
Bits[7:5]</t>
  </si>
  <si>
    <t>Eye LCDL Offset value for VREF training: Following are the valid
values:
2’b00: 0 i.e. no offset.
2’b01: Initial LCDL/2.
2’b10: Initial LCDL/4.
2’b11: Initial LCDL/8.
Below Table Shows equivalent LCDL settings when ENUM=1
EOFF Setting 1 Setting 2 Setting 3
2’b00 LCDL LCDL LCDL
2’b01 LCDL LCDL+(LCDL/2) LCDL-LCDL/2)
2’b10 LCDL LCDL+(LCDL/4) LCDL-(LCDL/4)
2’b11 LCDL LCDL+(LCDL/8) LCDL-(LCDL/8)
Bits[4:3]</t>
  </si>
  <si>
    <t>Host IO Type Control: Controls whether IO VREF value will be
used per rank or common across all ranks.
0: IO VREF value will switch based on rank of read command.
1: IO VREF value will remain same for reads across all ranks.
This field should be programmed based on IO requirement.
HVIO=1’b1 is required if PVREF_DAC IO cells are not included in
the design.
If VREF training is used, HVIO should be set to 0 only if
SHREN=0 (training independent VREF values for each rank). Bit[0]</t>
  </si>
  <si>
    <t>DDR_PHY_DX8SLbDXCTL2</t>
  </si>
  <si>
    <t>CRDEN</t>
  </si>
  <si>
    <t>POSOEX</t>
  </si>
  <si>
    <t>PREOEX</t>
  </si>
  <si>
    <t>IOAG</t>
  </si>
  <si>
    <t>LPWAKEUP_THRSH</t>
  </si>
  <si>
    <t>RDBI</t>
  </si>
  <si>
    <t>WDBI</t>
  </si>
  <si>
    <t>PRFBYP</t>
  </si>
  <si>
    <t>DQSGLB</t>
  </si>
  <si>
    <t>Read DQS Gate, DQS, DQS# I/O Loopback: Controls the
loopback signal (LB) on the I/O that is used to drive the read
DQS gate, DQS and DQS#. This also selects the type of gating
used since it controls the signal driven on the DI output of this
PDQSG I/O. Valid values are:
2b00 = Pad-sided loopback of gate, DQS, DQS#
2b01 = Core-sided loopback of gate, DQS, DQS#
2b10 = DQS# SE signal from PDQS I/O is used for gating
2b11 = DQS SE signal from PDQS I/O is used for gating
Note:
1. Value programmed should be same across all the Slices.
2. For BIST DX loopback, please set the Loopback mode to be
consistent with DATX8 IO loopback(DX8SL*DXCTL2.IOLB)
3. For BIST DX loopback, if Pad-side loopback is selected for
DQS Gate with Gate always
ON(DX8SL*OSC.LBGDQS=2’b00), then program
DXnGCR3.DSTEMODE and DXnGCR3.DSNTEMODE to
2’b01( always ON).
Bits[2:1]</t>
  </si>
  <si>
    <t>Disables the Read FIFO reset: When set, read receive fifo can’t
be reset from ctl_dx_rdfifo_rstn input. Valid values are:
1b0 = RX Read fifo is reset when ctl_dx_rxfifo_rstn is LOW.
1b1 = RX Read fifo can’t be reset by ctl_dx_rxfifo_rstn
Note: Value programmed should be same across all the Slices
Bit[3]</t>
  </si>
  <si>
    <t>DATX8 Receive FIFO Read Mode. Valid values are:
2b00 = 2 stage synchronizer async FIFO
2b01 = 3 stage synchronizer async FIFO
2b10 = 4 stage synchronizer async FIFO
2b11 = static read response mode
Note:
• The static response mode should be selected only when
system is in IDLE. The static response mode must be OFF
when Initialization or Training operation is performed.
• Only static read response mode is supported during DCU
and BIST operation
• Value programmed should be same across all the Slices
Bits[5:4]</t>
  </si>
  <si>
    <t>Pub Read FIFO Bypass: When set to 1b1, the read capture
FIFO inside PUB is bypassed. Valid values are:
1b0 = FIFO used to capture read data from PHY
1b1 = No FIFO used to capture read data from PHY. This mode
is ONLY valid when static response mode is enabled.
Note: Value programmed should be same across all the Slices
Bit[6]</t>
  </si>
  <si>
    <t>Write Data Bus Inversion Enable: when set to 1b1 (and
MR5[11:10] is set to 2b10 in in DDR4 and MR3[7] is set to 1'b1
in LPDDR4 mode, PUB generates the write DBI on the
DM_n/DBI_n signal. Not supported with write CRC.
Note: Value programmed should be same across all the Slices
Bit[7]</t>
  </si>
  <si>
    <t>Read Data Bus Inversion Enable: when set to 1b1 (and
MR5[12] is set 1b1 in DDR4 mode and MR3[6] is set to 1'b1 in
LPDDR4 mode), PUB performs data bus inversion on the
DRAM read data; when set to 1b0, the read data and
DM_n/DBI_n signal are passed on to the controller as is.
Note: Value programmed should be same across all the Slices
Bit[8]</t>
  </si>
  <si>
    <t>Address/Command custom pin mapping configuration Bits[11:10]
2`b00 = Configuration 0 (PNUM0)
2`b01 = Configuration 1 (PNUM1)
2`b10 = Configuration 2 (PNUM2)
2`b11 = Configuration 3 (PNUM3)</t>
  </si>
  <si>
    <t>DRAM Initialization Time 2: DRAM initialization time in DRAM clock cycles corresponding to the following:
• DDR4 = Reset low time (200 us on power-up or 100 ns after power-up)
• DDR3 = Reset low time (200 us on power-up or 100 ns after power-up)
• LPDDR4 = Reset low time (200 us on power-up or 100 ns after power-up)
• LPDDR3 = Time from reset command to end of auto initialization (11 us)</t>
  </si>
  <si>
    <t>DDR4 Gear Down timing
If set, the PUB will generate AC bus signals to the SDRAM with a modified 2-cycle (2T) timing, lining the signals with the rising edge of the SDRAM clock instead of in quadrature to it. Note: This BIST should be programmed to 1b0 during AC BIST loopback. This field requires definition of the DWC_GEARDOWN_EN macro. If this macro is not defined, this field will be Read-Only with a value of 0.</t>
  </si>
  <si>
    <t>Un-used Bank Group: Indicates if set that BG[1] pin of PHY is unused and not connected to the memory (for example, UDIMM x16). In such scenario, Output Enable for BG[1] IO may be disabled from ACIOCR3.BGOEMODE register field.</t>
  </si>
  <si>
    <t>Un-buffered DIMM Address Mirroring: Indicates if set that there is address mirroring on the second rank of an unbuffered DIMM (the rank connected to CS#[1]). In this case, the PUB re-scrambles the bank and address when sending mode register commands to the second rank. This only applies to PUB internal SDRAM transactions. Transactions
generated by the controller must make its own adjustments when using an un-buffered DIMM. DCR[NOSRA] must be set if address mirroring is enabled.</t>
  </si>
  <si>
    <t>DDR 2T Timing: Indicates if set that 2T timing should be used by PUB internally generated SDRAM transactions. This bit should be programmed to 1b0 during AC bist</t>
  </si>
  <si>
    <t>No Simultaneous Rank Access: Specifies if set that simultaneous rank access on the same clock cycle is not allowed. This means that multiple chip select signals should not be asserted at the same time. This may be required on some DIMM systems.
Note: This is not supported in LPDDR4 mode</t>
  </si>
  <si>
    <t>Byte Mask: Mask applied to all beats of read data on all bytes lanes during read DQS gate training. This allows training to be conducted based on selected bit(s) from the byte lanes.
Note that this mask applies in DDR3 MPR operation mode as well and must be in keeping with the PDQ field setting above.</t>
  </si>
  <si>
    <t>Multi-Purpose Register (MPR) DQ: Specifies the value that is driven on non-primary DQ pins during MPR reads. Valid values are:
• 0 = Primary DQ drives out the data from MPR (0-1-0-1); non-primary DQs drive ‘0’
• 1 = Primary DQ and non-primary DQs all drive the same data from MPR (0-1-0-1)
Note: DDR4 and DDR3 only</t>
  </si>
  <si>
    <t>Primary DQ: Specifies the DQ pin in a byte that is designated as a primary pin for Multi-Purpose Register (MPR) reads. Valid values are 0 to 7 for DQ[0] to DQ[7] respectively.
Note: DDR4 and DDR3 only</t>
  </si>
  <si>
    <t>DDR 8-Bank: Indicates if set that the SDRAM used has 8 banks. tRPA = tRP+1 and tFAW are used for 8-bank DRAMs, other tRPA = tRP and no tFAW is used. Note that a setting of 1 for DRAMs that have fewer than 8 banks still results in correct functionality but less tighter DRAM command spacing for the parameters described here.</t>
  </si>
  <si>
    <t>Clear Training Status Registers: A write of 1b1 to this bit will reset the
error and done status bits for all training blocks (CA training, QS gate
training, WL training, WLA training, read bit deskew, read eye centering, write bit deskew, write eye centering). This bit is self
clearing.</t>
  </si>
  <si>
    <t>Data Training PUB Mode Exit Timer: Specifies the number of controller clocks to wait when entering and exiting pub mode data training. The default value ensures controller refreshes do not cause memory model errors when entering and exiting data training. The value should be increased if controller initiated SDRAM ZQ short or long operation may occur just before or just after the execution of data training.</t>
  </si>
  <si>
    <t>Initialization Bypass: Forces, if set, the Initialization FSMs to the DONE state. To be used for debug purposes only. This bit is not selfclearing
so it must be cleared before triggering any operation in the PIR..</t>
  </si>
  <si>
    <t>CKN Enable: Controls whether the CKN going to the SDRAM is
enabled (toggling) or disabled (static value) and whether the CKN is
inverted. Two bits for each of the up to four CKN pairs. Valid values
for the two bits are:
2b00 = CKN disabled (Driven to constant 0)
2b01= CKN toggling with normal polarity (Default setting
2b10 = CKN toggling with inverted polarity
2b11 = CKN disabled (Driven to constant 1)
If SW LPDDR4 Command Bus Training is run, normal functional setting will be the inverted polarity.</t>
  </si>
  <si>
    <t>CK Enable: Controls whether the CK going to the SDRAM is enabled
(toggling) or disabled (static value) and whether the CK is inverted.
Two bits for each of the up to four CK pairs. Valid values for the two
bits are:
2b00 = CK disabled (Driven to constant 0)
2b01 = CK toggling with inverted polarity
2b10 = CK toggling with normal polarity (This should be the default
setting)
2b11 = CK disabled (Driven to constant 1)
If SW LPDDR4 Command Bus Training is run, normal functional setting will be the inverted polarity.</t>
  </si>
  <si>
    <t xml:space="preserve">PLL Power-Down Time: Number of ctl_clk cycles that the PLL must
remain in power-down mode, i.e. number of clock cycles from when PLL power-down pin is asserted to when PLL power-down pin is de-asserted. This must correspond to a value that is equal to or more than 1us. Default value corresponds to 1us.
NOTE: ctl_clk is normally 1/2 the PHY clock </t>
  </si>
  <si>
    <t xml:space="preserve">PLL Gear Shift Time: Number of ctl_clk cycles from when the PLL reset pin is de-asserted to when the PLL gear shift pin is de-asserted. This must correspond to a value that is equal to or more than 4us. Default value corresponds to 4us.
NOTE: ctl_clk is normally 1/2 the PHY clock </t>
  </si>
  <si>
    <t>PHY Reset Time: Number of ctl_clk cycles that the PHY reset must
remain asserted after PHY calibration is done before the reset to the
PHY is de-asserted. This is used to extend the reset to the PHY so that the reset is asserted for some clock cycles after the clocks are stable.
Valid values are 5’d1-5’d63.</t>
  </si>
  <si>
    <t xml:space="preserve">PLL Reset Time: Number of ctl_clk cycles that the PLL must remain in reset mode, i.e. number of clock cycles from when PLL power-down pin is de-asserted and PLL reset pin is asserted to when PLL reset pin is de-asserted. This must correspond to a value that is equal to or more than 9us.
Default value corresponds to 9us.
NOTE: ctl_clk is normally 1/2 the PHY clock </t>
  </si>
  <si>
    <t>PLL Rest: Resets the PLLs by driving the PLL reset pin. This bit is not self-clearing and a 1b0 must be written to de-assert the reset.</t>
  </si>
  <si>
    <t>PLL Power Down: Puts the PLLs in power down mode by driving the PLL power down pin. This bit is not self-clearing and a 1b0 must be written to de-assert the power-down.</t>
  </si>
  <si>
    <t>Relock Mode: Enables, if set, rapid relocking mode. Connects to pin RELOCK_MODE on the PLL.</t>
  </si>
  <si>
    <t>Charge Pump Proportional Current Control. Connects to pin CPPROP_CNTRL on the PLL.</t>
  </si>
  <si>
    <t>Charge Pump Integrating Current Control. Connects to pin CP_INT_CTRL on the PLL.</t>
  </si>
  <si>
    <t>Gear Shift: Enables, if set, rapid locking mode. Connects to pin GEAR_SHIFT on the PLL.</t>
  </si>
  <si>
    <t>Analog Test Enable (ATOEN): Selects the analog test signal that should be driven on the analog test output pin. Otherwise the analog test output is tri-stated. This allows analog test output pins from multiple PLLs to be connected together. Valid values are:
1`b0 = PLL analog test signal is tri-stated
1`b1 = PLL analog test signal is driven out</t>
  </si>
  <si>
    <t>Analog Test Control: Selects various PLL analog test signals to be brought out via PLL analog test output pin (pll_ato).</t>
  </si>
  <si>
    <t>Digital Test Control: Selects various PLL digital test signals and other test mode signals to be brought out via bit [1] of the PLL digital test output (pll_dto[1]).</t>
  </si>
  <si>
    <t>ZQ Internal VREF generator REFSEL range select: selects the ZQ internal VREF generator’s voltage range.</t>
  </si>
  <si>
    <t>Programmable Wait for frequency B: specifies the number of clock cycles to remain in the WAIT state of the Impedance Controller FSM
Calculated as ceiling[40 ns/Frq B period]
Default: DDR3-1600</t>
  </si>
  <si>
    <t>Programmable Wait for frequency A: specifies the number of clock cycles to remain in the WAIT state of the Impedance Controller FSM
Calculated as ceiling[40 ns/Frq A period]
Default: DDR3-1600</t>
  </si>
  <si>
    <t>ZQ VREF Pad Enable: Enables the pass gate between (to connect) VREF and PAD.</t>
  </si>
  <si>
    <t>ZQ Internal VREF Enable: Enables the generation of VREF for ZQ internal I/Os.</t>
  </si>
  <si>
    <t>Choice of termination mode. This field controls how ZQnPR0.ZPROG_HOST_ODT field is used
2b00 – DDR3 style symmetric termination calibration – ZQnPR0.ZPROG_HOST_ODT applies to both pull-up and pulldown termination
2b01 – DDR4/LPDDR3 style pull-up only termination calibration – ZQnPR0.ZPROG_HOST_ODT applies only to pull-up termination
2b10 - LPDDR4 style pulldown only termination calibration – ZQnPR0.ZPROG_HOST_ODT applies only to pulldown termination
2b11 - termination off calibration. ZQnPR0.ZPROG_HOST_ODT is ignored and
ZCTRL[39:20] will be driven to 0x0 in PVREF cell</t>
  </si>
  <si>
    <t>When set to 1b1, forces a ZCAL VT update to the impedance calibration FSM. A write of 1b1 must be followed by a write of 1b0 to disable the request. This is a good alternative to the PHY and DFI
update request signals.</t>
  </si>
  <si>
    <t>IO VT Drift Limit: Specifies the minimum change in the Impedance calibration VT code in one direction which should result in a DFI Control/PHY update request. The limit is specified in terms of binary
ZCTRL values. A value of 1b0 disables the assertion of the IO VT drift status signal.</t>
  </si>
  <si>
    <t>Averaging algorithm enable, if set, enables averaging algorithm</t>
  </si>
  <si>
    <t>Maximum number of averaging rounds to be used by averaging algorithm. Valid values are:
2b00 = 2 rounds
2b01 = 4 rounds
2b10 = 8 rounds
2b11 = 16 rounds</t>
  </si>
  <si>
    <t>‘0’ – calibration always ON in background. To stop calibration program PIR.ZCALBYP.
‘1’ – calibration controlled by DFI/PHY update. ZCAL FSM runs calibration for all segments once after the update is received. The initial calibration run without waiting for an update signal.</t>
  </si>
  <si>
    <t>Write Preamble length
0b: Reserved
1b: WR preamble = 2 * tCK
Note: Register field DX8SLmnDXCTL2.PREOEX should be programmed to a value equal to the Write Preamble setting + 0.5*tCK ( i.e. to a value which is 0.5*tCK more than the value required by the DRAM). For example if this bit is set to ‘1’ for 2 * tCK WR Preamble, then DX8SLmnDXCTL2.PREOEX must be programmed to 2’b11.</t>
  </si>
  <si>
    <t>Write Post-amble Length
0b: WR Post-Amble=0.5*tCK (default)
1b: WR Post-Amble=1.5*tCK
Note: Register field DX8SLmnDXCTL2.POSOEX should be programmed to a value corresponding to the Write Post- Amble setting+0.5*tCK( i.e. to a value which is 0.5*tCK more than the value required by the DRAM). For example if this bit is set to ‘1’ for 1.5 * tCK WR Post-Amble, then DX8SLmnDXCTL2.POSOEX must be programmed to 3’b011.</t>
  </si>
  <si>
    <t>Activate to activate command delay (different banks). Valid values are 1 to 15.</t>
  </si>
  <si>
    <t>Internal read to precharge command delay for DDR3 and LPDDR3 modes. Valid values are 2 to 15.
In DDR4/LPDDR4 mode, tRTP is decoded based on corresponding MR register fields.
DDR 4: MR0[13], MR0[11:9]
LPDDR4: MR2[2:0]</t>
  </si>
  <si>
    <t>Minimum delay from when write leveling mode is programmed to the first DQS/DQS# rising edge.</t>
  </si>
  <si>
    <t>4-bank activate period. No more than 4-bank activate commands may be issued in a given tFAW period. Only applies to 8-bank devices.</t>
  </si>
  <si>
    <t>Load mode cycle time: The minimum time between a load mode register command and any other command. For DDR3 this is the minimum time between two load mode register commands. An offset is applied in some DRAM modes to extend the range of the register as follows:
• DDR3: +4 is added to register
• LPDDR3 and DDR4: +8 is added to register, and
• LPDDR4: no offset is applied (+0 add to register)</t>
  </si>
  <si>
    <t>Read to Write command delay. Valid values are:
0 = standard bus turn around delay
1 = add 1 clock to standard bus turn around delay
This parameter allows the user to increase the delay between issuing Write commands to the SDRAM when preceded by Read commands. This provides an option to increase bus turn-around margin for high frequency systems.</t>
  </si>
  <si>
    <t>Read to ODT delay. Specifies whether ODT can be enabled immediately after the read post-amble or one clock delay has
to be added. Valid values are:
0 = ODT may be turned on immediately after read post-amble
1 = ODT may not be turned on until one clock after the read
post-amble If tRTODT is set to 1, then the read-to-write latency is increased by 1 if ODT is enabled.
Note: DDR4 and DDR3 only</t>
  </si>
  <si>
    <t>LPDDR4 mode only.
tCMDCKE - Delay from Valid command to CKE Input low. Also used for tESCKE - Delay from SRE command to CKE Input low
Note: Additional offset of +3 tCK must be added to the value calculated for the corresponding speed grade.</t>
  </si>
  <si>
    <r>
      <rPr>
        <b/>
        <sz val="10"/>
        <rFont val="Arial"/>
        <family val="2"/>
      </rPr>
      <t>Note: this value is automatically obtained from DDRC_DRAMTMG5[T_CKESR] and should not be manually configured.</t>
    </r>
    <r>
      <rPr>
        <sz val="10"/>
        <rFont val="Arial"/>
        <family val="2"/>
      </rPr>
      <t xml:space="preserve">
CKE minimum pulse width. Also specifies the minimum time that the SDRAM must remain in power down or self refresh mode. For DDR3 this parameter must be set to the value of tCKESR which is usually bigger than the value of tCKE. Valid values are 2 to 15.</t>
    </r>
  </si>
  <si>
    <r>
      <rPr>
        <b/>
        <sz val="10"/>
        <rFont val="Arial"/>
        <family val="2"/>
      </rPr>
      <t>Note: this value is automatically obtained from DDRC_DRAMTMG14[T_XSR] and should not be manually configured.</t>
    </r>
    <r>
      <rPr>
        <sz val="10"/>
        <rFont val="Arial"/>
        <family val="2"/>
      </rPr>
      <t xml:space="preserve">
Self refresh exit delay. The minimum time between a self refresh exit command and any other command. This parameter must be set to the maximum of the various minimum self refresh exit delay parameters specified in the SDRAM datasheet, i.e. max(tXS, tXSDLL) for DDR3. Valid values are 2 to 1023.
For LPDDR4 mode program, this value as specified in the SDRAM datasheet.</t>
    </r>
  </si>
  <si>
    <t>ODT turn-off delay extension. The delays are in clock cycles.
Valid values are:
000 = 0
001 = 1
010 = 2
011 = 3
100 = 4
101 = 5
110 = 6
111 = 7
Delays ODT turnoff by Extending ODT on time by 0-7 cycles for all PUB-initiated transactions</t>
  </si>
  <si>
    <t>Read to read and write to write command delay. When in DDR4 mode of operation this field is not used.
Valid values are:
3b000 = BL/2
3b001 = BL/2 + 1
3b010 - 3b111 = Reserved</t>
  </si>
  <si>
    <r>
      <rPr>
        <b/>
        <sz val="10"/>
        <rFont val="Arial"/>
        <family val="2"/>
      </rPr>
      <t>For LPDDR4, tDQSCKmax is 3.5ns, resulting in 6 clock cycles at 1600MHz. This value gets automatically adjusted for the desired DDR clock rate.</t>
    </r>
    <r>
      <rPr>
        <sz val="10"/>
        <rFont val="Arial"/>
        <family val="2"/>
      </rPr>
      <t xml:space="preserve">
Maximum DQS output access time from CK/CK# (LPDDR3/4 only). This value is used for implementing read-to-write spacing. Valid values are 1 to 7.
</t>
    </r>
  </si>
  <si>
    <r>
      <t xml:space="preserve">DQS output access time from CK/CK# (LPDDR3/4 only). This value is used for computing the read latency. Valid values are 1 to 7. This value is derived from the corresponding parameter in the SDRAM datasheet divided by the clock cycle time, rounded down if not a whole number then adding one.
Set the field to:
• Int(tDQSCKmin/tCK)+1 when Gate Training is disabled up to 2000 Mbps
• 4 when gate training is disabled at &gt; 2000 Mbps
• Int(tDQSCKmin/tCK) when Gate Training is enabled
</t>
    </r>
    <r>
      <rPr>
        <b/>
        <sz val="10"/>
        <rFont val="Arial"/>
        <family val="2"/>
      </rPr>
      <t>For LPDDR4, JEDEC specs this as 1.5ns and this gets automatically calculated per requirement described above.</t>
    </r>
  </si>
  <si>
    <r>
      <t xml:space="preserve">Refresh-to-Refresh: Indicates the minimum time, in clock cycles, between two refresh commands or between a refresh and an active command. This is derived from the minimum refresh interval from the datasheet, tRFC(min), divided by the clock cycle time. The default number of clock cycles is for the largest JEDEC tRFC(min parameter value supported.
</t>
    </r>
    <r>
      <rPr>
        <b/>
        <sz val="10"/>
        <rFont val="Arial"/>
        <family val="2"/>
      </rPr>
      <t>This value is automatically calculated based on the value found in DDRC_RFSHTMG[T_RFC_MIN] and should not be manually configured.</t>
    </r>
  </si>
  <si>
    <r>
      <t xml:space="preserve">Power down exit delay. The minimum time between a power down exit command and any other command. This parameter must be set to the maximum of the various minimum power down exit delay parameters specified in the SDRAM datasheet, i.e. max(tXP, tXPDLL) for DDR3 and DDR4. Valid values are 2 to 31.
For LPDDR4 mode program this value as specified in the SDRAM datasheet.
This register field is also used for tCKEHCS - Valid CS
Requirement after CKE Input High timing parameter in LPDDR4 mode.
Note: For LPDDR4, additional offset of +3 tCK must be added
to the value calculated for the corresponding speed grade.
</t>
    </r>
    <r>
      <rPr>
        <b/>
        <sz val="10"/>
        <rFont val="Arial"/>
        <family val="2"/>
      </rPr>
      <t>This value is automatically calculated based on the value found in DDRC_DRAMTMG1[T_XP] and should not be manually configured.</t>
    </r>
  </si>
  <si>
    <t>LPDDR4 CA ODT value update time in DRAM clocks. This timing parameter is used during MRW to MR11 during PUB DRAM initialization. The default value of 32 DRAM clocks is to meet timing requirement of 20ns at 3200Mbps speed.</t>
  </si>
  <si>
    <r>
      <t xml:space="preserve">Activate to read or write delay. Minimum time from when an activate command is issued to when a read or write to the activated row can be issued.
In LPDDR3 mode, PUB adds an offset of 8 to the register value.
</t>
    </r>
    <r>
      <rPr>
        <b/>
        <sz val="10"/>
        <rFont val="Arial"/>
        <family val="2"/>
      </rPr>
      <t>This value is automatically calculated based on the value found in DDRC_DRAMTMG4[T_RCD] and should not be manually configured.</t>
    </r>
  </si>
  <si>
    <t xml:space="preserve">DRAM Initialization Time 0: DRAM initialization time in DRAM clock cycles corresponding to the following:
DDR4 = CKE low time with power and clock stable (500 us)
DDR3 = CKE low time with power and clock stable (500 us)
LPDDR4 = CKE low time with power and clock stable (2000 us)
LPDDR3 = CKE high time to first command (200 us)
</t>
  </si>
  <si>
    <t>DRAM Initialization Time 1: DRAM initialization time in DRAM clock cycles corresponding to the following:
• DDR4 = CKE high time to first command = tXPR = (max (5nCK,tRFC(min) + 10ns))
• DDR3 = CKE high time to first command (tRFC + 10 ns or 5 tCK, whichever is bigger)
• LPDDR4= CKE high time to first command (2000 ns)
• LPDDR3 = CKE low time with power and clock stable (100 ns)</t>
  </si>
  <si>
    <t>DRAM Initialization Time 4: DRAM initialization time in DRAM clock cycles corresponding to the following:
• LPDDR4 = Time from ZQCAL LATCH command to first command (tZQLAT= MAX(30ns,8 tCK)).
The default value corresponds to 8 tCK.
Note: For LPDDR4 tZQLAT, additional offset of +3 tCK must be added i.e. value programmed in this register field must be MAX(30ns, 8 tCK) + 3 tCK</t>
  </si>
  <si>
    <t>DRAM Initialization Time 3: DRAM initialization time in DRAM clock cycles corresponding to the following:
• DDR4 = Time from ZQ initialization command to first command (1 us)
• DDR3 = Time from ZQ initialization command to first command (1 us)
• LPDDR4 = Time from ZQCAL START command to ZQCAL LATCH command (tZQCAL=1 us)
• LPDDR3 = Time from ZQ initialization command to first command (1 us)</t>
  </si>
  <si>
    <t>Address/Command Slew Rate: Selects slew rate of the I/O for all address and command pins. Bits[31:30]</t>
  </si>
  <si>
    <t>SDRAM Reset I/O Mode: Selects SSTL mode (when set to 0) or CMOS mode (when set to 1) of the I/O for SDRAM Reset. Bit[29]</t>
  </si>
  <si>
    <t>SDRAM Reset Power Down Receiver: Powers down, when set, the input receiver on the I/O for SDRAM RST# pin. Bit[28]</t>
  </si>
  <si>
    <t>SDRAM Reset On-Die Termination: Enables, when set, the on-die termination on the I/O for SDRAM RST# pin. Bit[26]</t>
  </si>
  <si>
    <t>Control delayed or non-delayed clock to CS_N/ODT/CKE AC Bit[0] slices. This bit is used in LPDDR4 CBT.
1’b0: Non-delayed clock to CS_N/ODT/CKE AC slices.
1’b1: Delayed clock to CS_N/ODT/CKE AC slices.</t>
  </si>
  <si>
    <t>Number of ctl_clk required to meet vref step timing (short, middle, long) requirements. Valid values are:
• 3b000 = No of ctl_clk = 32
• 3b001 = No of ctl_clk = 64
• 3b010 = No of ctl_clk = 96
• 3b011 = No of ctl_clk = 128
• 3b100 = No of ctl_clk = 160
• 3b101 = No of ctl_clk = 192
• 3b110 = No of ctl_clk = 224
• 3b111 = No of ctl_clk = 256
This vref step timing is required during:
1. LPDDR4 mode DRAM Initialization
2. LPDDR4 and DDR4 mode VREF training
Bits[31:29]</t>
  </si>
  <si>
    <t>Host VREF step size used during VREF training. The register value of N indicates step size of (N+1).The valid step sizes are 1 to 16. Bits[31:28]</t>
  </si>
  <si>
    <t>Static Host Vref Rank Value: When SHREN is enabled, SHRNK[1:0] will be used for Vref rank control for all DQ IO buffers. Bits[10:9]</t>
  </si>
  <si>
    <t>HOST (IO) internal VREF training Enable: When Set, IO VREF training will be performed for all enabled byte lanes and all enabled ranks. Bit[1]</t>
  </si>
  <si>
    <t>Number of LCDL Eye points for which VREF training is repeated.
The valid values are:
1’b0: Initial LCDL value.
Determined from eye training or programmed before starting
VREF training.
1’b1: Three LCDL values.
Initial LCDL value; Initial LCDL value + an offset; Initial LCDL
value – offset. The offset is determined by EOFF field.
1. During DRAM Vref Training
- WDQD LCDL is changed for three LCDL values.
2. During Host Vref Training
- DQSGD, RDQSD and RDQSND LCDL is changed for three LCDL values.
Bit[2]</t>
  </si>
  <si>
    <t>I/O Loop-Back Select: Selects where inside the I/O the loopback
of signals happens. Valid values are:
1b0 = Loopback is after output buffer; output enable must be asserted
1b1 = Loopback is before output buffer; output enable is don’t care
Bit[15]</t>
  </si>
  <si>
    <t>I/O-assisted Gate Select (experimental read gate mode)
1’b0: IO-assisted gating not selected
1’b1: Reserved
Note: IO assisted gating is applicable only for static read response mode which is enabled only when DX8SL*DXCTL.RDMODE == 2’b11
Note: Value programmed should be same across all the Slices
Bit[16]</t>
  </si>
  <si>
    <t>OE extension during pre-amble
2’b00 : OE is on for 1.0 dram clock during DQS preamble.
2’b01 : OE is on for 1.5 dram clock during DQS preamble.
2’b10 : OE is on for 2.0 dram clock during DQS preamble.
2’b11 : OE is on for 2.5 dram clock during DQS preamble.
Note:
• Value programmed should be same across all the Slices
• The value programmed should correspond to the Write Preamble WR-PRE setting in MR1 register for LPDDR4 mode mode or MR4.WRP for DDR4 mode. For example if MR1.WR-PRE bit is set to '1' for 2 * tCK Write Preamble, then PREOEX must be programmed to 2'b10.
Bits[19:18]</t>
  </si>
  <si>
    <t>OE extension during post-amble
3’b000 : OE is on for 0.5 dram clock during DQS post-amble.
3’b001 : OE is on for 1.0 dram clock during DQS post-amble.
3’b010 : OE is on for 1.5 dram clock during DQS post-amble.
3’b011 : OE is on for 2.0 dram clock during DQS post-amble.
3’b100 : OE is on for 2.5 dram clock during DQS post-amble.
3’b101 : OE is on for 3.0 dram clock during DQS post-amble.
3’b110 : OE is on for 3.5 dram clock during DQS post-amble.
3’b111 : OE is on for 4.0 dram clock during DQS post-amble
Note:
• Value programmed should be same across all the Slices
• The value programmed should correspond to the Write Post-
Amble WR-PST setting in MR3 register and tDQS2DQ parameter for LPDDR4 mode.
Bits[22:20]</t>
  </si>
  <si>
    <t>Configurable Read Data Enable:
1'b0: DFI timing parameter trddata_en = RL-4
1'b1: DFI timing parameter trddata_en = RL-6
Note:
1. This field should be used in Mission mode only.
2. Value programmed should be same across all the Slices.
Bit[23]</t>
  </si>
  <si>
    <t>DDR_PHY_DX8SLbIOCR</t>
  </si>
  <si>
    <t>DXDACRANGE</t>
  </si>
  <si>
    <t>DXVREFIOM</t>
  </si>
  <si>
    <t>DXIOM</t>
  </si>
  <si>
    <t>DXTXM</t>
  </si>
  <si>
    <t>DXRXM</t>
  </si>
  <si>
    <t>DX IO receiver mode. Bits[10:0]</t>
  </si>
  <si>
    <t>DX IO transmitter mode. Bits[21:11]</t>
  </si>
  <si>
    <t>I/O Mode: I/O Mode select. Bits[24:22]
000 = DDR3, DDR3L mode
001 = CMOS mode
010 = DDR4, LPDDR3 mode
011 = Reserved
100 = LPDDR4 mode
101 = Reserved
110 = Reserved
111 = Reserved</t>
  </si>
  <si>
    <t>IOM bits for PVREF, PVREF_DAC and PVREFE cells in DX IO ring. Bits[27:25]
000 = DDR3, DDR3L mode
001 = CMOS mode
010 = DDR4, LPDDR3 mode
011 = Reserved
100 = LPDDR4 mode
101 = Reserved
110 = Reserved
111 = Reserved</t>
  </si>
  <si>
    <t>PVREF_DAC REFSEL range select. Bits[30:28]</t>
  </si>
  <si>
    <t>DDR_PHY_DX8SLbDQSCTL</t>
  </si>
  <si>
    <t>DQSGX</t>
  </si>
  <si>
    <t>DQS Gate Extension: Specifies if set that the read DQS gate will be extended. This should be set ONLY when used with DQS pulldown and DQSn pullup. Valid values are:
2b00 = Do not extend the gate
2b01 = Extend the gate by ½ tCK in both directions (but never earlier than zero read latency)
2b10 = Extend the gate earlier by ½ tCK and later by 2 * tCK (to facilitate LPDDR3 usage without training for systems supporting upto 800Mbps)
2b11 = Extend the gate earlier by ½ tCK and later by 3 * tCK (to facilitate LPDDR3 usage without training for systems supporting upto 1600Mbps)
Note: Value programmed should be same across all the Slices. Bits[20:19]</t>
  </si>
  <si>
    <t>LPPLLPD</t>
  </si>
  <si>
    <t>LPIOPD</t>
  </si>
  <si>
    <t>PDAMODE</t>
  </si>
  <si>
    <t>Low Power PLL Power Down: Specifies if set that the PHY should respond to the DFI low power opportunity request and power down the PLL of the byte if the wakeup time request satisfies the LPWAKEUP_THRSH.
LPWAKEUP_THRSH is the Minimum threshold value of tlp_wakeup required to make phy go into low power mode by powering down PLL.
The value of the dfi_lp_wakeup signal at the time that the dfi_lp_data_req&amp;dfi_lp_ctrl_req signal is de-asserted sets the tlp_wakeup time. The value is in tems of number clock cycles.
Refer Table 11 description of LPWAKEUP_THRSH for decoding details. Bit[18]</t>
  </si>
  <si>
    <t>Low Power I/O Power Down: Specifies if set that the PHY should respond to the DFI low power opportunity request and power down the I/Os of the byte. Bit[17]</t>
  </si>
  <si>
    <t>Set PDA mode timing. If this bit is set by the MCTL, the DFI write commands are delayed by 2 SDRAM clock cycles, while at the same time the DQ data is advanced with respect to the DQS.
This allows the MCTL to satisfy the t_PDA_S timing requirement.
This register field must be set in conjunction with PGCR4[18] for PDA mode to be properly enabled/disabled. Bit[15]</t>
  </si>
  <si>
    <t>QS Counter Enable. Enables, if set, the counting of DQS edges for automatic shut-off of DQS gate. If turned off, the gate is closed using the gate signal from the PUB. Note: Value programmed should be same across all the Slices. Bit[14]</t>
  </si>
  <si>
    <t>Unused DQ I/O Mode: Selects SSTL mode (when set to
1b0) or CMOS mode (when set to 1b1) of the I/O for unused
DQ pins. Bit[13]</t>
  </si>
  <si>
    <t>QSCNTEN</t>
  </si>
  <si>
    <t>UDQIOM</t>
  </si>
  <si>
    <t>DXSR</t>
  </si>
  <si>
    <t>Data Slew Rate: Selects slew rate of the I/O for DQ, DM,
and DQS/DQS# pins of all DATX8 macros. Bits[9:8]</t>
  </si>
  <si>
    <t>DQSNRES</t>
  </si>
  <si>
    <t>DQSRES</t>
  </si>
  <si>
    <r>
      <rPr>
        <b/>
        <sz val="10"/>
        <rFont val="Arial"/>
        <family val="2"/>
      </rPr>
      <t>MR</t>
    </r>
    <r>
      <rPr>
        <sz val="10"/>
        <rFont val="Arial"/>
        <family val="2"/>
      </rPr>
      <t xml:space="preserve">
LPDDR4 </t>
    </r>
    <r>
      <rPr>
        <b/>
        <sz val="10"/>
        <rFont val="Arial"/>
        <family val="2"/>
      </rPr>
      <t>MR1:</t>
    </r>
    <r>
      <rPr>
        <sz val="10"/>
        <rFont val="Arial"/>
        <family val="2"/>
      </rPr>
      <t xml:space="preserve"> RPST (RD Post-Amble Length)</t>
    </r>
  </si>
  <si>
    <r>
      <rPr>
        <b/>
        <sz val="10"/>
        <rFont val="Arial"/>
        <family val="2"/>
      </rPr>
      <t>MR</t>
    </r>
    <r>
      <rPr>
        <sz val="10"/>
        <rFont val="Arial"/>
        <family val="2"/>
      </rPr>
      <t xml:space="preserve">
LPDDR4 </t>
    </r>
    <r>
      <rPr>
        <b/>
        <sz val="10"/>
        <rFont val="Arial"/>
        <family val="2"/>
      </rPr>
      <t>MR1:</t>
    </r>
    <r>
      <rPr>
        <sz val="10"/>
        <rFont val="Arial"/>
        <family val="2"/>
      </rPr>
      <t xml:space="preserve"> nWR (Write-Recovery for Auto-Pre-charge commands)</t>
    </r>
  </si>
  <si>
    <r>
      <rPr>
        <b/>
        <sz val="10"/>
        <rFont val="Arial"/>
        <family val="2"/>
      </rPr>
      <t>MR</t>
    </r>
    <r>
      <rPr>
        <sz val="10"/>
        <rFont val="Arial"/>
        <family val="2"/>
      </rPr>
      <t xml:space="preserve">
LPDDR4 </t>
    </r>
    <r>
      <rPr>
        <b/>
        <sz val="10"/>
        <rFont val="Arial"/>
        <family val="2"/>
      </rPr>
      <t>MR1:</t>
    </r>
    <r>
      <rPr>
        <sz val="10"/>
        <rFont val="Arial"/>
        <family val="2"/>
      </rPr>
      <t xml:space="preserve"> RD-PRE (RD Pre-amble Type)</t>
    </r>
  </si>
  <si>
    <r>
      <rPr>
        <b/>
        <sz val="10"/>
        <rFont val="Arial"/>
        <family val="2"/>
      </rPr>
      <t>MR</t>
    </r>
    <r>
      <rPr>
        <sz val="10"/>
        <rFont val="Arial"/>
        <family val="2"/>
      </rPr>
      <t xml:space="preserve">
LPDDR4 </t>
    </r>
    <r>
      <rPr>
        <b/>
        <sz val="10"/>
        <rFont val="Arial"/>
        <family val="2"/>
      </rPr>
      <t>MR1:</t>
    </r>
    <r>
      <rPr>
        <sz val="10"/>
        <rFont val="Arial"/>
        <family val="2"/>
      </rPr>
      <t xml:space="preserve"> WR-PRE (WR Pre-amble Length)</t>
    </r>
  </si>
  <si>
    <r>
      <rPr>
        <b/>
        <sz val="10"/>
        <rFont val="Arial"/>
        <family val="2"/>
      </rPr>
      <t>MR</t>
    </r>
    <r>
      <rPr>
        <sz val="10"/>
        <rFont val="Arial"/>
        <family val="2"/>
      </rPr>
      <t xml:space="preserve">
LPDDR4 </t>
    </r>
    <r>
      <rPr>
        <b/>
        <sz val="10"/>
        <rFont val="Arial"/>
        <family val="2"/>
      </rPr>
      <t>MR1:</t>
    </r>
    <r>
      <rPr>
        <sz val="10"/>
        <rFont val="Arial"/>
        <family val="2"/>
      </rPr>
      <t xml:space="preserve"> BL (Burst Length)</t>
    </r>
  </si>
  <si>
    <r>
      <rPr>
        <b/>
        <sz val="10"/>
        <rFont val="Arial"/>
        <family val="2"/>
      </rPr>
      <t>EMR</t>
    </r>
    <r>
      <rPr>
        <sz val="10"/>
        <rFont val="Arial"/>
        <family val="2"/>
      </rPr>
      <t xml:space="preserve">
LPDDR4 </t>
    </r>
    <r>
      <rPr>
        <b/>
        <sz val="10"/>
        <rFont val="Arial"/>
        <family val="2"/>
      </rPr>
      <t>MR2:</t>
    </r>
    <r>
      <rPr>
        <sz val="10"/>
        <rFont val="Arial"/>
        <family val="2"/>
      </rPr>
      <t xml:space="preserve"> WR Lev (Write Leveling)</t>
    </r>
  </si>
  <si>
    <r>
      <rPr>
        <b/>
        <sz val="10"/>
        <rFont val="Arial"/>
        <family val="2"/>
      </rPr>
      <t>EMR</t>
    </r>
    <r>
      <rPr>
        <sz val="10"/>
        <rFont val="Arial"/>
        <family val="2"/>
      </rPr>
      <t xml:space="preserve">
LPDDR4 </t>
    </r>
    <r>
      <rPr>
        <b/>
        <sz val="10"/>
        <rFont val="Arial"/>
        <family val="2"/>
      </rPr>
      <t>MR2:</t>
    </r>
    <r>
      <rPr>
        <sz val="10"/>
        <rFont val="Arial"/>
        <family val="2"/>
      </rPr>
      <t xml:space="preserve"> WLS (Write Latency Set)</t>
    </r>
  </si>
  <si>
    <r>
      <rPr>
        <b/>
        <sz val="10"/>
        <rFont val="Arial"/>
        <family val="2"/>
      </rPr>
      <t>EMR</t>
    </r>
    <r>
      <rPr>
        <sz val="10"/>
        <rFont val="Arial"/>
        <family val="2"/>
      </rPr>
      <t xml:space="preserve">
LPDDR4 </t>
    </r>
    <r>
      <rPr>
        <b/>
        <sz val="10"/>
        <rFont val="Arial"/>
        <family val="2"/>
      </rPr>
      <t>MR2:</t>
    </r>
    <r>
      <rPr>
        <sz val="10"/>
        <rFont val="Arial"/>
        <family val="2"/>
      </rPr>
      <t xml:space="preserve"> WL (Write Latency)</t>
    </r>
  </si>
  <si>
    <r>
      <rPr>
        <b/>
        <sz val="10"/>
        <rFont val="Arial"/>
        <family val="2"/>
      </rPr>
      <t>EMR</t>
    </r>
    <r>
      <rPr>
        <sz val="10"/>
        <rFont val="Arial"/>
        <family val="2"/>
      </rPr>
      <t xml:space="preserve">
LPDDR4 </t>
    </r>
    <r>
      <rPr>
        <b/>
        <sz val="10"/>
        <rFont val="Arial"/>
        <family val="2"/>
      </rPr>
      <t>MR2:</t>
    </r>
    <r>
      <rPr>
        <sz val="10"/>
        <rFont val="Arial"/>
        <family val="2"/>
      </rPr>
      <t xml:space="preserve"> RL (Read Latency)</t>
    </r>
  </si>
  <si>
    <r>
      <rPr>
        <b/>
        <sz val="10"/>
        <rFont val="Arial"/>
        <family val="2"/>
      </rPr>
      <t>EMR2</t>
    </r>
    <r>
      <rPr>
        <sz val="10"/>
        <rFont val="Arial"/>
        <family val="2"/>
      </rPr>
      <t xml:space="preserve">
LPDDR4 </t>
    </r>
    <r>
      <rPr>
        <b/>
        <sz val="10"/>
        <rFont val="Arial"/>
        <family val="2"/>
      </rPr>
      <t>MR3:</t>
    </r>
    <r>
      <rPr>
        <sz val="10"/>
        <rFont val="Arial"/>
        <family val="2"/>
      </rPr>
      <t xml:space="preserve"> DBI-WR (DBI-WRITE Enable)</t>
    </r>
  </si>
  <si>
    <r>
      <rPr>
        <b/>
        <sz val="10"/>
        <rFont val="Arial"/>
        <family val="2"/>
      </rPr>
      <t>EMR2</t>
    </r>
    <r>
      <rPr>
        <sz val="10"/>
        <rFont val="Arial"/>
        <family val="2"/>
      </rPr>
      <t xml:space="preserve">
LPDDR4 </t>
    </r>
    <r>
      <rPr>
        <b/>
        <sz val="10"/>
        <rFont val="Arial"/>
        <family val="2"/>
      </rPr>
      <t>MR3:</t>
    </r>
    <r>
      <rPr>
        <sz val="10"/>
        <rFont val="Arial"/>
        <family val="2"/>
      </rPr>
      <t xml:space="preserve"> DBI-RD (DBI-READ Enable)</t>
    </r>
  </si>
  <si>
    <r>
      <rPr>
        <b/>
        <sz val="10"/>
        <rFont val="Arial"/>
        <family val="2"/>
      </rPr>
      <t>EMR2</t>
    </r>
    <r>
      <rPr>
        <sz val="10"/>
        <rFont val="Arial"/>
        <family val="2"/>
      </rPr>
      <t xml:space="preserve">
LPDDR4 </t>
    </r>
    <r>
      <rPr>
        <b/>
        <sz val="10"/>
        <rFont val="Arial"/>
        <family val="2"/>
      </rPr>
      <t>MR3:</t>
    </r>
    <r>
      <rPr>
        <sz val="10"/>
        <rFont val="Arial"/>
        <family val="2"/>
      </rPr>
      <t xml:space="preserve"> PDDS (Pull-Down Drive Strength)</t>
    </r>
  </si>
  <si>
    <r>
      <rPr>
        <b/>
        <sz val="10"/>
        <rFont val="Arial"/>
        <family val="2"/>
      </rPr>
      <t>EMR2</t>
    </r>
    <r>
      <rPr>
        <sz val="10"/>
        <rFont val="Arial"/>
        <family val="2"/>
      </rPr>
      <t xml:space="preserve">
LPDDR4 </t>
    </r>
    <r>
      <rPr>
        <b/>
        <sz val="10"/>
        <rFont val="Arial"/>
        <family val="2"/>
      </rPr>
      <t>MR3:</t>
    </r>
    <r>
      <rPr>
        <sz val="10"/>
        <rFont val="Arial"/>
        <family val="2"/>
      </rPr>
      <t xml:space="preserve"> Post Package Repair Protection</t>
    </r>
  </si>
  <si>
    <r>
      <rPr>
        <b/>
        <sz val="10"/>
        <rFont val="Arial"/>
        <family val="2"/>
      </rPr>
      <t>EMR2</t>
    </r>
    <r>
      <rPr>
        <sz val="10"/>
        <rFont val="Arial"/>
        <family val="2"/>
      </rPr>
      <t xml:space="preserve">
LPDDR4 </t>
    </r>
    <r>
      <rPr>
        <b/>
        <sz val="10"/>
        <rFont val="Arial"/>
        <family val="2"/>
      </rPr>
      <t>MR3:</t>
    </r>
    <r>
      <rPr>
        <sz val="10"/>
        <rFont val="Arial"/>
        <family val="2"/>
      </rPr>
      <t xml:space="preserve"> WR PST (WR Post-Amble Length)</t>
    </r>
  </si>
  <si>
    <r>
      <rPr>
        <b/>
        <sz val="10"/>
        <rFont val="Arial"/>
        <family val="2"/>
      </rPr>
      <t>EMR2</t>
    </r>
    <r>
      <rPr>
        <sz val="10"/>
        <rFont val="Arial"/>
        <family val="2"/>
      </rPr>
      <t xml:space="preserve">
LPDDR4 </t>
    </r>
    <r>
      <rPr>
        <b/>
        <sz val="10"/>
        <rFont val="Arial"/>
        <family val="2"/>
      </rPr>
      <t>MR3:</t>
    </r>
    <r>
      <rPr>
        <sz val="10"/>
        <rFont val="Arial"/>
        <family val="2"/>
      </rPr>
      <t xml:space="preserve"> PU-Cal (Pull-up Calibration Point)</t>
    </r>
  </si>
  <si>
    <r>
      <t xml:space="preserve">EMR3
</t>
    </r>
    <r>
      <rPr>
        <sz val="10"/>
        <rFont val="Arial"/>
        <family val="2"/>
      </rPr>
      <t xml:space="preserve">LPDDR4 </t>
    </r>
    <r>
      <rPr>
        <b/>
        <sz val="10"/>
        <rFont val="Arial"/>
        <family val="2"/>
      </rPr>
      <t>MR13:</t>
    </r>
    <r>
      <rPr>
        <sz val="10"/>
        <rFont val="Arial"/>
        <family val="2"/>
      </rPr>
      <t xml:space="preserve"> DMD (Data Mask Disable)</t>
    </r>
  </si>
  <si>
    <r>
      <t xml:space="preserve">EMR3
</t>
    </r>
    <r>
      <rPr>
        <sz val="10"/>
        <rFont val="Arial"/>
        <family val="2"/>
      </rPr>
      <t xml:space="preserve">LPDDR4 </t>
    </r>
    <r>
      <rPr>
        <b/>
        <sz val="10"/>
        <rFont val="Arial"/>
        <family val="2"/>
      </rPr>
      <t>MR13:</t>
    </r>
    <r>
      <rPr>
        <sz val="10"/>
        <rFont val="Arial"/>
        <family val="2"/>
      </rPr>
      <t xml:space="preserve"> RRO Refresh rate option</t>
    </r>
  </si>
  <si>
    <r>
      <t xml:space="preserve">EMR3
</t>
    </r>
    <r>
      <rPr>
        <sz val="10"/>
        <rFont val="Arial"/>
        <family val="2"/>
      </rPr>
      <t xml:space="preserve">LPDDR4 </t>
    </r>
    <r>
      <rPr>
        <b/>
        <sz val="10"/>
        <rFont val="Arial"/>
        <family val="2"/>
      </rPr>
      <t>MR13:</t>
    </r>
    <r>
      <rPr>
        <sz val="10"/>
        <rFont val="Arial"/>
        <family val="2"/>
      </rPr>
      <t xml:space="preserve"> VRCG (VREF Current Generator)</t>
    </r>
  </si>
  <si>
    <r>
      <t xml:space="preserve">EMR3
</t>
    </r>
    <r>
      <rPr>
        <sz val="10"/>
        <rFont val="Arial"/>
        <family val="2"/>
      </rPr>
      <t xml:space="preserve">LPDDR4 </t>
    </r>
    <r>
      <rPr>
        <b/>
        <sz val="10"/>
        <rFont val="Arial"/>
        <family val="2"/>
      </rPr>
      <t>MR13:</t>
    </r>
    <r>
      <rPr>
        <sz val="10"/>
        <rFont val="Arial"/>
        <family val="2"/>
      </rPr>
      <t xml:space="preserve"> VRO (VREF Output)</t>
    </r>
  </si>
  <si>
    <r>
      <t xml:space="preserve">EMR3
</t>
    </r>
    <r>
      <rPr>
        <sz val="10"/>
        <rFont val="Arial"/>
        <family val="2"/>
      </rPr>
      <t xml:space="preserve">LPDDR4 </t>
    </r>
    <r>
      <rPr>
        <b/>
        <sz val="10"/>
        <rFont val="Arial"/>
        <family val="2"/>
      </rPr>
      <t>MR13:</t>
    </r>
    <r>
      <rPr>
        <sz val="10"/>
        <rFont val="Arial"/>
        <family val="2"/>
      </rPr>
      <t xml:space="preserve"> RPT (Read Preamble Training Mode)</t>
    </r>
  </si>
  <si>
    <r>
      <t xml:space="preserve">EMR3
</t>
    </r>
    <r>
      <rPr>
        <sz val="10"/>
        <rFont val="Arial"/>
        <family val="2"/>
      </rPr>
      <t xml:space="preserve">LPDDR4 </t>
    </r>
    <r>
      <rPr>
        <b/>
        <sz val="10"/>
        <rFont val="Arial"/>
        <family val="2"/>
      </rPr>
      <t>MR13:</t>
    </r>
    <r>
      <rPr>
        <sz val="10"/>
        <rFont val="Arial"/>
        <family val="2"/>
      </rPr>
      <t xml:space="preserve"> CBT (Command Bus Training)</t>
    </r>
  </si>
  <si>
    <t>DDRC0 Base Address (do not modify)</t>
  </si>
  <si>
    <t>DDRC1 Base Address (do not modify)</t>
  </si>
  <si>
    <t>5C100000</t>
  </si>
  <si>
    <t>PHY0 Base Address (do not modify)</t>
  </si>
  <si>
    <t>PHY1 Base Address (do not modify)</t>
  </si>
  <si>
    <t>5C110000</t>
  </si>
  <si>
    <t>DDRC0 Register address</t>
  </si>
  <si>
    <t>DDRC1 Register address</t>
  </si>
  <si>
    <t>DDRC0 Register address (HEX)</t>
  </si>
  <si>
    <t>DDRC1 Register address (HEX)</t>
  </si>
  <si>
    <t>PHY0    Register address</t>
  </si>
  <si>
    <t>PHY1    Register address</t>
  </si>
  <si>
    <t>Load mode update delay (DDR4 and DDR3 only). The minimum time between a load mode register command and a non-load mode register command.
Valid values for DDR4 are:
000 = 24
001 = 25
010 = 26
011 = 27
100 = 28
101 = 29
110 = 30
111 = 30
Valid values for DDR3 are:
000 = 12
001 = 13
010 = 14
011 = 15
100 = 16
101 = 17
110 – 111 = 17
Default: 0x4</t>
  </si>
  <si>
    <t>Write leveling output delay: Number of clock cycles from when write leveling DQS is driven high by the control block to when the results from the SDRAM on DQ is sampled by the control block. This must include the SDRAM tWLO timing parameter plus the round trip delay from control block to SDRAM back to control block.
Default: 0x43</t>
  </si>
  <si>
    <t>DDRC_RFSHCTL0</t>
  </si>
  <si>
    <t>refresh_margin</t>
  </si>
  <si>
    <t>Threshold value in number of DFI clock cycles before the critical refresh or page timer expires. A critical refresh is to be issued before this threshold is reached. It is recommended that this not be changed from the default value, currently shown as 0x2. It must always be less than internally used t_rfc_nom_x32. Note that, in LPDDR2/LPDDR3/LPDDR4, internally used t_rfc_nom_x32 may be equal to RFSHTMG.t_rfc_nom_x32&gt;&gt;2 if derating is enabled (DERATEEN.derate_enable=1). Otherwise, internally used t_rfc_nom_x32 will be equal to RFSHTMG.t_rfc_nom_x32.
Unit: Multiples of 32 DFI clocks.
Value After Reset: 0x2
Exists: Always</t>
  </si>
  <si>
    <t>refresh_to_x32</t>
  </si>
  <si>
    <t>If the refresh timer (tRFCnom, also known as tREFI) has expired at least once, but it has not expired (RFSHCTL0.refresh_burst+1) times yet, then a speculative refresh may be performed. A speculative refresh is a refresh performed at a time when refresh would be useful, but before it is absolutely required. When the SDRAM bus is idle for a period of time determined by this RFSHCTL0.refresh_to_x32 and the refresh timer has expired at least once since the last refresh, then a speculative refresh is performed. Speculative refreshes continues successively until there are no refreshes pending or until new reads or writes are issued to the uMCTL2.
FOR PERFORMANCE ONLY.
Unit: Multiples of 32 DFI clocks.
Value After Reset: 0x10
Exists: Always</t>
  </si>
  <si>
    <t>refresh_burst</t>
  </si>
  <si>
    <t>The programmed value + 1 is the number of refresh timeouts that is allowed to accumulate before traffic is blocked and the refreshes are forced to execute. Closing pages to perform a refresh is a one-time penalty that must be paid for each group of refreshes. Therefore, performing refreshes in a burst reduces the per-refresh penalty of these page closings. Higher numbers for RFSHCTL.refresh_burst slightly increases utilization; lower numbers decreases the worst-case latency associated with refreshes.
■0 - single refresh
■1 - burst-of-2 refresh
■7 - burst-of-8 refresh
For information on burst refresh feature refer to section 3.9 of DDR2 JEDEC specification - JESD79-2F.pdf.
For DDR2/3, the refresh is always per-rank and not per-bank. The rank refresh can be accumulated over 8*tREFI cycles using the burst refresh feature. In DDR4 mode, according to Fine Granularity feature, 8 refreshes can be postponed in 1X mode, 16 refreshes in 2X mode and 32 refreshes in 4X mode. If using PHY-initiated updates, care must be taken in the setting of RFSHCTL0.refresh_burst, to ensure that tRFCmax is not violated due to a PHY-initiated update occurring shortly before a refresh burst was due. In this situation, the refresh burst will be delayed until the PHY-initiated update is complete.
Value After Reset: 0x0
Exists: Always</t>
  </si>
  <si>
    <t>per_bank_refresh</t>
  </si>
  <si>
    <t>■1 - Per bank refresh;
■0 - All bank refresh.
Per bank refresh allows traffic to flow to other banks. Per bank refresh is not supported by all LPDDR2 devices but should be supported by all LPDDR3/LPDDR4 devices. Present only in designs configured to support LPDDR2/LPDDR3/LPDDR4
Value After Reset: 0x0
Exists: MEMC_LPDDR2==1</t>
  </si>
  <si>
    <t>T_RC</t>
  </si>
  <si>
    <t>Most of the DDR_PHY_DTPR0 bit fields matches the register contents of various DDRC timing registers it is recommended not to modify these separately.</t>
  </si>
  <si>
    <r>
      <t xml:space="preserve">Activate to activate command delay (same bank).
</t>
    </r>
    <r>
      <rPr>
        <b/>
        <sz val="10"/>
        <rFont val="Arial"/>
        <family val="2"/>
      </rPr>
      <t>This value is automatically calculated based on the value found in DDRC_DRAMTMG1[T_RC] and DDRC_DRAMTMG0[T_RAS] and should not be manually configured.</t>
    </r>
  </si>
  <si>
    <t>Low Power Wakeup Threshold: If dfi_lp_wakeup is greater than this threshold value, PLLs will be powered down when entering DFI low power mode. The value of the dfi_lp_wakeup signal at the time that the dfi_lp_ctrl_req or dfi_lp_data_req signal is asserted sets the tlp_wakeup time. Valid values in tems of number clock cycles are:
4b0000 to 4b1001 refer to reference manual for settings
4b1010 = 16384 cycles
4b1011 = 32768 cycles
4b1100 = 65536 cycles
4b1101 = 131072 cycles
4b1110 = 262144 cycles
4b1111 = Unlimited cycles
LPWAKEUP_THRSH calculation :
MINIMUM LPWAKEUP CYCLES = pll_lock_time / ctl_clk_period + MDL calibration cycles where, MDL calibration cycles = N * DDL calibration cycles N is Decoded value of PGCR1.FDEPTH.
Example, With tCK= 938 ps; ctl_clk = 1876 ps; and PGCR1.FDEPTH =
2b10: From the PGCR1 register description, FDEPTH=2b10 decodes
to a depth of 8. Pll_lock_time from PLL spec is 25us. So LPWAKEUP_THRSH = 25 ns / 1876 ps + 8 * (800 cycles) = 13326 + 6400 = 19726 cycles Setting LPWAKEUP_THRSH to 4b1010 would trigger PLL power down for tlp_wakeup value of 32768 cycles and above; which meets the calculations for MINIMUM LPWAKEUP CYCLES of 19726 cycles
Note: Value programmed should be same across all the Slices. Bits[12:9]
PLL lock time is given for 25us. So you should get 25us/800MHz + 8*800 =&gt; 26400. Thus LPWAKEUP_THRSH=0xB</t>
  </si>
  <si>
    <t>WRRMODE</t>
  </si>
  <si>
    <t>RRRMODE</t>
  </si>
  <si>
    <t>TBD</t>
  </si>
  <si>
    <t>ODTD-CA</t>
  </si>
  <si>
    <t>ODTE-CS</t>
  </si>
  <si>
    <t>ODTE-CK</t>
  </si>
  <si>
    <t>CODT</t>
  </si>
  <si>
    <t>ODT CK override
0b: disabled
1b: enabled</t>
  </si>
  <si>
    <t>ODT CS override
0b: disabled
1b: enabled</t>
  </si>
  <si>
    <t>CA ODT termination disable
0b: ODT-CA Obeys ODT_CA bond pad
1b: ODT-CA Disabled</t>
  </si>
  <si>
    <t>DDR_PHY_MR22</t>
  </si>
  <si>
    <t>DDR_PHY_MR11</t>
  </si>
  <si>
    <t>DQODT</t>
  </si>
  <si>
    <t>CAODT</t>
  </si>
  <si>
    <t>000b: Disable (default)
001b: RZQ/1
010b: RZQ/2
011b: RZQ/3
100b: RZQ/4
101b: RZQ/5
110b: RZQ/6
111b: RFU</t>
  </si>
  <si>
    <t>DDR_PHY_ACIOCR1</t>
  </si>
  <si>
    <t>AOEMODE</t>
  </si>
  <si>
    <t>A[14]</t>
  </si>
  <si>
    <t>A[13]</t>
  </si>
  <si>
    <t>A[12]</t>
  </si>
  <si>
    <t>A[11]</t>
  </si>
  <si>
    <t>A[10]</t>
  </si>
  <si>
    <t>A[9]</t>
  </si>
  <si>
    <t>A[8]</t>
  </si>
  <si>
    <t>A[7]</t>
  </si>
  <si>
    <t>A[6]</t>
  </si>
  <si>
    <t>A[5]</t>
  </si>
  <si>
    <t>A[4]</t>
  </si>
  <si>
    <t>A[3]</t>
  </si>
  <si>
    <t>A[2]</t>
  </si>
  <si>
    <t>A[1]</t>
  </si>
  <si>
    <t>A[0]</t>
  </si>
  <si>
    <r>
      <rPr>
        <sz val="9"/>
        <rFont val="Arial"/>
        <family val="2"/>
      </rPr>
      <t>SDRAM Address OE Mode Selection (description applies to all bit settings)
Bits [1:0] for A[0], bits [3:2] for A[1] … bits [31:30] for A[15]
Valid values are:
00: OE Dynamic
01: OE always ON
10: OE always OFF
11: RESERVED</t>
    </r>
    <r>
      <rPr>
        <sz val="10"/>
        <rFont val="Arial"/>
        <family val="2"/>
      </rPr>
      <t xml:space="preserve">
A[15]</t>
    </r>
  </si>
  <si>
    <t>Due to address copy set A[13] (=cke_B[0]) and A[15] (=cke_B[1]) outputs as always ON.</t>
  </si>
  <si>
    <t>OSCEN</t>
  </si>
  <si>
    <t>Oscillator Enable: Enables, if set, the delay line oscillation.</t>
  </si>
  <si>
    <t>OSCDIV</t>
  </si>
  <si>
    <t>Oscillator Mode Division: Specifies the factor by which the delay
line oscillator mode output is divided down before it is output on
the delay line digital test output pin dl_dto. Valid values are:
4b0000 = Divide by 1
4b0001 = Divide by 4
4b0010 = Divide by 8
...
4b1101 = Divide by 16384
4b1110 = Divide by 32768
4b 1111 = Divide by 65536</t>
  </si>
  <si>
    <t>DTOSEL</t>
  </si>
  <si>
    <t>Digital Test Output Select: Selects the PHY digital test output
that should be driven onto PHY digital test output (phy_dto) pin:
Valid values are:
5b00000 = DATX8 0 PLL/PHY macro digital test output
5b00001 = DATX8 1 PLL/PHY macro digital test output
5b00010 = DATX8 2 PLL/PHY macro digital test output
5b00011 = DATX8 3 PLL/PHY macro digital test output
5b00100 = DATX8 4 PLL/PHY macro digital test output
5b00101 = DATX8 5 PLL/PHY macro digital test output
5b00110 = DATX8 6 PLL/PHY macro digital test output
5b00111 = DATX8 7 PLL/PHY macro digital test output
5b01000 = DATX8 8 PLL/PHY macro digital test output
5b01001 = AC PLL/PHY macro digital test output for AC Macro0
5b01010 = AC PLL/PHY macro digital test output for AC Macro1
5b01011 - 5b01111 = Reserved
5b10000 = DATX8 0 delay line digital test output
5b10001 = DATX8 1 delay line digital test output
5b10010 = DATX8 2 delay line digital test output
5b10011 = DATX8 3 delay line digital test output
5b10100 = DATX8 4 delay line digital test output
5b10101 = DATX8 5 delay line digital test output
5b10110 = DATX8 6 delay line digital test output
5b10111 = DATX8 7 delay line digital test output
5b11000 = DATX8 8 delay line digital test output
5b11001 = AC delay line digital test output for AC Macro 0
5b11010 = AC delay line digital test output for AC Macro 1
5b11011 - 5b11111 = Reserved
NOTE: For DTO settings of 5b00000 to 5b01111,
PGCR1.DTOMODE selects whether the digital test output is
coming from the PLL or the PHY (AC/DATX8) macro</t>
  </si>
  <si>
    <t>OSCACDL</t>
  </si>
  <si>
    <t>Oscillator Mode Address/Command Delay Line Select: Selects
which of the two address/command LCDLs is active. The delay
select value of the inactive LCDL is set to zero while the delay
select value of the active LCDL can be varied by the input write
leveling delay select pin. Valid values are:
2b00 = No AC LCDL is active
2b01 = DDR AC LCDL is active
2b10 = CTL AC LCDL is active
2b11 = Both LCDLs are active</t>
  </si>
  <si>
    <t>PHYFRST</t>
  </si>
  <si>
    <t>PHY FIFO Reset: A write of 1b0 to this bit resets the AC Macro
FIFOs without resetting PUB RTL logic. This bit is not selfclearing
and a 1b1 must be written to de-assert the reset.</t>
  </si>
  <si>
    <t>ADCP</t>
  </si>
  <si>
    <t>Address Copy:
0: A/CS/CKE copy feature not enabled.
1: A/CS/CKE copy feature enabled
This feature is valid only when design is in LPDDR3, LPDDR4
mode. Refer section LPDDR3 LPDDR4 Address copy for
details.
Note: This bit should be set to 1’b0 during BIST AC and DX
loopback</t>
  </si>
  <si>
    <t>DDR_PHY_PGCR0</t>
  </si>
  <si>
    <t>tMOD: Parameter used only in DDR3 and DDR4. Cycles between load mode command and following non-load mode command.
If C/A parity for DDR4 is used, set to tMOD_PAR(tMOD+PL) instead.
Set to tMOD if controller is operating in 1:1 frequency ratio mode, or tMOD/2 (rounded up to next integer) if controller is operating in 1:2 frequency ratio mode. Note that if using RDIMM/LRDIMM, depending on the PHY, it may be necessary to adjust the value of this parameter to compensate for the extra cycle of latency applied to mode register writes by the RDIMM/LRDIMM chip.
Also note that if using LRDIMM, the minimum value of this register is tMRD_L2 if controller is operating in 1:1 frequency ratio mode, or tMRD_L2/2 (rounded up to next integer) if controller is operating in 1:2 frequency ratio mode.</t>
  </si>
  <si>
    <r>
      <rPr>
        <b/>
        <sz val="10"/>
        <color theme="1"/>
        <rFont val="Arial"/>
        <family val="2"/>
      </rPr>
      <t>Note, this field is updated automatically and it is not recommended to manually configure it.</t>
    </r>
    <r>
      <rPr>
        <sz val="10"/>
        <color theme="1"/>
        <rFont val="Arial"/>
        <family val="2"/>
      </rPr>
      <t xml:space="preserve">
Number of cycles to assert SDRAM reset signal during init sequence.
This is only present for designs supporting DDR3, DDR4 or LPDDR4 devices. For use with a Synopsys DDR PHY, this should be set to a minimum of 1.
When the controller is operating in 1:2 frequency ratio mode, program this to JEDEC spec value divided by 2, and round it up to the next integer value.
Unit: 1024 DFI clock cycles.
Value After Reset: 0x0</t>
    </r>
  </si>
  <si>
    <t>Refresh Period: Indicates the period in clock cycles after which the
PUB has to issue a refresh command to the SDRAM. This is derived
from the maximum refresh interval from the datasheet, tRFC(max) or
REFI, divided by the clock cycle time. A further number of clocks
must be subtracted from the derived number to account for command
flow and missed slots of refreshes in the internal PUB blocks.
In DDR3 and LPDDR3 mode, 400 clocks needs to subtracted
In DDR4 and LPDDR4 mode, 800 clocks needs to subtracted
In DDR3 and LPDDR3 mode, (DTCR.RFSHDT * tREFI)/tCK - 400
In DDR4 and LPDDR4 mode, (DTCR.RFSHDT * tREFI)/tCK - 800</t>
  </si>
  <si>
    <r>
      <t xml:space="preserve">Description: Selects the HIF address bit used as column address bit 11.
Valid Range: 0 to 7 and 15
Internal Base: 11
The selected HIF address bit is determined by adding the internal base to the value of this field.
If set to 15, column address bit 11 is set to 0.
Value After Reset: 0x0
</t>
    </r>
    <r>
      <rPr>
        <b/>
        <sz val="10"/>
        <color theme="1"/>
        <rFont val="Arial"/>
        <family val="2"/>
      </rPr>
      <t>NOTE, documentation may be wrong. Per designer, RTL says this is a 5-bit field and to disable, must set to 0x1F.</t>
    </r>
  </si>
  <si>
    <r>
      <t xml:space="preserve">Description: Selects the HIF address bit used as column address bit 10.
Valid Range: 0 to 7 and 15
Internal Base: 10
The selected HIF address bit is determined by adding the internal base to the value of this field.
If set to 15, bank column bit 10 is set to 0.
Value After Reset: 0x0
</t>
    </r>
    <r>
      <rPr>
        <b/>
        <sz val="10"/>
        <color theme="1"/>
        <rFont val="Arial"/>
        <family val="2"/>
      </rPr>
      <t>NOTE, documentation may be wrong. Per designer, RTL says this is a 5-bit field and to disable, must set to 0x1F.</t>
    </r>
  </si>
  <si>
    <r>
      <t xml:space="preserve">Description: Write latency
Number of clocks from the write command to write data enable (dfi_wrdata_en). This corresponds to the DFI timing parameter tphy_wrlat.
Refer to PHY specification for correct value.
This field is automatically updated.
Value After Reset: 0x2
</t>
    </r>
    <r>
      <rPr>
        <b/>
        <sz val="10"/>
        <color theme="1"/>
        <rFont val="Arial"/>
        <family val="2"/>
      </rPr>
      <t>Per PUB databook, tphy_wrlat is WL (write latency) + 1 - 3.</t>
    </r>
  </si>
  <si>
    <r>
      <t xml:space="preserve">Description: Number of clocks between when a read command is sent on the DFI control interface and when the associated dfi_rddata_cs signal is asserted. This corresponds to the DFI timing parameter tphy_rdcslat. Refer to PHY specification for correct value.
Value After Reset: 0x2
</t>
    </r>
    <r>
      <rPr>
        <b/>
        <sz val="10"/>
        <color theme="1"/>
        <rFont val="Arial"/>
        <family val="2"/>
      </rPr>
      <t>Per PUB databook, tphy_rdcslat is trddata_en-2</t>
    </r>
  </si>
  <si>
    <r>
      <t xml:space="preserve">Description: Number of clocks between when a write command is sent on the DFI control interface and when the associated dfi_wrdata_cs signal is asserted. This corresponds to the DFI timing parameter tphy_wrcslat.
Refer to PHY specification for correct value.
Value After Reset: 0x2
</t>
    </r>
    <r>
      <rPr>
        <b/>
        <sz val="10"/>
        <color theme="1"/>
        <rFont val="Arial"/>
        <family val="2"/>
      </rPr>
      <t>Per PUB databook, tphy_wrcslat is tphy_wrlat -2</t>
    </r>
  </si>
  <si>
    <r>
      <t xml:space="preserve">DRAM Internal write to read command delay.
For DDR4, use tWTR_L (write-to-read delay for same bank
group).
Larger values give more conservative command-to-command
timings. Hence, we'll add 1 to the final value.
</t>
    </r>
    <r>
      <rPr>
        <b/>
        <sz val="10"/>
        <rFont val="Arial"/>
        <family val="2"/>
      </rPr>
      <t>This value is automatically calculated based on the value found in DDRC_DRAMTMG2[WR2RD] and should not be manually configured.</t>
    </r>
  </si>
  <si>
    <t>RANKEN</t>
  </si>
  <si>
    <t>DTRANK</t>
  </si>
  <si>
    <t>RDLVLGDIFF</t>
  </si>
  <si>
    <t>RDLVLGS</t>
  </si>
  <si>
    <t>RDPRMVL_TRN</t>
  </si>
  <si>
    <t>RDLVLEN</t>
  </si>
  <si>
    <t>BSTEN</t>
  </si>
  <si>
    <t>Rank Enable: Specifies the ranks that are enabled for datatraining
and write leveling. Bit 0 controls rank 0, bit 1 controls
rank 1, etc. Setting the bit to 1b1 enables the rank, and
setting it to 1b0 disables the rank. This setting also specifies
the ranks that are enabled for DQS drift detection and
compensation.</t>
  </si>
  <si>
    <t>Data Training Rank: Selects the SDRAM rank to be used
during data bit deskew.</t>
  </si>
  <si>
    <t>Read Leveling Gate Sampling Difference: width of DQS
sampling window. Encoded as a fraction of the DDR clock
period follows:
0b000: GDQSPRD/4
0b001: GDQSPRD/4
0b010: GDQSPRD/8
0b011: GDQSPRD/16
0b100: GDQSPRD/32
0b101: GDQSPRD/64
0b110: GDQSPRD/128
0b111: GDQSPRD/256</t>
  </si>
  <si>
    <t>Read Leveling Gate Shift: delay reduction to apply to gate
after it has been aligned to DQS. Encoded as a fraction of the
DDR clock period follows:
0b000: 0
0b001: GDQSPRD/4
0b010: GDQSPRD/8
0b011: GDQSPRD/16
0b100: GDQSPRD/32
0b101: GDQSPRD/64
0b110: GDQSPRD/128
0b111: GDQSPRD/256</t>
  </si>
  <si>
    <t>Read Preamble Training enable: engages read preamble
training mode in DDR4 DRAM during gate training</t>
  </si>
  <si>
    <t>Read Leveling Enable: Run a DQS sampling scheme using
the gate to align the rising edges of DQS and the gate after
which a delay reduction is applied to the gate (see
RDLVLGS).
Note: This bit should not be enabled when the gate is
extended</t>
  </si>
  <si>
    <t>Basic Gate Training Enable: Runs a trial and error algorithm
to progressively evaluate gate positions and narrow down to a
working one</t>
  </si>
  <si>
    <t>DDR_PHY_DTCR1</t>
  </si>
  <si>
    <r>
      <rPr>
        <b/>
        <sz val="10"/>
        <rFont val="Arial"/>
        <family val="2"/>
      </rPr>
      <t>LPDDR4 MR1:</t>
    </r>
    <r>
      <rPr>
        <sz val="10"/>
        <rFont val="Arial"/>
        <family val="2"/>
      </rPr>
      <t xml:space="preserve">
Write-Recovery for Auto-Pre-charge commands
000B: nWR = 6 (default)
001B: nWR = 10
010B: nWR = 16
011B: nWR = 20
100B: nWR = 24
101B: nWR = 30
110B: nWR = 34
111B: nWR = 40
Some LPDDR4 memory vendor data sheets contain a RL, WL, and nWR settings table for various frequency ranges.
This setting is automatically calculated.</t>
    </r>
  </si>
  <si>
    <t>DDRC_DBICTL</t>
  </si>
  <si>
    <t>RD_DBI_EN</t>
  </si>
  <si>
    <t>WR_DBI_EN</t>
  </si>
  <si>
    <t>DM_EN</t>
  </si>
  <si>
    <t>Read DBI enable signal in DDRC.
■0 - Read DBI is disabled.
■1 - Read DBI is enabled.
This signal must be set the same value as DRAM's mode register.
■DDR4: MR5 bit A12. When x4 devices are used, this signal must be set to 0.
■LPDDR4: MR3[6]
Value After Reset: 0x0</t>
  </si>
  <si>
    <t>Write DBI enable signal in DDRC.
■0 - Write DBI is disabled.
■1 - Write DBI is enabled.
This signal must be set the same value as DRAM's mode register.
■DDR4: MR5 bit A11. When x4 devices are used, this signal must be set to 0.
■LPDDR4: MR3[7]
Value After Reset: 0x0</t>
  </si>
  <si>
    <t>DM enable signal in DDRC.
■0 - DM is disabled.
■1 - DM is enabled.
This signal must be set the same logical value as DRAM's mode register.
■DDR4: Set this to same value as MR5 bit A10. When x4 devices are used, this signal must be set to 0.
■LPDDR4: Set this to inverted value of MR13[5] which is opposite polarity from this signal
Value After Reset: 0x1</t>
  </si>
  <si>
    <t>NXP LPDDR4 validation board</t>
  </si>
  <si>
    <t>Micron</t>
  </si>
  <si>
    <r>
      <rPr>
        <b/>
        <sz val="10"/>
        <color theme="1"/>
        <rFont val="Arial"/>
        <family val="2"/>
      </rPr>
      <t>Note, user must supply tREFI (in ns) from the DRAM data sheet, see description for more details.</t>
    </r>
    <r>
      <rPr>
        <sz val="10"/>
        <color theme="1"/>
        <rFont val="Arial"/>
        <family val="2"/>
      </rPr>
      <t xml:space="preserve">
tREFI: Average time interval between refreshes per rank (Specification: 7.8us for DDR2, DDR3 and DDR4. See JEDEC specification for mDDR, LPDDR2, LPDDR3 and LPDDR4).
For LPDDR2/LPDDR3/LPDDR4:
■if using all-bank refreshes (RFSHCTL0.per_bank_refresh = 0), this register should be set to tREFIab
■if using per-bank refreshes (RFSHCTL0.per_bank_refresh = 1), this register should be set to tREFIpb
When the controller is operating in 1:2 frequency ratio mode, program this to (tREFI/2), no rounding up.
In DDR4 mode, tREFI value is different depending on the refresh mode. The user should program the appropriate value from the spec based on the value programmed in the refresh mode register.
Note that RFSHTMG.t_rfc_nom_x32 * 32 must be greater than RFSHTMG.t_rfc_min, and RFSHTMG.t_rfc_nom_x32 must be greater than 0x1.
■Non-DDR4 or DDR4 Fixed 1x mode: RFSHTMG.t_rfc_nom_x32 must be less than or equal to 0xFFE.
■DDR4 Fixed 2x mode: RFSHTMG.t_rfc_nom_x32 must be less than or equal to 0x7FF.
■DDR4 Fixed 4x mode: RFSHTMG.t_rfc_nom_x32 must be less than or equal to 0x3FF.
Unit: Multiples of 32 clocks.
Value After Reset: 0x62</t>
    </r>
  </si>
  <si>
    <r>
      <rPr>
        <b/>
        <sz val="10"/>
        <color theme="1"/>
        <rFont val="Arial"/>
        <family val="2"/>
      </rPr>
      <t>Note, user must supply tRFC (min) (in ns) from the DRAM data sheet</t>
    </r>
    <r>
      <rPr>
        <sz val="10"/>
        <color theme="1"/>
        <rFont val="Arial"/>
        <family val="2"/>
      </rPr>
      <t xml:space="preserve">
tRFC (min): Minimum time from refresh to refresh or activate.
When the controller is operating in 1:1 mode, t_rfc_min should be set to RoundUp(tRFCmin/tCK).
When the controller is operating in 1:2 mode, t_rfc_min should be set to RoundUp(RoundUp(tRFCmin/tCK)/2).
In LPDDR2/LPDDR3/LPDDR4 mode:
■if using all-bank refreshes, the tRFCmin value in the above equations is equal to tRFCab
■if using per-bank refreshes, the tRFCmin value in the above equations is equal to tRFCpb
In DDR4 mode, the tRFCmin value in the above equations is different depending on the refresh mode (fixed 1X,2X,4X) and the device density. The user should program the appropriate value from the spec based on the 'refresh_mode' and the device density that is used.
Unit: Clocks.
Value After Reset: 0x8c</t>
    </r>
  </si>
  <si>
    <r>
      <rPr>
        <b/>
        <sz val="10"/>
        <color theme="1"/>
        <rFont val="Arial"/>
        <family val="2"/>
      </rPr>
      <t>Note, this field is updated automatically and it is not recommended to manually configure it.</t>
    </r>
    <r>
      <rPr>
        <sz val="10"/>
        <color theme="1"/>
        <rFont val="Arial"/>
        <family val="2"/>
      </rPr>
      <t xml:space="preserve">
Cycles to wait after reset before driving CKE high to start the SDRAM initialization sequence.
Unit: 1024 DFI clock cycles.
DDR2 specifications typically require this to be programmed for a delay of &gt;= 200 us.
LPDDR2/LPDDR3: tINIT1 of 100 ns (min)
LPDDR4: tINIT3 of 2 ms (min)
When the controller is operating in 1:2 frequency ratio mode, program this to JEDEC spec value divided by 2, and round it up to the next integer value.
For DDR3/DDR4 RDIMMs, this should include the time needed to satisfy tSTAB
Value After Reset: 0x4e</t>
    </r>
  </si>
  <si>
    <r>
      <rPr>
        <b/>
        <sz val="10"/>
        <color theme="1"/>
        <rFont val="Arial"/>
        <family val="2"/>
      </rPr>
      <t>Note, this field is updated automatically and it is not recommended to manually configure it.</t>
    </r>
    <r>
      <rPr>
        <sz val="10"/>
        <color theme="1"/>
        <rFont val="Arial"/>
        <family val="2"/>
      </rPr>
      <t xml:space="preserve">
tRAS(max): Maximum time between activate and precharge to same bank. This is the maximum time that a page can be kept open
Minimum value of this register is 1. Zero is invalid.
When the controller is operating in 1:2 frequency ratio mode, program this to (tRAS(max)-1)/2. No rounding up.
Unit: Multiples of 1024 clocks.
Value After Reset: 0x1b</t>
    </r>
  </si>
  <si>
    <t>T_CKESR</t>
  </si>
  <si>
    <t>T_CKE</t>
  </si>
  <si>
    <t>This is the time before Deep Power Down Exit that CK is maintained as a valid clock before issuing DPDX. Specifies the clock stable time before DPDX.
Recommended settings:
■mDDR: 1
■LPDDR2: 2
■LPDDR3: 2
When the controller is operating in 1:2 frequency ratio mode, program this to recommended value divided by two and round it up to next integer.
This is only present for designs supporting mDDR or LPDDR2 devices.
Value After Reset: 0x2</t>
  </si>
  <si>
    <t>This is the time after Deep Power Down Entry that CK is maintained as a valid clock. Specifies the clock disable delay after DPDE.
Recommended settings:
■mDDR: 0
■LPDDR2: 2
■LPDDR3: 2
When the controller is operating in 1:2 frequency ratio mode, program this to recommended value divided by two and round it up to next integer.
This is only present for designs supporting mDDR or LPDDR2/LPDDR3 devices.
Value After Reset: 0x2</t>
  </si>
  <si>
    <t>This is the time before Power Down Exit that CK is maintained as a valid clock before issuing PDX. Specifies the clock stable time before PDX.
Recommended settings:
■mDDR: 0
■LPDDR2: 2
■LPDDR3: 2
■LPDDR4: 2
When using DDR2/3/4 SDRAM, this register should be set to the same value as DRAMTMG5.t_cksrx. When the controller is operating in 1:2 frequency ratio mode, program this to recommended value divided by two and round it up to next integer.
This is only present for designs supporting mDDR or LPDDR2/LPDDR3/LPDDR4 devices.
Value After Reset: 0x2</t>
  </si>
  <si>
    <r>
      <rPr>
        <b/>
        <sz val="10"/>
        <color theme="1"/>
        <rFont val="Arial"/>
        <family val="2"/>
      </rPr>
      <t>For LPDDR4, leaves this as default 16 (0x10).</t>
    </r>
    <r>
      <rPr>
        <sz val="10"/>
        <color theme="1"/>
        <rFont val="Arial"/>
        <family val="2"/>
      </rPr>
      <t xml:space="preserve">
tMRD_PDA: This is the Mode Register Set command cycle time in PDA mode.
When the controller is operating in 1:2 frequency ratio mode, program this to (tMRD_PDA/2) and round it up to the next integer value.
Value After Reset: 0x10</t>
    </r>
  </si>
  <si>
    <r>
      <t xml:space="preserve">Description: LPDDR4: tODTLoff: This is the latency from CAS-2 command to tODToff reference.
</t>
    </r>
    <r>
      <rPr>
        <b/>
        <sz val="10"/>
        <color theme="1"/>
        <rFont val="Arial"/>
        <family val="2"/>
      </rPr>
      <t>In the JEDEC spec and memory vendor data sheet, this value is found in table which provides latency values for various frequency ranges, input the desired ODTLoff latency setting in clock cycles.</t>
    </r>
    <r>
      <rPr>
        <sz val="10"/>
        <color theme="1"/>
        <rFont val="Arial"/>
        <family val="2"/>
      </rPr>
      <t xml:space="preserve">
When the controller is operating in 1:2 frequency ratio mode, program this to (tODTLoff/2) and round it up to the next integer value.
Unit: Clocks.
Value After Reset: 0x1c</t>
    </r>
  </si>
  <si>
    <r>
      <t xml:space="preserve">Description: LPDDR4: tCCDMW: This is the minimum time from write or masked write to masked write command for same bank.
</t>
    </r>
    <r>
      <rPr>
        <b/>
        <sz val="10"/>
        <color theme="1"/>
        <rFont val="Arial"/>
        <family val="2"/>
      </rPr>
      <t>In some memory vendor data sheets, this is listed as CAS-to-CAS delay masked write, input the value in clock cycles.</t>
    </r>
    <r>
      <rPr>
        <sz val="10"/>
        <color theme="1"/>
        <rFont val="Arial"/>
        <family val="2"/>
      </rPr>
      <t xml:space="preserve">
When the controller is operating in 1:2 frequency ratio mode, program this to (tCCDMW/2) and round it up to the next integer value.
Unit: Clocks.
Value After Reset: 0x20</t>
    </r>
  </si>
  <si>
    <t>Description: LPDDR4: tPPD: This is the minimum time from precharge to precharge command.
When the controller is operating in 1:2 frequency ratio mode, program this to (tPPD/2) and round it up to the next integer value.
Unit: Clocks.
Value After Reset: 0x4</t>
  </si>
  <si>
    <t>DDRC_ZQCTL1 is mainly used only for LPDDR4/LPDDR3/LPDDR2 configurations.</t>
  </si>
  <si>
    <r>
      <rPr>
        <b/>
        <sz val="10"/>
        <rFont val="Arial"/>
        <family val="2"/>
      </rPr>
      <t>LPDDR4 MR2:
IMPORTANT: Make sure to match WL setting with DDRC_DRAMTMG2[WRITE_LATENCY]
This setting is automatically calculated.</t>
    </r>
    <r>
      <rPr>
        <sz val="10"/>
        <rFont val="Arial"/>
        <family val="2"/>
      </rPr>
      <t xml:space="preserve">
</t>
    </r>
    <r>
      <rPr>
        <sz val="8"/>
        <rFont val="Arial"/>
        <family val="2"/>
      </rPr>
      <t>WL Set "A” (if Write Latency Set MR2 OP[6]=0B)
000B: WL=4 (Default)
001B: WL=6
010B: WL=8
011B: WL=10
100B: WL=12
101B: WL=14
110B: WL=16
111B: WL=18
WL Set "B" (if Write Latency Set MR2 OP[6]=1B)
000B: WL=4
001B: WL=8
010B: WL=12
011B: WL=18
100B: WL=22
101B: WL=26
110B: WL=30
111B: WL=34</t>
    </r>
  </si>
  <si>
    <r>
      <rPr>
        <b/>
        <sz val="10"/>
        <rFont val="Arial"/>
        <family val="2"/>
      </rPr>
      <t>LPDDR4 MR2:
IMPORTANT: Make sure to match RL setting with DDRC_DRAMTMG2[READ_LATENCY]
This setting is automatically calculated.</t>
    </r>
    <r>
      <rPr>
        <sz val="10"/>
        <rFont val="Arial"/>
        <family val="2"/>
      </rPr>
      <t xml:space="preserve">
</t>
    </r>
    <r>
      <rPr>
        <sz val="8"/>
        <rFont val="Arial"/>
        <family val="2"/>
      </rPr>
      <t>RL &amp; nRTP for DBI-RD Disabled (MR3 OP[6]=0B)
000B: RL=6, nRTP = 8 (Default)
001B: RL=10, nRTP = 8
010B: RL=14, nRTP = 8
011B: RL=20, nRTP = 8
100B: RL=24, nRTP = 10
101B: RL=28, nRTP = 12
110B: RL=32, nRTP = 14
111B: RL=36, nRTP = 16
RL &amp; nRTP for DBI-RD Enabled (MR3 OP[6]=1B)
000B: RL=6, nRTP = 8
001B: RL=12, nRTP = 8
010B: RL=16, nRTP = 8
011B: RL=22, nRTP = 8
100B: RL=28, nRTP = 10
101B: RL=32, nRTP = 12
110B: RL=36, nRTP = 14
111B: RL=40, nRTP = 16</t>
    </r>
  </si>
  <si>
    <t>Description: Defines whether dfi_rddata_en/dfi_rddata/dfi_rddata_valid is generated using HDR or SDR values Selects whether value in DFITMG0.dfi_t_rddata_en is in terms of SDR or HDR clock cycles:
■ 0 in terms of HDR clock cycles
■ 1 in terms of SDR clock cycles
Refer to PHY specification for correct value.
Value After Reset: 0x0
Note: Some documents may refer to this bit as dfi_rddata_use_dfi_phy_clk</t>
  </si>
  <si>
    <t>Description: Defines whether dfi_wrdata_en/dfi_wrdata/dfi_wrdata_mask is generated using HDR or SDR values Selects whether value in DFITMG0.dfi_tphy_wrlat is in terms of SDR or HDR clock cycles Selects whether value in DFITMG0.dfi_tphy_wrdata is in terms of SDR or HDR clock cycles
■ 0 in terms of HDR clock cycles
■ 1 in terms of SDR clock cycles
Refer to PHY specification for correct value.
Value After Reset: 0x0
Note: Some documents may refer to this bit as dfi_wrdata_use_dfi_phy_clk</t>
  </si>
  <si>
    <r>
      <t xml:space="preserve">Description: Time from the assertion of a read command on the DFI interface to the assertion of the dfi_rddata_en signal.
Refer to PHY specification for correct value.
This corresponds to the DFI parameter trddata_en. Note that, depending on the PHY, if using RDIMM, it may be necessary to use the value (CL + 1) in the calculation of trddata_en. This is to compensate for the extra cycle of latency through the RDIMM.
Unit: Clocks
Value After Reset: 0x2
</t>
    </r>
    <r>
      <rPr>
        <b/>
        <sz val="10"/>
        <color theme="1"/>
        <rFont val="Arial"/>
        <family val="2"/>
      </rPr>
      <t>Per PUB databook, trddata_en = RL-4, where RL is RL (read latency)+DTPR3.TDQSCK</t>
    </r>
  </si>
  <si>
    <r>
      <rPr>
        <b/>
        <sz val="10"/>
        <rFont val="Arial"/>
        <family val="2"/>
      </rPr>
      <t>For LPDDR4, user inputs tRPab (all bank precharge). This parameter is copied from the DDRC_DRAMTMG1 T_RC setting above.</t>
    </r>
    <r>
      <rPr>
        <sz val="10"/>
        <rFont val="Arial"/>
        <family val="2"/>
      </rPr>
      <t xml:space="preserve">
Precharge command period: The minimum time between a precharge command and any other command. In LPDDR3 mode, PUB adds an offset of 8 to the register value.</t>
    </r>
  </si>
  <si>
    <r>
      <rPr>
        <b/>
        <sz val="10"/>
        <rFont val="Arial"/>
        <family val="2"/>
      </rPr>
      <t xml:space="preserve">User should input, in ns, the greater of tVRCG_ENABLE and tVRCG_DISABLE. JEDEC states this as 200ns and 100ns respectively so there is probably no need to update this parameter. </t>
    </r>
    <r>
      <rPr>
        <sz val="10"/>
        <rFont val="Arial"/>
        <family val="2"/>
      </rPr>
      <t xml:space="preserve">
tVRCG_ENABLE/VRCG_DISABLE - VREF high current mode enable/Disable time for MR13 MRW during DRAM initialization in LPDDR4 mode. Number of DRAM clocks required to meet
tVRCG_ENABLE/VRCG_DISABLE timing. Valid values are:
3b000 = 64
3b001 = 128
3b010 = 192
3b011 = 256
3b100 = 320
3b101 = 384
3b110 = 448
3b111 = 512
Note: Program this field to the next higher value if tVRCG-3 results in a value less than tVRCG_ENABLE/tVRCG_DISABLE.</t>
    </r>
  </si>
  <si>
    <t>DLL locking time. The PUB adds an offset of 128 to this programmed register value to derive the final tDLLK value. Valid values are 0 to 1023, giving valid tDLLK values of 128 to 1151. Default value gives tDLLK value of 512.  Not used for LPDDR4 so just leave as default.</t>
  </si>
  <si>
    <t>Instructions:</t>
  </si>
  <si>
    <t>1. User input MX8QM data bit connection to associated LPDDR4 data bit (note, make sure to associate the proper MX8QM data bits to the associated MX8QM channel).</t>
  </si>
  <si>
    <t>2. User programs the calculated DDR_PHY_DXnMAP[0:1] into their LPDDR4 initialization</t>
  </si>
  <si>
    <t>3. Note, the actual LPDDR4 channel is a don't care. MX8QM channel does not necessarily have to align directly with the LPDDR4 channel.</t>
  </si>
  <si>
    <t>DDR Controller/PHY Module 0</t>
  </si>
  <si>
    <t>Chan B</t>
  </si>
  <si>
    <t>Chan A</t>
  </si>
  <si>
    <t>DRAM data bus</t>
  </si>
  <si>
    <t>MX8QM data bus (User Input)-&gt;</t>
  </si>
  <si>
    <t>MX8QM byte lane</t>
  </si>
  <si>
    <t>MX8QM bits within byte lane</t>
  </si>
  <si>
    <t>DDR PHY 0 DXnMAP[0:1] registers programming</t>
  </si>
  <si>
    <t>LPDDR4 CBT function ddr_phy_detect_ca_training_pattern() associated byte reads</t>
  </si>
  <si>
    <t xml:space="preserve">byte1 = </t>
  </si>
  <si>
    <t xml:space="preserve">byte3 = </t>
  </si>
  <si>
    <t>DDR PHY CATR[0:1] registers programming</t>
  </si>
  <si>
    <t>DDR PHY PGCR8 BSWAPMSB programming</t>
  </si>
  <si>
    <t>DDR Controller/PHY Module 1</t>
  </si>
  <si>
    <t>DDR PHY 1 DXnMAP[0:1] registers programming</t>
  </si>
  <si>
    <t>/*</t>
  </si>
  <si>
    <t xml:space="preserve"> *</t>
  </si>
  <si>
    <t xml:space="preserve"> */</t>
  </si>
  <si>
    <t>#define __ASSEMBLY__</t>
  </si>
  <si>
    <t xml:space="preserve"> * Each entry must have the format:</t>
  </si>
  <si>
    <t xml:space="preserve"> * Addr-type           Address        Value</t>
  </si>
  <si>
    <t xml:space="preserve"> * where:</t>
  </si>
  <si>
    <t>/* DRAM 0 controller configuration begin */</t>
  </si>
  <si>
    <t>/* DRAM 1 controller initialization */</t>
  </si>
  <si>
    <t>// Set-up DATX8 General Configuration Registers</t>
  </si>
  <si>
    <t xml:space="preserve"> * Address   absolute address of the register</t>
  </si>
  <si>
    <t xml:space="preserve"> * value   value to be stored in the register</t>
  </si>
  <si>
    <t xml:space="preserve"> * Addr-type register length (1,2 or 4 bytes)</t>
  </si>
  <si>
    <t>DATA 4</t>
  </si>
  <si>
    <t>0x41a40208</t>
  </si>
  <si>
    <t>0x41d00208</t>
  </si>
  <si>
    <t>0x41a40204</t>
  </si>
  <si>
    <t>0x41d00204</t>
  </si>
  <si>
    <t>0x1</t>
  </si>
  <si>
    <t xml:space="preserve">DATA 4 </t>
  </si>
  <si>
    <t xml:space="preserve">DDRC_MSTR_0   </t>
  </si>
  <si>
    <t>// Set LPDDR4, BL = 16 and active ranks</t>
  </si>
  <si>
    <t>// tREFI, tRFC</t>
  </si>
  <si>
    <t>// MR3, MR13</t>
  </si>
  <si>
    <t>DDRC_DFITMG0_SHADOW_0</t>
  </si>
  <si>
    <t xml:space="preserve">DDRC_RANKCTL_0  </t>
  </si>
  <si>
    <t xml:space="preserve">DDRC_DRAMTMG0_0 </t>
  </si>
  <si>
    <t xml:space="preserve">DDRC_DRAMTMG1_0 </t>
  </si>
  <si>
    <t xml:space="preserve">DDRC_DRAMTMG2_0 </t>
  </si>
  <si>
    <t xml:space="preserve">DDRC_DRAMTMG3_0 </t>
  </si>
  <si>
    <t xml:space="preserve">DDRC_DRAMTMG4_0 </t>
  </si>
  <si>
    <t xml:space="preserve">DDRC_DRAMTMG5_0 </t>
  </si>
  <si>
    <t xml:space="preserve">DDRC_DRAMTMG6_0 </t>
  </si>
  <si>
    <t xml:space="preserve">DDRC_DRAMTMG7_0 </t>
  </si>
  <si>
    <t>DDRC_DRAMTMG12_0</t>
  </si>
  <si>
    <t>DDRC_DRAMTMG13_0</t>
  </si>
  <si>
    <t>DDRC_DRAMTMG14_0</t>
  </si>
  <si>
    <t xml:space="preserve">DDRC_ZQCTL0_0   </t>
  </si>
  <si>
    <t xml:space="preserve">DDRC_ZQCTL1_0   </t>
  </si>
  <si>
    <t xml:space="preserve">DDRC_DFITMG0_0  </t>
  </si>
  <si>
    <t xml:space="preserve">DDRC_DFITMG1_0  </t>
  </si>
  <si>
    <t xml:space="preserve">DDRC_DFITMG2_0  </t>
  </si>
  <si>
    <t xml:space="preserve">DDRC_DFIMISC_0  </t>
  </si>
  <si>
    <t xml:space="preserve">DDRC_DFIUPD0_0  </t>
  </si>
  <si>
    <t xml:space="preserve">DDRC_DFIUPD1_0  </t>
  </si>
  <si>
    <t xml:space="preserve">DDRC_DFIUPD2_0  </t>
  </si>
  <si>
    <t xml:space="preserve">DDRC_ADDRMAP0_0 </t>
  </si>
  <si>
    <t xml:space="preserve">DDRC_ADDRMAP4_0 </t>
  </si>
  <si>
    <t xml:space="preserve">DDRC_ADDRMAP1_0 </t>
  </si>
  <si>
    <t xml:space="preserve">DDRC_ADDRMAP5_0 </t>
  </si>
  <si>
    <t xml:space="preserve">DDRC_ADDRMAP6_0 </t>
  </si>
  <si>
    <t xml:space="preserve">DDRC_DBICTL_0   </t>
  </si>
  <si>
    <t xml:space="preserve">DDRC_ODTMAP_0   </t>
  </si>
  <si>
    <t xml:space="preserve">DDRC_PCTRL_0_0  </t>
  </si>
  <si>
    <t>0x00000001</t>
  </si>
  <si>
    <t>// txsr</t>
  </si>
  <si>
    <t>// dfi_data_cs_polarity</t>
  </si>
  <si>
    <t>// Disable the automatic dfi_ctrlupd_req generation</t>
  </si>
  <si>
    <t>// dfi_ctrlupd_req generation interval generation (min and max)</t>
  </si>
  <si>
    <t>// dfi_phyupd_en</t>
  </si>
  <si>
    <t>// addrmap_cs_bit0</t>
  </si>
  <si>
    <t>// addrmap_col_b10 and addrmap_col_b11 set to de-activated</t>
  </si>
  <si>
    <t>// rd_dbi_en=wr_dbi_en=dm_en=1</t>
  </si>
  <si>
    <t>// Enable port 0</t>
  </si>
  <si>
    <t>// wr2pr, tFAW, tRASmax, tRASmin</t>
  </si>
  <si>
    <t>// tXP, rd2pre, tRC</t>
  </si>
  <si>
    <t>// WL, RL, rd2wr, wr2rd</t>
  </si>
  <si>
    <t>// tmrw, tmrd, tmod</t>
  </si>
  <si>
    <t>// trcd, tccd, trrd, trp</t>
  </si>
  <si>
    <t>// tCKCKEH, tCKCKEL, tckesr, tcke</t>
  </si>
  <si>
    <t>// tckdpde, tckdpdx, tckcsx</t>
  </si>
  <si>
    <t>// tckpde, tckpdx</t>
  </si>
  <si>
    <t>// tODTLoff, tCCDMW, tPPD</t>
  </si>
  <si>
    <t>// tZQCAL, tZQLAT</t>
  </si>
  <si>
    <t>// tZQReset, tzq_short_interval</t>
  </si>
  <si>
    <t>// dfi_t_ctrl_delay, dfi_t_rddata_en, dfi_tphy_wrdata, dfi_tphy_wrlat</t>
  </si>
  <si>
    <t>// dfi_t_wrdata_delay, dfi_t_dram_clk_disable, dfi_t_dram_clk_enable</t>
  </si>
  <si>
    <t>// dfi_tphy_rdcslat, dfi_tphy_wrcslat</t>
  </si>
  <si>
    <t>// addrmap_bank_b2, addrmap_bank_b1, addrmap_bank_b0</t>
  </si>
  <si>
    <t>// addrmap_row_b11, addrmap_row_b10_b2, addrmap_row_b1, addrmap_row_b0</t>
  </si>
  <si>
    <t>// addrmap_row_b15, addrmap_row_b14, addrmap_row_b13, addrmap_row_b12</t>
  </si>
  <si>
    <t>// rank[3:0]_wr_odt, rank[3:0]_wr_odt</t>
  </si>
  <si>
    <t xml:space="preserve">// diff_rank_wr_gap, diff_rank_rd_gap, max_rank_rd </t>
  </si>
  <si>
    <t>0x00808000</t>
  </si>
  <si>
    <t xml:space="preserve">DDRC_MSTR_1     </t>
  </si>
  <si>
    <t xml:space="preserve">DDRC_RFSHTMG_1  </t>
  </si>
  <si>
    <t xml:space="preserve">DDRC_INIT0_1    </t>
  </si>
  <si>
    <t xml:space="preserve">DDRC_INIT1_1    </t>
  </si>
  <si>
    <t xml:space="preserve">DDRC_INIT3_1    </t>
  </si>
  <si>
    <t xml:space="preserve">DDRC_INIT4_1    </t>
  </si>
  <si>
    <t xml:space="preserve">DDRC_RANKCTL_1  </t>
  </si>
  <si>
    <t xml:space="preserve">DDRC_DRAMTMG0_1 </t>
  </si>
  <si>
    <t xml:space="preserve">DDRC_DRAMTMG1_1 </t>
  </si>
  <si>
    <t xml:space="preserve">DDRC_DRAMTMG2_1 </t>
  </si>
  <si>
    <t xml:space="preserve">DDRC_DRAMTMG3_1 </t>
  </si>
  <si>
    <t xml:space="preserve">DDRC_DRAMTMG4_1 </t>
  </si>
  <si>
    <t xml:space="preserve">DDRC_DRAMTMG5_1 </t>
  </si>
  <si>
    <t xml:space="preserve">DDRC_DRAMTMG6_1 </t>
  </si>
  <si>
    <t xml:space="preserve">DDRC_DRAMTMG7_1 </t>
  </si>
  <si>
    <t>DDRC_DRAMTMG12_1</t>
  </si>
  <si>
    <t>DDRC_DRAMTMG13_1</t>
  </si>
  <si>
    <t>DDRC_DRAMTMG14_1</t>
  </si>
  <si>
    <t xml:space="preserve">DDRC_ZQCTL0_1   </t>
  </si>
  <si>
    <t xml:space="preserve">DDRC_ZQCTL1_1   </t>
  </si>
  <si>
    <t xml:space="preserve">DDRC_DFITMG0_1  </t>
  </si>
  <si>
    <t xml:space="preserve">DDRC_DFITMG1_1  </t>
  </si>
  <si>
    <t xml:space="preserve">DDRC_DFITMG2_1  </t>
  </si>
  <si>
    <t xml:space="preserve">DDRC_DFIMISC_1  </t>
  </si>
  <si>
    <t xml:space="preserve">DDRC_DFIUPD0_1  </t>
  </si>
  <si>
    <t xml:space="preserve">DDRC_DFIUPD1_1  </t>
  </si>
  <si>
    <t xml:space="preserve">DDRC_DFIUPD2_1  </t>
  </si>
  <si>
    <t xml:space="preserve">DDRC_ADDRMAP0_1 </t>
  </si>
  <si>
    <t xml:space="preserve">DDRC_ADDRMAP4_1 </t>
  </si>
  <si>
    <t xml:space="preserve">DDRC_ADDRMAP1_1 </t>
  </si>
  <si>
    <t xml:space="preserve">DDRC_ADDRMAP5_1 </t>
  </si>
  <si>
    <t xml:space="preserve">DDRC_ADDRMAP6_1 </t>
  </si>
  <si>
    <t xml:space="preserve">DDRC_DBICTL_1   </t>
  </si>
  <si>
    <t xml:space="preserve">DDRC_ODTMAP_1   </t>
  </si>
  <si>
    <t xml:space="preserve">DDRC_PCTRL_0_1  </t>
  </si>
  <si>
    <t>DDRC_DFITMG0_SHADOW_1</t>
  </si>
  <si>
    <t>//-------------------------------------------</t>
  </si>
  <si>
    <t>// Configure registers for PHY initialization</t>
  </si>
  <si>
    <t>//-------------------------------=------------</t>
  </si>
  <si>
    <t>// Set-up DRAM Configuration Register</t>
  </si>
  <si>
    <t>DDR_PHY_DCR_0</t>
  </si>
  <si>
    <t>// LPDDR4 selection with 8 bank</t>
  </si>
  <si>
    <t>// Set-up byte and bit swapping registers</t>
  </si>
  <si>
    <t xml:space="preserve">DDR_PHY_PGCR8_0    </t>
  </si>
  <si>
    <t>DDR_PHY_DX0DQMAP0_0</t>
  </si>
  <si>
    <t>DDR_PHY_DX0DQMAP1_0</t>
  </si>
  <si>
    <t>DDR_PHY_DX1DQMAP0_0</t>
  </si>
  <si>
    <t>DDR_PHY_DX1DQMAP1_0</t>
  </si>
  <si>
    <t>DDR_PHY_DX2DQMAP0_0</t>
  </si>
  <si>
    <t>DDR_PHY_DX2DQMAP1_0</t>
  </si>
  <si>
    <t>DDR_PHY_DX3DQMAP0_0</t>
  </si>
  <si>
    <t>DDR_PHY_DX3DQMAP1_0</t>
  </si>
  <si>
    <t xml:space="preserve">DDR_PHY_CATR0_0    </t>
  </si>
  <si>
    <t xml:space="preserve">DDR_PHY_CATR1_0    </t>
  </si>
  <si>
    <t>// DQ bit 0/1/2/3/4 remapping</t>
  </si>
  <si>
    <t>// DQ bit 5/6/7 and DM remapping</t>
  </si>
  <si>
    <t>// Only for LPDDR3 but used here to know how LPDDR4 bytes are connected to PHY</t>
  </si>
  <si>
    <t>// Set-up PHY General Configuration Register</t>
  </si>
  <si>
    <t xml:space="preserve">SET_BIT 4 </t>
  </si>
  <si>
    <t>DDR_PHY_PGCR1_0</t>
  </si>
  <si>
    <t>DDR_PHY_PGCR0_0</t>
  </si>
  <si>
    <t>DDR_PHY_PGCR2_0</t>
  </si>
  <si>
    <t>DDR_PHY_PGCR3_0</t>
  </si>
  <si>
    <t>// Set ADCP=1 (Address Copy)</t>
  </si>
  <si>
    <t>// CKEN/CKNEN toggling and polarity</t>
  </si>
  <si>
    <t>// Set-up PHY Timing Register</t>
  </si>
  <si>
    <t>DDR_PHY_PTR0_0</t>
  </si>
  <si>
    <t>DDR_PHY_PTR1_0</t>
  </si>
  <si>
    <t>// tPLLPD, tPLLGS, tPHYRST</t>
  </si>
  <si>
    <t>// Set-up PLL Control Register</t>
  </si>
  <si>
    <t>// Set-up Impedance Control Register</t>
  </si>
  <si>
    <t xml:space="preserve">// ZPROG_DRAM_ODT and ZPROG_HOST_ODT </t>
  </si>
  <si>
    <t>// Set-up PHY Initialization Register</t>
  </si>
  <si>
    <t>// Launch initialization (set bit 0)</t>
  </si>
  <si>
    <t>DDR_PHY_PIR_0</t>
  </si>
  <si>
    <t>0x33</t>
  </si>
  <si>
    <t>0x32</t>
  </si>
  <si>
    <t>DDR_PHY_ZQ0PR0_0</t>
  </si>
  <si>
    <t>DDR_PHY_ZQ1PR0_0</t>
  </si>
  <si>
    <t>DDR_PHY_ZQCR_0</t>
  </si>
  <si>
    <t>// Set ODT_MODE=0b10(LPDDR4 stype pullup)</t>
  </si>
  <si>
    <t xml:space="preserve">DDR_PHY_PLLCR0_0      </t>
  </si>
  <si>
    <t>DDR_PHY_DX8SLbPLLCR0_0</t>
  </si>
  <si>
    <t>// Set-up DRAM 1 PHY Configuration Register</t>
  </si>
  <si>
    <t>DDR_PHY_DCR_1</t>
  </si>
  <si>
    <t>DDR_PHY_PGCR8_1</t>
  </si>
  <si>
    <t>DDR_PHY_DX0DQMAP0_1</t>
  </si>
  <si>
    <t>DDR_PHY_DX0DQMAP1_1</t>
  </si>
  <si>
    <t>DDR_PHY_DX1DQMAP0_1</t>
  </si>
  <si>
    <t>DDR_PHY_DX1DQMAP1_1</t>
  </si>
  <si>
    <t>DDR_PHY_DX2DQMAP0_1</t>
  </si>
  <si>
    <t>DDR_PHY_DX2DQMAP1_1</t>
  </si>
  <si>
    <t>DDR_PHY_DX3DQMAP0_1</t>
  </si>
  <si>
    <t>DDR_PHY_DX3DQMAP1_1</t>
  </si>
  <si>
    <t>DDR_PHY_CATR0_1</t>
  </si>
  <si>
    <t>DDR_PHY_CATR1_1</t>
  </si>
  <si>
    <t>DDR_PHY_PGCR1_1</t>
  </si>
  <si>
    <t>DDR_PHY_PGCR0_1</t>
  </si>
  <si>
    <t>DDR_PHY_PGCR2_1</t>
  </si>
  <si>
    <t>DDR_PHY_PGCR3_1</t>
  </si>
  <si>
    <t>DDR_PHY_PTR0_1</t>
  </si>
  <si>
    <t>DDR_PHY_PTR1_1</t>
  </si>
  <si>
    <t>DDR_PHY_PLLCR0_1</t>
  </si>
  <si>
    <t>DDR_PHY_DX8SLbPLLCR0_1</t>
  </si>
  <si>
    <t>DDR_PHY_ZQCR_1</t>
  </si>
  <si>
    <t>DDR_PHY_ZQ0PR0_1</t>
  </si>
  <si>
    <t>DDR_PHY_ZQ1PR0_1</t>
  </si>
  <si>
    <t>DDR_PHY_PIR_1</t>
  </si>
  <si>
    <t>SET_BIT 4</t>
  </si>
  <si>
    <t>// Configure registers for DRAM initialization</t>
  </si>
  <si>
    <t>// Set-up Mode Register</t>
  </si>
  <si>
    <t>DDR_PHY_MR1_0</t>
  </si>
  <si>
    <t>DDR_PHY_MR2_0</t>
  </si>
  <si>
    <t>DDR_PHY_MR3_0</t>
  </si>
  <si>
    <t>DDR_PHY_MR11_0</t>
  </si>
  <si>
    <t>DDR_PHY_MR22_0</t>
  </si>
  <si>
    <t>// Set ODTE-CS=1 (overrides ODT_CA for CS1 as CS not shared between ranks)</t>
  </si>
  <si>
    <t>DDR_PHY_MR12_0</t>
  </si>
  <si>
    <t>0x48</t>
  </si>
  <si>
    <t>DDR_PHY_MR14_0</t>
  </si>
  <si>
    <t>// Set-up DRAM Timing Parameters Register</t>
  </si>
  <si>
    <t>// DTPR6 is untouched</t>
  </si>
  <si>
    <t>DDR_PHY_DTPR0_0</t>
  </si>
  <si>
    <t>DDR_PHY_DTPR1_0</t>
  </si>
  <si>
    <t>DDR_PHY_DTPR2_0</t>
  </si>
  <si>
    <t>DDR_PHY_DTPR3_0</t>
  </si>
  <si>
    <t>DDR_PHY_DTPR4_0</t>
  </si>
  <si>
    <t>DDR_PHY_DTPR5_0</t>
  </si>
  <si>
    <t>// tRRD, tRAS, tRP, tRTP</t>
  </si>
  <si>
    <t>// tWLMRD, tFAW, tODTUP, tMRD</t>
  </si>
  <si>
    <t>// tRTW, tRTODT, tCMDCKE, tCKE, tVRCG, tXS</t>
  </si>
  <si>
    <t>// tRFC, tWLO, tXP</t>
  </si>
  <si>
    <t>// tRC, tRCD, tWTR</t>
  </si>
  <si>
    <t>DDR_PHY_PTR3_0</t>
  </si>
  <si>
    <t>DDR_PHY_PTR4_0</t>
  </si>
  <si>
    <t>DDR_PHY_PTR5_0</t>
  </si>
  <si>
    <t>DDR_PHY_PTR6_0</t>
  </si>
  <si>
    <t>// Set-up ODT Configuration Register</t>
  </si>
  <si>
    <t>// DDR ODT_CA signal is tied at boundary of DDR. Thus no need to drive it dynamically.</t>
  </si>
  <si>
    <t>DDR_PHY_RANKIDR_0</t>
  </si>
  <si>
    <t>DDR_PHY_ODTCR_0</t>
  </si>
  <si>
    <t>0x00000000</t>
  </si>
  <si>
    <t>// Select rank 1 to write</t>
  </si>
  <si>
    <t>// ODT of rank1 disabled</t>
  </si>
  <si>
    <t>// Select rank 0 to write</t>
  </si>
  <si>
    <t>// ODT of rank0 disabled</t>
  </si>
  <si>
    <t>// Set-up AC I/O Configuration Register</t>
  </si>
  <si>
    <t>// ACIOCR1-4 are untouched</t>
  </si>
  <si>
    <t>DDR_PHY_ACIOCR0_0</t>
  </si>
  <si>
    <t>DDR_PHY_ACIOCR5_0</t>
  </si>
  <si>
    <t>// PNUM2 (i.e.LPDDR4) selection  [10:11] = 0x2</t>
  </si>
  <si>
    <t>// I/O mode = LPDDR4</t>
  </si>
  <si>
    <t>// Due to address copy set A[13] (=cke_B[0]) and A[15] (=cke_B[1]) outputs as always ON.</t>
  </si>
  <si>
    <t>DDR_PHY_ACIOCR1_0</t>
  </si>
  <si>
    <t>// Set-up VREF Training Control Registers</t>
  </si>
  <si>
    <t>DDR_PHY_VTCR0_0</t>
  </si>
  <si>
    <t>DDR_PHY_VTCR1_0</t>
  </si>
  <si>
    <t>// CK1, CK0, DRAM VREF set to same as MR12</t>
  </si>
  <si>
    <t>// HVIO=1, SHREN=1, SHRNK=0</t>
  </si>
  <si>
    <t>// DXnGCR0-4 are untouched</t>
  </si>
  <si>
    <t>DDR_PHY_PGCR5_0</t>
  </si>
  <si>
    <t>0x4</t>
  </si>
  <si>
    <t>DDR_PHY_PGCR6_0</t>
  </si>
  <si>
    <t>0x00033200</t>
  </si>
  <si>
    <t>DDR_PHY_DX0GCR5_0</t>
  </si>
  <si>
    <t>0x09092020</t>
  </si>
  <si>
    <t>DDR_PHY_DX1GCR5_0</t>
  </si>
  <si>
    <t>DDR_PHY_DX2GCR5_0</t>
  </si>
  <si>
    <t>DDR_PHY_DX3GCR5_0</t>
  </si>
  <si>
    <t>DDR_PHY_DX0GCR4_0</t>
  </si>
  <si>
    <t>0x0E00BF3C</t>
  </si>
  <si>
    <t>DDR_PHY_DX1GCR4_0</t>
  </si>
  <si>
    <t>DDR_PHY_DX2GCR4_0</t>
  </si>
  <si>
    <t>DDR_PHY_DX3GCR4_0</t>
  </si>
  <si>
    <t>// Set DXREFISELR0 and DXREFISELR1 to 0x30, maintain other defaults</t>
  </si>
  <si>
    <t>// Set DXREFSSEL,DXREFSSELRANGE,DXREFSEN,DXREFIEN, maintain other defaults</t>
  </si>
  <si>
    <t>// Set-up DATX8 DX Control Register 2</t>
  </si>
  <si>
    <t>DDR_PHY_DX8SLbDXCTL2_0</t>
  </si>
  <si>
    <t>// Set-up DATX8 IO Control Register</t>
  </si>
  <si>
    <t>DDR_PHY_DX8SLbIOCR_0</t>
  </si>
  <si>
    <t>// MR0, MR3, MR4, MR5 MR6 are untouched</t>
  </si>
  <si>
    <t>// Set BL, WR-PRE, nWR, RPST</t>
  </si>
  <si>
    <t>DDR_PHY_MR1_1</t>
  </si>
  <si>
    <t>DDR_PHY_MR2_1</t>
  </si>
  <si>
    <t>DDR_PHY_MR3_1</t>
  </si>
  <si>
    <t>DDR_PHY_MR11_1</t>
  </si>
  <si>
    <t>DDR_PHY_MR22_1</t>
  </si>
  <si>
    <t>DDR_PHY_MR12_1</t>
  </si>
  <si>
    <t>DDR_PHY_MR14_1</t>
  </si>
  <si>
    <t>DDR_PHY_DTPR0_1</t>
  </si>
  <si>
    <t>DDR_PHY_DTPR1_1</t>
  </si>
  <si>
    <t>DDR_PHY_DTPR2_1</t>
  </si>
  <si>
    <t>DDR_PHY_DTPR3_1</t>
  </si>
  <si>
    <t>DDR_PHY_DTPR4_1</t>
  </si>
  <si>
    <t>DDR_PHY_DTPR5_1</t>
  </si>
  <si>
    <t>DDR_PHY_PTR3_1</t>
  </si>
  <si>
    <t>DDR_PHY_PTR4_1</t>
  </si>
  <si>
    <t>DDR_PHY_PTR5_1</t>
  </si>
  <si>
    <t>DDR_PHY_PTR6_1</t>
  </si>
  <si>
    <t>DDR_PHY_RANKIDR_1</t>
  </si>
  <si>
    <t>DDR_PHY_ODTCR_1</t>
  </si>
  <si>
    <t>DDR_PHY_ACIOCR0_1</t>
  </si>
  <si>
    <t>DDR_PHY_ACIOCR5_1</t>
  </si>
  <si>
    <t>DDR_PHY_ACIOCR1_1</t>
  </si>
  <si>
    <t>DDR_PHY_VTCR0_1</t>
  </si>
  <si>
    <t>DDR_PHY_VTCR1_1</t>
  </si>
  <si>
    <t>DDR_PHY_PGCR5_1</t>
  </si>
  <si>
    <t>DDR_PHY_PGCR6_1</t>
  </si>
  <si>
    <t>DDR_PHY_DX0GCR5_1</t>
  </si>
  <si>
    <t>DDR_PHY_DX1GCR5_1</t>
  </si>
  <si>
    <t>DDR_PHY_DX2GCR5_1</t>
  </si>
  <si>
    <t>DDR_PHY_DX3GCR5_1</t>
  </si>
  <si>
    <t>DDR_PHY_DX0GCR4_1</t>
  </si>
  <si>
    <t>DDR_PHY_DX1GCR4_1</t>
  </si>
  <si>
    <t>DDR_PHY_DX2GCR4_1</t>
  </si>
  <si>
    <t>DDR_PHY_DX3GCR4_1</t>
  </si>
  <si>
    <t>DDR_PHY_DX8SLbDXCTL2_1</t>
  </si>
  <si>
    <t>DDR_PHY_DX8SLbIOCR_1</t>
  </si>
  <si>
    <t>// Enable CSN Bit Delay VT Compensation (AC already enabled by default) + drift limit</t>
  </si>
  <si>
    <t>// pre_cke = 2ms, post_cke = 2us</t>
  </si>
  <si>
    <t>// dram_rstn = 200us</t>
  </si>
  <si>
    <t>// tCMDCKE, tCKEHCMD</t>
  </si>
  <si>
    <t>Only present for multi-rank configurations.
Indicates the number of clocks of gap in data responses when performing consecutive writes to different ranks.
This is used to switch the delays in the PHY to match the rank requirements. This value should consider both PHY requirement and ODT requirement.
■PHY requirement:
tphy_wrcsgap (see PHY databook for value of tphy_wrcsgap)
If CRC feature is enabled, should be increased by 1.
If write preamble is set to 2tCK(DDR4 only), should be increased by 1.
If write postamble is set to 1.5tCK(LPDDR4 only), should be increased by 1.
■ODT requirement:
The value programmed in this register takes care of the ODT switch off timing requirement when switching ranks during writes.
For LPDDR4, the requirement is ODTLoff - ODTLon - BL/2 + 1
When the controller is operating in 1:1 mode, program this to the larger of PHY requirement or ODT requirement.
When the controller is operating in 1:2 mode, program this to the larger value divided by two and round it up to the next integer.
Note that, if using DDR4-LRDIMM, refer to TWRWR timing requirements in JEDEC DDR4 Data Buffer (DDR4DB01) Specification.
Value After Reset: 0x6
Note, for LPDDR4 frequencies 1.2Ghz and 1.6Ghz, this value remains the same. For 1.2Ghz, ODTLon=4, ODTLoff=22 and ODTLoff-ODTLon=18. For 1.6Ghz, ODTLon=6, ODTLoff=24 and ODTLoff-ODTLon=18.</t>
  </si>
  <si>
    <t>Only present for multi-rank configurations.
Indicates the number of clocks of gap in data responses when performing consecutive reads to different ranks.
This is used to switch the delays in the PHY to match the rank requirements.
This value should consider both PHY requirement and ODT requirement.
■PHY requirement:
tphy_rdcsgap (see PHY databook for value of tphy_rdcsgap)
If read preamble is set to 2tCK(DDR4 only), should be increased by 1.
If read postamble is set to 1.5tCK(LPDDR4 only), should be increased by 1.
■ODT requirement:
The value programmed in this register takes care of the ODT switch off timing requirement when switching ranks during reads.
When the controller is operating in 1:1 mode, program this to the larger of PHY requirement or ODT requirement.
When the controller is operating in 1:2 mode, program this to the larger value divided by two and round it up to the next integer.
Note that, if using DDR4-LRDIMM, refer to TRDRD timing requirements in JEDEC DDR4 Data Buffer (DDR4DB01) Specification.
Value After Reset: 0x6
Note, it is recommended to leave this at the default value.</t>
  </si>
  <si>
    <r>
      <rPr>
        <b/>
        <sz val="10"/>
        <color theme="1"/>
        <rFont val="Arial"/>
        <family val="2"/>
      </rPr>
      <t xml:space="preserve">Note: WL is automatically set based on the user input for Clock Cycle Freq (MHz). </t>
    </r>
    <r>
      <rPr>
        <sz val="10"/>
        <color theme="1"/>
        <rFont val="Arial"/>
        <family val="2"/>
      </rPr>
      <t xml:space="preserve">
Set to WL
Time from write command to write data on SDRAM interface. This must be set to WL.
For mDDR, it should normally be set to 1.
Note that, depending on the PHY, if using RDIMM/LRDIMM, it may be necessary to adjust the value of WL to compensate for the extra cycle of latency through the RDIMM/LRDIMM.
When the controller is operating in 1:2 frequency ratio mode, divide the value calculated using the above equation by 2, and round it up to next integer.
This register field is not required for DDR2 and DDR3 (except if MEMC_TRAINING is set), as the DFI read and write latencies defined in DFITMG0 and DFITMG1 are sufficient for those protocols
Unit: clocks
Value After Reset: 0x3</t>
    </r>
  </si>
  <si>
    <t>Indicates what type of LPDDR4 SDRAM device is in use.
■2'b00: No LPDDR4 SDRAM 6Gb/12Gb/24Gb device in use. All addresses are valid
■2'b01: LPDDR4 SDRAM 6Gb device in use. Every address having row[14:13]==2'b11 is considered as invalid
■2'b10: LPDDR4 SDRAM 12Gb device in use. Every address having row[15:14]==2'b11 is considered as invalid
■2'b11: LPDDR4 SDRAM 24Gb device in use. Unsupported
Present only in designs configured to support LPDDR4.
Value After Reset: 0x0</t>
  </si>
  <si>
    <t>LPDDR4_6GB_12GB_24GB</t>
  </si>
  <si>
    <t>ADDRMAP_COL_B9</t>
  </si>
  <si>
    <t>DDRC_ADDRMAP3</t>
  </si>
  <si>
    <t>ADDRMAP_COL_B8</t>
  </si>
  <si>
    <t>ADDRMAP_COL_B7</t>
  </si>
  <si>
    <t>ADDRMAP_COL_B6</t>
  </si>
  <si>
    <t>Description:
• Full bus width mode: Selects the HIF address bit used as column address bit 6.
• Half bus width mode: Selects the HIF address bit used as column address bit 7.
• Quarter bus width mode: Selects the HIF address bit used as column address bit 8.
Valid Range: 0 to 7, and 15
Internal Base: 6
The selected HIF address bit is determined by adding the internal base to the value of this field. If set to
15, this column address bit is set to 0.
Value After Reset: 0x0</t>
  </si>
  <si>
    <t>// Wait PHY initialization end then launch DRAM initialization</t>
  </si>
  <si>
    <t>// Wait for bit 0 of PGSR0 to be '1'</t>
  </si>
  <si>
    <t xml:space="preserve">CHECK_BITS_SET 4 </t>
  </si>
  <si>
    <t xml:space="preserve">CHECK_BITS_CLR 4 </t>
  </si>
  <si>
    <t>DDR_PHY_PGSR0_0</t>
  </si>
  <si>
    <t>0x7FF40000</t>
  </si>
  <si>
    <t>DDR_PHY_PGSR0_1</t>
  </si>
  <si>
    <t>// Launch DRAM 0 initialization (set bit 0)</t>
  </si>
  <si>
    <t>0x180</t>
  </si>
  <si>
    <t>0x181</t>
  </si>
  <si>
    <t>// Launch DRAM 1 initialization (set bit 0)</t>
  </si>
  <si>
    <t>// DRAM 0 initialization end</t>
  </si>
  <si>
    <t>// DRAM 1 initialization end</t>
  </si>
  <si>
    <t>// Title: "PUB does not program LPDDR4 DRAM MR22 prior to running DRAM ZQ calibration"</t>
  </si>
  <si>
    <t>// Workaround: "Run DRAM Initialization twice"</t>
  </si>
  <si>
    <t>0x100</t>
  </si>
  <si>
    <t>0x101</t>
  </si>
  <si>
    <t>// Wait (second time) DRAM 0 initialization end</t>
  </si>
  <si>
    <t>CHECK_BITS_SET 4</t>
  </si>
  <si>
    <t>CHECK_BITS_CLR 4</t>
  </si>
  <si>
    <t>// Wait (second time) DRAM 1 initialization end</t>
  </si>
  <si>
    <t>//---------------------------------------------------------------//</t>
  </si>
  <si>
    <t>// DATA training</t>
  </si>
  <si>
    <t>// configure PHY for data training</t>
  </si>
  <si>
    <t>// The following register writes are recommended by SNPS prior to running training</t>
  </si>
  <si>
    <t xml:space="preserve">CLR_BIT 4 </t>
  </si>
  <si>
    <t>DDR_PHY_DQSDR0_0</t>
  </si>
  <si>
    <t>// Disable drift</t>
  </si>
  <si>
    <t>// Disable VT compensation</t>
  </si>
  <si>
    <t>DDR_PHY_PGSR1_0</t>
  </si>
  <si>
    <t>0x00020040</t>
  </si>
  <si>
    <t>// DISDIC=1; PUBMODE=1</t>
  </si>
  <si>
    <t>// Per SNPS initialize BIST registers for VREF training</t>
  </si>
  <si>
    <t>DDR_PHY_BISTAR1_0</t>
  </si>
  <si>
    <t>DDR_PHY_BISTAR2_0</t>
  </si>
  <si>
    <t>DDR_PHY_BISTAR4_0</t>
  </si>
  <si>
    <t>0x00010100</t>
  </si>
  <si>
    <t>0x700003FF</t>
  </si>
  <si>
    <t>0x00003FFF</t>
  </si>
  <si>
    <t>//BMRANK=1 (maximum rank minus 1); BIST Address Increment: 0x10 (16)</t>
  </si>
  <si>
    <t>// BMBANK=8; BMCOL=0x400 (limit to min cols in JEDEC)</t>
  </si>
  <si>
    <t>// BMROW=0x4000 (limit to min rows in JEDEC)</t>
  </si>
  <si>
    <t>DDR_PHY_DQSDR0_1</t>
  </si>
  <si>
    <t>DDR_PHY_PGSR1_1</t>
  </si>
  <si>
    <t>DDR_PHY_BISTAR1_1</t>
  </si>
  <si>
    <t>DDR_PHY_BISTAR2_1</t>
  </si>
  <si>
    <t>DDR_PHY_BISTAR4_1</t>
  </si>
  <si>
    <t>// Set-up Data Training Configuration Register</t>
  </si>
  <si>
    <t>// case 9001045655: Design limitation in LPDDR4 mode: REFRESH must be disabled during DQS2DQ training).</t>
  </si>
  <si>
    <t>DDR_PHY_DTCR0_0</t>
  </si>
  <si>
    <t>DDR_PHY_DTCR1_0</t>
  </si>
  <si>
    <t>DDR_PHY_DTCR0_1</t>
  </si>
  <si>
    <t>DDR_PHY_DTCR1_1</t>
  </si>
  <si>
    <t>// Set DTRPTN to 0x7. RFSHDT=0</t>
  </si>
  <si>
    <t>// Launch Write leveling</t>
  </si>
  <si>
    <t>0x200</t>
  </si>
  <si>
    <t>0x201</t>
  </si>
  <si>
    <t>// Wait Write leveling to complete</t>
  </si>
  <si>
    <t>0x00200000</t>
  </si>
  <si>
    <t>DDR_PHY_DX8SLbDQSCTL_0</t>
  </si>
  <si>
    <t>// Launch Read DQS training</t>
  </si>
  <si>
    <t>0x400</t>
  </si>
  <si>
    <t>0x401</t>
  </si>
  <si>
    <t>DDR_PHY_DX8SLbDQSCTL_1</t>
  </si>
  <si>
    <t>0x00400000</t>
  </si>
  <si>
    <t>// Wait Read DQS training to complete PHY0</t>
  </si>
  <si>
    <t>// Wait Read DQS training to complete PHY1</t>
  </si>
  <si>
    <t>// Remove DQS/DQSn glitch suppression resistor PHY0</t>
  </si>
  <si>
    <t>// Remove DQS/DQSn glitch suppression resistor PHY1</t>
  </si>
  <si>
    <t>// DQS2DQ training, Write leveling, Deskew and eye trainings</t>
  </si>
  <si>
    <t>0x0010F800</t>
  </si>
  <si>
    <t>0x0010F801</t>
  </si>
  <si>
    <t>// Wait for training to complete</t>
  </si>
  <si>
    <t xml:space="preserve">DDR_PHY_PGSR0_0 </t>
  </si>
  <si>
    <t xml:space="preserve">DDR_PHY_PGSR0_1 </t>
  </si>
  <si>
    <t>// Launch VREF training</t>
  </si>
  <si>
    <t>//Re-allow uMCTL2 to send commands to DDR</t>
  </si>
  <si>
    <t>CLR_BIT 4</t>
  </si>
  <si>
    <t>// DISDIC=0, PUBMODE=0</t>
  </si>
  <si>
    <t>DDR_PHY_DX0GCR3_0</t>
  </si>
  <si>
    <t>DDR_PHY_DX1GCR3_0</t>
  </si>
  <si>
    <t>DDR_PHY_DX2GCR3_0</t>
  </si>
  <si>
    <t>DDR_PHY_DX3GCR3_0</t>
  </si>
  <si>
    <t>0x08000000</t>
  </si>
  <si>
    <t>DDR_PHY_DQSDR1_0</t>
  </si>
  <si>
    <t>DDR_PHY_DQSDR2_0</t>
  </si>
  <si>
    <t>0x20188005</t>
  </si>
  <si>
    <t>0xA8AA0000</t>
  </si>
  <si>
    <t>0x00070200</t>
  </si>
  <si>
    <t>//DQS Drift Registers PHY0</t>
  </si>
  <si>
    <t>// Enable DQS drift detection PHY0</t>
  </si>
  <si>
    <t>//DQS Drift Registers PHY1</t>
  </si>
  <si>
    <t>// Enable DQS drift detection PHY1</t>
  </si>
  <si>
    <t>DDR_PHY_DX0GCR3_1</t>
  </si>
  <si>
    <t>DDR_PHY_DX1GCR3_1</t>
  </si>
  <si>
    <t>DDR_PHY_DX2GCR3_1</t>
  </si>
  <si>
    <t>DDR_PHY_DX3GCR3_1</t>
  </si>
  <si>
    <t>DDR_PHY_DQSDR1_1</t>
  </si>
  <si>
    <t>DDR_PHY_DQSDR2_1</t>
  </si>
  <si>
    <t>// Enable VT compensation</t>
  </si>
  <si>
    <t xml:space="preserve">0x1 </t>
  </si>
  <si>
    <t>//Check that controller is ready to operate</t>
  </si>
  <si>
    <t>DDRC_STAT_0</t>
  </si>
  <si>
    <t>DDRC_STAT_1</t>
  </si>
  <si>
    <t>#endif</t>
  </si>
  <si>
    <t>DTRPTN</t>
  </si>
  <si>
    <t>MPCWEYE</t>
  </si>
  <si>
    <t>DTMPR</t>
  </si>
  <si>
    <t>DTCMPD</t>
  </si>
  <si>
    <t>RFSHENT</t>
  </si>
  <si>
    <t>DTWBDDM</t>
  </si>
  <si>
    <t>DTBDC</t>
  </si>
  <si>
    <t>DTRDBITR</t>
  </si>
  <si>
    <t>DTDBS</t>
  </si>
  <si>
    <t>DTDEN</t>
  </si>
  <si>
    <t>DTDSTP</t>
  </si>
  <si>
    <t>DTEXD</t>
  </si>
  <si>
    <t>DTEXG</t>
  </si>
  <si>
    <t>DTDRS</t>
  </si>
  <si>
    <t>RFSHDT</t>
  </si>
  <si>
    <t>DDR_PHY_DTCR0</t>
  </si>
  <si>
    <t>Refresh During Training: A non-zero value specifies that a
burst of refreshes equal to the number specified in this field
inserted during training. Refer to the registers
PGCR2.tREFPRD to define the refresh period.
Programming with value of 0 in this register field will not insert
any Refresh during training.</t>
  </si>
  <si>
    <t>Data Training Debug Rank Select: Selects the rank during
training debug mode.</t>
  </si>
  <si>
    <t>Data Training with Early/Extended Gate: Specifies if set that
the DQS gate training should be performed with an
early/extended gate as specified in DX8SL*DQSCTL.DQSGX.
DTEXG=1 is not supported.</t>
  </si>
  <si>
    <t>Data Training Extended Write DQS: Enables, if set, an
extended write DQS whereby two additional pulses of DQS
are added as post-amble to a burst of writes. Generally this
should only be enabled when running read bit deskew with the
intention of performing read eye deskew prior to running write
leveling adjustment.</t>
  </si>
  <si>
    <t>Data Training Debug Step: A write of ‘1’ to this bit steps the
data training algorithm through a single step. This bit is self
clearing.</t>
  </si>
  <si>
    <t>Data Training Debug Enable: Enables, if set, the data training
to run in a single-step debug mode. In this mode, DTDSTP
must be repeatedly asserted to step through the data training.</t>
  </si>
  <si>
    <t>Data Training Debug Byte Select: Selects the byte during data
training debug mode.</t>
  </si>
  <si>
    <t>Data Training read DBI deskewing configuration.
Configures the data training read bit deskewing algorithm
optional RDBI deskew functionality.
Valid values are:
• 2’b00, 2’b10 = RDBI deskewing is not performed
• 2’b01 = RDBI deskewing is performed. If during RDBI
deskewing, the RDBI BDL is exhausted, the RDBI
deskewing algorithm exits and the normal deskewing
algorithm continues
• 2’b11 = RDBI deskewing is performed. If during RDBI
deskewing the RDBI BDL is exhausted, the RDBI
deskewing algorithm proceeds by moving the RDQS LCDL
and RDQ BDLs instead</t>
  </si>
  <si>
    <t>Data Training Bit Deskew Centering: Enables, if set, eye centering
capability during write and read bit deskew training.</t>
  </si>
  <si>
    <t>Data Training Write Bit Deskew Data Mask. If set it enables
write bit deskew of the data mask.</t>
  </si>
  <si>
    <t>Refreshes Issued During Entry to Training:</t>
  </si>
  <si>
    <t>Data Training Compare Data: Specifies, if set, that DQS gate
training should also check if the returning read data is correct.
Otherwise data-training only checks if the correct number of
DQS edges were returned.</t>
  </si>
  <si>
    <t>Data Training Using MPR: Specifies, if set, that DQS gate
training should use the SDRAM Multi-Purpose Register
(MPR) register. Otherwise data-training is performed by first
writing to some locations in the SDRAM and then reading
them back.
Notes:
• DDR4 and DDR3 only
• For initial training, this bit must be set to 1, because prior to
write data training, writes to memory may not be
successful.
• Value 0x0 is not supported for this field. Even though the
LP4-SDRAM does not have an MPR register, the DTMPR
= 1'b1 must be used for training.</t>
  </si>
  <si>
    <t>WEYE Training using MPC FIFO Commands: This is applicable in
LPDDR4 mode. When this bit is set to 1, WEYE training will be
performed with MPC FIFO commands instead of normal
Writes/Reads
Note:
1. DXnGCR3.WDLVT register must be set to 0 when
MPCWEYE register is set 1.
2. This bit can be 1 only when Incremental DQS2DQ training
is enabled. (PGCR8. INC_DQS2DQ_EN = 1’b1).</t>
  </si>
  <si>
    <t>Data Training Repeat Number: Repeat number used to
confirm stability of DDR write or read. The valid values are 1
to 15.</t>
  </si>
  <si>
    <t>DDR_PHY_CATR0_0</t>
  </si>
  <si>
    <t>DDR_PHY_CATR1_0</t>
  </si>
  <si>
    <t>DDR_PHY_PGCR8_0</t>
  </si>
  <si>
    <t>WDQS_on:</t>
  </si>
  <si>
    <t>WDQSPSTEXT:</t>
  </si>
  <si>
    <t>0x40000000</t>
  </si>
  <si>
    <t>make sure LP4 ODT_CA pad is pulled high</t>
  </si>
  <si>
    <t xml:space="preserve">DDRC_ADDRMAP3_0 </t>
  </si>
  <si>
    <t>// addrmap_col_b9, addrmap_col_b8, addrmap_col_b7, addrmap_col_b6</t>
  </si>
  <si>
    <t>#else</t>
  </si>
  <si>
    <t xml:space="preserve">PLL Frequency Select: Selects the operating range of the PLL. Note, the values provided here are different from the manual as these were provided directly by SNPS for the PLL type in this version of the PHY.  The PLL reference clock range is 1/2 the actual DRAM frequency. 
Valid values for PHYs that support up 3200 Mbps are:
4b0000:PLL reference clock range 561-800MHz
4b0001:PLL reference clock range 376-560MHz
4b0010:PLL reference clock range 251-375MHz
4b0011:PLL reference clock range 166-250MHz
4b0100 – 4b1111:RESERVED
Caution: This port does not exist if the PLL is not included in
PHY.
The value is automatically calculated based on the input frequency in the Device Table at the top of the spreadsheet. </t>
  </si>
  <si>
    <t xml:space="preserve">DDRC_ADDRMAP3_1 </t>
  </si>
  <si>
    <t>//--------------------------------------------</t>
  </si>
  <si>
    <t>DDRC_DERATEEN</t>
  </si>
  <si>
    <t>RC_DERATE_VALUE</t>
  </si>
  <si>
    <t>DERATE_BYTE</t>
  </si>
  <si>
    <t>DERATE_VALUE</t>
  </si>
  <si>
    <t>DERATE_ENABLE</t>
  </si>
  <si>
    <t>Derate value of tRC for LPDDR4
■0 - Derating uses +1.
■1 - Derating uses +2.
■2 - Derating uses +3.
■3 - Derating uses +4.
Present only in designs configured to support LPDDR4. The required number of cycles for derating can be determined by dividing 3.75ns by the core_ddrc_core_clk period, and rounding up the next integer.
This value is automatically calculated.</t>
  </si>
  <si>
    <t>Indicates which byte of the MRR data is used for derating.
Note, this parameter is automatically configured based on the information provided in the BoardDataBusConfig tab. It is important for the user to correctly configure the BoardDataBusConfig worksheet tab.</t>
  </si>
  <si>
    <t>Derate value
■0 - Derating uses +1.
■1 - Derating uses +2.
For LPDDR4, if the period of core_ddrc_core_clk is less than 1.875ns, this register field should be set to 1; otherwise it should be set to 0.
This value is automatically calculated.</t>
  </si>
  <si>
    <t>Enables derating
■0 - Timing parameter derating is disabled
■1 - Timing parameter derating is enabled using MR4 read value.
Present only in designs configured to support LPDDR4
This field must be set to '0' for non-LPDDR4 mode</t>
  </si>
  <si>
    <t>MR4_READ_INTERVAL</t>
  </si>
  <si>
    <t>DDRC_DERATEINT</t>
  </si>
  <si>
    <t>Interval between two MR4 reads, used to derate the timing parameters.
Present only in designs configured to support LPDDR4. This register must not be set to zero.
Unit: DFI clock cycle.
The value used is the JEDEC recommended 32ms interval.</t>
  </si>
  <si>
    <t xml:space="preserve">DDRC_DERATEEN_0   </t>
  </si>
  <si>
    <t xml:space="preserve">DDRC_DERATEINT_0   </t>
  </si>
  <si>
    <t>// derate enable, derate values, byte to read MRR data</t>
  </si>
  <si>
    <t>// derate MR4 interval read</t>
  </si>
  <si>
    <t>DDRC_DERATEINT_1</t>
  </si>
  <si>
    <r>
      <rPr>
        <b/>
        <sz val="10"/>
        <color theme="1"/>
        <rFont val="Arial"/>
        <family val="2"/>
      </rPr>
      <t>Note, this field is updated automatically and it is not recommended to manually configure it.</t>
    </r>
    <r>
      <rPr>
        <sz val="10"/>
        <color theme="1"/>
        <rFont val="Arial"/>
        <family val="2"/>
      </rPr>
      <t xml:space="preserve">
Cycles to wait after driving CKE high to start the SDRAM initialization sequence.
Unit: 1024 DFI clock cycles.
DDR2 typically requires a 400 ns delay, requiring this value to be programmed to 2 at all clock speeds.
LPDDR2/LPDDR3 typically requires this to be programmed for a delay of 200 us.
LPDDR4 typically requires this to be programmed for a delay of 2 us.
When the controller is operating in 1:2 frequency ratio mode, program this to JEDEC spec value divided by 2, and round it up to the next integer value.
Each settings give a range as follows:
0: no delay
1: 1 to 1024 cycle delay
2: 1025 to 2048 cycle delay
3: 2048 to 3072 cycle delay
4: 3073 to 4096 cycle delay
5: 4097 to 5120 cycle delay
and so on.
Hence, we need to select a value that meets/exceeds the min value for each range, therefore, we add 1 to the value calculated.
Value After Reset: 0x2</t>
    </r>
  </si>
  <si>
    <t>Average interval to wait between automatically issuing ZQCS (ZQ calibration short)/MPC(ZQ calibration) commands to DDR3/DDR4/LPDDR2/LPDDR3/LPDDR4 devices.
Meaningless, if ZQCTL0.dis_auto_zq=1.
Unit: 1024 DFI clock cycles.
This is only present for designs supporting DDR3/DDR4 or LPDDR2/LPDDR3/LPDDR4 devices.
Value After Reset: 0x100
Recommend to set to 32ms to align with DRAM vendor's temperature sensor interval.</t>
  </si>
  <si>
    <t>#</t>
  </si>
  <si>
    <t>#      Note, though the extension of this file implies use with the DS5 debugger,</t>
  </si>
  <si>
    <t xml:space="preserve">#      the file is meant specifically for the DDR Stress Test GUI tool. </t>
  </si>
  <si>
    <t>#      It contains data commands which are not compatible with the DS5 debugger,</t>
  </si>
  <si>
    <t>#      trying to use this file with DS5 will result in errors.</t>
  </si>
  <si>
    <t>#      There are currently no plans to create a DS5 JTAG DRAM initialization script.</t>
  </si>
  <si>
    <t># DCD command:</t>
  </si>
  <si>
    <t># CMD_WRITE_DATA: memory set ADDR BITWIDTH VALUE                 : *ADDR = VALUE</t>
  </si>
  <si>
    <t># CMD_SET_BIT:    memory setbit ADDR BITWIDTH VALUE              : *ADDR = *ADDR | VALUE</t>
  </si>
  <si>
    <t># CMD_CLR_BIT:    memory clrbit ADDR BITWIDTH VALUE              : *ADDR = *ADDR &amp;~ VALUE</t>
  </si>
  <si>
    <t># CMD_CHECK_BIT_SET1:  memory chkbit1 ADDR BITWIDTH VALUE         : while((*ADDR &amp; VALUE) != VALUE){}</t>
  </si>
  <si>
    <t># CMD_CHECK_BIT_SET0:  memory chkbit0 ADDR BITWIDTH VALUE         : while((*ADDR &amp; VALUE) != 0){}</t>
  </si>
  <si>
    <t># CMD_COPY_BIT:   memory cpybit DST_ADDR SRC_ADDR BITMASK VALUE  : *DST_ADDR = (*SRC_ADDR &amp; ~BITMASK)|VALUE</t>
  </si>
  <si>
    <t>#-------------------------------------------</t>
  </si>
  <si>
    <t># Configure registers for PHY0 initialization</t>
  </si>
  <si>
    <t># Set-up PHY Timing Register</t>
  </si>
  <si>
    <t>#Set-up PLL Control Register</t>
  </si>
  <si>
    <t>#Set-up Impedance Control Register</t>
  </si>
  <si>
    <t># Set-up PHY Initialization Register</t>
  </si>
  <si>
    <t># Configure registers for PHY1 initialization</t>
  </si>
  <si>
    <t>#Set-up Mode Register</t>
  </si>
  <si>
    <t>#MR0, MR3, MR4, MR5 MR6 are untouched</t>
  </si>
  <si>
    <t># Set-up DRAM Timing Parameters Register</t>
  </si>
  <si>
    <t># DTPR6 is untouched</t>
  </si>
  <si>
    <t># Set-up ODT Configuration Register</t>
  </si>
  <si>
    <t># DDR ODT_CA signal is tied at boundary of DDR. Thus no need to drive it dynamically.</t>
  </si>
  <si>
    <t># Set-up Anti-Aging Control Register</t>
  </si>
  <si>
    <t># AACR is untouched</t>
  </si>
  <si>
    <t># Set-up AC I/O Configuration Register</t>
  </si>
  <si>
    <t># ACIOCR1-4 are untouched</t>
  </si>
  <si>
    <t># Due to address copy set A[13] (=cke_B[0]) and A[15] (=cke_B[1]) outputs as always ON.</t>
  </si>
  <si>
    <t># Set-up VREF Training Control Registers</t>
  </si>
  <si>
    <t># Set-up DATX8 General Configuration Registers</t>
  </si>
  <si>
    <t># DXnGCR0-4 are untouched</t>
  </si>
  <si>
    <t># Set-up DATX8 DX Control Register 2</t>
  </si>
  <si>
    <t># PREOEX=2.5tCK (0.5 more than MR1), POSOEX=1tCK (0.5 more than in MR3), LPWAKEUP_THRSH=0xA</t>
  </si>
  <si>
    <t># Wait for bit 0 of PGSR0 to be '1'</t>
  </si>
  <si>
    <t># Configure registers for DRAM initialization</t>
  </si>
  <si>
    <t># Launch DRAM initialization</t>
  </si>
  <si>
    <t># Title: "PUB does not program LPDDR4 DRAM MR22 prior to running DRAM ZQ calibration"</t>
  </si>
  <si>
    <t># Workaround: "Run DRAM Initialization twice"</t>
  </si>
  <si>
    <t># configure PHY_0 for data training</t>
  </si>
  <si>
    <t># Wait for bit 30 of PGSR1 to be '1'</t>
  </si>
  <si>
    <t># configure PHY_1 for data training</t>
  </si>
  <si>
    <t>#  Set-up Data Training Configuration Register</t>
  </si>
  <si>
    <t>#  case 9001045655: Design limitation in LPDDR4 mode: REFRESH must be disabled during DQS2DQ training).</t>
  </si>
  <si>
    <t>#  Write leveling</t>
  </si>
  <si>
    <t>#  Read DQS training</t>
  </si>
  <si>
    <t xml:space="preserve"># DATA training for DRC_0 </t>
  </si>
  <si>
    <t># DQS2DQ training</t>
  </si>
  <si>
    <t># Write leveling adjust</t>
  </si>
  <si>
    <t># Deskew and eye trainings</t>
  </si>
  <si>
    <t># Re-allow uMCTL2 to send commands to DDR</t>
  </si>
  <si>
    <t>#---------------------------------------------------------------//</t>
  </si>
  <si>
    <t># DQS Drift Registers</t>
  </si>
  <si>
    <t># Enable DQS drift detection</t>
  </si>
  <si>
    <t># Wait for DRC ready</t>
  </si>
  <si>
    <t># Enable VT compensation</t>
  </si>
  <si>
    <t>memory set</t>
  </si>
  <si>
    <t># Start functional clocks</t>
  </si>
  <si>
    <t>0x5c000000</t>
  </si>
  <si>
    <t>0x5c000064</t>
  </si>
  <si>
    <t>0x5c0000d0</t>
  </si>
  <si>
    <t>0x5c0000d4</t>
  </si>
  <si>
    <t>0x5c0000dc</t>
  </si>
  <si>
    <t>0x5c0000e0</t>
  </si>
  <si>
    <t>0x5c0000f4</t>
  </si>
  <si>
    <t>0x5c000100</t>
  </si>
  <si>
    <t>0x5c000104</t>
  </si>
  <si>
    <t>0x5c000108</t>
  </si>
  <si>
    <t>0x5c00010c</t>
  </si>
  <si>
    <t>0x5c000110</t>
  </si>
  <si>
    <t>0x5c000114</t>
  </si>
  <si>
    <t>0x5c000118</t>
  </si>
  <si>
    <t>0x5c00011c</t>
  </si>
  <si>
    <t>0x5c000130</t>
  </si>
  <si>
    <t>0x5c000134</t>
  </si>
  <si>
    <t>0x5c000138</t>
  </si>
  <si>
    <t>0x5c000180</t>
  </si>
  <si>
    <t>0x5c000184</t>
  </si>
  <si>
    <t>0x5c000190</t>
  </si>
  <si>
    <t>0x5c000194</t>
  </si>
  <si>
    <t>0x5c0001b4</t>
  </si>
  <si>
    <t>0x5c0001b0</t>
  </si>
  <si>
    <t>0x5c0001a0</t>
  </si>
  <si>
    <t>0x5c0001a4</t>
  </si>
  <si>
    <t>0x5c0001a8</t>
  </si>
  <si>
    <t>0x5c000200</t>
  </si>
  <si>
    <t>0x5c000210</t>
  </si>
  <si>
    <t>0x5c000204</t>
  </si>
  <si>
    <t>0x5c000214</t>
  </si>
  <si>
    <t>0x5c000218</t>
  </si>
  <si>
    <t>0x5c0001c0</t>
  </si>
  <si>
    <t>0x5c000244</t>
  </si>
  <si>
    <t>0x5c000490</t>
  </si>
  <si>
    <t># DDRC_RFSHTMG_0: tREFI, tRFC</t>
  </si>
  <si>
    <t># DDRC_PCTRL_0_0: Enable port 0</t>
  </si>
  <si>
    <t>0x5c002190</t>
  </si>
  <si>
    <t># DDRC_DFITMG0_SHADOW_0</t>
  </si>
  <si>
    <t>#Initialize DRC0</t>
  </si>
  <si>
    <t>#Initialize DRC1</t>
  </si>
  <si>
    <t>0x5c100000</t>
  </si>
  <si>
    <t>0x5c100064</t>
  </si>
  <si>
    <t>0x5c1000d0</t>
  </si>
  <si>
    <t>0x5c1000d4</t>
  </si>
  <si>
    <t>0x5c1000dc</t>
  </si>
  <si>
    <t>0x5c1000e0</t>
  </si>
  <si>
    <t>0x5c1000f4</t>
  </si>
  <si>
    <t>0x5c100100</t>
  </si>
  <si>
    <t>0x5c100104</t>
  </si>
  <si>
    <t>0x5c100108</t>
  </si>
  <si>
    <t>0x5c10010c</t>
  </si>
  <si>
    <t>0x5c100110</t>
  </si>
  <si>
    <t>0x5c100114</t>
  </si>
  <si>
    <t>0x5c100118</t>
  </si>
  <si>
    <t>0x5c10011c</t>
  </si>
  <si>
    <t>0x5c100130</t>
  </si>
  <si>
    <t>0x5c100134</t>
  </si>
  <si>
    <t>0x5c100138</t>
  </si>
  <si>
    <t>0x5c100180</t>
  </si>
  <si>
    <t>0x5c100184</t>
  </si>
  <si>
    <t>0x5c100190</t>
  </si>
  <si>
    <t>0x5c100194</t>
  </si>
  <si>
    <t>0x5c1001b4</t>
  </si>
  <si>
    <t>0x5c1001b0</t>
  </si>
  <si>
    <t>0x5c1001a0</t>
  </si>
  <si>
    <t>0x5c1001a4</t>
  </si>
  <si>
    <t>0x5c1001a8</t>
  </si>
  <si>
    <t>0x5c100200</t>
  </si>
  <si>
    <t>0x5c100210</t>
  </si>
  <si>
    <t>0x5c100204</t>
  </si>
  <si>
    <t>0x5c100214</t>
  </si>
  <si>
    <t>0x5c100218</t>
  </si>
  <si>
    <t>0x5c1001c0</t>
  </si>
  <si>
    <t>0x5c100244</t>
  </si>
  <si>
    <t>0x5c100490</t>
  </si>
  <si>
    <t># DDRC_RFSHTMG_1: tREFI, tRFC</t>
  </si>
  <si>
    <t># DDRC_PCTRL_0_1: Enable port 0</t>
  </si>
  <si>
    <t>0x5c102190</t>
  </si>
  <si>
    <t># DDRC_DFITMG0_SHADOW_1</t>
  </si>
  <si>
    <t xml:space="preserve">memory set </t>
  </si>
  <si>
    <t>memory setbit</t>
  </si>
  <si>
    <t>0x5c010100</t>
  </si>
  <si>
    <t>0x5c010248</t>
  </si>
  <si>
    <t>0x5c010728</t>
  </si>
  <si>
    <t>0x5c01072c</t>
  </si>
  <si>
    <t>0x5c010828</t>
  </si>
  <si>
    <t>0x5c01082c</t>
  </si>
  <si>
    <t>0x5c010928</t>
  </si>
  <si>
    <t>0x5c01092c</t>
  </si>
  <si>
    <t>0x5c010a28</t>
  </si>
  <si>
    <t>0x5c010a2c</t>
  </si>
  <si>
    <t>0x5c010240</t>
  </si>
  <si>
    <t>0x5c010244</t>
  </si>
  <si>
    <t>0x5c010014</t>
  </si>
  <si>
    <t>0x5c010010</t>
  </si>
  <si>
    <t>0x5c010018</t>
  </si>
  <si>
    <t>0x5c01001c</t>
  </si>
  <si>
    <t># DDR_PHY_DCR_0: LPDDR4 selection with 8 bank</t>
  </si>
  <si>
    <t># DDR_PHY_DX0DQMAP0_0: DQ bit 0/1/2/3/4 remapping</t>
  </si>
  <si>
    <t># DDR_PHY_DX0DQMAP1_0: DQ bit 5/6/7 and DM remapping</t>
  </si>
  <si>
    <t># DDR_PHY_DX1DQMAP0_0: DQ bit 0/1/2/3/4 remapping</t>
  </si>
  <si>
    <t># DDR_PHY_DX1DQMAP1_0: DQ bit 5/6/7 and DM remapping</t>
  </si>
  <si>
    <t># DDR_PHY_DX2DQMAP0_0: DQ bit 0/1/2/3/4 remapping</t>
  </si>
  <si>
    <t># DDR_PHY_DX2DQMAP1_0: DQ bit 5/6/7 and DM remapping</t>
  </si>
  <si>
    <t># DDR_PHY_DX3DQMAP0_0: DQ bit 0/1/2/3/4 remapping</t>
  </si>
  <si>
    <t># DDR_PHY_DX3DQMAP1_0: DQ bit 5/6/7 and DM remapping</t>
  </si>
  <si>
    <t># DDR_PHY_CATR0_0: Only for LPDDR3 but used here to know how LPDDR4 bytes are connected to PHY</t>
  </si>
  <si>
    <t># DDR_PHY_CATR1_0: Only for LPDDR3 but used here to know how LPDDR4 bytes are connected to PHY</t>
  </si>
  <si>
    <t># DDR_PHY_PGCR0_0: Set ADCP=1 (Address Copy)</t>
  </si>
  <si>
    <t># DDR_PHY_PGCR3_0: CKEN/CKNEN toggling and polarity</t>
  </si>
  <si>
    <t>0x5c010040</t>
  </si>
  <si>
    <t>0x5c010044</t>
  </si>
  <si>
    <t># DDR_PHY_PTR0_0: tPLLPD, tPLLGS, tPHYRST</t>
  </si>
  <si>
    <t>0x5c010068</t>
  </si>
  <si>
    <t>0x5c0117c4</t>
  </si>
  <si>
    <t># DDR_PHY_PLLCR0_0: FREQSEL=0</t>
  </si>
  <si>
    <t># DDR_PHY_DX8SLbPLLCR0_0</t>
  </si>
  <si>
    <t>0x5c010680</t>
  </si>
  <si>
    <t># DDR_PHY_ZQCR_0: Set ODT_MODE=0b10(LPDDR4 stype pullup)</t>
  </si>
  <si>
    <t xml:space="preserve">0x5c010684 </t>
  </si>
  <si>
    <t xml:space="preserve">0x5c0106a4 </t>
  </si>
  <si>
    <t>0x5c010004</t>
  </si>
  <si>
    <t>0x00000032</t>
  </si>
  <si>
    <t>0x00000033</t>
  </si>
  <si>
    <t># DDR_PHY_PIR_0</t>
  </si>
  <si>
    <t>0x5c110100</t>
  </si>
  <si>
    <t>0x5c110248</t>
  </si>
  <si>
    <t>0x5c110728</t>
  </si>
  <si>
    <t>0x5c11072c</t>
  </si>
  <si>
    <t>0x5c110828</t>
  </si>
  <si>
    <t>0x5c11082c</t>
  </si>
  <si>
    <t>0x5c110928</t>
  </si>
  <si>
    <t>0x5c11092c</t>
  </si>
  <si>
    <t>0x5c110a28</t>
  </si>
  <si>
    <t>0x5c110a2c</t>
  </si>
  <si>
    <t>0x5c110240</t>
  </si>
  <si>
    <t>0x5c110244</t>
  </si>
  <si>
    <t>0x5c110010</t>
  </si>
  <si>
    <t>0x5c110018</t>
  </si>
  <si>
    <t>0x5c11001c</t>
  </si>
  <si>
    <t>0x5c110014</t>
  </si>
  <si>
    <t># DDR_PHY_DCR_1: LPDDR4 selection with 8 bank</t>
  </si>
  <si>
    <t># DDR_PHY_DX0DQMAP0_1: DQ bit 0/1/2/3/4 remapping</t>
  </si>
  <si>
    <t># DDR_PHY_DX0DQMAP1_1: DQ bit 5/6/7 and DM remapping</t>
  </si>
  <si>
    <t># DDR_PHY_DX1DQMAP0_1: DQ bit 0/1/2/3/4 remapping</t>
  </si>
  <si>
    <t># DDR_PHY_DX1DQMAP1_1: DQ bit 5/6/7 and DM remapping</t>
  </si>
  <si>
    <t># DDR_PHY_DX2DQMAP0_1: DQ bit 0/1/2/3/4 remapping</t>
  </si>
  <si>
    <t># DDR_PHY_DX2DQMAP1_1: DQ bit 5/6/7 and DM remapping</t>
  </si>
  <si>
    <t># DDR_PHY_DX3DQMAP0_1: DQ bit 0/1/2/3/4 remapping</t>
  </si>
  <si>
    <t># DDR_PHY_DX3DQMAP1_1: DQ bit 5/6/7 and DM remapping</t>
  </si>
  <si>
    <t># DDR_PHY_CATR0_1: Only for LPDDR3 but used here to know how LPDDR4 bytes are connected to PHY</t>
  </si>
  <si>
    <t># DDR_PHY_CATR1_1: Only for LPDDR3 but used here to know how LPDDR4 bytes are connected to PHY</t>
  </si>
  <si>
    <t># DDR_PHY_PGCR0_1: Set ADCP=1 (Address Copy)</t>
  </si>
  <si>
    <t># DDR_PHY_PGCR3_1: CKEN/CKNEN toggling and polarity</t>
  </si>
  <si>
    <t>0x5c110040</t>
  </si>
  <si>
    <t>0x5c110044</t>
  </si>
  <si>
    <t># DDR_PHY_PTR0_1: tPLLPD, tPLLGS, tPHYRST</t>
  </si>
  <si>
    <t>0x5c110068</t>
  </si>
  <si>
    <t>0x5c1117c4</t>
  </si>
  <si>
    <t># DDR_PHY_PLLCR0_1: FREQSEL=0</t>
  </si>
  <si>
    <t># DDR_PHY_DX8SLbPLLCR0_1</t>
  </si>
  <si>
    <t>0x5c110680</t>
  </si>
  <si>
    <t># DDR_PHY_ZQCR_1: Set ODT_MODE=0b10(LPDDR4 stype pullup)</t>
  </si>
  <si>
    <t xml:space="preserve">#ZPROG_DRAM_ODT and ZPROG_HOST_ODT </t>
  </si>
  <si>
    <t>0x5c110684</t>
  </si>
  <si>
    <t>0x5c1106a4</t>
  </si>
  <si>
    <t>#ZPROG_DRAM_ODT and ZPROG_HOST_ODT</t>
  </si>
  <si>
    <t>0x5c110004</t>
  </si>
  <si>
    <t># DDR_PHY_PIR_1</t>
  </si>
  <si>
    <t>0x5c010184</t>
  </si>
  <si>
    <t>0x5c010188</t>
  </si>
  <si>
    <t>0x5c01018c</t>
  </si>
  <si>
    <t>0x5c0101ac</t>
  </si>
  <si>
    <t>0x00000004</t>
  </si>
  <si>
    <t>0x5c0101d8</t>
  </si>
  <si>
    <t>0x5c0101b0</t>
  </si>
  <si>
    <t>0x5c0101b8</t>
  </si>
  <si>
    <t># DDR_PHY_MR22_0: Set ODTE-CS=1 (overrides ODT_CA for CS1 as CS not shared between ranks)</t>
  </si>
  <si>
    <t># DDR_PHY_MR12_0</t>
  </si>
  <si>
    <t># DDR_PHY_MR14_0</t>
  </si>
  <si>
    <t>0x5c010110</t>
  </si>
  <si>
    <t>0x5c010114</t>
  </si>
  <si>
    <t>0x5c010118</t>
  </si>
  <si>
    <t>0x5c01011c</t>
  </si>
  <si>
    <t>0x5c010120</t>
  </si>
  <si>
    <t>0x5c010124</t>
  </si>
  <si>
    <t># DDR_PHY_DTPR0_0: tRRD, tRAS, tRP, tRTP</t>
  </si>
  <si>
    <t># DDR_PHY_DTPR1_0: tWLMRD, tFAW, tODTUP, tMRD</t>
  </si>
  <si>
    <t># DDR_PHY_DTPR2_0: tRTW, tRTODT, tCMDCKE, tCKE, tVRCG, tXS</t>
  </si>
  <si>
    <t># DDR_PHY_DTPR4_0: tRFC, tWLO, tXP</t>
  </si>
  <si>
    <t># DDR_PHY_DTPR5_0: tRC, tRCD, tWTR</t>
  </si>
  <si>
    <t>0x5c01004c</t>
  </si>
  <si>
    <t>0x5c010050</t>
  </si>
  <si>
    <t>0x5c010054</t>
  </si>
  <si>
    <t>0x5c010058</t>
  </si>
  <si>
    <t>0x5c0104dc</t>
  </si>
  <si>
    <t>0x5c010098</t>
  </si>
  <si>
    <t># DDR_PHY_RANKIDR_0: Select rank 1 to write</t>
  </si>
  <si>
    <t># DDR_PHY_ODTCR_0: ODT of rank1 disabled</t>
  </si>
  <si>
    <t># DDR_PHY_RANKIDR_0: Select rank 0 to write</t>
  </si>
  <si>
    <t># DDR_PHY_ODTCR_0: ODT of rank0 disabled</t>
  </si>
  <si>
    <t>0x5c010500</t>
  </si>
  <si>
    <t>0x5c010514</t>
  </si>
  <si>
    <t># DDR_PHY_ACIOCR0_0: PNUM2 (i.e.LPDDR4) selection  [10:11] = 0x2</t>
  </si>
  <si>
    <t># DDR_PHY_ACIOCR5_0: I/O mode = LPDDR4</t>
  </si>
  <si>
    <t>0x5c010504</t>
  </si>
  <si>
    <t># DDR_PHY_ACIOCR1_0</t>
  </si>
  <si>
    <t>0x5c010528</t>
  </si>
  <si>
    <t>0x5c01052c</t>
  </si>
  <si>
    <t># DDR_PHY_VTCR0_0: CK1, CK0, DRAM VREF set to same as MR12</t>
  </si>
  <si>
    <t># DDR_PHY_VTCR1_0: HVIO=1, SHREN=1, SHRNK=0</t>
  </si>
  <si>
    <t>0x5c010024</t>
  </si>
  <si>
    <t># DDR_PHY_PGCR5_0</t>
  </si>
  <si>
    <t>0x5c010028</t>
  </si>
  <si>
    <t># DDR_PHY_PGCR6_0</t>
  </si>
  <si>
    <t>0x5c010714</t>
  </si>
  <si>
    <t>0x5c010814</t>
  </si>
  <si>
    <t>0x5c010914</t>
  </si>
  <si>
    <t>0x5c010a14</t>
  </si>
  <si>
    <t>0x5c010710</t>
  </si>
  <si>
    <t>0x5c010810</t>
  </si>
  <si>
    <t>0x5c010910</t>
  </si>
  <si>
    <t>0x5c010a10</t>
  </si>
  <si>
    <t># DDR_PHY_DX0GCR5_0: Set DXREFISELR0 and DXREFISELR1 to 0x30, maintain other defaults</t>
  </si>
  <si>
    <t># DDR_PHY_DX1GCR5_0: Set DXREFISELR0 and DXREFISELR1 to 0x30, maintain other defaults</t>
  </si>
  <si>
    <t># DDR_PHY_DX2GCR5_0: Set DXREFISELR0 and DXREFISELR1 to 0x30, maintain other defaults</t>
  </si>
  <si>
    <t># DDR_PHY_DX3GCR5_0: Set DXREFISELR0 and DXREFISELR1 to 0x30, maintain other defaults</t>
  </si>
  <si>
    <t># DDR_PHY_DX0GCR4_0: Set DXREFSSEL,DXREFSSELRANGE,DXREFSEN,DXREFIEN, maintain other defaults</t>
  </si>
  <si>
    <t># DDR_PHY_DX1GCR4_0: Set DXREFSSEL,DXREFSSELRANGE,DXREFSEN,DXREFIEN, maintain other defaults</t>
  </si>
  <si>
    <t># DDR_PHY_DX2GCR4_0: Set DXREFSSEL,DXREFSSELRANGE,DXREFSEN,DXREFIEN, maintain other defaults</t>
  </si>
  <si>
    <t># DDR_PHY_DX3GCR4_0: Set DXREFSSEL,DXREFSSELRANGE,DXREFSEN,DXREFIEN, maintain other defaults</t>
  </si>
  <si>
    <t>0x5c0117ec</t>
  </si>
  <si>
    <t>0x5c0117f0</t>
  </si>
  <si>
    <t># DDR_PHY_DX8SLbDXCTL2_0</t>
  </si>
  <si>
    <t># DDR_PHY_DX8SLbIOCR_0: I/O mode = LPDDR4</t>
  </si>
  <si>
    <t>memory chkbit1</t>
  </si>
  <si>
    <t>0x5c010030</t>
  </si>
  <si>
    <t># DDR_PHY_PGSR0_0</t>
  </si>
  <si>
    <t>0x5c110184</t>
  </si>
  <si>
    <t>0x5c110188</t>
  </si>
  <si>
    <t>0x5c11018c</t>
  </si>
  <si>
    <t>0x5c1101ac</t>
  </si>
  <si>
    <t>0x5c1101d8</t>
  </si>
  <si>
    <t>0x5c1101b0</t>
  </si>
  <si>
    <t>0x5c1101b8</t>
  </si>
  <si>
    <t># DDR_PHY_MR22_1: Set ODTE-CS=1 (overrides ODT_CA for CS1 as CS not shared between ranks)</t>
  </si>
  <si>
    <t># DDR_PHY_MR12_1</t>
  </si>
  <si>
    <t># DDR_PHY_MR14_1</t>
  </si>
  <si>
    <t>0x5c110110</t>
  </si>
  <si>
    <t>0x5c110114</t>
  </si>
  <si>
    <t>0x5c110118</t>
  </si>
  <si>
    <t>0x5c11011c</t>
  </si>
  <si>
    <t>0x5c110120</t>
  </si>
  <si>
    <t>0x5c110124</t>
  </si>
  <si>
    <t># DDR_PHY_DTPR0_1: tRRD, tRAS, tRP, tRTP</t>
  </si>
  <si>
    <t># DDR_PHY_DTPR1_1: tWLMRD, tFAW, tODTUP, tMRD</t>
  </si>
  <si>
    <t># DDR_PHY_DTPR2_1: tRTW, tRTODT, tCMDCKE, tCKE, tVRCG, tXS</t>
  </si>
  <si>
    <t># DDR_PHY_DTPR4_1: tRFC, tWLO, tXP</t>
  </si>
  <si>
    <t># DDR_PHY_DTPR5_1: tRC, tRCD, tWTR</t>
  </si>
  <si>
    <t>0x5c11004c</t>
  </si>
  <si>
    <t>0x5c110050</t>
  </si>
  <si>
    <t>0x5c110054</t>
  </si>
  <si>
    <t>0x5c110058</t>
  </si>
  <si>
    <t># DDR_PHY_PTR4_1: tDINIT1 (2000ns)</t>
  </si>
  <si>
    <t>0x5c1104dc</t>
  </si>
  <si>
    <t>0x5c110098</t>
  </si>
  <si>
    <t># DDR_PHY_RANKIDR_1: Select rank 1 to write</t>
  </si>
  <si>
    <t># DDR_PHY_ODTCR_1: ODT of rank1 disabled</t>
  </si>
  <si>
    <t># DDR_PHY_RANKIDR_1: Select rank 0 to write</t>
  </si>
  <si>
    <t># DDR_PHY_ODTCR_1: ODT of rank0 disabled</t>
  </si>
  <si>
    <t>0x5c110500</t>
  </si>
  <si>
    <t>0x5c110514</t>
  </si>
  <si>
    <t># DDR_PHY_ACIOCR0_1: PNUM2 (i.e.LPDDR4) selection  [10:11] = 0x2</t>
  </si>
  <si>
    <t># DDR_PHY_ACIOCR5_1: I/O mode = LPDDR4</t>
  </si>
  <si>
    <t>0x5c110504</t>
  </si>
  <si>
    <t># DDR_PHY_ACIOCR1_1</t>
  </si>
  <si>
    <t>0x5c110528</t>
  </si>
  <si>
    <t>0x5c11052c</t>
  </si>
  <si>
    <t># DDR_PHY_VTCR0_1: CK1, CK0, DRAM VREF set to same as MR12</t>
  </si>
  <si>
    <t># DDR_PHY_VTCR1_1: HVIO=1, SHREN=1, SHRNK=0</t>
  </si>
  <si>
    <t>0x5c110024</t>
  </si>
  <si>
    <t>0x5c110028</t>
  </si>
  <si>
    <t># DDR_PHY_PGCR5_1</t>
  </si>
  <si>
    <t># DDR_PHY_PGCR6_1</t>
  </si>
  <si>
    <t>0x5c110714</t>
  </si>
  <si>
    <t>0x5c110814</t>
  </si>
  <si>
    <t>0x5c110914</t>
  </si>
  <si>
    <t>0x5c110a14</t>
  </si>
  <si>
    <t>0x5c110710</t>
  </si>
  <si>
    <t>0x5c110810</t>
  </si>
  <si>
    <t>0x5c110910</t>
  </si>
  <si>
    <t>0x5c110a10</t>
  </si>
  <si>
    <t># DDR_PHY_DX0GCR5_1: Set DXREFISELR0 and DXREFISELR1 to 0x30, maintain other defaults</t>
  </si>
  <si>
    <t># DDR_PHY_DX1GCR5_1: Set DXREFISELR0 and DXREFISELR1 to 0x30, maintain other defaults</t>
  </si>
  <si>
    <t># DDR_PHY_DX2GCR5_1: Set DXREFISELR0 and DXREFISELR1 to 0x30, maintain other defaults</t>
  </si>
  <si>
    <t># DDR_PHY_DX3GCR5_1: Set DXREFISELR0 and DXREFISELR1 to 0x30, maintain other defaults</t>
  </si>
  <si>
    <t># DDR_PHY_DX0GCR4_1: Set DXREFSSEL,DXREFSSELRANGE,DXREFSEN,DXREFIEN, maintain other defaults</t>
  </si>
  <si>
    <t># DDR_PHY_DX1GCR4_1: Set DXREFSSEL,DXREFSSELRANGE,DXREFSEN,DXREFIEN, maintain other defaults</t>
  </si>
  <si>
    <t># DDR_PHY_DX2GCR4_1: Set DXREFSSEL,DXREFSSELRANGE,DXREFSEN,DXREFIEN, maintain other defaults</t>
  </si>
  <si>
    <t># DDR_PHY_DX3GCR4_1: Set DXREFSSEL,DXREFSSELRANGE,DXREFSEN,DXREFIEN, maintain other defaults</t>
  </si>
  <si>
    <t>0x5c1117ec</t>
  </si>
  <si>
    <t>0x5c1117f0</t>
  </si>
  <si>
    <t># DDR_PHY_DX8SLbDXCTL2_1</t>
  </si>
  <si>
    <t># DDR_PHY_DX8SLbIOCR_1: I/O mode = LPDDR4</t>
  </si>
  <si>
    <t>0x5c110030</t>
  </si>
  <si>
    <t># DDR_PHY_PGSR0_1</t>
  </si>
  <si>
    <t>0x00000180</t>
  </si>
  <si>
    <t>0x00000181</t>
  </si>
  <si>
    <t>0x00000100</t>
  </si>
  <si>
    <t>0x00000101</t>
  </si>
  <si>
    <t>memory clrbit</t>
  </si>
  <si>
    <t>0x5c010250</t>
  </si>
  <si>
    <t># DDR_PHY_DQSDR0_0, Disable drift</t>
  </si>
  <si>
    <t># DDR_PHY_PGCR6_0, Disable VT compensation</t>
  </si>
  <si>
    <t>0x5c010034</t>
  </si>
  <si>
    <t># DDR_PHY_PGSR1_0</t>
  </si>
  <si>
    <t># DDR_PHY_PGCR1_0, DISDIC=1; PUBMODE=1</t>
  </si>
  <si>
    <t>0x5c01041C</t>
  </si>
  <si>
    <t>0x5c010420</t>
  </si>
  <si>
    <t>0x5c010428</t>
  </si>
  <si>
    <t># DDR_PHY_BISTAR1, BMRANK=1 (maximum rank minus 1); BIST Address Increment: 0x10 (16)</t>
  </si>
  <si>
    <t># DDR_PHY_BISTAR2, BMBANK=8; BMCOL=0x400 (limit to min cols in JEDEC)</t>
  </si>
  <si>
    <t># DDR_PHY_BISTAR4, BMROW=0x4000 (limit to min rows in JEDEC)</t>
  </si>
  <si>
    <t>0x5c110250</t>
  </si>
  <si>
    <t># DDR_PHY_DQSDR0_1, Disable drift</t>
  </si>
  <si>
    <t># DDR_PHY_PGCR6_1, Disable VT compensation</t>
  </si>
  <si>
    <t>0x5c110034</t>
  </si>
  <si>
    <t># DDR_PHY_PGSR1_1</t>
  </si>
  <si>
    <t># DDR_PHY_PGCR1_1, DISDIC=1; PUBMODE=1</t>
  </si>
  <si>
    <t>0x5c11041C</t>
  </si>
  <si>
    <t>0x5c110420</t>
  </si>
  <si>
    <t>0x5c110428</t>
  </si>
  <si>
    <t>0x5c010200</t>
  </si>
  <si>
    <t>0x5c010204</t>
  </si>
  <si>
    <t>0x00000200</t>
  </si>
  <si>
    <t>0x00000201</t>
  </si>
  <si>
    <t>0x5c110200</t>
  </si>
  <si>
    <t>0x5c110204</t>
  </si>
  <si>
    <t>0x5c0117dc</t>
  </si>
  <si>
    <t># DDR_PHY_DX8SLbDQSCTL_0</t>
  </si>
  <si>
    <t>0x00000400</t>
  </si>
  <si>
    <t>0x00000401</t>
  </si>
  <si>
    <t>0x5c1117dc</t>
  </si>
  <si>
    <t># DDR_PHY_DX8SLbDQSCTL_1</t>
  </si>
  <si>
    <t># Remove DQS/DQSn glitch suppression resistor</t>
  </si>
  <si>
    <t># DDR_PHY_PGCR1_0: DISDIC=0; PUBMODE=0</t>
  </si>
  <si>
    <t># DDR_PHY_PGCR1_1: DISDIC=0; PUBMODE=0</t>
  </si>
  <si>
    <t>0x5c01070c</t>
  </si>
  <si>
    <t>0x5c01080c</t>
  </si>
  <si>
    <t>0x5c01090c</t>
  </si>
  <si>
    <t>0x5c010a0c</t>
  </si>
  <si>
    <t>0x5c11070c</t>
  </si>
  <si>
    <t>0x5c11080c</t>
  </si>
  <si>
    <t>0x5c11090c</t>
  </si>
  <si>
    <t>0x5c110a0c</t>
  </si>
  <si>
    <t># DDR_PHY_DX0GCR3_0: Disable read DQD LCDL Delay VT compensation</t>
  </si>
  <si>
    <t># DDR_PHY_DX1GCR3_0: Disable read DQD LCDL Delay VT compensation</t>
  </si>
  <si>
    <t># DDR_PHY_DX2GCR3_0: Disable read DQD LCDL Delay VT compensation</t>
  </si>
  <si>
    <t># DDR_PHY_DX3GCR3_0: Disable read DQD LCDL Delay VT compensation</t>
  </si>
  <si>
    <t># DDR_PHY_DX0GCR3_1: Disable read DQD LCDL Delay VT compensation</t>
  </si>
  <si>
    <t># DDR_PHY_DX1GCR3_1: Disable read DQD LCDL Delay VT compensation</t>
  </si>
  <si>
    <t># DDR_PHY_DX2GCR3_1: Disable read DQD LCDL Delay VT compensation</t>
  </si>
  <si>
    <t># DDR_PHY_DX3GCR3_1: Disable read DQD LCDL Delay VT compensation</t>
  </si>
  <si>
    <t>0x5c010254</t>
  </si>
  <si>
    <t>0x5c010258</t>
  </si>
  <si>
    <t># DDR_PHY_DQSDR0_0: Enable DQS drift detection (DFTDTEN=1)</t>
  </si>
  <si>
    <t># DDR_PHY_DQSDR1_0: DFTRDIDLC=0 (otherwise bring issues. To investigate)</t>
  </si>
  <si>
    <t># DDR_PHY_DQSDR2_0</t>
  </si>
  <si>
    <t>0x5c000004</t>
  </si>
  <si>
    <t># DDRC_STAT_0</t>
  </si>
  <si>
    <t>0x5c110254</t>
  </si>
  <si>
    <t>0x5c110258</t>
  </si>
  <si>
    <t># DDR_PHY_DQSDR0_1: Enable DQS drift detection (DFTDTEN=1)</t>
  </si>
  <si>
    <t># DDR_PHY_DQSDR1_1: DFTRDIDLC=0 (otherwise bring issues. To investigate)</t>
  </si>
  <si>
    <t># DDR_PHY_DQSDR2_1</t>
  </si>
  <si>
    <t># DDR_PHY_PGCR6_0, Enable VT compensation</t>
  </si>
  <si>
    <t># DDR_PHY_PGCR6_1, Enable VT compensation</t>
  </si>
  <si>
    <t>0x5c100004</t>
  </si>
  <si>
    <t># DDRC_STAT_1</t>
  </si>
  <si>
    <t># DDRC_MSTR_0</t>
  </si>
  <si>
    <t># DDRC_INIT0_0</t>
  </si>
  <si>
    <t># DDRC_INIT1_0</t>
  </si>
  <si>
    <t># DDRC_INIT3_0</t>
  </si>
  <si>
    <t>0x5c000020</t>
  </si>
  <si>
    <t>0x5c000024</t>
  </si>
  <si>
    <t># DDRC_DERATEEN_0</t>
  </si>
  <si>
    <t># DDRC_DERATEINT_0</t>
  </si>
  <si>
    <t># DDRC_DERATEEN_1</t>
  </si>
  <si>
    <t># DDRC_DERATEINT_1</t>
  </si>
  <si>
    <t># DDRC_INIT4_0</t>
  </si>
  <si>
    <t># DDRC_RANKCTL_0</t>
  </si>
  <si>
    <t># DDRC_DRAMTMG0_0</t>
  </si>
  <si>
    <t># DDRC_DRAMTMG1_0</t>
  </si>
  <si>
    <t># DDRC_DRAMTMG2_0</t>
  </si>
  <si>
    <t># DDRC_DRAMTMG3_0</t>
  </si>
  <si>
    <t># DDRC_DRAMTMG4_0</t>
  </si>
  <si>
    <t># DDRC_DRAMTMG5_0</t>
  </si>
  <si>
    <t># DDRC_DRAMTMG6_0</t>
  </si>
  <si>
    <t># DDRC_DRAMTMG7_0</t>
  </si>
  <si>
    <t># DDRC_DRAMTMG12_0</t>
  </si>
  <si>
    <t># DDRC_DRAMTMG13_0</t>
  </si>
  <si>
    <t># DDRC_DRAMTMG14_0</t>
  </si>
  <si>
    <t># DDRC_ZQCTL0_0</t>
  </si>
  <si>
    <t># DDRC_ZQCTL1_0</t>
  </si>
  <si>
    <t># DDRC_DFITMG0_0</t>
  </si>
  <si>
    <t># DDRC_DFITMG1_0</t>
  </si>
  <si>
    <t># DDRC_DFITMG2_0</t>
  </si>
  <si>
    <t># DDRC_DFIMISC_0</t>
  </si>
  <si>
    <t># DDRC_DFIUPD0_0</t>
  </si>
  <si>
    <t># DDRC_DFIUPD1_0</t>
  </si>
  <si>
    <t># DDRC_DFIUPD2_0</t>
  </si>
  <si>
    <t># DDRC_ADDRMAP0_0</t>
  </si>
  <si>
    <t>0x5c00020C</t>
  </si>
  <si>
    <t># DDRC_ADDRMAP4_0</t>
  </si>
  <si>
    <t># DDRC_ADDRMAP3_0</t>
  </si>
  <si>
    <t># DDRC_ADDRMAP1_0</t>
  </si>
  <si>
    <t># DDRC_ADDRMAP5_0</t>
  </si>
  <si>
    <t># DDRC_ADDRMAP6_0</t>
  </si>
  <si>
    <t># DDRC_DBICTL_0</t>
  </si>
  <si>
    <t># DDRC_ODTMAP_0</t>
  </si>
  <si>
    <t># DDRC_MSTR_1</t>
  </si>
  <si>
    <t># DDRC_INIT0_1</t>
  </si>
  <si>
    <t># DDRC_INIT1_1</t>
  </si>
  <si>
    <t># DDRC_INIT3_1</t>
  </si>
  <si>
    <t># DDRC_INIT4_1</t>
  </si>
  <si>
    <t># DDRC_RANKCTL_1</t>
  </si>
  <si>
    <t># DDRC_DRAMTMG0_1</t>
  </si>
  <si>
    <t># DDRC_DRAMTMG1_1</t>
  </si>
  <si>
    <t># DDRC_DRAMTMG2_1</t>
  </si>
  <si>
    <t># DDRC_DRAMTMG3_1</t>
  </si>
  <si>
    <t># DDRC_DRAMTMG4_1</t>
  </si>
  <si>
    <t># DDRC_DRAMTMG5_1</t>
  </si>
  <si>
    <t># DDRC_DRAMTMG6_1</t>
  </si>
  <si>
    <t># DDRC_DRAMTMG7_1</t>
  </si>
  <si>
    <t># DDRC_DRAMTMG12_1</t>
  </si>
  <si>
    <t># DDRC_DRAMTMG13_1</t>
  </si>
  <si>
    <t># DDRC_DRAMTMG14_1</t>
  </si>
  <si>
    <t># DDRC_ZQCTL0_1</t>
  </si>
  <si>
    <t># DDRC_ZQCTL1_1</t>
  </si>
  <si>
    <t># DDRC_DFITMG0_1</t>
  </si>
  <si>
    <t># DDRC_DFITMG1_1</t>
  </si>
  <si>
    <t># DDRC_DFITMG2_1</t>
  </si>
  <si>
    <t># DDRC_DFIMISC_1</t>
  </si>
  <si>
    <t># DDRC_DFIUPD0_1</t>
  </si>
  <si>
    <t># DDRC_DFIUPD1_1</t>
  </si>
  <si>
    <t># DDRC_DFIUPD2_1</t>
  </si>
  <si>
    <t># DDRC_ADDRMAP0_1</t>
  </si>
  <si>
    <t>0x5c10020C</t>
  </si>
  <si>
    <t># DDRC_ADDRMAP4_1</t>
  </si>
  <si>
    <t># DDRC_ADDRMAP1_1</t>
  </si>
  <si>
    <t># DDRC_ADDRMAP3_1</t>
  </si>
  <si>
    <t># DDRC_ADDRMAP5_1</t>
  </si>
  <si>
    <t># DDRC_ADDRMAP6_1</t>
  </si>
  <si>
    <t># DDRC_DBICTL_1</t>
  </si>
  <si>
    <t># DDRC_ODTMAP_1</t>
  </si>
  <si>
    <t># DDR_PHY_PGCR1_0</t>
  </si>
  <si>
    <t># DDR_PHY_PGCR8_0</t>
  </si>
  <si>
    <t># DDR_PHY_PGCR8_1</t>
  </si>
  <si>
    <t># DDR_PHY_PGCR1_1</t>
  </si>
  <si>
    <t># DDR_PHY_MR2_0</t>
  </si>
  <si>
    <t># DDR_PHY_MR1_0</t>
  </si>
  <si>
    <t># DDR_PHY_MR3_0</t>
  </si>
  <si>
    <t># DDR_PHY_MR11_0</t>
  </si>
  <si>
    <t># DDR_PHY_MR1_1</t>
  </si>
  <si>
    <t># DDR_PHY_MR2_1</t>
  </si>
  <si>
    <t># DDR_PHY_MR3_1</t>
  </si>
  <si>
    <t># DDR_PHY_MR11_1</t>
  </si>
  <si>
    <t># DDR_PHY_DTCR0_0</t>
  </si>
  <si>
    <t># DDR_PHY_DTCR1_0</t>
  </si>
  <si>
    <t># DDR_PHY_DTCR0_1</t>
  </si>
  <si>
    <t># DDR_PHY_DTCR1_1</t>
  </si>
  <si>
    <t>Enabled automatic temperature derating feature by default; added DDR Stress Test Script tab</t>
  </si>
  <si>
    <t xml:space="preserve">DDRC_DERATEEN_1 </t>
  </si>
  <si>
    <t>lpddr4_sr_allowed</t>
  </si>
  <si>
    <t>Indicates whether transition from SR-PD to SR and back to SR-PD is allowed.
This register field cannot be modified while PWRCTL.selfref_sw==1.
■0 - SR-PD -&gt; SR -&gt; SR-PD not allowed
■1 - SR-PD -&gt; SR -&gt; SR-PD allowed
Value After Reset: 0x0</t>
  </si>
  <si>
    <t>DDRC_PWRCTL</t>
  </si>
  <si>
    <t>dis_cam_drain_selfref</t>
  </si>
  <si>
    <t>Indicates whether skipping CAM draining is allowed when entering Self-Refresh.
This register field cannot be modified while PWRCTL.selfref_sw==1.
■0 - CAMs must be empty before entering SR
■1 - CAMs are not emptied before entering SR
Value After Reset: 0x0</t>
  </si>
  <si>
    <t>stay_in_selfref</t>
  </si>
  <si>
    <t>Self refresh state is an intermediate state to enter to Self refresh power down state or exit Self refresh power down state for LPDDR4.
This register controls transition from the Self refresh state.
■1 - Prohibit transition from Self refresh state
■0 - Allow transition from Self refresh state
Value After Reset: 0x0</t>
  </si>
  <si>
    <t>selfref_sw</t>
  </si>
  <si>
    <t>A value of 1 to this register causes system to move to Self Refresh state immediately, as long as it is not in INIT or DPD/MPSM operating_mode. This is referred to as Software Entry/Exit to Self Refresh.
■1 - Software Entry to Self Refresh
■0 - Software Exit from Self Refresh
Value After Reset: 0x0</t>
  </si>
  <si>
    <t>mpsm_en</t>
  </si>
  <si>
    <t>When this is 1, the uMCTL2 puts the SDRAM into maximum power saving mode when the transaction store is empty.
This register must be reset to '0' to bring uMCTL2 out of maximum power saving mode.
Present only in designs configured to support DDR4. For non-DDR4, this register should not be set to 1.
Note that MPSM is not supported when using a Synopsys DWC DDR PHY, if the PHY parameter DWC_AC_CS_USE is disabled, as the MPSM exit sequence requires the chip-select signal to toggle.
FOR PERFORMANCE ONLY.
Value After Reset: 0x0</t>
  </si>
  <si>
    <t>en_dfi_dram_clk_disable</t>
  </si>
  <si>
    <t>Enable the assertion of dfi_dram_clk_disable whenever a clock is not required by the SDRAM.
If set to 0, dfi_dram_clk_disable is never asserted.
Assertion of dfi_dram_clk_disable is as follows:
In DDR2/DDR3, can only be asserted in Self Refresh.
In DDR4, can be asserted in following:
■in Self Refresh.
■in Maximum Power Saving Mode
In mDDR/LPDDR2/LPDDR3, can be asserted in following:
■in Self Refresh
■in Power Down
■in Deep Power Down
■during Normal operation (Clock Stop)
In LPDDR4, can be asserted in following:
■in Self Refresh Power Down
■in Power Down
■during Normal operation (Clock Stop)
Value After Reset: 0x0</t>
  </si>
  <si>
    <t>deeppowerdown_en</t>
  </si>
  <si>
    <t>When this is 1, uMCTL2 puts the SDRAM into deep power-down mode when the transaction store is empty.
This register must be reset to '0' to bring uMCTL2 out of deep power-down mode. Controller performs automatic SDRAM initialization on deep power-down exit.
Present only in designs configured to support mDDR or LPDDR2 or LPDDR3. For non-mDDR/non-LPDDR2/non-LPDDR3, this register should not be set to 1.
FOR PERFORMANCE ONLY.
Value After Reset: 0x0</t>
  </si>
  <si>
    <t>powerdown_en</t>
  </si>
  <si>
    <t>If true then the uMCTL2 goes into power-down after a programmable number of cycles "maximum idle clocks before power down" (PWRTMG.powerdown_to_x32).
This register bit may be re-programmed during the course of normal operation.
Value After Reset: 0x0</t>
  </si>
  <si>
    <t>selfref_en</t>
  </si>
  <si>
    <t>If true then the uMCTL2 puts the SDRAM into Self Refresh after a programmable number of cycles "maximum idle clocks before Self Refresh (PWRTMG.selfref_to_x32)". This register bit may be re-programmed during the course of normal operation.
Value After Reset: 0x0</t>
  </si>
  <si>
    <t>hw_lp_idle_x32</t>
  </si>
  <si>
    <t>hw_lp_exit_idle_en</t>
  </si>
  <si>
    <t>hw_lp_en</t>
  </si>
  <si>
    <t>Enable for Hardware Low Power Interface.
Value After Reset: 0x1</t>
  </si>
  <si>
    <t>When this bit is programmed to 1 the cactive_in_ddrc pin of the DDRC can be used to exit from the automatic clock stop, automatic power down or automatic self-refresh modes. Note, it will not cause exit of Self-Refresh that was caused by Hardware Low Power Interface and/or Software (PWRCTL.selfref_sw).
Value After Reset: 0x1</t>
  </si>
  <si>
    <t>Hardware idle period. The cactive_ddrc output is driven low if the DDRC command channel is idle for hw_lp_idle * 32 cycles if not in INIT or DPD/MPSM operating_mode. The DDRC command channel is considered idle when there are no HIF commands outstanding. The hardware idle function is disabled when hw_lp_idle_x32=0.
Unit: Multiples of 32 DFI clocks.
FOR PERFORMANCE ONLY.
Value After Reset: 0x0</t>
  </si>
  <si>
    <t>DDRC_HWLPCTL</t>
  </si>
  <si>
    <t>// Set RL/WL</t>
  </si>
  <si>
    <t xml:space="preserve">// Set drive strength </t>
  </si>
  <si>
    <t>// Set CA ODT and DQ ODT</t>
  </si>
  <si>
    <r>
      <rPr>
        <b/>
        <sz val="10"/>
        <color theme="1"/>
        <rFont val="Arial"/>
        <family val="2"/>
      </rPr>
      <t>tWR (automatically calculated based on JEDEC)</t>
    </r>
    <r>
      <rPr>
        <sz val="10"/>
        <color theme="1"/>
        <rFont val="Arial"/>
        <family val="2"/>
      </rPr>
      <t xml:space="preserve">
Minimum time between write and precharge to same bank.
Unit: Clocks
Specifications: WL + BL/2 + tWR = approximately 8 cycles + 15 ns = 14 clocks @400MHz and less for lower frequencies
where:
■WL = write latency
■BL = burst length. This must match the value programmed in the BL bit of the mode register to the SDRAM. BST (burst terminate) is not supported at present.
■tWR = Write recovery time. This comes directly from the SDRAM specification.
Add one extra cycle for LPDDR2/LPDDR3/LPDDR4 for this parameter.
When the controller is operating in 1:2 frequency ratio mode, 1T mode, divide the above value by 2. No rounding up.
When the controller is operating in 1:2 frequency ratio mode, 2T mode or LPDDR4 mode, divide the above value by 2 and round it up to the next integer value.
Note that, depending on the PHY, if using LRDIMM, it may be necessary to adjust the value of this parameter to compensate for the extra cycle of latency through the LRDIMM.
Value After Reset: 0xf</t>
    </r>
  </si>
  <si>
    <r>
      <rPr>
        <b/>
        <sz val="10"/>
        <color theme="1"/>
        <rFont val="Arial"/>
        <family val="2"/>
      </rPr>
      <t>tFAW (in ns) (automatically calculated based on JEDEC)</t>
    </r>
    <r>
      <rPr>
        <sz val="10"/>
        <color theme="1"/>
        <rFont val="Arial"/>
        <family val="2"/>
      </rPr>
      <t xml:space="preserve">
tFAW Valid only when 8 or more banks(or banks x bank groups) are present.
In 8-bank design, at most 4 banks must be activated in a rolling window of tFAW cycles.
When the controller is operating in 1:2 frequency ratio mode, program this to (tFAW/2) and round up to next integer value.
In a 4-bank design, set this register to 0x1 independent of the 1:1/1:2 frequency mode.
Unit: Clocks
Value After Reset: 0x10</t>
    </r>
  </si>
  <si>
    <r>
      <rPr>
        <b/>
        <sz val="10"/>
        <color theme="1"/>
        <rFont val="Arial"/>
        <family val="2"/>
      </rPr>
      <t>tRAS(min) (automatically calculated based on JEDEC)</t>
    </r>
    <r>
      <rPr>
        <sz val="10"/>
        <color theme="1"/>
        <rFont val="Arial"/>
        <family val="2"/>
      </rPr>
      <t xml:space="preserve">
tRAS(min): Minimum time between activate and precharge to the same bank.
When the controller is operating in 1:2 frequency mode, 1T mode, program this to tRAS(min)/2. No rounding up.
When the controller is operating in 1:2 frequency ratio mode, 2T mode or LPDDR4 mode, program this to (tRAS(min)/2) and round it up to the next integer value.
Unit: Clocks
Value After Reset: 0xf</t>
    </r>
  </si>
  <si>
    <r>
      <rPr>
        <b/>
        <sz val="10"/>
        <color theme="1"/>
        <rFont val="Arial"/>
        <family val="2"/>
      </rPr>
      <t>tXP (automatically calculated based on JEDEC)</t>
    </r>
    <r>
      <rPr>
        <sz val="10"/>
        <color theme="1"/>
        <rFont val="Arial"/>
        <family val="2"/>
      </rPr>
      <t xml:space="preserve">
tXP: Minimum time after power-down exit to any operation. For DDR3, this should be programmed to tXPDLL if slow powerdown exit is selected in MR0[12].
If C/A parity for DDR4 is used, set to (tXP+PL) instead.
If LPDDR4 is selected and its spec has tCKELPD parameter, set to the larger of tXP and tCKELPD instead.
When the controller is operating in 1:2 frequency ratio mode, program this to (tXP/2) and round it up to the next integer value.
Units: Clocks
Value After Reset: 0x8</t>
    </r>
  </si>
  <si>
    <r>
      <rPr>
        <b/>
        <sz val="10"/>
        <color theme="1"/>
        <rFont val="Arial"/>
        <family val="2"/>
      </rPr>
      <t xml:space="preserve">Note: RL is automatically set based on the user input for Clock Cycle Freq (MHz). </t>
    </r>
    <r>
      <rPr>
        <sz val="10"/>
        <color theme="1"/>
        <rFont val="Arial"/>
        <family val="2"/>
      </rPr>
      <t xml:space="preserve">
Set to RL
Time from read command to read data on SDRAM interface. This must be set to RL.
Note that, depending on the PHY, if using RDIMM/LRDIMM, it may be necessary to adjust the value of RL to compensate for the extra cycle of latency through the RDIMM/LRDIMM.
When the controller is operating in 1:2 frequency ratio mode, divide the value calculated using the above equation by 2, and round it up to next integer.
This register field is not required for DDR2 and DDR3 (except if MEMC_TRAINING is set), as the DFI read and write latencies defined in DFITMG0 and DFITMG1 are sufficient for those protocols
Unit: clocks
Value After Reset: 0x5</t>
    </r>
  </si>
  <si>
    <t>Must supply the tDQSCK_max from the DRAM data sheet for LPDDR4 (automatically calculated based on JEDEC).
DDR2/3/mDDR: RL + BL/2 + 2 - WL
DDR4: RL + BL/2 + 1 + WR_PREAMBLE - WL
LPDDR2/LPDDR3: RL + BL/2 + RU(tDQSCKmax/tCK) + 1 - WL
LPDDR4(DQ ODT is Disabled): RL + BL/2 + RU(tDQSCKmax/tCK) + WR_PREAMBLE + RD_POSTAMBLE - WL
LPDDR4(DQ ODT is Enabled) : RL + BL/2 + RU(tDQSCKmax/tCK) + RD_POSTAMBLE - ODTLon - RU(tODTon(min)/tCK)
Minimum time from read command to write command. Include time for bus turnaround and all per-bank, per-rank, and global constraints. Please see the relevant PHY databook for details of what should be included here.
Unit: Clocks.
Where:
■WL = write latency
■BL = burst length. This must match the value programmed in the BL bit of the mode register to the SDRAM
■RL = read latency = CAS latency
■WR_PREAMBLE = write preamble. This is unique to DDR4 and LPDDR4.
■RD_POSTAMBLE = read postamble. This is unique to LPDDR4.
For LPDDR2/LPDDR3/LPDDR4, if derating is enabled (DERATEEN.derate_enable=1), derated tDQSCKmax should be used.
When the controller is operating in 1:2 frequency ratio mode, divide the value calculated using the above equation by 2, and round it up to next integer.
Note that, depending on the PHY, if using LRDIMM, it may be necessary to adjust the value of this parameter to compensate for the extra cycle of latency through the LRDIMM.
Note, the value of ODTLon depends on the Clock Cycle Freq (MHz).
Note, if PGCR1.WDQSEXT set we also need to add "DXnGCR0.RTTOH[10:9]*2) + WDQSPREEXT", where WDQSPREEXT=WL-WDQS_on. DXnGCR0.RTTOH[10:9] defaults to 0x1, such that DXnGCR0.RTTOH[10:9]*2 = 2 (calculation automatically performed); WDQS_on value can be found a few cells to the right</t>
  </si>
  <si>
    <r>
      <t xml:space="preserve">Timing parameter automatically calculated based on JEDEC.
Description: Time to wait after a mode register write or read (MRW or MRR).
Present only in designs configured to support LPDDR2/LPDDR3/LPDDR4
</t>
    </r>
    <r>
      <rPr>
        <b/>
        <sz val="10"/>
        <color theme="1"/>
        <rFont val="Arial"/>
        <family val="2"/>
      </rPr>
      <t>LPDDR2 typically requires value of 5.
LPDDR3 typically requires value of 10.
LPDDR4: Set this to the larger of tMRW and tMRWCKEL in ns.</t>
    </r>
    <r>
      <rPr>
        <sz val="10"/>
        <color theme="1"/>
        <rFont val="Arial"/>
        <family val="2"/>
      </rPr>
      <t xml:space="preserve">
Value After Reset: 0x0</t>
    </r>
  </si>
  <si>
    <t>■Full bus width mode: Selects the HIF address bit used as column address bit 9.
■Half bus width mode: Selects the HIF address bit used as column address bit 11 (10 in LPDDR2/LPDDR3 mode).
■Quarter bus width mode: Selects the HIF address bit used as column address bit 13 (11 in LPDDR2/LPDDR3 mode).
Valid Range: 0 to 7, x, and 31. x indicate a valid value in inline ECC configuration.
Internal Base: 9
The selected HIF address bit is determined by adding the internal base to the value of this field.
If unused, set to 31 and then this column address bit is set to 0.
Note: Per JEDEC DDR2/3/mDDR specification, column address bit 10 is reserved for indicating auto-precharge, and hence no source address bit can be mapped to column address bit 10.
In LPDDR2/LPDDR3, there is a dedicated bit for auto-precharge in the CA bus and hence column bit 10 is used.
In Inline ECC configuration (MEMC_INLINE_ECC=1) and ECC is enabled (ECCCFG0.ecc_mode&gt;0), the highest 3 column address bits must map to the highest 3 valid HIF address bits.
If column bit 9 is the highest column address bit, it must map to the highest valid HIF address bit. (x = the highest valid HIF address bit - internal base)
If column bit 9 is the second highest column address bit, it must map to the second highest valid HIF address bit. (x = the highest valid HIF address bit - 1 - internal base)
If column bit 9 is the third highest column address bit, it must map to the third highest valid HIF address bit. (x = the highest valid HIF address bit - 2 - internal base)
if it is unused, set to 31.</t>
  </si>
  <si>
    <t>■Full bus width mode: Selects the HIF address bit used as column address bit 8.
■Half bus width mode: Selects the HIF address bit used as column address bit 9.
■Quarter bus width mode: Selects the HIF address bit used as column address bit 11 (10 in LPDDR2/LPDDR3 mode).
Valid Range: 0 to 7, x, and 31. x indicate a valid value in inline ECC configuration.
Internal Base: 8
The selected HIF address bit is determined by adding the internal base to the value of this field.
If unused, set to 31 and then this column address bit is set to 0.
Note: Per JEDEC DDR2/3/mDDR specification, column address bit 10 is reserved for indicating auto-precharge, and hence no source address bit can be mapped to column address bit 10.
In LPDDR2/LPDDR3, there is a dedicated bit for auto-precharge in the CA bus and hence column bit 10 is used.
In Inline ECC configuration (MEMC_INLINE_ECC=1) and ECC is enabled (ECCCFG0.ecc_mode&gt;0), the highest 3 column address bits must map to the highest 3 valid HIF address bits.
If column bit 8 is the second highest column address bit, it must map to the second highest valid HIF address bit. (x = the highest valid HIF address bit - 1 - internal base)
If column bit 8 is the third highest column address bit, it must map to the third highest valid HIF address bit. (x = the highest valid HIF address bit - 2 - internal base)
if it is unused, set to 31.</t>
  </si>
  <si>
    <t>■Full bus width mode: Selects the HIF address bit used as column address bit 7.
■Half bus width mode: Selects the HIF address bit used as column address bit 8.
■Quarter bus width mode: Selects the HIF address bit used as column address bit 9.
Valid Range: 0 to 7, x, and 31. x indicate a valid value in inline ECC configuration.
Internal Base: 7
The selected HIF address bit is determined by adding the internal base to the value of this field. If unused, set to 31 and then this column address bit is set to 0.
In Inline ECC configuration (MEMC_INLINE_ECC=1) and ECC is enabled (ECCCFG0.ecc_mode&gt;0), the highest 3 column address bits must map to the highest 3 valid HIF address bits.
If column bit 7 is the third highest column address bit, it must map to the third highest valid HIF address bit. (x = the highest valid HIF address bit - 2 - internal base)
if it is unused, set to 31.</t>
  </si>
  <si>
    <t xml:space="preserve">PLL Lock Time: Number of ctl_clk cycles for the PLL to stabilize and lock, i.e. number of clock cycles from when the PLL reset pin is de-asserted to when the PLL has lock and is ready for use.
The PLL Lock time "Tlock" specified in the LPDDR4 multiPHY databook as 25us.
NOTE: ctl_clk is normally 1/2 the PHY clock </t>
  </si>
  <si>
    <t xml:space="preserve">Modified many timing configurations to be based on JEDEC specification rather than relying on manual inputs, making RPA more user friendly. Added register programming for DDRC_PWRCTL_0&amp;1 and DDRC_HWLPCTL_0&amp;1. Removed CHECK_BITS_CLR after DRAM/PHY initialization, but kept these check bits clear for checking for errors after data training. </t>
  </si>
  <si>
    <t>DFI_T_WRDATA_DELAY</t>
  </si>
  <si>
    <t>// tPLLLOCK, tPLLRST</t>
  </si>
  <si>
    <r>
      <rPr>
        <b/>
        <sz val="10"/>
        <rFont val="Arial"/>
        <family val="2"/>
      </rPr>
      <t>tRTP (automatically calculated based on JEDEC)</t>
    </r>
    <r>
      <rPr>
        <sz val="10"/>
        <rFont val="Arial"/>
        <family val="2"/>
      </rPr>
      <t xml:space="preserve">
tRTP: Minimum time from read to precharge of same bank.
■DDR2: tAL + BL/2 + max(tRTP, 2) - 2
■DDR3: tAL + max (tRTP, 4)
■DDR4: Max of following two equations: tAL + max (tRTP, 4) or, RL + BL/2 - tRP (*).
■mDDR: BL/2
■LPDDR2: Depends on if it's LPDDR2-S2 or LPDDR2-S4: LPDDR2-S2: BL/2 + tRTP - 1. LPDDR2-S4: BL/2 + max(tRTP,2) - 2.
■LPDDR3: BL/2 + max(tRTP,4) - 4
■LPDDR4: BL/2 + max(tRTP,8) - 8
(*) When both DDR4 SDRAM and ST-MRAM are used simultaneously, use SDRAM's tRP value for calculation.
When the controller is operating in 1:2 mode, 1T mode, divide the above value by 2. No rounding up.
When the controller is operating in 1:2 mode, 2T mode or LPDDR4 mode, divide the above value by 2 and round it up to the next integer value.
Unit: Clocks.
Value After Reset: 0x4</t>
    </r>
  </si>
  <si>
    <r>
      <rPr>
        <b/>
        <sz val="10"/>
        <color theme="1"/>
        <rFont val="Arial"/>
        <family val="2"/>
      </rPr>
      <t>tRPab (automatically calculated based on JEDEC)</t>
    </r>
    <r>
      <rPr>
        <sz val="10"/>
        <color theme="1"/>
        <rFont val="Arial"/>
        <family val="2"/>
      </rPr>
      <t xml:space="preserve">
tRC: Minimum time between activates to same bank.
When the controller is operating in 1:2 frequency ratio mode, program this to (tRC/2) and round up to next integer value.
Unit: Clocks.
Value After Reset: 0x14</t>
    </r>
  </si>
  <si>
    <r>
      <rPr>
        <b/>
        <sz val="10"/>
        <rFont val="Arial"/>
        <family val="2"/>
      </rPr>
      <t>tWTR (automatically calculated based on JEDEC).</t>
    </r>
    <r>
      <rPr>
        <sz val="10"/>
        <rFont val="Arial"/>
        <family val="2"/>
      </rPr>
      <t xml:space="preserve">
DDR4: CWL + PL + BL/2 + tWTR_L
LPDDR2/3/4: WL + BL/2 + tWTR + 1
Others: CWL + BL/2 + tWTR
In DDR4, minimum time from write command to read command for same bank group. In others, minimum time from write command to read command. Includes time for bus turnaround, recovery times, and all per-bank, per-rank, and global constraints.
Unit: Clocks.
Where:
■CWL = CAS write latency
■WL = Write latency
■PL = Parity latency
■BL = burst length. This must match the value programmed in the BL bit of the mode register to the SDRAM
■tWTR_L = internal write to read command delay for same bank group. This comes directly from the SDRAM specification.
■tWTR = internal write to read command delay. This comes directly from the SDRAM specification.
Add one extra cycle for LPDDR2/LPDDR3/LPDDR4 operation.
When the controller is operating in 1:2 mode, divide the value calculated using the above equation by 2, and round it up to next integer.
Note, if PGCR1.WDQSEXT set we also need to add "WDQSPSTEXT" (calculation automatically performed); WDQSPSTEXT value can be found a few cells to the right</t>
    </r>
  </si>
  <si>
    <r>
      <rPr>
        <b/>
        <sz val="10"/>
        <color theme="1"/>
        <rFont val="Arial"/>
        <family val="2"/>
      </rPr>
      <t>tMRD (automatically calculated based on JEDEC).</t>
    </r>
    <r>
      <rPr>
        <sz val="10"/>
        <color theme="1"/>
        <rFont val="Arial"/>
        <family val="2"/>
      </rPr>
      <t xml:space="preserve">
tMRD: Cycles to wait after a mode register write or read. Depending on the connected SDRAM, tMRD represents:
DDR2/mDDR: Time from MRS to any command
DDR3/4: Time from MRS to MRS command
LPDDR2: not used
LPDDR3/4: Time from MRS to non-MRS command.
When the controller is operating in 1:2 frequency ratio mode, program this to (tMRD/2) and round it up to the next integer value.
If C/A parity for DDR4 is used, set to tMRD_PAR(tMOD+PL) instead.
Value After Reset: 0x4</t>
    </r>
  </si>
  <si>
    <r>
      <rPr>
        <b/>
        <sz val="10"/>
        <color theme="1"/>
        <rFont val="Arial"/>
        <family val="2"/>
      </rPr>
      <t>tRCD (automatically calculated based on JEDEC).</t>
    </r>
    <r>
      <rPr>
        <sz val="10"/>
        <color theme="1"/>
        <rFont val="Arial"/>
        <family val="2"/>
      </rPr>
      <t xml:space="preserve">
tRCD - tAL: Minimum time from activate to read or write command to same bank. Note, for LPDDR4, tAL is not used and is 0, therefore this parameter is based on tRCD only.
When the controller is operating in 1:2 frequency ratio mode, program this to ((tRCD - tAL)/2) and round it up to the next integer value.
Minimum value allowed for this register is 1, which implies minimum (tRCD - tAL) value to be 2 when the controller is operating in 1:2 frequency ratio mode.
Unit: Clocks.
Value After Reset: 0x5</t>
    </r>
  </si>
  <si>
    <r>
      <rPr>
        <b/>
        <sz val="10"/>
        <color theme="1"/>
        <rFont val="Arial"/>
        <family val="2"/>
      </rPr>
      <t>tCCD (automatically calculated based on JEDEC).</t>
    </r>
    <r>
      <rPr>
        <sz val="10"/>
        <color theme="1"/>
        <rFont val="Arial"/>
        <family val="2"/>
      </rPr>
      <t xml:space="preserve">
DDR4: tCCD_L: This is the minimum time between two reads or two writes for same bank group.
Others: tCCD: This is the minimum time between two reads or two writes.
When the controller is operating in 1:2 frequency ratio mode, program this to (tCCD_L/2 or tCCD/2) and round it up to the next integer value.
Unit: clocks.
Value After Reset: 0x4</t>
    </r>
  </si>
  <si>
    <r>
      <rPr>
        <b/>
        <sz val="10"/>
        <color theme="1"/>
        <rFont val="Arial"/>
        <family val="2"/>
      </rPr>
      <t>tRRD (automatically calculated based on JEDEC).</t>
    </r>
    <r>
      <rPr>
        <sz val="10"/>
        <color theme="1"/>
        <rFont val="Arial"/>
        <family val="2"/>
      </rPr>
      <t xml:space="preserve">
DDR4: tRRD_L: Minimum time between activates from bank "a" to bank "b" for same bank group.
Others: tRRD: Minimum time between activates from bank "a" to bank "b"
When the controller is operating in 1:2 frequency ratio mode, program this to (tRRD_L/2 or tRRD/2) and round it up to the next integer value.
Unit: Clocks.
Value After Reset: 0x4</t>
    </r>
  </si>
  <si>
    <r>
      <rPr>
        <b/>
        <sz val="10"/>
        <color theme="1"/>
        <rFont val="Arial"/>
        <family val="2"/>
      </rPr>
      <t>tRPpb (automatically calculated based on JEDEC).</t>
    </r>
    <r>
      <rPr>
        <sz val="10"/>
        <color theme="1"/>
        <rFont val="Arial"/>
        <family val="2"/>
      </rPr>
      <t xml:space="preserve">
tRP: Minimum time from precharge to activate of same bank.
When the controller is operating in 1:1 frequency ratio mode, t_rp should be set to RoundUp(tRP/tCK).
When the controller is operating in 1:2 frequency ratio mode, t_rp should be set to RoundDown(RoundUp(tRP/tCK)/2) + 1.
When the controller is operating in 1:2 frequency ratio mode in LPDDR4, t_rp should be set to RoundUp(RoundUp(tRP/tCK)/2).
Unit: Clocks.
Value After Reset: 0x5</t>
    </r>
  </si>
  <si>
    <r>
      <rPr>
        <b/>
        <sz val="10"/>
        <color theme="1"/>
        <rFont val="Arial"/>
        <family val="2"/>
      </rPr>
      <t xml:space="preserve">tCKCKEH (automatically calculated based on JEDEC).
</t>
    </r>
    <r>
      <rPr>
        <sz val="10"/>
        <color theme="1"/>
        <rFont val="Arial"/>
        <family val="2"/>
      </rPr>
      <t>This is the time before Self Refresh Exit that CK is maintained as a valid clock before issuing SRX. Specifies the clock stable time before SRX.
Recommended settings:
■mDDR: 1
■LPDDR2: 2
■LPDDR3: 2
■LPDDR4: tCKCKEH
■DDR2: 1
■DDR3: tCKSRX
■DDR4: tCKSRX
When the controller is operating in 1:2 frequency ratio mode, program this to recommended value divided by two and round it up to next integer.
Value After Reset: 0x5</t>
    </r>
  </si>
  <si>
    <r>
      <rPr>
        <b/>
        <sz val="10"/>
        <color theme="1"/>
        <rFont val="Arial"/>
        <family val="2"/>
      </rPr>
      <t>tCKELCK (automatically calculated based on JEDEC).</t>
    </r>
    <r>
      <rPr>
        <sz val="10"/>
        <color theme="1"/>
        <rFont val="Arial"/>
        <family val="2"/>
      </rPr>
      <t xml:space="preserve">
This is the time after Self Refresh Down Entry that CK is maintained as a valid clock. Specifies the clock disable delay after SRE.
Recommended settings:
■mDDR: 0
■LPDDR2: 2
■LPDDR3: 2
■LPDDR4: tCKELCK
■DDR2: 1
■DDR3: max (10 ns, 5 tCK)
■DDR4: max (10 ns, 5 tCK) (+ PL(parity latency)(*))
(*)Only if CRCPARCTL1.caparity_disable_before_sr=0, this register should be increased by PL.
When the controller is operating in 1:2 frequency ratio mode, program this to recommended value divided by two and round it up to next integer.
Value After Reset: 0x5</t>
    </r>
  </si>
  <si>
    <r>
      <rPr>
        <b/>
        <sz val="10"/>
        <color theme="1"/>
        <rFont val="Arial"/>
        <family val="2"/>
      </rPr>
      <t>max(tCKE, tSR) (automatically calculated based on JEDEC).</t>
    </r>
    <r>
      <rPr>
        <sz val="10"/>
        <color theme="1"/>
        <rFont val="Arial"/>
        <family val="2"/>
      </rPr>
      <t xml:space="preserve">
Minimum CKE low width for Self refresh or Self refresh power down entry to exit timing in memory clock cycles.
Recommended settings:
■mDDR: tRFC
■LPDDR2: tCKESR
■LPDDR3: tCKESR
■LPDDR4: max(tCKE, tSR)
■DDR2: tCKE
■DDR3: tCKE + 1
■DDR4: tCKE + 1 (+ PL(parity latency)(*))
(*)Only if CRCPARCTL1.caparity_disable_before_sr=0, this register should be increased by PL.
When the controller is operating in 1:2 frequency ratio mode, program this to recommended value divided by two and round it up to next integer.
Value After Reset: 0x4</t>
    </r>
  </si>
  <si>
    <r>
      <rPr>
        <b/>
        <sz val="10"/>
        <color theme="1"/>
        <rFont val="Arial"/>
        <family val="2"/>
      </rPr>
      <t>max(tCKE, tSR) (automatically calculated based on JEDEC).</t>
    </r>
    <r>
      <rPr>
        <sz val="10"/>
        <color theme="1"/>
        <rFont val="Arial"/>
        <family val="2"/>
      </rPr>
      <t xml:space="preserve">
Minimum number of cycles of CKE HIGH/LOW during power-down and self refresh.
■LPDDR2/LPDDR3 mode: Set this to the larger of tCKE or tCKESR
■LPDDR4 mode: Set this to the larger of tCKE or tSR.
■Non-LPDDR2/non-LPDDR3/non-LPDDR4 designs: Set this to tCKE value.
When the controller is operating in 1:2 frequency ratio mode, program this to (value described above)/2 and round it up to the next integer value.
Unit: Clocks.
Value After Reset: 0x3</t>
    </r>
  </si>
  <si>
    <t>tXP + 2 (automatically calculated based on JEDEC)
This is the time before Clock Stop Exit that CK is maintained as a valid clock before issuing Clock Stop Exit. Specifies the clock stable time before next command after Clock Stop Exit.
Recommended settings:
■mDDR: 1
■LPDDR2: tXP + 2
■LPDDR3: tXP + 2
■LPDDR4: tXP + 2
When the controller is operating in 1:2 frequency ratio mode, program this to recommended value divided by two and round it up to next integer.
This is only present for designs supporting mDDR or LPDDR2/LPDDR3/LPDDR4 devices.
Value After Reset: 0x5</t>
  </si>
  <si>
    <t>tCKELCK (automatically calculated based on JEDEC)
This is the time after Power Down Entry that CK is maintained as a valid clock. Specifies the clock disable delay after PDE.
Recommended settings:
■mDDR: 0
■LPDDR2: 2
■LPDDR3: 2
■LPDDR4: tCKELCK
When using DDR2/3/4 SDRAM, this register should be set to the same value as DRAMTMG5.t_cksre. When the controller is operating in 1:2 frequency ratio mode, program this to recommended value divided by two and round it up to next integer.
This is only present for designs supporting mDDR or LPDDR2/LPDDR3/LPDDR4 devices.
Value After Reset: 0x2</t>
  </si>
  <si>
    <r>
      <t xml:space="preserve">tCMDCKE: Delay from valid command to CKE input LOW.
</t>
    </r>
    <r>
      <rPr>
        <b/>
        <sz val="10"/>
        <color theme="1"/>
        <rFont val="Arial"/>
        <family val="2"/>
      </rPr>
      <t>Set this to the larger of tESCKE or tCMDCKE (automatically calculated based on JEDEC)
tESCKE: Max(1.75ns, 3nCK)
tCMDCKE: Max(1.75ns, 3tCK)</t>
    </r>
    <r>
      <rPr>
        <sz val="10"/>
        <color theme="1"/>
        <rFont val="Arial"/>
        <family val="2"/>
      </rPr>
      <t xml:space="preserve">
When the controller is operating in 1:2 frequency ratio mode, program this to (max(tESCKE, tCMDCKE)/2) and round it up to the next integer value.
Value After Reset: 0x2</t>
    </r>
  </si>
  <si>
    <r>
      <t>Description: tCKEHCMD: Valid command requirement after CKE input HIGH.</t>
    </r>
    <r>
      <rPr>
        <b/>
        <sz val="10"/>
        <color theme="1"/>
        <rFont val="Arial"/>
        <family val="2"/>
      </rPr>
      <t xml:space="preserve"> Input tCKEHCMD in ns. May also be referred to as tCKEHCS: Max(7.5ns,5tCK). (automatically calculated based on JEDEC)</t>
    </r>
    <r>
      <rPr>
        <sz val="10"/>
        <color theme="1"/>
        <rFont val="Arial"/>
        <family val="2"/>
      </rPr>
      <t xml:space="preserve">
When the controller is operating in 1:2 frequency ratio mode, program this to (tCKEHCMD/2) and round it up to next integer value.  (this is performed automatically)
Value After Reset: 0x6</t>
    </r>
  </si>
  <si>
    <r>
      <rPr>
        <b/>
        <sz val="10"/>
        <color theme="1"/>
        <rFont val="Arial"/>
        <family val="2"/>
      </rPr>
      <t>tXSR: Max (tRFCab + 7.5ns, 2tCK) (automatically calculated based on JEDEC)</t>
    </r>
    <r>
      <rPr>
        <sz val="10"/>
        <color theme="1"/>
        <rFont val="Arial"/>
        <family val="2"/>
      </rPr>
      <t xml:space="preserve">
tXSR: Exit Self Refresh to any command.
When the controller is operating in 1:2 frequency ratio mode, program this to the above value divided by 2 and round up to next integer value.
Note: Used only for mDDR/LPDDR2/LPDDR3/LPDDR4 mode.
Value After Reset: 0xa0</t>
    </r>
  </si>
  <si>
    <t>tZQCAL: 1us (automatically calculated based on JEDEC)
tZQoper for DDR3/DDR4, tZQCL for LPDDR2/LPDDR3, tZQCAL for LPDDR4: Number of DFI clock cycles of NOP required after a ZQCL (ZQ calibration long)/MPC(ZQ Start) command is issued to SDRAM.
When the controller is operating in 1:2 frequency ratio mode:
DDR3/DDR4: program this to tZQoper/2 and round it up to the next integer value.
LPDDR2/LPDDR3: program this to tZQCL/2 and round it up to the next integer value.
LPDDR4: program this to tZQCAL/2 and round it up to the next integer value.
This is only present for designs supporting DDR3/DDR4 or LPDDR2/LPDDR3/LPDDR4 devices.
Value After Reset: 0x200</t>
  </si>
  <si>
    <r>
      <rPr>
        <b/>
        <sz val="10"/>
        <color theme="1"/>
        <rFont val="Arial"/>
        <family val="2"/>
      </rPr>
      <t>tZQLAT: Max (30ns, 8tCK) (automatically calculated based on JEDEC)</t>
    </r>
    <r>
      <rPr>
        <sz val="10"/>
        <color theme="1"/>
        <rFont val="Arial"/>
        <family val="2"/>
      </rPr>
      <t xml:space="preserve">
tZQCS for DDR3/DD4/LPDDR2/LPDDR3, tZQLAT for LPDDR4: Number of DFI clock cycles of NOP required after a ZQCS (ZQ calibration short)/MPC(ZQ Latch) command is issued to SDRAM.
When the controller is operating in 1:2 frequency ratio mode, program this to tZQCS/2 and round it up to the next integer value.
This is only present for designs supporting DDR3/DDR4 or LPDDR2/LPDDR3/LPDDR4 devices.
Value After Reset: 0x40</t>
    </r>
  </si>
  <si>
    <r>
      <rPr>
        <b/>
        <sz val="10"/>
        <color theme="1"/>
        <rFont val="Arial"/>
        <family val="2"/>
      </rPr>
      <t>tZQRESET: Max (50ns, 3tCK) (automatically calculated based on JEDEC)</t>
    </r>
    <r>
      <rPr>
        <sz val="10"/>
        <color theme="1"/>
        <rFont val="Arial"/>
        <family val="2"/>
      </rPr>
      <t xml:space="preserve">
tZQReset: Number of DFI clock cycles of NOP required after a ZQReset (ZQ calibration Reset) command is issued to SDRAM.
When the controller is operating in 1:2 frequency ratio mode, program this to tZQReset/2 and round it up to the next integer value.
This is only present for designs supporting LPDDR2/LPDDR3/LPDDR4 devices.
Value After Reset: 0x20</t>
    </r>
  </si>
  <si>
    <t># DDR_PHY_PTR1_0: tPLLLOCK, tPLLRST</t>
  </si>
  <si>
    <t># DDR_PHY_PTR1_1: tPLLLOCK, tPLLRST</t>
  </si>
  <si>
    <t>// MR1, MR2</t>
  </si>
  <si>
    <t xml:space="preserve">// Set tREFPRD </t>
  </si>
  <si>
    <t xml:space="preserve">// tDINIT0 </t>
  </si>
  <si>
    <t xml:space="preserve">// tDINIT1 </t>
  </si>
  <si>
    <t xml:space="preserve">// tDINIT2 </t>
  </si>
  <si>
    <t>// tDINIT4, tDINIT3 (1us)</t>
  </si>
  <si>
    <t xml:space="preserve"># DDR_PHY_PGCR2_0: Set tREFPRD </t>
  </si>
  <si>
    <t># DDR_PHY_PGCR2_1: Set tREFPRD</t>
  </si>
  <si>
    <t xml:space="preserve"># DDR_PHY_PTR3_0: tDINIT0 </t>
  </si>
  <si>
    <t xml:space="preserve"># DDR_PHY_PTR4_0: tDINIT1 </t>
  </si>
  <si>
    <t xml:space="preserve"># DDR_PHY_PTR5_0: tDINIT2 </t>
  </si>
  <si>
    <t xml:space="preserve"># DDR_PHY_PTR6_0: tDINIT4, tDINIT3 </t>
  </si>
  <si>
    <t># DDR_PHY_PTR3_1: tDINIT0</t>
  </si>
  <si>
    <t xml:space="preserve"># DDR_PHY_PTR5_1: tDINIT2 </t>
  </si>
  <si>
    <t># DDR_PHY_PTR6_1: tDINIT4, tDINIT3</t>
  </si>
  <si>
    <t>/* LPDDR4 mode register writes for CA and DQ VREF settings */</t>
  </si>
  <si>
    <t>Updated ADDRMAP3 COL9, 8, 7 bit fields to select 0x3F if not used. Updated RD2WR field to include RD_POSTAMBLE from MR1. Removed comments in DCD for PCGR2 and updated tPLLLOCK description for PTR1. Updated various comments in DCD.</t>
  </si>
  <si>
    <t># De-assert uMCTL2 core reset</t>
  </si>
  <si>
    <t xml:space="preserve">// tDINIT4, tDINIT3 </t>
  </si>
  <si>
    <t>// Set RANKEN</t>
  </si>
  <si>
    <t>MT53B768M32D4</t>
  </si>
  <si>
    <t>1. Important: it is necessary to populate this field with the density in Gbits (per LPDDR4 channel) as it is used in later calculations. For simplicity, you can take the total LPDDR4 DRAM density being used and divide-by-2 to calculate the per channel density.</t>
  </si>
  <si>
    <t>Updated/clarified device information table including updating exact part number used for the initial generation of the RPA tool.  Updated register VTCR1 per R&amp;D.</t>
  </si>
  <si>
    <t>Step 4. Go to the BoardDataBusConfig tab and correctly fill out the MX8 data bus mapping to the memory device.</t>
  </si>
  <si>
    <t xml:space="preserve">Fixed issue with ADDRMAP6 lpddr4_6gb_12gb_24gb setting, now this setting is based on 6 or 12Gb parts and on the number of rows used. </t>
  </si>
  <si>
    <t xml:space="preserve">Updated ADDRMAP0.addrmap_cs_bit0 value to be calculated based on the number of rows, cols, banks, and data bus width and if the density is a non-power-of-2 (6 or 12Gb).  Before, it was based solely on the density, now it is more accurately calculated.  Similarly, ADDRMAP6.addrmap_row_b13, b14, and b15 calculations are now based on number of rows, number of chip selects, bus width, and if the density is a non-power-of-2, which is more accurate calculation than basing this solely on the non-power-of-2 memory density. Finally, changed “Number of Channels per chip select” to be simply “Number of Channels” as this product has been tested only against 2-channel LP4 devices, where the number of chip selects may vary within a channel and not the other way around. Also added 1200MHz as a DDR freq option. </t>
  </si>
  <si>
    <t>Added ability in the Register Configuration tab to adjust drive strength and ODT settings in the PHY_ZQ0PR0 (CA bus) and PHY_ZQ1PR0 (DQ bus) registers.</t>
  </si>
  <si>
    <t>PU_DRV_ADJUST</t>
  </si>
  <si>
    <t>ZPROG_DRAM_ODT</t>
  </si>
  <si>
    <t>ZPROG_HOST_ODT</t>
  </si>
  <si>
    <t>ZPROG_ASYM_PD_DRV</t>
  </si>
  <si>
    <t>ZPROG_ASYM_PU_DRV</t>
  </si>
  <si>
    <r>
      <rPr>
        <b/>
        <sz val="10"/>
        <rFont val="Arial"/>
        <family val="2"/>
      </rPr>
      <t>Set to 1 for normal operation. It is strongly recommended to not change this bit field.</t>
    </r>
    <r>
      <rPr>
        <sz val="10"/>
        <rFont val="Arial"/>
        <family val="2"/>
      </rPr>
      <t xml:space="preserve">
Reserved for factory use.</t>
    </r>
  </si>
  <si>
    <r>
      <t xml:space="preserve">Impedance Divide Ratio: Selects the external resistor 
divide ratio to be used for DRAM side termination 
calibration. </t>
    </r>
    <r>
      <rPr>
        <b/>
        <sz val="10"/>
        <rFont val="Arial"/>
        <family val="2"/>
      </rPr>
      <t>This field is used only for LPDDR4 calibration 
to control the host side pull up drive strength.</t>
    </r>
  </si>
  <si>
    <r>
      <rPr>
        <b/>
        <sz val="10"/>
        <rFont val="Arial"/>
        <family val="2"/>
      </rPr>
      <t>This field is not used for LPDDR4 and is recommended to leave it at the default setting.</t>
    </r>
    <r>
      <rPr>
        <sz val="10"/>
        <rFont val="Arial"/>
        <family val="2"/>
      </rPr>
      <t xml:space="preserve">
Impedance Divide Ratio: Select the external resistor 
divide ratio to be used for pull-up drive calibration during 
asymmetric drive strength calibration. If symmetric drive 
strength calibration is desired, program this register field 
to the same value as ZPROG_ASYM_DRV_PD.</t>
    </r>
  </si>
  <si>
    <t>Impedance Value</t>
  </si>
  <si>
    <t>DDR_PHY_ZQ0PR0
(CA bus impedance Control)</t>
  </si>
  <si>
    <r>
      <t xml:space="preserve">Impedance Divide Ratio: Select the external resistor 
divide ratio to be used for pulldown drive calibration during 
asymmetric drive strength calibration. If symmetric drive 
strength calibration is desired, program this register field 
to the same value as ZPROG_ASYM_PU_DRV.
</t>
    </r>
    <r>
      <rPr>
        <b/>
        <sz val="10"/>
        <rFont val="Arial"/>
        <family val="2"/>
      </rPr>
      <t>This field controls the pull-down drive strength for LPDDR4.</t>
    </r>
  </si>
  <si>
    <t>DDR_PHY_ZQ1PR0
(DQ bus impedance Control)</t>
  </si>
  <si>
    <t>// Impedance control for CA bus</t>
  </si>
  <si>
    <t>// Impedance control for DQ bus</t>
  </si>
  <si>
    <t># DDR_PHY_ZQ0PR0_1, Impedance control for CA bus</t>
  </si>
  <si>
    <t># DDR_PHY_ZQ1PR0_1, Impedance control for DQ bus</t>
  </si>
  <si>
    <t># DDR_PHY_ZQ0PR0_0, Impedance control for CA bus</t>
  </si>
  <si>
    <t># DDR_PHY_ZQ1PR0_0, Impedance control for DQ bus</t>
  </si>
  <si>
    <r>
      <t xml:space="preserve">Impedance Divide Ratio: Selects the external resistor 
divide ratio to be used for host-side termination 
calibration. 
For DDR3 calibration, this field controls both PU and PD 
termination
• For DDR4 calibration, this field controls PU termination
</t>
    </r>
    <r>
      <rPr>
        <b/>
        <sz val="10"/>
        <rFont val="Arial"/>
        <family val="2"/>
      </rPr>
      <t>• For LPDDR4 calibration, this field controls PD
termination. However, as this applies to the command and address (CA) bus (outputs only), this field is a don't care and can be left at the default value.</t>
    </r>
  </si>
  <si>
    <t>DDRC Controller 1 setting</t>
  </si>
  <si>
    <t>Updated DDRC_DERATEEN.DERATE_BYTE in Register Configuration to automatically update which byte to use for MR4 reads that is connected to the LP4 Channel A byte 0 (which must be programmed programmed in the BoardDataBusConfig worksheet).</t>
  </si>
  <si>
    <t>0x5c100020</t>
  </si>
  <si>
    <t>0x5c100024</t>
  </si>
  <si>
    <t>Fixed issue with DDR Stress Test Script tab when programming  DDRC_DERATEEN and DDRC_DERATEINT for DRC1.  The register addresses were not updated for DRC1 and the fix was to update these for DRC1.</t>
  </si>
  <si>
    <t>if (action != BOARD_DDR_COLD_INIT)</t>
  </si>
  <si>
    <t>{</t>
  </si>
  <si>
    <t>return SC_ERR_NONE;</t>
  </si>
  <si>
    <t>}</t>
  </si>
  <si>
    <t>dfi_tlp_resp</t>
  </si>
  <si>
    <t>Setting in DFI clock cycles for DFI's tlp_resp time.
Same value is used for both Power Down, Self Refresh, Deep Power Down and Maximum Power Saving modes.
DFI 2.1 specification onwards, recommends using a fixed value of 7 always.
Value After Reset: 0x7</t>
  </si>
  <si>
    <t>DDRC_DFILPCFG0</t>
  </si>
  <si>
    <t>dfi_lp_wakeup_dpd</t>
  </si>
  <si>
    <t>Value in DFI clock cycles to drive on dfi_lp_wakeup signal when Deep Power Down mode is entered.
Determines the DFI's tlp_wakeup time:
■0x0 - 16 cycles
■0x1 - 32 cycles
■0x2 - 64 cycles
■0x3 - 128 cycles
■0x4 - 256 cycles
■0x5 - 512 cycles
■0x6 - 1024 cycles
■0x7 - 2048 cycles
■0x8 - 4096 cycles
■0x9 - 8192 cycles
■0xA - 16384 cycles
■0xB - 32768 cycles
■0xC - 65536 cycles
■0xD - 131072 cycles
■0xE - 262144 cycles
■0xF - Unlimited
This is only present for designs supporting mDDR or LPDDR2/LPDDR3 devices.
Value After Reset: 0x0</t>
  </si>
  <si>
    <t>dfi_lp_en_dpd</t>
  </si>
  <si>
    <t>Enables DFI Low Power interface handshaking during Deep Power Down Entry/Exit.
■0 - Disabled
■1 - Enabled
This is only present for designs supporting mDDR or LPDDR2/LPDDR3 devices.
Value After Reset: 0x0</t>
  </si>
  <si>
    <t>dfi_lp_wakeup_sr</t>
  </si>
  <si>
    <t>Value in DFI clock cycles to drive on dfi_lp_wakeup signal when Self Refresh mode is entered.
Determines the DFI's tlp_wakeup time:
■0x0 - 16 cycles
■0x1 - 32 cycles
■0x2 - 64 cycles
■0x3 - 128 cycles
■0x4 - 256 cycles
■0x5 - 512 cycles
■0x6 - 1024 cycles
■0x7 - 2048 cycles
■0x8 - 4096 cycles
■0x9 - 8192 cycles
■0xA - 16384 cycles
■0xB - 32768 cycles
■0xC - 65536 cycles
■0xD - 131072 cycles
■0xE - 262144 cycles
■0xF - Unlimited
Value After Reset: 0x0</t>
  </si>
  <si>
    <t>dfi_lp_en_sr</t>
  </si>
  <si>
    <t>Enables DFI Low Power interface handshaking during Self Refresh Entry/Exit.
■0 - Disabled
■1 - Enabled
Value After Reset: 0x0</t>
  </si>
  <si>
    <t>dfi_lp_wakeup_pd</t>
  </si>
  <si>
    <t>Value in DFI clock cycles to drive on dfi_lp_wakeup signal when Power Down mode is entered.
Determines the DFI's tlp_wakeup time:
■0x0 - 16 cycles
■0x1 - 32 cycles
■0x2 - 64 cycles
■0x3 - 128 cycles
■0x4 - 256 cycles
■0x5 - 512 cycles
■0x6 - 1024 cycles
■0x7 - 2048 cycles
■0x8 - 4096 cycles
■0x9 - 8192 cycles
■0xA - 16384 cycles
■0xB - 32768 cycles
■0xC - 65536 cycles
■0xD - 131072 cycles
■0xE - 262144 cycles
■0xF - Unlimited
Value After Reset: 0x0</t>
  </si>
  <si>
    <t>dfi_lp_en_pd</t>
  </si>
  <si>
    <t>Enables DFI Low Power interface handshaking during Power Down Entry/Exit.
■0 - Disabled
■1 - Enabled
Value After Reset: 0x0</t>
  </si>
  <si>
    <t>selfref_to_x32</t>
  </si>
  <si>
    <t>After this many clocks of the DDRC command channel being idle the uMCTL2 automatically puts the SDRAM into Self Refresh. The DDRC command channel is considered idle when there are no HIF commands outstanding. This must be enabled in the PWRCTL.selfref_en.
Unit: Multiples of 32 DFI clocks.
FOR PERFORMANCE ONLY.
Value After Reset: 0x40</t>
  </si>
  <si>
    <t>DDRC_PWRTMG</t>
  </si>
  <si>
    <t>t_dpd_x4096</t>
  </si>
  <si>
    <t>Minimum deep power-down time.
For mDDR, value from the JEDEC specification is 0 as mDDR exits from deep power-down mode immediately after PWRCTL.deeppowerdown_en is de-asserted.
For LPDDR2/LPDDR3, value from the JEDEC specification is 500us.
Unit: Multiples of 4096 DFI clocks.
Present only in designs configured to support mDDR, LPDDR2 or LPDDR3.
FOR PERFORMANCE ONLY.
Value After Reset: "(MEMC_MOBILE_OR_LPDDR2_EN) ? 0x20 : 0x0"</t>
  </si>
  <si>
    <t>powerdown_to_x32</t>
  </si>
  <si>
    <t>After this many clocks of the DDRC command channel being idle the uMCTL2 automatically puts the SDRAM into power-down. The DDRC command channel is considered idle when there are no HIF commands outstanding. This must be enabled in the PWRCTL.powerdown_en.
Unit: Multiples of 32 DFI clocks
FOR PERFORMANCE ONLY.
Value After Reset: 0x10</t>
  </si>
  <si>
    <t>ACDDLLD</t>
  </si>
  <si>
    <t>AC DDL Delay Select Dynamic Load: Specifies whether the
registers inside the AC that hold the delay select signal of AC
DDL should be dynamically loaded only when the delay
select changes or should be continuously (always) loaded.
This only applies to the AC delay LCDL. Valid values are:
1b0 = Delay select signal registers should be dynamically
loaded only when the delay select signal has change and the
delay load signal is high
1b1 = Delay select signal should be continuously (always)
loaded on every clock cycle</t>
  </si>
  <si>
    <t>DDR_PHY_PGCR4</t>
  </si>
  <si>
    <t>ACDDLBYP</t>
  </si>
  <si>
    <t>AC DDL Bypass: Specifies, if set to 1b1 that the DDL delay
should be bypassed. Otherwise the DDL bypass is turned off.
Different bits control different AC DDLs as follows:
ACDDLBYP [0] = CKN BDL delay bypass
ACDDLBYP [1] = CK BDL delay bypass
ACDDLBYP [2] = Address/command BDL delay bypass
ACDDLBYP [3] = Address/command LCDL delay bypass
ACDDLBYP [4] = Master delay line LCDL delay bypass</t>
  </si>
  <si>
    <t>OEDDLBYP</t>
  </si>
  <si>
    <t>AC OE DDL Bypass: Specifies, if set to 1b1 that the DDL
delay should be bypassed. Otherwise the DDL bypass is
turned off</t>
  </si>
  <si>
    <t>TEDDLBYP</t>
  </si>
  <si>
    <t>AC ODT DDL Bypass: Specifies, if set to 1b1 that the DDL
delay should be bypassed. Otherwise the DDL bypass is
turned off</t>
  </si>
  <si>
    <t>PDRDDLBYP</t>
  </si>
  <si>
    <t>AC PDR DDL Bypass: Specifies, if set to 1b1 that the DDL
delay should be bypassed. Otherwise the DDL bypass is
turned off</t>
  </si>
  <si>
    <t>RESERVED_20</t>
  </si>
  <si>
    <t>Reserved, set to 0x1</t>
  </si>
  <si>
    <t>RESERVED_19</t>
  </si>
  <si>
    <t>Set PDA mode timing. If this bit is set by the MCTL, the DFI
write commands are delayed by 2 SDRAM clock cycles, while
at the same time the DQ data is advanced with respect to
DQS.
This allows the MCTL to satisfy the t_PDA_S timing
requirement.
This register field must be set in conjunction with
DX8SLmnDQSCTL[15] for PDA mode to be properly
enabled/disabled.</t>
  </si>
  <si>
    <t>DCALTYPE</t>
  </si>
  <si>
    <t>DDL Calibration Type: Select the algorithm in DDL
Calibration. Select the algorithm as follows:
1’b0: binary search algorithm
1’b1: linear search algorithm</t>
  </si>
  <si>
    <t>DCALSVAL</t>
  </si>
  <si>
    <t>DDL Calibration Starting Value: Initial LCDL delay select
value in DDL Calibration.
Note: This value can’t be set as 0 in binary search algorithm.
For Linear search algorithm when DCALTYPE = 1, Value in
this register field DCALSVAL should be programmed with
value less than ([DRAM Clock period]/4) / [tap_size].</t>
  </si>
  <si>
    <t>AC Low Power Wakeup Threshold: If dfi_lp_wakeup is greater
than this threshold value, PLLs will be powered down when
entering DFI low power mode.
The value of the dfi_lp_wakeup signal at the time that the
dfi_lp_ctrl_req or dfi_lp_data_req signal is asserted sets the
tlp_wakeup time. Valid values in tems of number clock cycles
are:
4b0000 = 16 cycles
4b0001 = 32 cycles
4b0010 = 64 cycles
4b0011 = 128 cycles
4b0100 = 256 cycles
4b0101 = 512 cycles
4b0110 = 1024 cycles
4b0111 = 2048 cycles
4b1000 = 4096 cycles
4b1001 = 8192 cycles
4b1010 = 16384 cycles
4b1011 = 32768 cycles
4b1100 = 65536 cycles
4b1101 = 131072 cycles
4b1110 = 262144 cycles
4b1111 = Unlimited cycles</t>
  </si>
  <si>
    <t>AC Low Power PLL Power Down: Specifies if set that the PHY
should respond to the DFI low power opportunity request and
power down the PLL of the byte if the wakeup time request
satisfies the LPWAKEUP_THRSH.
LPWAKEUP_THRSH is the Minimum threshold value of
tlp_wakeup required to make PHY go into low power mode by
powering down PLL.
The value of the dfi_lp_wakeup signal at the time that the
dfi_lp_data_req&amp;dfi_lp_ctrl_req signal is de-asserted sets the
tlp_wakeup time. The value is in terms of number clock
cycles.</t>
  </si>
  <si>
    <t>AC Low Power I/O Power Down: Specifies if set that the PHY
should respond to the DFI low power opportunity request and
power down the AC I/Os.</t>
  </si>
  <si>
    <t>tWLDLYS</t>
  </si>
  <si>
    <t>Programming value in this register adds the delay from the end of
tWLDQSEN time to the first rising edge of DQS.
This is used in Write Level Training Only.
Note: In LPDDR4 mode, the value programmed in this register field
should be equal to tWLWPRE.</t>
  </si>
  <si>
    <t>DDR_PHY_PTR2</t>
  </si>
  <si>
    <t>tCALH</t>
  </si>
  <si>
    <t>Calibration Hold Time: Number of controller clock cycles from when the
clock was disabled (cal_clk_en de-asserted) to when calibration is enable
(cal_en asserted). The default value is the recommended minimum
value.</t>
  </si>
  <si>
    <t>tCALS</t>
  </si>
  <si>
    <t>Calibration Setup Time: Number of controller clock cycles from when
calibration is enabled (cal_en asserted) to when the calibration clock is
asserted again (cal_clk_en asserted).). The default value is the
recommended minimum value.</t>
  </si>
  <si>
    <t>tCALON</t>
  </si>
  <si>
    <t>Calibration On Time: Number of controller clock cycles that the
calibration clock is enabled (cal_clk_en asserted). The default value is
the recommended minimum value.</t>
  </si>
  <si>
    <t>rdwr_idle_gap</t>
  </si>
  <si>
    <t>When the preferred transaction store is empty for these many clock cycles, switch to the alternate transaction store if it is non-empty.
The read transaction store (both high and low priority) is the default preferred transaction store and the write transaction store is the alternative store.
When prefer write over read is set this is reversed.
0x0 is a legal value for this register. When set to 0x0, the transaction store switching will happen immediately when the switching conditions become true.
FOR PERFORMANCE ONLY
Value After Reset: 0x0</t>
  </si>
  <si>
    <t>DDRC_SCHED</t>
  </si>
  <si>
    <t>go2critical_hysteresis</t>
  </si>
  <si>
    <t>UNUSED
Value After Reset: 0x0</t>
  </si>
  <si>
    <t>lpr_num_entries</t>
  </si>
  <si>
    <t>Number of entries in the low priority transaction store is this value + 1.
(MEMC_NO_OF_ENTRY - (SCHED.lpr_num_entries + 1)) is the number of entries available for the high priority transaction store.
Setting this to maximum value allocates all entries to low priority transaction store.
Setting this to 0 allocates 1 entry to low priority transaction store and the rest to high priority transaction store.
Note: In ECC configurations, the numbers of write and low priority read credits issued is one less than in the non-ECC case. One entry each is reserved in the write and low-priority read CAMs for storing the RMW requests arising out of single bit error correction RMW operation.
Value After Reset: "MEMC_NO_OF_ENTRY/2"</t>
  </si>
  <si>
    <t>pageclose</t>
  </si>
  <si>
    <t>If true, bank is kept open only while there are page hit transactions available in the CAM to that bank. The last read or write command in the CAM with a bank and page hit will be executed with auto-precharge if SCHED1.pageclose_timer=0. Even if this register set to 1 and SCHED1.pageclose_timer is set to 0, explicit precharge (and not auto-precharge) may be issued in some cases where there is a mode switch between Write and Read or between LPR and HPR. The Read and Write commands that are executed as part of the ECC scrub requests are also executed without auto-precharge.
If false, the bank remains open until there is a need to close it (to open a different page, or for page timeout or refresh timeout) - also known as open page policy. The open page policy can be overridden by setting the per-command-autopre bit on the HIF interface (hif_cmd_autopre).
The pageclose feature provids a midway between Open and Close page policies.
FOR PERFORMANCE ONLY.
Value After Reset: 0x1</t>
  </si>
  <si>
    <t>prefer_write</t>
  </si>
  <si>
    <t>If set then the bank selector prefers writes over reads.
FOR DEBUG ONLY.
Value After Reset: 0x0</t>
  </si>
  <si>
    <t>force_low_pri_n</t>
  </si>
  <si>
    <t>Active low signal. When asserted ('0'), all incoming transactions are forced to low priority. This implies that all High Priority Read (HPR) and Variable Priority Read commands (VPR) will be treated as Low Priority Read (LPR) commands. On the write side, all Variable Priority Write (VPW) commands will be treated as Normal Priority Write (NPW) commands. Forcing the incoming transactions to low priority implicitly turns off Bypass path for read commands.
FOR PERFORMANCE ONLY.
Value After Reset: 0x1</t>
  </si>
  <si>
    <t>pageclose_timer</t>
  </si>
  <si>
    <t>This field works in conjunction with SCHED.pageclose. It only has meaning if SCHED.pageclose==1.
If SCHED.pageclose==1 and pageclose_timer==0, then an auto-precharge may be scheduled for last read or write command in the CAM with a bank and page hit. Note, sometimes an explicit precharge is scheduled instead of the auto-precharge. See SCHED.pageclose for details of when this may happen.
If SCHED.pageclose==1 and pageclose_timer&gt;0, then an auto-precharge is not scheduled for last read or write command in the CAM with a bank and page hit. Instead, a timer is started, with pageclose_timer as the initial value. There is a timer on a per bank basis. The timer decrements unless the next read or write in the CAM to a bank is a page hit. It gets reset to pageclose_timer value if the next read or write in the CAM to a bank is a page hit. Once the timer has reached zero, an explcit precharge will be attempted to be scheduled.
Value After Reset: 0x0</t>
  </si>
  <si>
    <t>DDRC_SCHED1</t>
  </si>
  <si>
    <t>lpr_xact_run_length</t>
  </si>
  <si>
    <t>Number of transactions that are serviced once the LPR queue goes critical is the smaller of:
■(a) This number
■(b) Number of transactions available.
Unit: Transaction.
FOR PERFORMANCE ONLY.
Value After Reset: 0xf</t>
  </si>
  <si>
    <t>DDRC_PERFLPR1</t>
  </si>
  <si>
    <t>lpr_max_starve</t>
  </si>
  <si>
    <t>Number of DFI clocks that the LPR queue can be starved before it goes critical. The minimum valid functional value for this register is 0x1. Programming it to 0x0 will disable the starvation functionality; during normal operation, this function should not be disabled as it will cause excessive latencies.
FOR PERFORMANCE ONLY.
Value After Reset: 0x7f</t>
  </si>
  <si>
    <t>w_xact_run_length</t>
  </si>
  <si>
    <t>Number of transactions that are serviced once the WR queue goes critical is the smaller of:
■(a) This number
■(b) Number of transactions available.
Unit: Transaction.
FOR PERFORMANCE ONLY.
Value After Reset: 0xf</t>
  </si>
  <si>
    <t>DDRC_PERFWR1</t>
  </si>
  <si>
    <t>w_max_starve</t>
  </si>
  <si>
    <t>Number of DFI clocks that the WR queue can be starved before it goes critical. The minimum valid functional value for this register is 0x1. Programming it to 0x0 will disable the starvation functionality; during normal operation, this function should not be disabled as it will cause excessive latencies.
FOR PERFORMANCE ONLY.
Value After Reset: 0x7f</t>
  </si>
  <si>
    <t>//Performance optimizations</t>
  </si>
  <si>
    <t>//Enables DFI Low Power interface</t>
  </si>
  <si>
    <t xml:space="preserve">DDRC_PWRCTL_0 </t>
  </si>
  <si>
    <t xml:space="preserve">DDRC_PWRCTL_1 </t>
  </si>
  <si>
    <t xml:space="preserve">DDRC_PWRTMG_0 </t>
  </si>
  <si>
    <t xml:space="preserve">DDRC_PWRTMG_1 </t>
  </si>
  <si>
    <t>DDRC_HWLPCTL_0</t>
  </si>
  <si>
    <t>DDRC_HWLPCTL_1</t>
  </si>
  <si>
    <t>DDRC_DFILPCFG0_0</t>
  </si>
  <si>
    <t>DDRC_DFILPCFG0_1</t>
  </si>
  <si>
    <t>#Performance optimizations</t>
  </si>
  <si>
    <t>#Enables DFI Low Power interface</t>
  </si>
  <si>
    <t xml:space="preserve"># DDRC_PWRCTL_0 </t>
  </si>
  <si>
    <t xml:space="preserve"># DDRC_PWRCTL_1 </t>
  </si>
  <si>
    <t xml:space="preserve"># DDRC_PWRTMG_0 </t>
  </si>
  <si>
    <t xml:space="preserve"># DDRC_PWRTMG_1 </t>
  </si>
  <si>
    <t># DDRC_HWLPCTL_0</t>
  </si>
  <si>
    <t># DDRC_HWLPCTL_1</t>
  </si>
  <si>
    <t># DDRC_DFILPCFG0_0</t>
  </si>
  <si>
    <t># DDRC_DFILPCFG0_1</t>
  </si>
  <si>
    <t>0x5C000030</t>
  </si>
  <si>
    <t>0x5C100030</t>
  </si>
  <si>
    <t>0x5C000034</t>
  </si>
  <si>
    <t>0x5C100034</t>
  </si>
  <si>
    <t>0x5C000038</t>
  </si>
  <si>
    <t>0x5C100038</t>
  </si>
  <si>
    <t>0x5C100198</t>
  </si>
  <si>
    <t>0x5C000198</t>
  </si>
  <si>
    <t>DDR_PHY_PGCR4_0</t>
  </si>
  <si>
    <t>DDR_PHY_PGCR4_1</t>
  </si>
  <si>
    <t># DDR_PHY_PGCR4_0</t>
  </si>
  <si>
    <t># DDR_PHY_PGCR4_1</t>
  </si>
  <si>
    <t>0x5C010020</t>
  </si>
  <si>
    <t>0x5C110020</t>
  </si>
  <si>
    <t>//Enable QCHAN HWidle</t>
  </si>
  <si>
    <t>0x41A40504</t>
  </si>
  <si>
    <t>0x41D00504</t>
  </si>
  <si>
    <t># Enable QCHAN HWidle</t>
  </si>
  <si>
    <t xml:space="preserve">DDRC_RFSHCTL0_0 </t>
  </si>
  <si>
    <t xml:space="preserve">DDRC_RFSHCTL0_1 </t>
  </si>
  <si>
    <t xml:space="preserve">DDRC_RFSHTMG_0 </t>
  </si>
  <si>
    <t xml:space="preserve">DDRC_INIT0_0   </t>
  </si>
  <si>
    <t xml:space="preserve">DDRC_INIT1_0   </t>
  </si>
  <si>
    <t xml:space="preserve">DDRC_INIT3_0   </t>
  </si>
  <si>
    <t xml:space="preserve">DDRC_INIT4_0   </t>
  </si>
  <si>
    <t>0x5c000050</t>
  </si>
  <si>
    <t># DDRC_RFSHCTL0_0</t>
  </si>
  <si>
    <t>0x5c100050</t>
  </si>
  <si>
    <t># DDRC_RFSHCTL0_1</t>
  </si>
  <si>
    <t>#include &lt;MX8/MX8_ddrc.h&gt;</t>
  </si>
  <si>
    <t>#include &lt;MX8/MX8_ddr_phy.h&gt;</t>
  </si>
  <si>
    <r>
      <t>Density per channel per chip select (Gb)</t>
    </r>
    <r>
      <rPr>
        <vertAlign val="superscript"/>
        <sz val="10"/>
        <rFont val="Arial"/>
        <family val="2"/>
      </rPr>
      <t>1</t>
    </r>
    <r>
      <rPr>
        <sz val="10"/>
        <rFont val="Arial"/>
        <family val="2"/>
      </rPr>
      <t>:</t>
    </r>
  </si>
  <si>
    <r>
      <t>Number of Channels (based on Bus Width)</t>
    </r>
    <r>
      <rPr>
        <vertAlign val="superscript"/>
        <sz val="10"/>
        <rFont val="Arial"/>
        <family val="2"/>
      </rPr>
      <t>3</t>
    </r>
  </si>
  <si>
    <t>4. Even though i.MX8 runs at 1.596GHz, set timings according to 1.6GHz to allow for a little more margin</t>
  </si>
  <si>
    <r>
      <t>Clock Cycle Freq (MHz)</t>
    </r>
    <r>
      <rPr>
        <vertAlign val="superscript"/>
        <sz val="10"/>
        <rFont val="Arial"/>
        <family val="2"/>
      </rPr>
      <t>4</t>
    </r>
  </si>
  <si>
    <t>3. Number of LP4 channels is based on data bus width. If bus width is 32-bits, then this is a 2-channel device. Else if bus width is 16-bits, then it is a 1-channel device.</t>
  </si>
  <si>
    <t>0x000A0000</t>
  </si>
  <si>
    <t>// DISDIC=1 (no uMCTL2 commands can go to memory) and WDQSEXT=1</t>
  </si>
  <si>
    <t>Is this B0 silicon? Clock functions removed in later silicon revs.</t>
  </si>
  <si>
    <t>yes</t>
  </si>
  <si>
    <t>no</t>
  </si>
  <si>
    <t>/*! Configure DDR retention support */</t>
  </si>
  <si>
    <t>DEFINE</t>
  </si>
  <si>
    <t>/* Descriptor values for DDR regions saved/restored during retention */</t>
  </si>
  <si>
    <t>BD_DDR_RET</t>
  </si>
  <si>
    <t xml:space="preserve">BD_DDR_RET_NUM_DRC   </t>
  </si>
  <si>
    <t>BD_DDR_RET_NUM_REGION</t>
  </si>
  <si>
    <t>/* Add/remove DDR retention */</t>
  </si>
  <si>
    <t>/* Number for DRCs to retain */</t>
  </si>
  <si>
    <t>/* DDR regions to save/restore */</t>
  </si>
  <si>
    <t>BD_DDR_RET_REGION1_ADDR</t>
  </si>
  <si>
    <t>BD_DDR_RET_REGION1_SIZE</t>
  </si>
  <si>
    <t>BD_DDR_RET_REGION2_ADDR</t>
  </si>
  <si>
    <t>BD_DDR_RET_REGION2_SIZE</t>
  </si>
  <si>
    <t>0x80000000</t>
  </si>
  <si>
    <t>Updated for QM B0. Can work with A0 but only when initializing DDR via SCFW; DCD CFG file is too large for A0 ROM boot. Other updates include fixing calc in BoardDataBusConfig tab for DDR Controller 1 DDR_PHY_PGCR8_1 (formula incorrectly used cell A34 and was corrected to use AA34).  Updated register configuration Device Information table to identify part as per channel and per density and updated tRFC timing based on this; also number of LP4 channels is based on data bus width. Updated ADDRMAP0, 5, 6 registers to support CS interleave between bank and rows and removed bank interleave option (always enabled) to simplify CS interleave. Updated clock configuration information in the DCD tab which applies to both revisions of silicon to align with SCFW. To align with SCFW performance/power optimizations, added DDRC_RFSHCTL0, DDRC_HWLPCTL, DDRC_DFILPCFG0, DDRC_PWRTMG, DDR_PHY_PGCR4, DDRC_PWRCTL, DDRC_SCHED, DDRC_SCHED1, DDRC_PERFLPR1, DDRC_PERFWR1 register configurations and DSC write "DATA 4 0x41A40504 0x400" and "DATA 4 0x41D00504 0x400" at end of init and updated DDR_PHY_DX8SLbDXCTL2_0 to 0x001c1600 from 0x001c1400, DDR_PHY_DX8SLbDQSCTL_0 to 0x012240F7 from 0x012640F7. Add programming for DDR_PHY_PTR2 (to align tWLDLYS with JEDEC) and adjusted parameter DDR_PHY_ZQCR.PGWAITFRQA to be programmable based on DDR frequency. Updated DRAMTMG2 tDQSCK from 3.5 to 3.6 since derating is enabled. Write DQS Extension option removed and is permanently enabled as all LP4 vendors are aligning to this JEDEC standard. Changed DCD CFG file include to now be: #include &lt;MX8/MX8_ddrc.h&gt;
#include &lt;MX8/MX8_ddr_phy.h&gt; Added version number to DCD file. Updated DRAMTMG2.rd2wr calculation to align with IP vendor spec.  Added DEFINEs to DCD CFG tab to support SCFW DDR retention location/size info.</t>
  </si>
  <si>
    <t>0x000A0040</t>
  </si>
  <si>
    <t>// DISDIC=1 (no uMCTL2 commands can go to memory), WDQSEXT=1, PUBMODE=1</t>
  </si>
  <si>
    <t>DDR_PHY_MR13</t>
  </si>
  <si>
    <t>0x5C0101B4</t>
  </si>
  <si>
    <t>0x5C1101B4</t>
  </si>
  <si>
    <r>
      <rPr>
        <sz val="10"/>
        <rFont val="Arial"/>
        <family val="2"/>
      </rPr>
      <t xml:space="preserve">LPDDR4 </t>
    </r>
    <r>
      <rPr>
        <b/>
        <sz val="10"/>
        <rFont val="Arial"/>
        <family val="2"/>
      </rPr>
      <t>MR13:</t>
    </r>
    <r>
      <rPr>
        <sz val="10"/>
        <rFont val="Arial"/>
        <family val="2"/>
      </rPr>
      <t xml:space="preserve"> FSP-OP (Frequency Set Point Operation Mode)</t>
    </r>
  </si>
  <si>
    <r>
      <rPr>
        <sz val="10"/>
        <rFont val="Arial"/>
        <family val="2"/>
      </rPr>
      <t xml:space="preserve">LPDDR4 </t>
    </r>
    <r>
      <rPr>
        <b/>
        <sz val="10"/>
        <rFont val="Arial"/>
        <family val="2"/>
      </rPr>
      <t>MR13:</t>
    </r>
    <r>
      <rPr>
        <sz val="10"/>
        <rFont val="Arial"/>
        <family val="2"/>
      </rPr>
      <t xml:space="preserve"> FSP-WR (Frequency Set Point Write Enable)</t>
    </r>
  </si>
  <si>
    <r>
      <rPr>
        <sz val="10"/>
        <rFont val="Arial"/>
        <family val="2"/>
      </rPr>
      <t xml:space="preserve">LPDDR4 </t>
    </r>
    <r>
      <rPr>
        <b/>
        <sz val="10"/>
        <rFont val="Arial"/>
        <family val="2"/>
      </rPr>
      <t>MR13:</t>
    </r>
    <r>
      <rPr>
        <sz val="10"/>
        <rFont val="Arial"/>
        <family val="2"/>
      </rPr>
      <t xml:space="preserve"> DMD (Data Mask Disable)</t>
    </r>
  </si>
  <si>
    <r>
      <rPr>
        <sz val="10"/>
        <rFont val="Arial"/>
        <family val="2"/>
      </rPr>
      <t xml:space="preserve">LPDDR4 </t>
    </r>
    <r>
      <rPr>
        <b/>
        <sz val="10"/>
        <rFont val="Arial"/>
        <family val="2"/>
      </rPr>
      <t>MR13:</t>
    </r>
    <r>
      <rPr>
        <sz val="10"/>
        <rFont val="Arial"/>
        <family val="2"/>
      </rPr>
      <t xml:space="preserve"> RRO Refresh rate option</t>
    </r>
  </si>
  <si>
    <r>
      <rPr>
        <sz val="10"/>
        <rFont val="Arial"/>
        <family val="2"/>
      </rPr>
      <t xml:space="preserve">LPDDR4 </t>
    </r>
    <r>
      <rPr>
        <b/>
        <sz val="10"/>
        <rFont val="Arial"/>
        <family val="2"/>
      </rPr>
      <t>MR13:</t>
    </r>
    <r>
      <rPr>
        <sz val="10"/>
        <rFont val="Arial"/>
        <family val="2"/>
      </rPr>
      <t xml:space="preserve"> VRCG (VREF Current Generator)</t>
    </r>
  </si>
  <si>
    <r>
      <rPr>
        <sz val="10"/>
        <rFont val="Arial"/>
        <family val="2"/>
      </rPr>
      <t xml:space="preserve">LPDDR4 </t>
    </r>
    <r>
      <rPr>
        <b/>
        <sz val="10"/>
        <rFont val="Arial"/>
        <family val="2"/>
      </rPr>
      <t>MR13:</t>
    </r>
    <r>
      <rPr>
        <sz val="10"/>
        <rFont val="Arial"/>
        <family val="2"/>
      </rPr>
      <t xml:space="preserve"> VRO (VREF Output)</t>
    </r>
  </si>
  <si>
    <r>
      <rPr>
        <sz val="10"/>
        <rFont val="Arial"/>
        <family val="2"/>
      </rPr>
      <t xml:space="preserve">LPDDR4 </t>
    </r>
    <r>
      <rPr>
        <b/>
        <sz val="10"/>
        <rFont val="Arial"/>
        <family val="2"/>
      </rPr>
      <t>MR13:</t>
    </r>
    <r>
      <rPr>
        <sz val="10"/>
        <rFont val="Arial"/>
        <family val="2"/>
      </rPr>
      <t xml:space="preserve"> RPT (Read Preamble Training Mode)</t>
    </r>
  </si>
  <si>
    <r>
      <rPr>
        <sz val="10"/>
        <rFont val="Arial"/>
        <family val="2"/>
      </rPr>
      <t xml:space="preserve">LPDDR4 </t>
    </r>
    <r>
      <rPr>
        <b/>
        <sz val="10"/>
        <rFont val="Arial"/>
        <family val="2"/>
      </rPr>
      <t>MR13:</t>
    </r>
    <r>
      <rPr>
        <sz val="10"/>
        <rFont val="Arial"/>
        <family val="2"/>
      </rPr>
      <t xml:space="preserve"> CBT (Command Bus Training)</t>
    </r>
  </si>
  <si>
    <t>DDR_PHY_MR13_0</t>
  </si>
  <si>
    <t>DDR_PHY_MR13_1</t>
  </si>
  <si>
    <t>// Switch to boot frequency</t>
  </si>
  <si>
    <t>// Reset controller core domain (required to configure it)</t>
  </si>
  <si>
    <t>// Configure controller registers</t>
  </si>
  <si>
    <t>// Release reset of controller core domain</t>
  </si>
  <si>
    <t>// Configure PHY registers for PHY initialization</t>
  </si>
  <si>
    <t>/* DRAM 1 controller configuration begin */</t>
  </si>
  <si>
    <t>DDR_PHY_PLLCR0_0</t>
  </si>
  <si>
    <t>0x41d00504</t>
  </si>
  <si>
    <t>0x41a40504</t>
  </si>
  <si>
    <t>0x00800000</t>
  </si>
  <si>
    <t>// Set PLL timings for boot frequency</t>
  </si>
  <si>
    <t>// Switch to boot frequency and launch DCAL+ZCAL</t>
  </si>
  <si>
    <t>/* DRAM 0 */</t>
  </si>
  <si>
    <t>// Launch DCAL+ZCAL</t>
  </si>
  <si>
    <t>0x22</t>
  </si>
  <si>
    <t>0x23</t>
  </si>
  <si>
    <t>/* DRAM 1 */</t>
  </si>
  <si>
    <t>// Wait end of PHY initialization then launch DRAM initialization</t>
  </si>
  <si>
    <t>// Launch DRAM initialization (set bit 0)</t>
  </si>
  <si>
    <t>// Wait end of DRAM initialization then launch second DRAM initialization</t>
  </si>
  <si>
    <t>// tDINIT0 reduced to 2us instead of 2ms. No need to wait the 2ms for the second DRAM init.</t>
  </si>
  <si>
    <t>// Wait end of second DRAM initialization</t>
  </si>
  <si>
    <t>// Run CBT (Command Bus Training)</t>
  </si>
  <si>
    <t>// PREOEX=2.5tCK (0.5 more than MR1), POSOEX=1tCK (0.5 more than in MR3), LPWAKEUP_THRSH</t>
  </si>
  <si>
    <t>// Launch PLL init</t>
  </si>
  <si>
    <t>0x10</t>
  </si>
  <si>
    <t>0x11</t>
  </si>
  <si>
    <t>// Wait end of PLL init (Wait for bit 0 of PGSR0 to be '1')</t>
  </si>
  <si>
    <t>DDR_PHY_PTR2_0</t>
  </si>
  <si>
    <t>DDR_PHY_PTR2_1</t>
  </si>
  <si>
    <r>
      <t xml:space="preserve">EMR3
</t>
    </r>
    <r>
      <rPr>
        <sz val="10"/>
        <rFont val="Arial"/>
        <family val="2"/>
      </rPr>
      <t xml:space="preserve">LPDDR4 </t>
    </r>
    <r>
      <rPr>
        <b/>
        <sz val="10"/>
        <rFont val="Arial"/>
        <family val="2"/>
      </rPr>
      <t>MR13:</t>
    </r>
    <r>
      <rPr>
        <sz val="10"/>
        <rFont val="Arial"/>
        <family val="2"/>
      </rPr>
      <t xml:space="preserve"> FSP-OP (Frequency Set Point Operation Mode) - for CBT</t>
    </r>
  </si>
  <si>
    <r>
      <t xml:space="preserve">LPDDR4 </t>
    </r>
    <r>
      <rPr>
        <b/>
        <sz val="10"/>
        <rFont val="Arial"/>
        <family val="2"/>
      </rPr>
      <t>MR13:</t>
    </r>
    <r>
      <rPr>
        <sz val="10"/>
        <rFont val="Arial"/>
        <family val="2"/>
      </rPr>
      <t xml:space="preserve"> FSP-OP (Frequency Set Point Operation Mode) - without CBT</t>
    </r>
  </si>
  <si>
    <r>
      <t xml:space="preserve">EMR3
</t>
    </r>
    <r>
      <rPr>
        <sz val="10"/>
        <rFont val="Arial"/>
        <family val="2"/>
      </rPr>
      <t xml:space="preserve">LPDDR4 </t>
    </r>
    <r>
      <rPr>
        <b/>
        <sz val="10"/>
        <rFont val="Arial"/>
        <family val="2"/>
      </rPr>
      <t>MR13:</t>
    </r>
    <r>
      <rPr>
        <sz val="10"/>
        <rFont val="Arial"/>
        <family val="2"/>
      </rPr>
      <t xml:space="preserve"> FSP-WR (Frequency Set Point Write Enable) - for CBT</t>
    </r>
  </si>
  <si>
    <r>
      <t xml:space="preserve">LPDDR4 </t>
    </r>
    <r>
      <rPr>
        <b/>
        <sz val="10"/>
        <rFont val="Arial"/>
        <family val="2"/>
      </rPr>
      <t>MR13</t>
    </r>
    <r>
      <rPr>
        <sz val="10"/>
        <rFont val="Arial"/>
        <family val="2"/>
      </rPr>
      <t>: FSP-WR (Frequency Set Point Write Enable) - without CBT</t>
    </r>
  </si>
  <si>
    <t>PLLBYP - for CBT</t>
  </si>
  <si>
    <t>PLLBYP - without CBT</t>
  </si>
  <si>
    <t>tDINIT0 - for CBT, with low frequency boot</t>
  </si>
  <si>
    <t>tDINIT0 - without CBT, high frequency boot</t>
  </si>
  <si>
    <t>tDINIT1 - for CBT, with low frequency boot</t>
  </si>
  <si>
    <t>tDINIT2 - for CBT, with low frequency boot</t>
  </si>
  <si>
    <t>tDINIT4 - for CBT, with low frequency boot</t>
  </si>
  <si>
    <t>tDINIT3 - for CBT, with low frequency boot</t>
  </si>
  <si>
    <t>tDINIT1 - without CBT, high frequency boot</t>
  </si>
  <si>
    <t>tDINIT2 - without CBT, high frequency boot</t>
  </si>
  <si>
    <t>tDINIT4 - without CBT, high frequency boot</t>
  </si>
  <si>
    <t>tDINIT3 - without CBT, high frequency boot</t>
  </si>
  <si>
    <t>ACRANKCLKSEL - for CBT</t>
  </si>
  <si>
    <t>ACRANKCLKSEL - without CBT</t>
  </si>
  <si>
    <t># DDR_PHY_PTR2_0</t>
  </si>
  <si>
    <t>0x5c010048</t>
  </si>
  <si>
    <t>0x5c110048</t>
  </si>
  <si>
    <t># DDR_PHY_PTR2_1</t>
  </si>
  <si>
    <t># DDR_PHY_PGCR1_0: DISDIC=1 (no uMCTL2 commands can go to memory), WDQSEXT=1, PUBMODE=1</t>
  </si>
  <si>
    <t># DDR_PHY_PGCR1_1: DISDIC=1 (no uMCTL2 commands can go to memory), WDQSEXT=1, PUBMODE=1</t>
  </si>
  <si>
    <t># DRAM 0</t>
  </si>
  <si>
    <t># DRAM 1</t>
  </si>
  <si>
    <t># Launch PLL init</t>
  </si>
  <si>
    <t>#--------------------------------------------</t>
  </si>
  <si>
    <t>0x00000010</t>
  </si>
  <si>
    <t>0x00000011</t>
  </si>
  <si>
    <t># Wait end of PLL init (Wait for bit 0 of PGSR0 to be '1')</t>
  </si>
  <si>
    <t># Switch to boot frequency and launch DCAL+ZCAL</t>
  </si>
  <si>
    <t># Switch to boot frequency</t>
  </si>
  <si>
    <t># Gate functional clock to avoid glitches</t>
  </si>
  <si>
    <t># Set bypass mode in DSC GPR control register</t>
  </si>
  <si>
    <t># Ungate functional clock</t>
  </si>
  <si>
    <t>// Put PLL in power down state</t>
  </si>
  <si>
    <t>// Gate functional clock to avoid glitches</t>
  </si>
  <si>
    <t>// Set bypass mode in DSC GPR control register</t>
  </si>
  <si>
    <t>// Ungate functional clock</t>
  </si>
  <si>
    <t># Set PLL timings for boot frequency</t>
  </si>
  <si>
    <t># Launch DCAL+ZCAL</t>
  </si>
  <si>
    <t># DDR_PHY_PLLCR0_1</t>
  </si>
  <si>
    <t># DDR_PHY_MR13_0</t>
  </si>
  <si>
    <t># PREOEX=2.5tCK (0.5 more than MR1), POSOEX=1tCK (0.5 more than in MR3), LPWAKEUP_THRSH</t>
  </si>
  <si>
    <t># Wait end of PHY initialization then launch DRAM initialization</t>
  </si>
  <si>
    <t># DDR_PHY_MR13_1</t>
  </si>
  <si>
    <t># tDINIT0 reduced to 2us instead of 2ms. No need to wait the 2ms for the second DRAM init.</t>
  </si>
  <si>
    <t># DDR_PHY_PTR3_0</t>
  </si>
  <si>
    <t>0x5C01004C</t>
  </si>
  <si>
    <t>0x5C11004C</t>
  </si>
  <si>
    <t># DDR_PHY_PTR3_1</t>
  </si>
  <si>
    <t># Wait end of second DRAM initialization</t>
  </si>
  <si>
    <t># DRAM 0 initialization end</t>
  </si>
  <si>
    <t># DRAM 1 initialization end</t>
  </si>
  <si>
    <t># Configure controller registers</t>
  </si>
  <si>
    <t># Wait end of DRAM initialization then launch second DRAM initialization</t>
  </si>
  <si>
    <t># Run CBT (Command Bus Training)</t>
  </si>
  <si>
    <t>Total number of DDR Controllers in use. 
Note: if selecting "1" then only DRC_0 will be used.</t>
  </si>
  <si>
    <t xml:space="preserve">i.MX8QM/QP/DM DDR Controller Configuration Spreadsheet </t>
  </si>
  <si>
    <t>//Call run_cbt(initial DDR_PHY_PTR0 value, initial DDR_PHY_PTR1 value, total_num_drc) here</t>
  </si>
  <si>
    <t># Call run_cbt(initial DDR_PHY_PTR0 value, initial DDR_PHY_PTR1 value, total_num_drc) here</t>
  </si>
  <si>
    <t># DATA training</t>
  </si>
  <si>
    <t>DDR_PHY_MR13 is primarily used inconjunction with the DDR initialization configured to execute CBT</t>
  </si>
  <si>
    <r>
      <t>The following steps (2 to 4) are to be completed in the "</t>
    </r>
    <r>
      <rPr>
        <i/>
        <sz val="11"/>
        <rFont val="Calibri"/>
        <family val="2"/>
      </rPr>
      <t>Register Configuration"</t>
    </r>
    <r>
      <rPr>
        <sz val="11"/>
        <rFont val="Calibri"/>
        <family val="2"/>
      </rPr>
      <t xml:space="preserve"> and "</t>
    </r>
    <r>
      <rPr>
        <i/>
        <sz val="11"/>
        <rFont val="Calibri"/>
        <family val="2"/>
      </rPr>
      <t>BoardDatabusConfig</t>
    </r>
    <r>
      <rPr>
        <sz val="11"/>
        <rFont val="Calibri"/>
        <family val="2"/>
      </rPr>
      <t>" Worksheet tabs.</t>
    </r>
  </si>
  <si>
    <t xml:space="preserve">// tODX, tCCD, tDLLK, tDQSCKmax, tDQSCK </t>
  </si>
  <si>
    <t xml:space="preserve"># DDR_PHY_DTPR3_0: tODX, tCCD, tDLLK, tDQSCKmax, tDQSCK </t>
  </si>
  <si>
    <t xml:space="preserve"># DDR_PHY_DTPR3_1: tODX, tCCD, tDLLK, tDQSCKmax, tDQSCK </t>
  </si>
  <si>
    <t>PLLPD - for normal operation</t>
  </si>
  <si>
    <t>PLLPD - for CBT boot frequency operation</t>
  </si>
  <si>
    <t>CBT boot frequency</t>
  </si>
  <si>
    <t>for CBT</t>
  </si>
  <si>
    <t>without CBT</t>
  </si>
  <si>
    <t>tPLLPD - normal frequency operation</t>
  </si>
  <si>
    <t>tPLLPD - CBT boot frequency operation</t>
  </si>
  <si>
    <t>tPLLGS - normal frequency operation</t>
  </si>
  <si>
    <t>tPLLGS - CBT boot frequency operation</t>
  </si>
  <si>
    <t>tPHYRST - normal frequency operation</t>
  </si>
  <si>
    <t>tPHYRST - CBT boot frequency operation</t>
  </si>
  <si>
    <t>tPLLLOCK - CBT boot frequency operation</t>
  </si>
  <si>
    <t>tPLLLOCK - normal frequency operation</t>
  </si>
  <si>
    <t>tPLLRST - CBT boot frequency operation</t>
  </si>
  <si>
    <t>tPLLRST - normal frequency operation</t>
  </si>
  <si>
    <t>// tWLDLYS</t>
  </si>
  <si>
    <t>initial value</t>
  </si>
  <si>
    <t>Bus Width (per DDR controller)</t>
  </si>
  <si>
    <t>Apply MR4 manual de-rate workaround</t>
  </si>
  <si>
    <r>
      <rPr>
        <b/>
        <sz val="10"/>
        <rFont val="Arial"/>
        <family val="2"/>
      </rPr>
      <t xml:space="preserve">MR4 manual de-rate workaround for errata e050125  </t>
    </r>
    <r>
      <rPr>
        <sz val="10"/>
        <rFont val="Arial"/>
        <family val="2"/>
      </rPr>
      <t xml:space="preserve">
An issue exists with the automatic derating logic of the DDR controller that only samples the LPDDR4 MR4 register when the Temperature Update Flag (TUF)  field (MR4[7] ) is 1’b1. If the LPDDR4 memory is initialized and starts operation above 85ºC (MR4[2:0] &gt; 3'b011) , the MR4 Temperature Update Flag (TUF) will not set. The DDR Controller will therefore not automatically adjust the memory refresh rate or de-rate memory timings based on the LPDDR4 memory temperature.  If the LPDDR4 memory temperature remains below 85ºC at initialization, then the derating logic works as intended, automatically adjusting the memory refresh period and memory timing during the entire system operation
Three options to choose from:
1. Apply the MR4 manual de-rate software workaround (default/recommended)
2. Do not apply any de-rate workaround
3. Apply the maximum de-rated timings (x4 auto refresh rate and de-rated timings for tRCD, tRAS, tRP, tRRD)</t>
    </r>
  </si>
  <si>
    <t>Added Command Bus Training (CBT) support with addition of new tabs. Following updates are for integration of Command Bus Training algorithm during DCD execution:
- Added "DCD CFG file CBT" sheet ("DCD CFG file" sheet kept as a reference for non-CBT)
- DDR_PHY_PGCR1.PUBMODE = ‘1’
- DDR_PHY_PLLCR0/Dx8SLbPLLCR0.PLLBYP = ‘1’
- Added DDR_PHY_MR13 register configuration and set MR13.FSP-WR = ‘1’
- DDRC_INIT4 MR13.FSP-WR and MR13.FSP-OP = ‘1’
- DDR_PHY_ACIOCR0.ACRANKCLKSEL = ‘1’ 
- Compute DDR_PHY_PTR3, DDR_PHY_PTR4, DDR_PHY_PTR5 and DDR_PHY_PTR6 for bypass frequency (bypass frequency is nominal frequency divided by 32)
Update on "DCD CFG file CBT" sheet:
- Added a PLLINIT sequence after PHY initialization
- Removed configuration of DDRC_DFITMG0_SHADOW (register not used)
- pass real values for arguments of run_cbt() function
- fix some cells color filling
Others:
- Add DDR_PHY_PTR2 register in both "DCD CFG file" sheets
- Set DDR_PHY_DX8SLbDQSCTL.LPPLLPD to 0x0 in "Register Configuration" sheet
Additional changes:
- Removed Validation Adjustment column in Register Configuration tab. 
- Added support to allow for one DDR controller initialization. 
- Added support in DCD CFG to allow change of DDR clock (1600 is default, code added for 800Mhz support).
Added MR manual de-rate work around options including option to de-rate timings and refresh permanently.  Added references to errata work arounds where applicable in DCD and script comments.</t>
  </si>
  <si>
    <t>// Set DQS/DQSn glitch suppression resistor for training PHY0 to satisfy errata e10947</t>
  </si>
  <si>
    <t>// Set DQS/DQSn glitch suppression resistor for training PHY1 to satisfy errata e10947</t>
  </si>
  <si>
    <t>// Launch a second time DRAM initialization due to errata e10945:</t>
  </si>
  <si>
    <t>// This is required due to errata e10945:</t>
  </si>
  <si>
    <t># Launch a second time DRAM initialization due to errata e10945:</t>
  </si>
  <si>
    <t># This is required due to errata e10945:</t>
  </si>
  <si>
    <t>#  Note that DTCR0.RFSHDT are set to 0x0 as a workaround for errata e10946 (Synopsys</t>
  </si>
  <si>
    <t>#  Set DQS/DQSn glitch suppression resistor for training to satisfy errata e10947</t>
  </si>
  <si>
    <t>// Note that DTCR0.RFSHDT are set to 0x0 as a workaround for errata e10946 (Synopsys</t>
  </si>
  <si>
    <t xml:space="preserve">Controller ODT value for Voh calibration
000B: Disable)
001B: RZQ/1
010B: RZQ/2
011B: RZQ/3
100B: RZQ/4
101B: RZQ/5
110B: RZQ/6
111B: RFU
</t>
  </si>
  <si>
    <t>DDR_PHY_DX8SLbDDLCTL_0</t>
  </si>
  <si>
    <t>0x00100002</t>
  </si>
  <si>
    <t>DDR_PHY_DX8SLbDDLCTL_1</t>
  </si>
  <si>
    <t># DDR_PHY_DX8SLbDDLCTL_0</t>
  </si>
  <si>
    <t># DDR_PHY_DX8SLbDDLCTL_1</t>
  </si>
  <si>
    <t>0x5c0117e4</t>
  </si>
  <si>
    <t>0x5c1117e4</t>
  </si>
  <si>
    <t>DQS# Resistor: DQS_c glitch suppression resistor controls (Note, only used during LPDDR4 read DQS gate training, and on completion of training, these controls are turned off. This explains why there are two settings - one for before the training and one to re-configure for after completion of training).
0000 = Off
0001 = 2.5kOhm PD
0010 = 1.25kOhm PD
0011 = 830Ohm PD
0100 = 620Ohm PD
0101 = 500Ohm PD
0110 = 415Ohm PD
0111 = 355Ohm PD
1000 = Off
1001 = 2.5kOhm PU
1010 = 1.25kOhm PU
1011 = 830Ohm PU
1100 = 620Ohm PU
1101 = 500Ohm PU
1110 = 415Ohm PU
1111 = 355Ohm PU
Pull-up/down strength is independent of the ODT value selected by ZIOH[83:42].
The glitch suppression resistors are controlled by DQSR_c[3:0], OE, and TE.
To use glitch suppression with un-terminated DDR4, set TE=1 during read operations, but set ZIOH[83:42] to zero.
Use of DQS/DQSN glitch suppression resistors is supported
only in the following use cases:
• LPDDR3 un-terminated or LPDDR3 with host-side midrail termination
• DDR3 un-terminated
Bits[7:4]</t>
  </si>
  <si>
    <t>DQS Resistor: DQS_t glitch suppression resistor controls (Note, only used during LPDDR4 read DQS gate training, and on completion of training, these controls are turned off. This explains why there are two settings - one for before the training and one to re-configure for after completion of training).
0000 = Off
0001 = 2.5kOhm PD
0010 = 1.25kOhm PD
0011 = 830Ohm PD
0100 = 620Ohm PD
0101 = 500Ohm PD
0110 = 415Ohm PD
0111 = 355Ohm PD
1000 = Off
1001 = 2.5kOhm PU
1010 = 1.25kOhm PU
1011 = 830Ohm PU
1100 = 620Ohm PU
1101 = 500Ohm PU
1110 = 415Ohm PU
1111 = 355Ohm PU
Pull-up/down strength is independent of the ODT value selected by ZIOH[83:42].
The glitch suppression resistors are controlled by DQSR_t[3:0], OE, and TE. To use glitch suppression with unterminated DDR4, set TE=1 during read operations, but set ZIOH[83:42] to zero.
Use of DQS/DQSN glitch suppression resistors is supported only in the following use cases:
• LPDDR3 un-terminated or LPDDR3 with host-side midrail termination
• DDR3 un-terminated
Bits[3:0]</t>
  </si>
  <si>
    <r>
      <t xml:space="preserve">Impedance Divide Ratio: Selects the external resistor 
divide ratio to be used for host-side termination 
calibration. 
For DDR3 calibration, this field controls both PU and PD 
termination
• For DDR4 calibration, this field controls PU termination
</t>
    </r>
    <r>
      <rPr>
        <b/>
        <sz val="10"/>
        <rFont val="Arial"/>
        <family val="2"/>
      </rPr>
      <t xml:space="preserve">• For LPDDR4 calibration, this field controls PD
termination. </t>
    </r>
  </si>
  <si>
    <t xml:space="preserve">Added 1200MHz support option in Register Configuration Device Information table Clock Cycle Freq. Fixed address of DTCR0 and DTCR1 in Register Configuration tab for completeness. Updated ODTMAP register to clear all values since this is not used for LPDDR4 and to conform with the DDR controller spec. 
Added DDR_PHY_DX8SLbDDLCTL_0 programming to align with the SCFW programming.  
Changed MR22 to 0x16 (SoC_ODT=40ohm) and changed value for DQS glitch suppression resistor control values in DDR_PHYDX8SLbDQSCTL for 1.6GHz operation during read DQS gate training to align with NXP validation for a more robust setting; also aligned DCD and DDR stress test output file tabs to the setting configured in the Register Configuration tab. </t>
  </si>
  <si>
    <t>enable</t>
  </si>
  <si>
    <t># VREF training</t>
  </si>
  <si>
    <t xml:space="preserve"># VREF training </t>
  </si>
  <si>
    <t>Very minor update but effects one DDR controller operation: in the DCD and stress test scripts, when one DDR controller option is selected, a register write to second DDR controller/PHY was inadvertently left enabled (DATA 4 DDR_PHY_DX8SLbDDLCTL_1 0x00100002). The fix was to comment out this line when one DDR controller option is selected.</t>
  </si>
  <si>
    <t>For debug purposes only (default is enable): Enable/disable Read DBI deskew training work around</t>
  </si>
  <si>
    <t>Note: for RPA title appended with "_RDBI_deskew"
Intermediate update to support read DBI deskew training work around for errata ERR050340  (keep version number at 19 to align with DCD CFG file in SCFW 4.14.98_2.0.1_Patch). Update includes function call to the RDBI deskew training and update to DTCR0 to disable the hardware mechansim of performing the RDBI deskew training.  User will need to make sure to use a version of the SCFW which includes the RDBI deskew training work around (4.14.98_2.0.1_Patch should be updated to support this): SCFW porting kit v1.2.8.  An option was added to the Register Configuration tab to allow the user to disable this work around if using an older SCFW that does not support RDBI deskew training work around.</t>
  </si>
  <si>
    <t>#ifdef MINIMIZE</t>
  </si>
  <si>
    <t>DRAM_VREF_training_hw(0);</t>
  </si>
  <si>
    <t>DRAM_VREF_training_hw(1);</t>
  </si>
  <si>
    <t>// Run vref training</t>
  </si>
  <si>
    <t>DRAM_VREF_training_sw(0);</t>
  </si>
  <si>
    <t>DRAM_VREF_training_sw(1);</t>
  </si>
  <si>
    <t>DRAM_VREF_training_sw 0</t>
  </si>
  <si>
    <t>DRAM_VREF_training_sw 1</t>
  </si>
  <si>
    <t>LPDDR4 Channel:</t>
  </si>
  <si>
    <t>Updated LPDDR4 initialization to include the option for SW based VREF training that achieves a more optimized VREF setting (this is invoked by default unless the SCFW is built with the debug monitor M=1, in which case the previous HW based method of VREF training is performed).  Also, moved the tabs for the CBT version of the DCD and stress test script next to one another and as the first two options for the RPA output in an effort to encourage users to use these versions as eventually the non-CBT versions will be deprecated.</t>
  </si>
  <si>
    <t xml:space="preserve">Step 5. The final two sets of tabs are the outputs of the RPA and represent the DRAM initialization in two formats: DCD CFG file for use with the BSP and DDR Stress Test Script for use with the DDR Stress Test.
- DDR Stress Test script: This format is used specifically with the DDR stress test.  In this scenario, the user copies the contents in this work sheet tab and paste it to a document, naming the document with the “.ds” file extension.  The user will later select this file when executing the DDR stress test.  
- DCD CFG file: This format is the configuration file used specifically by the SCFW. In this scenario, the user copies the contents in this work sheet tab and paste it to a document, naming the document with the “.cfg” file extension and placing this file in the appropriate SCFW board file directory.  
</t>
  </si>
  <si>
    <t>DDRC_SCHED_0</t>
  </si>
  <si>
    <t>0x00001F05</t>
  </si>
  <si>
    <t>// CAM (32 entries)</t>
  </si>
  <si>
    <t>DDRC_SCHED_1</t>
  </si>
  <si>
    <t># DDRC_SCHED_0 CAM (32 entries)</t>
  </si>
  <si>
    <t># DDRC_SCHED_1 CAM (32 entries)</t>
  </si>
  <si>
    <t>0x5C000250</t>
  </si>
  <si>
    <t>0x5C100250</t>
  </si>
  <si>
    <t>-The following DDRC_SCHED changes have no effect on the DDR IO interface. This updated setting ensures that the DRAM controller does not interfere with any up-stream arbitration settings configured in the SoC architecture. The reason this setting needs to be included in the DDR initialization “DCD” is because this specific DDRC register can only be updated when the DDRC controller itself is in reset mode, which only occurs during DRAM initialization.  Again, this setting has no effect on the DRAM interface and is only included to support the internal architecture arbitration for multi-master use cases.   
-The NXP software team determined that allocating all 32 CAM store entries to Low Priority Read (LPR) traffic provides the most optimal SoC multi-master performance. It was found that this traffic classification as LPR allows the multi-master interface to operate more efficiently with aging based priority round robin.  
This enhancement is achieved by simply adding two more register writes to the DDRC_SCHED register (one register per DDR controller); these writes can only occur when the DDRC controller is in reset mode:
 DATA 4 DDRC_SCHED_0 0x00001F05  // CAM (32 entries)
 DATA 4 DDRC_SCHED_1 0x00001F05  // CAM (32 entries)
This programming programs lpr_num_entries (bit[12:8]) as 0x1F which allocates all 32 entries to low priority transaction store.
-Definitions:
CAM (Content Addressable Memory): holds information on the commands, which is used by the scheduling algorithms to optimally schedule commands to be sent to the PHY, based on priority, bank/rank status and DDR timing constraints.  MX8QM has 32 CAM entries to the DDR Controller. 
-SCFW version: These enhancements were applicable to SCFW porting kit 1.2.11 and later and are also compatible to all previous and current versions of the SCFW (for example, this can be used with an older SCFW version such as 1.2.8). This enhancement aligns to NXP SCFW Jira SCF-615 (the minimum SW release that introduced this Jira is imx_scfw_2020q1_p1, imx_4.14.98_ga2_p2, imx_4.14.98_ga_p11). It is only necessary to incorporate these enhancements if upgrading to the latest SCFW release or if the user feels these two lines of code will help with their multi-master system performance; these two lines may be cherry picked and added to the user’s existing DCD file to determine if there is any improvement.     
-Added DDRC_ADDRMAP7 to allow for configurations that support row sizes greater than 16. Note that for row sizes less than or equal to 16, this register will not appear in the DCD output and will be left at the default value which is disabled.
-Fixed 1 DRC operation by commenting call to VREF training to DRC1.</t>
  </si>
  <si>
    <t>Calculated DDR density</t>
  </si>
  <si>
    <t>The following is used by the DCD file and should not be modified</t>
  </si>
  <si>
    <t xml:space="preserve">BD_DDR_SIZE  </t>
  </si>
  <si>
    <t>Gb</t>
  </si>
  <si>
    <t>In HEX format (bytes)</t>
  </si>
  <si>
    <t>/* Total board DDR density (bytes) calculated based on RPA config */</t>
  </si>
  <si>
    <t xml:space="preserve">-The following changes have no effect on the DDR IO interface. This updated setting basically adds a define in the DCD file for the total DDR density configured by the RPA. This defined is used by the SCFW. 
-ADDRMAP7 register was removed from Register Configuration as this register is not supported. </t>
  </si>
  <si>
    <t>0x41a40044</t>
  </si>
  <si>
    <t>0x41d00044</t>
  </si>
  <si>
    <t>0x8</t>
  </si>
  <si>
    <t>// Gate functional clocks</t>
  </si>
  <si>
    <t xml:space="preserve">// De-assert DDR PHY reset and keep DDR Controller in reset for its programming requirements </t>
  </si>
  <si>
    <t>// Ungate functional clocks</t>
  </si>
  <si>
    <t>// De-assert DDR Controller reset</t>
  </si>
  <si>
    <t># Stop functional clock</t>
  </si>
  <si>
    <t xml:space="preserve"># De-assert DDR PHY reset and keep DDR Controller in reset for its programming requirements </t>
  </si>
  <si>
    <t>0x00000008</t>
  </si>
  <si>
    <t xml:space="preserve">-Reset sequence berfore/after DDR Controller programming updated. Previously, the reset programming sequence was over-writing other bit configurations (specifically the memory test and repair bit specific to the internal memories of the SoC).  The update was to ensure only the desired bits would be set, leaving other pre-configured bits unchanged.
-Update made to LPDDR4 MR13 programming, from 0xC0 to 0x40. The change was to clear MR13.FSP_OP as this bit was inadvertently set in the initialization sequence. This bit needs to be cleared prior to performing CBT (the CBT routine will set this at the conclusion of the training).  
-Removed deprecated preprocessor defines in the DCD 
-Configured VTCR1.ENUM=0 (changed it back to the default value). Though no functional issues were ever seen when ENUM=1, NXP investigation found the when ENUM=0, the Host VREF training yields a slightly more accurate and consistent value.  This is not a high priority change, but given that other high priority changes above were needed, it was decided to move forward with this update at this time to obtain the most robust interface possible.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</si>
</sst>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Arial"/>
    </font>
    <font>
      <sz val="11"/>
      <color theme="1"/>
      <name val="Calibri"/>
      <family val="2"/>
      <scheme val="minor"/>
    </font>
    <font>
      <sz val="8"/>
      <name val="Arial"/>
      <family val="2"/>
    </font>
    <font>
      <b/>
      <sz val="10"/>
      <name val="Arial"/>
      <family val="2"/>
    </font>
    <font>
      <sz val="10"/>
      <name val="Arial"/>
      <family val="2"/>
    </font>
    <font>
      <b/>
      <sz val="12"/>
      <name val="Arial"/>
      <family val="2"/>
    </font>
    <font>
      <b/>
      <sz val="24"/>
      <name val="Arial"/>
      <family val="2"/>
    </font>
    <font>
      <b/>
      <sz val="28"/>
      <name val="Arial"/>
      <family val="2"/>
    </font>
    <font>
      <sz val="11"/>
      <color rgb="FF3F3F76"/>
      <name val="Calibri"/>
      <family val="2"/>
      <scheme val="minor"/>
    </font>
    <font>
      <b/>
      <sz val="10"/>
      <color theme="1"/>
      <name val="Arial"/>
      <family val="2"/>
    </font>
    <font>
      <sz val="10"/>
      <color theme="1"/>
      <name val="Arial"/>
      <family val="2"/>
    </font>
    <font>
      <b/>
      <sz val="11"/>
      <color rgb="FFFA7D00"/>
      <name val="Calibri"/>
      <family val="2"/>
      <scheme val="minor"/>
    </font>
    <font>
      <vertAlign val="superscript"/>
      <sz val="10"/>
      <name val="Arial"/>
      <family val="2"/>
    </font>
    <font>
      <sz val="11"/>
      <name val="Calibri"/>
      <family val="2"/>
    </font>
    <font>
      <b/>
      <sz val="18"/>
      <name val="Arial"/>
      <family val="2"/>
    </font>
    <font>
      <b/>
      <sz val="10"/>
      <color theme="9" tint="-0.249977111117893"/>
      <name val="Arial"/>
      <family val="2"/>
    </font>
    <font>
      <b/>
      <sz val="11"/>
      <name val="Calibri"/>
      <family val="2"/>
      <scheme val="minor"/>
    </font>
    <font>
      <sz val="11"/>
      <name val="Calibri"/>
      <family val="2"/>
      <scheme val="minor"/>
    </font>
    <font>
      <sz val="10"/>
      <name val="Courier New"/>
      <family val="3"/>
    </font>
    <font>
      <i/>
      <sz val="11"/>
      <name val="Calibri"/>
      <family val="2"/>
    </font>
    <font>
      <sz val="12"/>
      <color rgb="FFFF0000"/>
      <name val="Arial"/>
      <family val="2"/>
    </font>
    <font>
      <sz val="10"/>
      <color rgb="FFFF0000"/>
      <name val="Arial"/>
      <family val="2"/>
    </font>
    <font>
      <b/>
      <sz val="12"/>
      <color rgb="FFFF0000"/>
      <name val="Arial"/>
      <family val="2"/>
    </font>
    <font>
      <b/>
      <sz val="16"/>
      <name val="Arial"/>
      <family val="2"/>
    </font>
    <font>
      <b/>
      <sz val="10"/>
      <color rgb="FFFF0000"/>
      <name val="Arial"/>
      <family val="2"/>
    </font>
    <font>
      <sz val="9"/>
      <name val="Arial"/>
      <family val="2"/>
    </font>
    <font>
      <b/>
      <sz val="11"/>
      <color theme="1"/>
      <name val="Calibri"/>
      <family val="2"/>
      <scheme val="minor"/>
    </font>
    <font>
      <sz val="8"/>
      <color theme="1"/>
      <name val="Calibri"/>
      <family val="2"/>
      <scheme val="minor"/>
    </font>
    <font>
      <sz val="11"/>
      <color theme="1"/>
      <name val="Courier New"/>
      <family val="3"/>
    </font>
    <font>
      <sz val="8"/>
      <color theme="1"/>
      <name val="Arial"/>
      <family val="2"/>
    </font>
  </fonts>
  <fills count="12">
    <fill>
      <patternFill patternType="none"/>
    </fill>
    <fill>
      <patternFill patternType="gray125"/>
    </fill>
    <fill>
      <patternFill patternType="solid">
        <fgColor indexed="9"/>
        <bgColor indexed="64"/>
      </patternFill>
    </fill>
    <fill>
      <patternFill patternType="solid">
        <fgColor rgb="FFFFCC99"/>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diagonal/>
    </border>
    <border>
      <left style="thin">
        <color rgb="FF7F7F7F"/>
      </left>
      <right style="thin">
        <color rgb="FF7F7F7F"/>
      </right>
      <top style="thin">
        <color rgb="FF7F7F7F"/>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rgb="FF7F7F7F"/>
      </left>
      <right style="thin">
        <color rgb="FF7F7F7F"/>
      </right>
      <top style="medium">
        <color indexed="64"/>
      </top>
      <bottom style="thin">
        <color rgb="FF7F7F7F"/>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rgb="FF7F7F7F"/>
      </left>
      <right style="thin">
        <color rgb="FF7F7F7F"/>
      </right>
      <top/>
      <bottom style="medium">
        <color indexed="64"/>
      </bottom>
      <diagonal/>
    </border>
    <border>
      <left style="thin">
        <color rgb="FF7F7F7F"/>
      </left>
      <right style="thin">
        <color rgb="FF7F7F7F"/>
      </right>
      <top style="medium">
        <color indexed="64"/>
      </top>
      <bottom/>
      <diagonal/>
    </border>
    <border>
      <left style="thin">
        <color indexed="64"/>
      </left>
      <right style="thin">
        <color indexed="64"/>
      </right>
      <top style="thin">
        <color rgb="FF7F7F7F"/>
      </top>
      <bottom style="thin">
        <color indexed="64"/>
      </bottom>
      <diagonal/>
    </border>
    <border>
      <left style="thin">
        <color indexed="64"/>
      </left>
      <right/>
      <top style="thin">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rgb="FF7F7F7F"/>
      </bottom>
      <diagonal/>
    </border>
    <border>
      <left/>
      <right style="medium">
        <color indexed="64"/>
      </right>
      <top style="thin">
        <color indexed="64"/>
      </top>
      <bottom style="thin">
        <color rgb="FF7F7F7F"/>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bottom style="thin">
        <color rgb="FF7F7F7F"/>
      </bottom>
      <diagonal/>
    </border>
    <border>
      <left style="thin">
        <color rgb="FF7F7F7F"/>
      </left>
      <right/>
      <top style="thin">
        <color rgb="FF7F7F7F"/>
      </top>
      <bottom style="thin">
        <color rgb="FF7F7F7F"/>
      </bottom>
      <diagonal/>
    </border>
    <border>
      <left style="medium">
        <color indexed="64"/>
      </left>
      <right style="thin">
        <color rgb="FF7F7F7F"/>
      </right>
      <top style="thin">
        <color rgb="FF7F7F7F"/>
      </top>
      <bottom style="thin">
        <color rgb="FF7F7F7F"/>
      </bottom>
      <diagonal/>
    </border>
    <border>
      <left/>
      <right style="thin">
        <color indexed="64"/>
      </right>
      <top style="medium">
        <color indexed="64"/>
      </top>
      <bottom style="thin">
        <color indexed="64"/>
      </bottom>
      <diagonal/>
    </border>
    <border>
      <left/>
      <right style="thin">
        <color rgb="FF7F7F7F"/>
      </right>
      <top style="thin">
        <color rgb="FF7F7F7F"/>
      </top>
      <bottom style="thin">
        <color rgb="FF7F7F7F"/>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diagonal/>
    </border>
  </borders>
  <cellStyleXfs count="4">
    <xf numFmtId="0" fontId="0" fillId="0" borderId="0"/>
    <xf numFmtId="0" fontId="8" fillId="3" borderId="22" applyNumberFormat="0" applyAlignment="0" applyProtection="0"/>
    <xf numFmtId="0" fontId="11" fillId="8" borderId="22" applyNumberFormat="0" applyAlignment="0" applyProtection="0"/>
    <xf numFmtId="0" fontId="4" fillId="0" borderId="0"/>
  </cellStyleXfs>
  <cellXfs count="744">
    <xf numFmtId="0" fontId="0" fillId="0" borderId="0" xfId="0"/>
    <xf numFmtId="0" fontId="0" fillId="0" borderId="0" xfId="0" applyAlignment="1">
      <alignment horizontal="center"/>
    </xf>
    <xf numFmtId="0" fontId="3" fillId="0" borderId="3" xfId="0" applyFont="1" applyBorder="1" applyAlignment="1">
      <alignment horizontal="center" wrapText="1"/>
    </xf>
    <xf numFmtId="0" fontId="4" fillId="0" borderId="0" xfId="0" applyFont="1"/>
    <xf numFmtId="0" fontId="3" fillId="0" borderId="4" xfId="0" applyFont="1" applyBorder="1" applyAlignment="1">
      <alignment horizontal="center"/>
    </xf>
    <xf numFmtId="0" fontId="3" fillId="0" borderId="3" xfId="0" applyFont="1" applyFill="1" applyBorder="1" applyAlignment="1">
      <alignment horizontal="center" wrapText="1"/>
    </xf>
    <xf numFmtId="0" fontId="0" fillId="0" borderId="0" xfId="0" applyFill="1"/>
    <xf numFmtId="0" fontId="0" fillId="0" borderId="0" xfId="0" quotePrefix="1"/>
    <xf numFmtId="0" fontId="0" fillId="6" borderId="0" xfId="0" applyFill="1"/>
    <xf numFmtId="0" fontId="6" fillId="2" borderId="0" xfId="0" applyFont="1" applyFill="1"/>
    <xf numFmtId="0" fontId="6" fillId="0" borderId="0" xfId="0" applyFont="1"/>
    <xf numFmtId="0" fontId="6" fillId="6" borderId="0" xfId="0" applyFont="1" applyFill="1"/>
    <xf numFmtId="0" fontId="0" fillId="6" borderId="0" xfId="0" applyFill="1" applyBorder="1"/>
    <xf numFmtId="0" fontId="0" fillId="6" borderId="0" xfId="0" applyFill="1" applyAlignment="1">
      <alignment horizontal="center"/>
    </xf>
    <xf numFmtId="0" fontId="9" fillId="0" borderId="3" xfId="0" applyFont="1" applyBorder="1" applyAlignment="1">
      <alignment horizontal="center" wrapText="1"/>
    </xf>
    <xf numFmtId="0" fontId="9" fillId="0" borderId="4" xfId="0" applyFont="1" applyBorder="1" applyAlignment="1">
      <alignment horizontal="center"/>
    </xf>
    <xf numFmtId="0" fontId="9" fillId="0" borderId="3" xfId="0" applyFont="1" applyFill="1" applyBorder="1" applyAlignment="1">
      <alignment horizontal="center" wrapText="1"/>
    </xf>
    <xf numFmtId="0" fontId="10" fillId="0" borderId="1" xfId="0" applyFont="1" applyBorder="1" applyAlignment="1">
      <alignment wrapText="1"/>
    </xf>
    <xf numFmtId="0" fontId="10" fillId="6" borderId="0" xfId="0" applyFont="1" applyFill="1"/>
    <xf numFmtId="0" fontId="5" fillId="6" borderId="5" xfId="0" applyFont="1" applyFill="1" applyBorder="1"/>
    <xf numFmtId="0" fontId="0" fillId="6" borderId="6" xfId="0" applyFill="1" applyBorder="1"/>
    <xf numFmtId="0" fontId="0" fillId="6" borderId="7" xfId="0" applyFill="1" applyBorder="1" applyAlignment="1">
      <alignment horizontal="center"/>
    </xf>
    <xf numFmtId="0" fontId="4" fillId="0" borderId="8" xfId="0" applyFont="1" applyBorder="1"/>
    <xf numFmtId="0" fontId="4" fillId="0" borderId="8" xfId="0" applyFont="1" applyFill="1" applyBorder="1"/>
    <xf numFmtId="0" fontId="4" fillId="0" borderId="9" xfId="0" applyFont="1" applyFill="1" applyBorder="1"/>
    <xf numFmtId="0" fontId="4" fillId="6" borderId="0" xfId="0" applyFont="1" applyFill="1"/>
    <xf numFmtId="0" fontId="0" fillId="6" borderId="0" xfId="0" quotePrefix="1" applyFill="1"/>
    <xf numFmtId="0" fontId="0" fillId="6" borderId="7" xfId="0" applyFill="1" applyBorder="1"/>
    <xf numFmtId="0" fontId="0" fillId="6" borderId="0" xfId="0" applyFill="1" applyAlignment="1">
      <alignment wrapText="1"/>
    </xf>
    <xf numFmtId="0" fontId="0" fillId="6" borderId="0" xfId="0" applyFill="1" applyBorder="1" applyAlignment="1">
      <alignment horizontal="center"/>
    </xf>
    <xf numFmtId="0" fontId="0" fillId="0" borderId="0" xfId="0" quotePrefix="1" applyAlignment="1">
      <alignment horizontal="left"/>
    </xf>
    <xf numFmtId="0" fontId="4" fillId="0" borderId="0" xfId="0" quotePrefix="1" applyFont="1"/>
    <xf numFmtId="0" fontId="10" fillId="0" borderId="10" xfId="0" applyFont="1" applyBorder="1" applyAlignment="1">
      <alignment wrapText="1"/>
    </xf>
    <xf numFmtId="0" fontId="10" fillId="0" borderId="24" xfId="0" applyFont="1" applyBorder="1" applyAlignment="1">
      <alignment wrapText="1"/>
    </xf>
    <xf numFmtId="0" fontId="10" fillId="0" borderId="28" xfId="0" applyFont="1" applyBorder="1" applyAlignment="1">
      <alignment wrapText="1"/>
    </xf>
    <xf numFmtId="0" fontId="9" fillId="0" borderId="4" xfId="0" applyFont="1" applyFill="1" applyBorder="1" applyAlignment="1">
      <alignment horizontal="center" wrapText="1"/>
    </xf>
    <xf numFmtId="0" fontId="10" fillId="0" borderId="0" xfId="0" applyFont="1" applyBorder="1" applyAlignment="1">
      <alignment horizontal="center" vertical="center"/>
    </xf>
    <xf numFmtId="0" fontId="3" fillId="0" borderId="0" xfId="0" applyFont="1" applyBorder="1" applyAlignment="1">
      <alignment horizontal="center" wrapText="1"/>
    </xf>
    <xf numFmtId="0" fontId="3" fillId="0" borderId="0" xfId="0" applyFont="1" applyBorder="1" applyAlignment="1">
      <alignment horizontal="center"/>
    </xf>
    <xf numFmtId="0" fontId="3" fillId="0" borderId="0" xfId="0" applyFont="1" applyFill="1" applyBorder="1" applyAlignment="1">
      <alignment horizontal="center" wrapText="1"/>
    </xf>
    <xf numFmtId="0" fontId="0" fillId="0" borderId="0" xfId="0" applyFill="1" applyAlignment="1">
      <alignment horizontal="center" vertical="center" wrapText="1"/>
    </xf>
    <xf numFmtId="0" fontId="0" fillId="0" borderId="0" xfId="0" applyFill="1" applyBorder="1" applyAlignment="1">
      <alignment horizontal="center"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0" fillId="2" borderId="0" xfId="0" applyFill="1" applyAlignment="1">
      <alignment horizontal="center"/>
    </xf>
    <xf numFmtId="0" fontId="3" fillId="0" borderId="4" xfId="0" applyFont="1" applyFill="1" applyBorder="1" applyAlignment="1">
      <alignment horizontal="center" wrapText="1"/>
    </xf>
    <xf numFmtId="0" fontId="0" fillId="0" borderId="0" xfId="0" applyBorder="1" applyAlignment="1"/>
    <xf numFmtId="0" fontId="4" fillId="6" borderId="8" xfId="0" applyFont="1" applyFill="1" applyBorder="1" applyAlignment="1">
      <alignment horizontal="left" vertical="center" wrapText="1"/>
    </xf>
    <xf numFmtId="0" fontId="11" fillId="8" borderId="39" xfId="2" applyBorder="1" applyAlignment="1">
      <alignment horizontal="center" wrapText="1"/>
    </xf>
    <xf numFmtId="0" fontId="11" fillId="6" borderId="39" xfId="2" applyFill="1" applyBorder="1" applyAlignment="1">
      <alignment horizontal="center" wrapText="1"/>
    </xf>
    <xf numFmtId="0" fontId="13" fillId="6" borderId="0" xfId="0" applyFont="1" applyFill="1" applyAlignment="1">
      <alignment wrapText="1"/>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0" fillId="0" borderId="0" xfId="0" applyNumberFormat="1" applyFont="1" applyBorder="1" applyAlignment="1">
      <alignment horizontal="center" vertical="center"/>
    </xf>
    <xf numFmtId="0" fontId="15" fillId="10" borderId="24" xfId="0" applyFont="1" applyFill="1" applyBorder="1" applyAlignment="1">
      <alignment horizontal="center" vertical="center" wrapText="1"/>
    </xf>
    <xf numFmtId="0" fontId="10" fillId="0" borderId="24" xfId="1" applyFont="1" applyFill="1" applyBorder="1" applyAlignment="1">
      <alignment horizontal="center" vertical="center" wrapText="1"/>
    </xf>
    <xf numFmtId="0" fontId="10" fillId="0" borderId="33"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0" fillId="0" borderId="28" xfId="0" applyFont="1" applyFill="1" applyBorder="1" applyAlignment="1">
      <alignment horizontal="center" vertical="center" wrapText="1"/>
    </xf>
    <xf numFmtId="0" fontId="10" fillId="0" borderId="28" xfId="1" applyFont="1" applyFill="1" applyBorder="1" applyAlignment="1">
      <alignment horizontal="center" vertical="center" wrapText="1"/>
    </xf>
    <xf numFmtId="0" fontId="10" fillId="0" borderId="24" xfId="0" applyFont="1" applyFill="1" applyBorder="1" applyAlignment="1">
      <alignment horizontal="center" vertical="center" wrapText="1"/>
    </xf>
    <xf numFmtId="0" fontId="4" fillId="6" borderId="0" xfId="0" quotePrefix="1" applyFont="1" applyFill="1"/>
    <xf numFmtId="0" fontId="4" fillId="0" borderId="0" xfId="0" applyFont="1" applyFill="1" applyBorder="1"/>
    <xf numFmtId="0" fontId="10" fillId="0" borderId="2" xfId="0" applyFont="1" applyBorder="1" applyAlignment="1">
      <alignment horizontal="center" vertical="center"/>
    </xf>
    <xf numFmtId="0" fontId="10" fillId="0" borderId="0" xfId="0" applyFont="1" applyBorder="1" applyAlignment="1">
      <alignment horizontal="center" wrapText="1"/>
    </xf>
    <xf numFmtId="0" fontId="10" fillId="0" borderId="0" xfId="0" applyFont="1" applyFill="1" applyBorder="1" applyAlignment="1">
      <alignment horizontal="center" wrapText="1"/>
    </xf>
    <xf numFmtId="0" fontId="10" fillId="0" borderId="0" xfId="1" applyFont="1" applyFill="1" applyBorder="1" applyAlignment="1">
      <alignment horizontal="center" wrapText="1"/>
    </xf>
    <xf numFmtId="0" fontId="10" fillId="0" borderId="0" xfId="0" applyFont="1" applyBorder="1" applyAlignment="1">
      <alignment horizontal="center"/>
    </xf>
    <xf numFmtId="0" fontId="10" fillId="0" borderId="0" xfId="0" applyFont="1" applyBorder="1" applyAlignment="1">
      <alignment wrapText="1"/>
    </xf>
    <xf numFmtId="0" fontId="10" fillId="0" borderId="27"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1" applyFont="1" applyFill="1" applyBorder="1" applyAlignment="1">
      <alignment horizontal="center" vertical="center" wrapText="1"/>
    </xf>
    <xf numFmtId="0" fontId="0" fillId="0" borderId="37" xfId="0" applyBorder="1" applyAlignment="1">
      <alignment horizontal="center" vertical="center"/>
    </xf>
    <xf numFmtId="0" fontId="0" fillId="0" borderId="24" xfId="0" applyBorder="1" applyAlignment="1">
      <alignment horizontal="center" vertical="center"/>
    </xf>
    <xf numFmtId="0" fontId="0" fillId="0" borderId="9" xfId="0" applyBorder="1" applyAlignment="1">
      <alignment horizontal="center" vertical="center"/>
    </xf>
    <xf numFmtId="0" fontId="0" fillId="0" borderId="0" xfId="0" applyBorder="1" applyAlignment="1">
      <alignment horizontal="center" vertical="center"/>
    </xf>
    <xf numFmtId="0" fontId="4" fillId="0" borderId="24" xfId="0" applyFont="1" applyBorder="1" applyAlignment="1">
      <alignment horizontal="center" vertical="center"/>
    </xf>
    <xf numFmtId="0" fontId="4" fillId="0" borderId="28" xfId="0" applyFont="1" applyBorder="1" applyAlignment="1">
      <alignment horizontal="left" vertical="center" wrapText="1"/>
    </xf>
    <xf numFmtId="0" fontId="4" fillId="0" borderId="28" xfId="0" applyFont="1" applyBorder="1" applyAlignment="1">
      <alignment horizontal="center" vertical="center"/>
    </xf>
    <xf numFmtId="0" fontId="4" fillId="0" borderId="1" xfId="0" applyFont="1" applyBorder="1" applyAlignment="1">
      <alignment horizontal="center" vertical="center"/>
    </xf>
    <xf numFmtId="0" fontId="10" fillId="6" borderId="0" xfId="0" applyFont="1" applyFill="1" applyAlignment="1">
      <alignment horizontal="center" vertical="center"/>
    </xf>
    <xf numFmtId="0" fontId="15" fillId="10" borderId="1" xfId="1" applyFont="1" applyFill="1" applyBorder="1" applyAlignment="1">
      <alignment horizontal="center" vertical="center" wrapText="1"/>
    </xf>
    <xf numFmtId="0" fontId="10" fillId="0" borderId="45" xfId="0" applyFont="1" applyBorder="1" applyAlignment="1">
      <alignment horizontal="center" vertical="center" wrapText="1"/>
    </xf>
    <xf numFmtId="0" fontId="4" fillId="0" borderId="9" xfId="0" applyFont="1" applyBorder="1" applyAlignment="1">
      <alignment horizontal="left" vertical="center" wrapText="1"/>
    </xf>
    <xf numFmtId="0" fontId="4" fillId="0" borderId="9" xfId="0" applyFont="1" applyBorder="1" applyAlignment="1">
      <alignment horizontal="center" vertical="center"/>
    </xf>
    <xf numFmtId="0" fontId="4" fillId="0" borderId="2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4" xfId="0" applyFont="1" applyBorder="1" applyAlignment="1">
      <alignment horizontal="left" vertical="top" wrapText="1"/>
    </xf>
    <xf numFmtId="0" fontId="4" fillId="0" borderId="37" xfId="0" applyFont="1" applyBorder="1" applyAlignment="1">
      <alignment horizontal="center" vertical="center"/>
    </xf>
    <xf numFmtId="0" fontId="11" fillId="8" borderId="46" xfId="2" applyBorder="1" applyAlignment="1">
      <alignment horizontal="center" vertical="center" wrapText="1"/>
    </xf>
    <xf numFmtId="0" fontId="10" fillId="0" borderId="24" xfId="0" quotePrefix="1" applyFont="1" applyFill="1" applyBorder="1" applyAlignment="1">
      <alignment horizontal="center" vertical="center" wrapText="1"/>
    </xf>
    <xf numFmtId="0" fontId="10" fillId="0" borderId="1" xfId="0" quotePrefix="1" applyFont="1" applyFill="1" applyBorder="1" applyAlignment="1">
      <alignment horizontal="center" vertical="center" wrapText="1"/>
    </xf>
    <xf numFmtId="0" fontId="15" fillId="0" borderId="0" xfId="0" applyFont="1" applyFill="1" applyBorder="1" applyAlignment="1">
      <alignment horizontal="center" vertical="center" wrapText="1"/>
    </xf>
    <xf numFmtId="0" fontId="9" fillId="0" borderId="48" xfId="1" applyFont="1" applyFill="1" applyBorder="1" applyAlignment="1">
      <alignment horizontal="center" wrapText="1"/>
    </xf>
    <xf numFmtId="0" fontId="10" fillId="0" borderId="28" xfId="0" quotePrefix="1" applyFont="1" applyFill="1" applyBorder="1" applyAlignment="1">
      <alignment horizontal="center" vertical="center" wrapText="1"/>
    </xf>
    <xf numFmtId="0" fontId="4" fillId="0" borderId="9" xfId="0" applyFont="1" applyBorder="1" applyAlignment="1">
      <alignment horizontal="center" vertical="center" wrapText="1"/>
    </xf>
    <xf numFmtId="0" fontId="4" fillId="0" borderId="1" xfId="3" quotePrefix="1" applyBorder="1" applyAlignment="1">
      <alignment horizontal="center" vertical="center"/>
    </xf>
    <xf numFmtId="0" fontId="4" fillId="0" borderId="24" xfId="3" quotePrefix="1" applyBorder="1" applyAlignment="1">
      <alignment horizontal="center" vertical="center"/>
    </xf>
    <xf numFmtId="0" fontId="4" fillId="0" borderId="28" xfId="3" quotePrefix="1" applyBorder="1" applyAlignment="1">
      <alignment horizontal="center" vertical="center"/>
    </xf>
    <xf numFmtId="0" fontId="10" fillId="0" borderId="0" xfId="0" quotePrefix="1" applyFont="1" applyFill="1" applyBorder="1" applyAlignment="1">
      <alignment horizontal="center" vertical="center" wrapText="1"/>
    </xf>
    <xf numFmtId="0" fontId="4" fillId="0" borderId="1" xfId="0" quotePrefix="1" applyFont="1" applyBorder="1" applyAlignment="1">
      <alignment horizontal="center" vertical="center" wrapText="1"/>
    </xf>
    <xf numFmtId="0" fontId="4" fillId="7" borderId="1" xfId="3" applyFont="1" applyFill="1" applyBorder="1" applyAlignment="1">
      <alignment horizontal="center" vertical="center"/>
    </xf>
    <xf numFmtId="0" fontId="4" fillId="0" borderId="28" xfId="0" quotePrefix="1" applyFont="1" applyBorder="1" applyAlignment="1">
      <alignment horizontal="center" vertical="center" wrapText="1"/>
    </xf>
    <xf numFmtId="0" fontId="4" fillId="0" borderId="28" xfId="0" applyFont="1" applyBorder="1" applyAlignment="1">
      <alignment horizontal="center" vertical="center" wrapText="1"/>
    </xf>
    <xf numFmtId="0" fontId="4" fillId="0" borderId="8" xfId="0" applyFont="1" applyBorder="1" applyAlignment="1">
      <alignment horizontal="left" vertical="center" wrapText="1"/>
    </xf>
    <xf numFmtId="0" fontId="3" fillId="0" borderId="26" xfId="3" applyFont="1" applyBorder="1" applyAlignment="1">
      <alignment horizontal="left" wrapText="1"/>
    </xf>
    <xf numFmtId="0" fontId="4" fillId="0" borderId="1" xfId="3" applyFont="1" applyBorder="1" applyAlignment="1">
      <alignment horizontal="center" vertical="center" wrapText="1"/>
    </xf>
    <xf numFmtId="0" fontId="11" fillId="8" borderId="24" xfId="2" applyBorder="1" applyAlignment="1">
      <alignment horizontal="center" vertical="center"/>
    </xf>
    <xf numFmtId="0" fontId="17" fillId="0" borderId="28" xfId="2" applyFont="1" applyFill="1" applyBorder="1" applyAlignment="1">
      <alignment horizontal="center" vertical="center"/>
    </xf>
    <xf numFmtId="0" fontId="0" fillId="0" borderId="0" xfId="0" applyFill="1" applyBorder="1"/>
    <xf numFmtId="0" fontId="3" fillId="0" borderId="0" xfId="0" applyFont="1" applyFill="1" applyBorder="1" applyAlignment="1">
      <alignment horizontal="center"/>
    </xf>
    <xf numFmtId="0" fontId="10" fillId="0" borderId="0" xfId="0" applyFont="1" applyFill="1" applyBorder="1" applyAlignment="1">
      <alignment horizontal="center" vertical="center"/>
    </xf>
    <xf numFmtId="0" fontId="11" fillId="8" borderId="1" xfId="2" applyBorder="1" applyAlignment="1">
      <alignment horizontal="center" vertical="center" wrapText="1"/>
    </xf>
    <xf numFmtId="0" fontId="11" fillId="8" borderId="49" xfId="2" applyBorder="1" applyAlignment="1">
      <alignment horizontal="center" vertical="center" wrapText="1"/>
    </xf>
    <xf numFmtId="0" fontId="11" fillId="8" borderId="50" xfId="2" applyBorder="1" applyAlignment="1">
      <alignment horizontal="center" vertical="center" wrapText="1"/>
    </xf>
    <xf numFmtId="0" fontId="11" fillId="8" borderId="24" xfId="2" applyBorder="1" applyAlignment="1">
      <alignment horizontal="center" vertical="center" wrapText="1"/>
    </xf>
    <xf numFmtId="0" fontId="11" fillId="8" borderId="51" xfId="2" applyBorder="1" applyAlignment="1">
      <alignment horizontal="center" vertical="center" wrapText="1"/>
    </xf>
    <xf numFmtId="0" fontId="11" fillId="0" borderId="0" xfId="2" applyFill="1" applyBorder="1" applyAlignment="1">
      <alignment horizontal="center" vertical="center" wrapText="1"/>
    </xf>
    <xf numFmtId="0" fontId="11" fillId="8" borderId="28" xfId="2" applyBorder="1" applyAlignment="1">
      <alignment horizontal="center" vertical="center" wrapText="1"/>
    </xf>
    <xf numFmtId="0" fontId="11" fillId="0" borderId="0" xfId="2" applyFill="1" applyBorder="1" applyAlignment="1">
      <alignment horizontal="center" vertical="center"/>
    </xf>
    <xf numFmtId="0" fontId="18" fillId="0" borderId="0" xfId="0" applyFont="1"/>
    <xf numFmtId="0" fontId="18" fillId="4" borderId="0" xfId="0" applyFont="1" applyFill="1"/>
    <xf numFmtId="0" fontId="18" fillId="0" borderId="0" xfId="0" applyFont="1" applyFill="1"/>
    <xf numFmtId="0" fontId="4" fillId="6" borderId="1" xfId="0" applyFont="1" applyFill="1" applyBorder="1" applyAlignment="1">
      <alignment horizontal="center" vertical="top" wrapText="1"/>
    </xf>
    <xf numFmtId="0" fontId="0" fillId="0" borderId="1" xfId="0" applyBorder="1"/>
    <xf numFmtId="0" fontId="4" fillId="0" borderId="1" xfId="0" applyFont="1" applyBorder="1"/>
    <xf numFmtId="0" fontId="4" fillId="6" borderId="0" xfId="0" applyFont="1" applyFill="1" applyBorder="1" applyAlignment="1">
      <alignment horizontal="left" vertical="top" wrapText="1"/>
    </xf>
    <xf numFmtId="0" fontId="11" fillId="8" borderId="22" xfId="2" applyAlignment="1">
      <alignment horizontal="center" vertical="center" wrapText="1"/>
    </xf>
    <xf numFmtId="0" fontId="10" fillId="0" borderId="1" xfId="1" applyFont="1" applyFill="1" applyBorder="1" applyAlignment="1">
      <alignment horizontal="center" vertical="center" wrapText="1"/>
    </xf>
    <xf numFmtId="0" fontId="10" fillId="0" borderId="33"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1" fillId="8" borderId="22" xfId="2" applyBorder="1" applyAlignment="1">
      <alignment horizontal="center" vertical="center"/>
    </xf>
    <xf numFmtId="0" fontId="11" fillId="8" borderId="35" xfId="2" applyBorder="1" applyAlignment="1">
      <alignment horizontal="center" vertical="center"/>
    </xf>
    <xf numFmtId="0" fontId="3" fillId="0" borderId="0" xfId="0" applyFont="1"/>
    <xf numFmtId="0" fontId="10" fillId="0" borderId="1" xfId="0" applyFont="1" applyBorder="1" applyAlignment="1">
      <alignment vertical="center" wrapText="1"/>
    </xf>
    <xf numFmtId="0" fontId="10" fillId="0" borderId="24" xfId="0" applyFont="1" applyBorder="1" applyAlignment="1">
      <alignment vertical="center" wrapText="1"/>
    </xf>
    <xf numFmtId="0" fontId="4" fillId="0" borderId="28" xfId="0" applyFont="1" applyBorder="1" applyAlignment="1">
      <alignment vertical="center" wrapText="1"/>
    </xf>
    <xf numFmtId="0" fontId="10" fillId="0" borderId="10" xfId="0" applyFont="1" applyBorder="1" applyAlignment="1">
      <alignment vertical="center" wrapText="1"/>
    </xf>
    <xf numFmtId="0" fontId="10" fillId="0" borderId="28" xfId="0" applyFont="1" applyBorder="1" applyAlignment="1">
      <alignment vertical="center" wrapText="1"/>
    </xf>
    <xf numFmtId="0" fontId="10" fillId="0" borderId="24" xfId="0" applyFont="1" applyBorder="1" applyAlignment="1">
      <alignment horizontal="left" vertical="center" wrapText="1"/>
    </xf>
    <xf numFmtId="0" fontId="10" fillId="0" borderId="28" xfId="0" applyFont="1" applyBorder="1" applyAlignment="1">
      <alignment horizontal="left" vertical="center" wrapText="1"/>
    </xf>
    <xf numFmtId="0" fontId="10" fillId="0" borderId="0" xfId="0" applyFont="1" applyBorder="1" applyAlignment="1">
      <alignment vertical="center" wrapText="1"/>
    </xf>
    <xf numFmtId="0" fontId="10" fillId="0" borderId="13" xfId="0" applyFont="1" applyBorder="1" applyAlignment="1">
      <alignment vertical="center" wrapText="1"/>
    </xf>
    <xf numFmtId="0" fontId="14" fillId="6" borderId="0" xfId="0" applyFont="1" applyFill="1"/>
    <xf numFmtId="0" fontId="14" fillId="0" borderId="0" xfId="0" applyFont="1"/>
    <xf numFmtId="0" fontId="14" fillId="2" borderId="0" xfId="0" applyFont="1" applyFill="1"/>
    <xf numFmtId="0" fontId="3" fillId="6" borderId="1" xfId="0" applyFont="1" applyFill="1" applyBorder="1" applyAlignment="1">
      <alignment horizontal="left" vertical="top" wrapText="1"/>
    </xf>
    <xf numFmtId="0" fontId="11" fillId="8" borderId="35" xfId="2" applyBorder="1" applyAlignment="1">
      <alignment horizontal="center" vertical="center" wrapText="1"/>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0" fillId="0" borderId="24" xfId="0" applyFont="1" applyBorder="1" applyAlignment="1">
      <alignment horizontal="center" vertical="center"/>
    </xf>
    <xf numFmtId="0" fontId="10" fillId="0" borderId="9" xfId="0" applyFont="1" applyFill="1" applyBorder="1" applyAlignment="1">
      <alignment horizontal="center" vertical="center" wrapText="1"/>
    </xf>
    <xf numFmtId="0" fontId="20" fillId="6" borderId="0" xfId="0" applyFont="1" applyFill="1"/>
    <xf numFmtId="0" fontId="10" fillId="0" borderId="24" xfId="0" applyFont="1" applyFill="1" applyBorder="1" applyAlignment="1">
      <alignment horizontal="center" vertical="center"/>
    </xf>
    <xf numFmtId="0" fontId="10" fillId="0" borderId="24" xfId="0" applyFont="1" applyFill="1" applyBorder="1" applyAlignment="1">
      <alignment wrapText="1"/>
    </xf>
    <xf numFmtId="0" fontId="10" fillId="0" borderId="1" xfId="0" applyFont="1" applyFill="1" applyBorder="1" applyAlignment="1">
      <alignment horizontal="center" vertical="center"/>
    </xf>
    <xf numFmtId="0" fontId="10" fillId="0" borderId="28" xfId="0" applyFont="1" applyFill="1" applyBorder="1" applyAlignment="1">
      <alignment horizontal="center" vertical="center"/>
    </xf>
    <xf numFmtId="0" fontId="10" fillId="0" borderId="28" xfId="0" applyFont="1" applyFill="1" applyBorder="1" applyAlignment="1">
      <alignment wrapText="1"/>
    </xf>
    <xf numFmtId="0" fontId="11" fillId="6" borderId="0" xfId="2" applyFill="1" applyBorder="1" applyAlignment="1">
      <alignment horizontal="center" vertical="center" wrapText="1"/>
    </xf>
    <xf numFmtId="0" fontId="10" fillId="0" borderId="28" xfId="0" applyFont="1" applyFill="1" applyBorder="1" applyAlignment="1">
      <alignment vertical="center" wrapText="1"/>
    </xf>
    <xf numFmtId="0" fontId="11" fillId="10" borderId="49" xfId="2" applyFill="1" applyBorder="1" applyAlignment="1">
      <alignment horizontal="center" vertical="center" wrapText="1"/>
    </xf>
    <xf numFmtId="0" fontId="11" fillId="8" borderId="1" xfId="2" applyBorder="1" applyAlignment="1">
      <alignment horizontal="center" vertical="center" wrapText="1"/>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4" fillId="0" borderId="24" xfId="0" applyFont="1" applyFill="1"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4" fillId="0" borderId="33" xfId="0" applyFont="1" applyBorder="1" applyAlignment="1">
      <alignment horizontal="center" vertical="center"/>
    </xf>
    <xf numFmtId="0" fontId="0" fillId="0" borderId="8" xfId="0" applyBorder="1" applyAlignment="1">
      <alignment horizontal="center" vertical="center"/>
    </xf>
    <xf numFmtId="0" fontId="4" fillId="0" borderId="24" xfId="0" applyFont="1" applyBorder="1" applyAlignment="1">
      <alignment horizontal="left" vertical="center" wrapText="1"/>
    </xf>
    <xf numFmtId="0" fontId="4" fillId="0" borderId="8" xfId="0" applyFont="1" applyBorder="1" applyAlignment="1">
      <alignment horizontal="center" vertical="center"/>
    </xf>
    <xf numFmtId="0" fontId="4" fillId="0" borderId="1" xfId="0" applyFont="1" applyBorder="1" applyAlignment="1">
      <alignment horizontal="left" vertical="center" wrapText="1"/>
    </xf>
    <xf numFmtId="0" fontId="11" fillId="8" borderId="22" xfId="2" applyBorder="1" applyAlignment="1">
      <alignment horizontal="center" vertical="center" wrapText="1"/>
    </xf>
    <xf numFmtId="0" fontId="11" fillId="8" borderId="35" xfId="2" applyBorder="1" applyAlignment="1">
      <alignment horizontal="center" vertical="center" wrapText="1"/>
    </xf>
    <xf numFmtId="0" fontId="7" fillId="2" borderId="0" xfId="0" applyFont="1" applyFill="1" applyAlignment="1"/>
    <xf numFmtId="0" fontId="4" fillId="0" borderId="33" xfId="0" applyFont="1" applyBorder="1" applyAlignment="1">
      <alignment horizontal="center" vertical="center" wrapText="1"/>
    </xf>
    <xf numFmtId="0" fontId="4" fillId="0" borderId="24" xfId="0" quotePrefix="1" applyFont="1" applyBorder="1" applyAlignment="1">
      <alignment horizontal="center" vertical="center" wrapText="1"/>
    </xf>
    <xf numFmtId="0" fontId="4" fillId="0" borderId="27" xfId="0"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2" xfId="0" applyFont="1" applyBorder="1" applyAlignment="1">
      <alignment horizontal="left" vertical="top" wrapText="1"/>
    </xf>
    <xf numFmtId="0" fontId="17" fillId="6" borderId="0" xfId="2" applyFont="1" applyFill="1" applyBorder="1" applyAlignment="1">
      <alignment horizontal="center" vertical="center" wrapText="1"/>
    </xf>
    <xf numFmtId="0" fontId="4" fillId="0" borderId="2" xfId="3" applyFont="1" applyBorder="1" applyAlignment="1">
      <alignment horizontal="center" vertical="center" wrapText="1"/>
    </xf>
    <xf numFmtId="0" fontId="4" fillId="0" borderId="28" xfId="3" applyFont="1" applyBorder="1" applyAlignment="1">
      <alignment horizontal="center" vertical="center" wrapText="1"/>
    </xf>
    <xf numFmtId="0" fontId="17" fillId="6" borderId="2" xfId="2" applyFont="1" applyFill="1" applyBorder="1" applyAlignment="1">
      <alignment horizontal="center" vertical="center"/>
    </xf>
    <xf numFmtId="0" fontId="17" fillId="6" borderId="1" xfId="2" applyFont="1" applyFill="1" applyBorder="1" applyAlignment="1">
      <alignment horizontal="center" vertical="center"/>
    </xf>
    <xf numFmtId="0" fontId="4" fillId="0" borderId="8" xfId="0"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0" fontId="4" fillId="0" borderId="26" xfId="3" applyFont="1" applyFill="1" applyBorder="1" applyAlignment="1">
      <alignment horizontal="left" wrapText="1"/>
    </xf>
    <xf numFmtId="0" fontId="4" fillId="0" borderId="26" xfId="3" applyFont="1" applyFill="1" applyBorder="1" applyAlignment="1">
      <alignment horizontal="left" vertical="top" wrapText="1"/>
    </xf>
    <xf numFmtId="0" fontId="4" fillId="0" borderId="9" xfId="0" applyFont="1" applyFill="1" applyBorder="1" applyAlignment="1">
      <alignment horizontal="left" vertical="center" wrapText="1"/>
    </xf>
    <xf numFmtId="0" fontId="4" fillId="0" borderId="28" xfId="0" quotePrefix="1" applyFont="1" applyFill="1" applyBorder="1" applyAlignment="1">
      <alignment horizontal="center" vertical="center" wrapText="1"/>
    </xf>
    <xf numFmtId="0" fontId="4" fillId="0" borderId="43" xfId="3" applyFont="1" applyFill="1" applyBorder="1" applyAlignment="1">
      <alignment horizontal="left" vertical="center" wrapText="1"/>
    </xf>
    <xf numFmtId="0" fontId="4" fillId="0" borderId="23" xfId="3" applyFont="1" applyBorder="1" applyAlignment="1">
      <alignment horizontal="center" vertical="center" wrapText="1"/>
    </xf>
    <xf numFmtId="0" fontId="4" fillId="0" borderId="8" xfId="3" applyFont="1" applyFill="1" applyBorder="1" applyAlignment="1">
      <alignment horizontal="left" vertical="center" wrapText="1"/>
    </xf>
    <xf numFmtId="0" fontId="4" fillId="0" borderId="29" xfId="3" applyFont="1" applyFill="1" applyBorder="1" applyAlignment="1">
      <alignment horizontal="left" vertical="top" wrapText="1"/>
    </xf>
    <xf numFmtId="0" fontId="4" fillId="0" borderId="27" xfId="3" applyFont="1" applyBorder="1" applyAlignment="1">
      <alignment horizontal="left" vertical="center" wrapText="1"/>
    </xf>
    <xf numFmtId="0" fontId="4" fillId="0" borderId="2" xfId="3" quotePrefix="1" applyFont="1" applyBorder="1" applyAlignment="1">
      <alignment horizontal="center" vertical="center" wrapText="1"/>
    </xf>
    <xf numFmtId="0" fontId="4" fillId="0" borderId="20" xfId="3" applyFont="1" applyBorder="1" applyAlignment="1">
      <alignment horizontal="left" vertical="center" wrapText="1"/>
    </xf>
    <xf numFmtId="0" fontId="4" fillId="0" borderId="44" xfId="3" applyFont="1" applyBorder="1" applyAlignment="1">
      <alignment horizontal="left" vertical="center" wrapText="1"/>
    </xf>
    <xf numFmtId="0" fontId="4" fillId="0" borderId="30" xfId="3" applyFont="1" applyBorder="1" applyAlignment="1">
      <alignment horizontal="center" vertical="center" wrapText="1"/>
    </xf>
    <xf numFmtId="0" fontId="4" fillId="0" borderId="21" xfId="3" applyFont="1" applyBorder="1" applyAlignment="1">
      <alignment horizontal="left" vertical="center" wrapText="1"/>
    </xf>
    <xf numFmtId="0" fontId="17" fillId="7" borderId="28" xfId="2" applyFont="1" applyFill="1" applyBorder="1" applyAlignment="1">
      <alignment horizontal="center" vertical="center"/>
    </xf>
    <xf numFmtId="0" fontId="17" fillId="7" borderId="1" xfId="2" applyFont="1" applyFill="1" applyBorder="1" applyAlignment="1">
      <alignment horizontal="center" vertical="center"/>
    </xf>
    <xf numFmtId="0" fontId="3" fillId="0" borderId="20" xfId="3" applyFont="1" applyBorder="1" applyAlignment="1">
      <alignment horizontal="left" wrapText="1"/>
    </xf>
    <xf numFmtId="0" fontId="4" fillId="7" borderId="28" xfId="3" applyFont="1" applyFill="1" applyBorder="1" applyAlignment="1">
      <alignment horizontal="center" vertical="center"/>
    </xf>
    <xf numFmtId="0" fontId="3" fillId="0" borderId="29" xfId="3" applyFont="1" applyBorder="1" applyAlignment="1">
      <alignment horizontal="left" wrapText="1"/>
    </xf>
    <xf numFmtId="0" fontId="4" fillId="0" borderId="33" xfId="0" applyFont="1" applyBorder="1" applyAlignment="1">
      <alignment horizontal="left" vertical="center" wrapText="1"/>
    </xf>
    <xf numFmtId="0" fontId="3" fillId="0" borderId="25" xfId="3" applyFont="1" applyBorder="1" applyAlignment="1">
      <alignment horizontal="left" wrapText="1"/>
    </xf>
    <xf numFmtId="0" fontId="3" fillId="0" borderId="2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3" applyFont="1" applyFill="1" applyBorder="1" applyAlignment="1">
      <alignment horizontal="center" vertical="center"/>
    </xf>
    <xf numFmtId="0" fontId="4" fillId="0" borderId="1" xfId="3" applyFont="1" applyFill="1" applyBorder="1" applyAlignment="1">
      <alignment horizontal="center" vertical="center"/>
    </xf>
    <xf numFmtId="0" fontId="4" fillId="0" borderId="28" xfId="3" applyFont="1" applyFill="1" applyBorder="1" applyAlignment="1">
      <alignment horizontal="center" vertical="center"/>
    </xf>
    <xf numFmtId="0" fontId="17" fillId="6" borderId="28" xfId="2" quotePrefix="1" applyFont="1" applyFill="1" applyBorder="1" applyAlignment="1">
      <alignment horizontal="center" vertical="center" wrapText="1"/>
    </xf>
    <xf numFmtId="0" fontId="17" fillId="6" borderId="28" xfId="2" applyFont="1" applyFill="1" applyBorder="1" applyAlignment="1">
      <alignment horizontal="center" vertical="center" wrapText="1"/>
    </xf>
    <xf numFmtId="0" fontId="17" fillId="6" borderId="0" xfId="2" quotePrefix="1" applyFont="1" applyFill="1" applyBorder="1" applyAlignment="1">
      <alignment horizontal="center" vertical="center" wrapText="1"/>
    </xf>
    <xf numFmtId="0" fontId="17" fillId="0" borderId="24" xfId="2" applyFont="1" applyFill="1" applyBorder="1" applyAlignment="1">
      <alignment horizontal="center" vertical="center" wrapText="1"/>
    </xf>
    <xf numFmtId="0" fontId="17" fillId="5" borderId="1"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22" fillId="6" borderId="0" xfId="0" applyFont="1" applyFill="1" applyAlignment="1">
      <alignment horizontal="left" vertical="center"/>
    </xf>
    <xf numFmtId="0" fontId="4" fillId="0" borderId="24" xfId="1" applyFont="1" applyFill="1" applyBorder="1" applyAlignment="1">
      <alignment horizontal="center" vertical="center" wrapText="1"/>
    </xf>
    <xf numFmtId="0" fontId="4" fillId="6" borderId="17" xfId="3" applyFont="1" applyFill="1" applyBorder="1" applyAlignment="1">
      <alignment horizontal="left" vertical="center" wrapText="1"/>
    </xf>
    <xf numFmtId="0" fontId="4" fillId="6" borderId="17" xfId="0" quotePrefix="1" applyFont="1" applyFill="1" applyBorder="1" applyAlignment="1">
      <alignment horizontal="center" vertical="center" wrapText="1"/>
    </xf>
    <xf numFmtId="0" fontId="17" fillId="6" borderId="17" xfId="2" applyFont="1" applyFill="1" applyBorder="1" applyAlignment="1">
      <alignment horizontal="center" vertical="center"/>
    </xf>
    <xf numFmtId="0" fontId="4" fillId="6" borderId="17" xfId="3" applyFont="1" applyFill="1" applyBorder="1" applyAlignment="1">
      <alignment horizontal="center" vertical="center" wrapText="1"/>
    </xf>
    <xf numFmtId="0" fontId="4" fillId="6" borderId="17" xfId="0" applyFont="1" applyFill="1" applyBorder="1" applyAlignment="1">
      <alignment horizontal="center" vertical="center"/>
    </xf>
    <xf numFmtId="0" fontId="17" fillId="0" borderId="1" xfId="2" applyFont="1" applyFill="1" applyBorder="1" applyAlignment="1">
      <alignment horizontal="center" vertical="center" wrapText="1"/>
    </xf>
    <xf numFmtId="0" fontId="17" fillId="0" borderId="28" xfId="2" applyFont="1" applyFill="1" applyBorder="1" applyAlignment="1">
      <alignment horizontal="center" vertical="center" wrapText="1"/>
    </xf>
    <xf numFmtId="0" fontId="10" fillId="6" borderId="0" xfId="0" applyFont="1" applyFill="1" applyAlignment="1">
      <alignment vertical="center"/>
    </xf>
    <xf numFmtId="0" fontId="4" fillId="0" borderId="1" xfId="0" applyFont="1" applyBorder="1" applyAlignment="1">
      <alignment wrapText="1"/>
    </xf>
    <xf numFmtId="0" fontId="4" fillId="0" borderId="1" xfId="0" applyFont="1" applyBorder="1" applyAlignment="1">
      <alignment vertical="center" wrapText="1"/>
    </xf>
    <xf numFmtId="0" fontId="4" fillId="0" borderId="24" xfId="0" applyFont="1" applyBorder="1" applyAlignment="1">
      <alignment wrapText="1"/>
    </xf>
    <xf numFmtId="0" fontId="21" fillId="0" borderId="0" xfId="0" applyFont="1"/>
    <xf numFmtId="0" fontId="0" fillId="0" borderId="33" xfId="0" applyBorder="1" applyAlignment="1">
      <alignment horizontal="center" vertical="center"/>
    </xf>
    <xf numFmtId="0" fontId="4" fillId="0" borderId="24" xfId="0" applyFont="1" applyBorder="1" applyAlignment="1">
      <alignment vertical="center" wrapText="1"/>
    </xf>
    <xf numFmtId="0" fontId="4" fillId="0" borderId="1" xfId="0" quotePrefix="1" applyFont="1" applyBorder="1" applyAlignment="1">
      <alignment horizontal="center" vertical="center"/>
    </xf>
    <xf numFmtId="0" fontId="11" fillId="8" borderId="46" xfId="2" applyBorder="1" applyAlignment="1">
      <alignment horizontal="center" vertical="center"/>
    </xf>
    <xf numFmtId="0" fontId="4" fillId="0" borderId="24" xfId="0" quotePrefix="1" applyFont="1" applyBorder="1" applyAlignment="1">
      <alignment horizontal="center" vertical="center"/>
    </xf>
    <xf numFmtId="0" fontId="4" fillId="0" borderId="28" xfId="0" quotePrefix="1" applyFont="1" applyBorder="1" applyAlignment="1">
      <alignment horizontal="center" vertical="center"/>
    </xf>
    <xf numFmtId="0" fontId="11" fillId="8" borderId="1" xfId="2" applyBorder="1" applyAlignment="1">
      <alignment horizontal="center" vertical="center"/>
    </xf>
    <xf numFmtId="0" fontId="11" fillId="8" borderId="28" xfId="2" applyBorder="1" applyAlignment="1">
      <alignment horizontal="center" vertical="center"/>
    </xf>
    <xf numFmtId="0" fontId="24" fillId="6" borderId="0" xfId="0" applyFont="1" applyFill="1" applyAlignment="1">
      <alignment wrapText="1"/>
    </xf>
    <xf numFmtId="0" fontId="17" fillId="0" borderId="22" xfId="2" applyFont="1" applyFill="1" applyBorder="1" applyAlignment="1">
      <alignment horizontal="center" vertical="center"/>
    </xf>
    <xf numFmtId="0" fontId="17" fillId="0" borderId="46" xfId="2" applyFont="1" applyFill="1" applyBorder="1" applyAlignment="1">
      <alignment horizontal="center" vertical="center"/>
    </xf>
    <xf numFmtId="0" fontId="24" fillId="0" borderId="0" xfId="0" applyFont="1" applyAlignment="1">
      <alignment horizontal="center" vertical="center" wrapText="1"/>
    </xf>
    <xf numFmtId="0" fontId="24" fillId="6" borderId="0" xfId="0" applyFont="1" applyFill="1" applyAlignment="1">
      <alignment vertical="center" wrapText="1"/>
    </xf>
    <xf numFmtId="0" fontId="0" fillId="7" borderId="24" xfId="0" applyFill="1" applyBorder="1" applyAlignment="1">
      <alignment horizontal="center" vertical="center"/>
    </xf>
    <xf numFmtId="0" fontId="17" fillId="0" borderId="35" xfId="2" applyFont="1" applyFill="1" applyBorder="1" applyAlignment="1">
      <alignment horizontal="center" vertical="center"/>
    </xf>
    <xf numFmtId="0" fontId="24" fillId="6" borderId="0" xfId="0" applyFont="1" applyFill="1" applyAlignment="1">
      <alignment horizontal="left" vertical="center" wrapText="1"/>
    </xf>
    <xf numFmtId="0" fontId="25" fillId="0" borderId="1" xfId="0" applyFont="1" applyBorder="1" applyAlignment="1">
      <alignment horizontal="left" vertical="center" wrapText="1"/>
    </xf>
    <xf numFmtId="0" fontId="0" fillId="11" borderId="0" xfId="0" applyFill="1"/>
    <xf numFmtId="0" fontId="0" fillId="11" borderId="0" xfId="0" applyFill="1" applyBorder="1" applyAlignment="1">
      <alignment horizontal="center" vertical="center"/>
    </xf>
    <xf numFmtId="0" fontId="4" fillId="11" borderId="0" xfId="0" applyFont="1" applyFill="1" applyBorder="1" applyAlignment="1">
      <alignment horizontal="center" vertical="center"/>
    </xf>
    <xf numFmtId="0" fontId="4" fillId="11" borderId="0" xfId="0" applyFont="1" applyFill="1" applyBorder="1" applyAlignment="1">
      <alignment vertical="center" wrapText="1"/>
    </xf>
    <xf numFmtId="0" fontId="4" fillId="11" borderId="0" xfId="0" applyFont="1" applyFill="1" applyBorder="1" applyAlignment="1">
      <alignment horizontal="left" vertical="center" wrapText="1"/>
    </xf>
    <xf numFmtId="0" fontId="0" fillId="11" borderId="0" xfId="0" applyFill="1" applyAlignment="1">
      <alignment horizontal="center"/>
    </xf>
    <xf numFmtId="0" fontId="24" fillId="0" borderId="0" xfId="0" applyFont="1" applyBorder="1" applyAlignment="1">
      <alignment horizontal="left" vertical="center" wrapText="1"/>
    </xf>
    <xf numFmtId="0" fontId="4" fillId="11" borderId="0" xfId="0" quotePrefix="1" applyFont="1" applyFill="1" applyBorder="1" applyAlignment="1">
      <alignment horizontal="center" vertical="center"/>
    </xf>
    <xf numFmtId="0" fontId="4" fillId="11" borderId="0" xfId="0" applyFont="1" applyFill="1" applyBorder="1" applyAlignment="1">
      <alignment horizontal="center" vertical="center" wrapText="1"/>
    </xf>
    <xf numFmtId="0" fontId="0" fillId="11" borderId="0" xfId="0" applyFill="1" applyAlignment="1">
      <alignment horizontal="center" vertical="center"/>
    </xf>
    <xf numFmtId="0" fontId="4" fillId="7" borderId="24" xfId="3" applyFont="1" applyFill="1" applyBorder="1" applyAlignment="1">
      <alignment horizontal="center" vertical="center"/>
    </xf>
    <xf numFmtId="0" fontId="10" fillId="0" borderId="0" xfId="0" applyFont="1" applyFill="1" applyBorder="1" applyAlignment="1">
      <alignment wrapText="1"/>
    </xf>
    <xf numFmtId="0" fontId="0" fillId="0" borderId="0" xfId="0" applyFill="1" applyBorder="1" applyAlignment="1">
      <alignment horizontal="center" vertical="center"/>
    </xf>
    <xf numFmtId="0" fontId="0" fillId="6" borderId="0" xfId="0" applyFill="1" applyBorder="1" applyAlignment="1">
      <alignment vertical="center" wrapText="1"/>
    </xf>
    <xf numFmtId="0" fontId="11" fillId="8" borderId="22" xfId="2" applyAlignment="1">
      <alignment horizontal="center" vertical="center"/>
    </xf>
    <xf numFmtId="0" fontId="0" fillId="0" borderId="33" xfId="0" applyFill="1" applyBorder="1" applyAlignment="1">
      <alignment horizontal="center" vertical="center"/>
    </xf>
    <xf numFmtId="0" fontId="4" fillId="0" borderId="24" xfId="0" applyFont="1" applyFill="1" applyBorder="1" applyAlignment="1">
      <alignment horizontal="left" vertical="center" wrapText="1"/>
    </xf>
    <xf numFmtId="0" fontId="11" fillId="8" borderId="22" xfId="2" applyBorder="1" applyAlignment="1">
      <alignment horizontal="center" vertical="center" wrapText="1"/>
    </xf>
    <xf numFmtId="0" fontId="10" fillId="0" borderId="1" xfId="0" applyFont="1" applyBorder="1" applyAlignment="1">
      <alignment horizontal="left" vertical="center" wrapText="1"/>
    </xf>
    <xf numFmtId="0" fontId="10" fillId="7" borderId="1" xfId="1" applyFont="1" applyFill="1" applyBorder="1" applyAlignment="1">
      <alignment horizontal="center" vertical="center" wrapText="1"/>
    </xf>
    <xf numFmtId="0" fontId="10" fillId="7" borderId="28" xfId="1" applyFont="1" applyFill="1" applyBorder="1" applyAlignment="1">
      <alignment horizontal="center" vertical="center" wrapText="1"/>
    </xf>
    <xf numFmtId="0" fontId="4" fillId="0" borderId="11" xfId="0" applyFont="1" applyBorder="1" applyAlignment="1">
      <alignment horizontal="left" vertical="center" wrapText="1"/>
    </xf>
    <xf numFmtId="0" fontId="4" fillId="0" borderId="52" xfId="0" applyFont="1" applyBorder="1" applyAlignment="1">
      <alignment horizontal="left" vertical="center" wrapText="1"/>
    </xf>
    <xf numFmtId="0" fontId="0" fillId="0" borderId="27" xfId="0" applyFill="1" applyBorder="1" applyAlignment="1">
      <alignment horizontal="center" vertical="center"/>
    </xf>
    <xf numFmtId="0" fontId="4" fillId="0" borderId="2" xfId="0" applyFont="1" applyFill="1" applyBorder="1" applyAlignment="1">
      <alignment horizontal="center" vertical="center"/>
    </xf>
    <xf numFmtId="0" fontId="0" fillId="0" borderId="2" xfId="0" applyFill="1" applyBorder="1" applyAlignment="1">
      <alignment horizontal="center" vertical="center"/>
    </xf>
    <xf numFmtId="0" fontId="4" fillId="0" borderId="58" xfId="0" applyFont="1" applyFill="1" applyBorder="1" applyAlignment="1">
      <alignment horizontal="left" vertical="center" wrapText="1"/>
    </xf>
    <xf numFmtId="0" fontId="4" fillId="0" borderId="24" xfId="0" quotePrefix="1" applyFont="1" applyFill="1" applyBorder="1" applyAlignment="1">
      <alignment horizontal="center" vertical="center"/>
    </xf>
    <xf numFmtId="0" fontId="4" fillId="0" borderId="28" xfId="0" applyFont="1" applyFill="1" applyBorder="1" applyAlignment="1">
      <alignment horizontal="left" vertical="center" wrapText="1"/>
    </xf>
    <xf numFmtId="0" fontId="11" fillId="11" borderId="0" xfId="2" applyFill="1" applyBorder="1" applyAlignment="1">
      <alignment horizontal="center" vertical="center"/>
    </xf>
    <xf numFmtId="0" fontId="17" fillId="0" borderId="24" xfId="2" applyFont="1" applyFill="1" applyBorder="1" applyAlignment="1">
      <alignment horizontal="center" vertical="center"/>
    </xf>
    <xf numFmtId="0" fontId="17" fillId="7" borderId="24" xfId="2" applyFont="1" applyFill="1" applyBorder="1" applyAlignment="1">
      <alignment horizontal="center" vertical="center"/>
    </xf>
    <xf numFmtId="0" fontId="4" fillId="0" borderId="33" xfId="0" quotePrefix="1" applyFont="1" applyFill="1" applyBorder="1" applyAlignment="1">
      <alignment horizontal="center" vertical="center"/>
    </xf>
    <xf numFmtId="0" fontId="0" fillId="0" borderId="24" xfId="0" quotePrefix="1" applyBorder="1" applyAlignment="1">
      <alignment horizontal="center" vertical="center"/>
    </xf>
    <xf numFmtId="0" fontId="4" fillId="0" borderId="9" xfId="0" quotePrefix="1" applyFont="1" applyFill="1" applyBorder="1" applyAlignment="1">
      <alignment horizontal="center" vertical="center"/>
    </xf>
    <xf numFmtId="0" fontId="0" fillId="0" borderId="28" xfId="0" quotePrefix="1" applyBorder="1" applyAlignment="1">
      <alignment horizontal="center" vertical="center"/>
    </xf>
    <xf numFmtId="0" fontId="0" fillId="0" borderId="24" xfId="0" applyBorder="1" applyAlignment="1">
      <alignment wrapText="1"/>
    </xf>
    <xf numFmtId="0" fontId="17" fillId="0" borderId="1" xfId="2" applyFont="1" applyFill="1" applyBorder="1" applyAlignment="1">
      <alignment horizontal="center" vertical="center"/>
    </xf>
    <xf numFmtId="0" fontId="17" fillId="0" borderId="24" xfId="2" quotePrefix="1" applyFont="1" applyFill="1" applyBorder="1" applyAlignment="1">
      <alignment horizontal="center" vertical="center"/>
    </xf>
    <xf numFmtId="0" fontId="17" fillId="11" borderId="0" xfId="2" applyFont="1" applyFill="1" applyBorder="1" applyAlignment="1">
      <alignment horizontal="center" vertical="center"/>
    </xf>
    <xf numFmtId="0" fontId="25" fillId="0" borderId="1" xfId="0" applyFont="1" applyBorder="1" applyAlignment="1">
      <alignment vertical="center" wrapText="1"/>
    </xf>
    <xf numFmtId="0" fontId="10" fillId="0" borderId="2" xfId="0" applyFont="1" applyBorder="1" applyAlignment="1">
      <alignment vertical="center" wrapText="1"/>
    </xf>
    <xf numFmtId="0" fontId="4" fillId="0" borderId="24" xfId="0" applyFont="1" applyBorder="1" applyAlignment="1">
      <alignment horizontal="center" vertical="center"/>
    </xf>
    <xf numFmtId="0" fontId="4" fillId="0" borderId="1" xfId="0" applyFont="1" applyBorder="1" applyAlignment="1">
      <alignment horizontal="center" vertical="center"/>
    </xf>
    <xf numFmtId="0" fontId="4" fillId="0" borderId="28" xfId="0" applyFont="1"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10" fillId="0" borderId="24" xfId="0" applyFont="1" applyBorder="1" applyAlignment="1">
      <alignment horizontal="center" vertical="center"/>
    </xf>
    <xf numFmtId="0" fontId="10" fillId="0" borderId="28" xfId="0" applyFont="1" applyBorder="1" applyAlignment="1">
      <alignment horizontal="center" vertical="center"/>
    </xf>
    <xf numFmtId="0" fontId="21" fillId="0" borderId="0" xfId="0" applyFont="1" applyFill="1"/>
    <xf numFmtId="0" fontId="10" fillId="0" borderId="1" xfId="0" applyFont="1" applyFill="1" applyBorder="1" applyAlignment="1">
      <alignment wrapText="1"/>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4" fillId="0" borderId="1" xfId="0" applyFont="1" applyFill="1" applyBorder="1" applyAlignment="1">
      <alignment horizontal="center" vertical="center"/>
    </xf>
    <xf numFmtId="0" fontId="4" fillId="0" borderId="28" xfId="0" applyFont="1" applyFill="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0" fillId="0" borderId="10" xfId="0" applyFont="1" applyBorder="1" applyAlignment="1">
      <alignment horizontal="center" vertical="center"/>
    </xf>
    <xf numFmtId="0" fontId="10" fillId="0" borderId="10" xfId="0" applyFont="1" applyBorder="1" applyAlignment="1">
      <alignment vertical="center" wrapText="1"/>
    </xf>
    <xf numFmtId="0" fontId="11" fillId="8" borderId="10" xfId="2" applyBorder="1" applyAlignment="1">
      <alignment horizontal="center" vertical="center" wrapText="1"/>
    </xf>
    <xf numFmtId="0" fontId="11" fillId="8" borderId="2" xfId="2" applyBorder="1" applyAlignment="1">
      <alignment horizontal="center" vertical="center" wrapText="1"/>
    </xf>
    <xf numFmtId="0" fontId="10" fillId="0" borderId="36" xfId="0" applyFont="1" applyBorder="1" applyAlignment="1">
      <alignment horizontal="center" vertical="center" wrapText="1"/>
    </xf>
    <xf numFmtId="0" fontId="11" fillId="8" borderId="53" xfId="2" quotePrefix="1" applyBorder="1" applyAlignment="1">
      <alignment horizontal="center" vertical="center"/>
    </xf>
    <xf numFmtId="0" fontId="11" fillId="8" borderId="37" xfId="2" applyBorder="1" applyAlignment="1">
      <alignment horizontal="center" vertical="center" wrapText="1"/>
    </xf>
    <xf numFmtId="0" fontId="10" fillId="0" borderId="37" xfId="0" applyFont="1" applyBorder="1" applyAlignment="1">
      <alignment horizontal="center" vertical="center"/>
    </xf>
    <xf numFmtId="0" fontId="10" fillId="0" borderId="37" xfId="0" applyFont="1" applyBorder="1" applyAlignment="1">
      <alignment vertical="center" wrapText="1"/>
    </xf>
    <xf numFmtId="0" fontId="4" fillId="0" borderId="23" xfId="0" quotePrefix="1" applyFont="1" applyFill="1" applyBorder="1" applyAlignment="1">
      <alignment horizontal="center" vertical="center" wrapText="1"/>
    </xf>
    <xf numFmtId="0" fontId="17" fillId="0" borderId="23" xfId="2" applyFont="1" applyFill="1" applyBorder="1" applyAlignment="1">
      <alignment horizontal="center" vertical="center"/>
    </xf>
    <xf numFmtId="0" fontId="4" fillId="0" borderId="25" xfId="3" applyFont="1" applyFill="1" applyBorder="1" applyAlignment="1">
      <alignment horizontal="left" wrapText="1"/>
    </xf>
    <xf numFmtId="0" fontId="10" fillId="0" borderId="36" xfId="0" applyFont="1" applyFill="1" applyBorder="1" applyAlignment="1">
      <alignment horizontal="center" vertical="center" wrapText="1"/>
    </xf>
    <xf numFmtId="0" fontId="10" fillId="0" borderId="37" xfId="0" applyFont="1" applyFill="1" applyBorder="1" applyAlignment="1">
      <alignment horizontal="center" vertical="center" wrapText="1"/>
    </xf>
    <xf numFmtId="0" fontId="10" fillId="0" borderId="37" xfId="1" applyFont="1" applyFill="1" applyBorder="1" applyAlignment="1">
      <alignment horizontal="center" vertical="center" wrapText="1"/>
    </xf>
    <xf numFmtId="0" fontId="10" fillId="0" borderId="37" xfId="0" applyFont="1" applyFill="1" applyBorder="1" applyAlignment="1">
      <alignment horizontal="center" vertical="center"/>
    </xf>
    <xf numFmtId="0" fontId="10" fillId="0" borderId="37" xfId="0" applyFont="1" applyFill="1" applyBorder="1" applyAlignment="1">
      <alignment wrapText="1"/>
    </xf>
    <xf numFmtId="0" fontId="10" fillId="0" borderId="38" xfId="0" applyNumberFormat="1" applyFont="1" applyFill="1" applyBorder="1" applyAlignment="1">
      <alignment horizontal="center" vertical="center"/>
    </xf>
    <xf numFmtId="0" fontId="4" fillId="0" borderId="23" xfId="0" quotePrefix="1" applyFont="1" applyBorder="1" applyAlignment="1">
      <alignment horizontal="center" vertical="center"/>
    </xf>
    <xf numFmtId="0" fontId="11" fillId="8" borderId="50" xfId="2" applyBorder="1" applyAlignment="1">
      <alignment horizontal="center" vertical="center"/>
    </xf>
    <xf numFmtId="0" fontId="4" fillId="0" borderId="30" xfId="0" quotePrefix="1" applyFont="1" applyBorder="1" applyAlignment="1">
      <alignment horizontal="center" vertical="center"/>
    </xf>
    <xf numFmtId="0" fontId="11" fillId="8" borderId="49" xfId="2" applyBorder="1" applyAlignment="1">
      <alignment horizontal="center" vertical="center"/>
    </xf>
    <xf numFmtId="0" fontId="4" fillId="7" borderId="1" xfId="0" quotePrefix="1" applyFont="1" applyFill="1" applyBorder="1" applyAlignment="1">
      <alignment horizontal="center" vertical="center"/>
    </xf>
    <xf numFmtId="0" fontId="0" fillId="0" borderId="47" xfId="0" applyBorder="1" applyAlignment="1">
      <alignment wrapText="1"/>
    </xf>
    <xf numFmtId="0" fontId="0" fillId="0" borderId="0" xfId="0" applyBorder="1"/>
    <xf numFmtId="0" fontId="27" fillId="0" borderId="33"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25" xfId="0" applyFont="1" applyBorder="1" applyAlignment="1">
      <alignment horizontal="center" vertical="center" wrapText="1"/>
    </xf>
    <xf numFmtId="0" fontId="27" fillId="0" borderId="9" xfId="0" applyFont="1" applyBorder="1" applyAlignment="1">
      <alignment horizontal="center" vertical="center"/>
    </xf>
    <xf numFmtId="0" fontId="27" fillId="0" borderId="28" xfId="0" applyFont="1" applyBorder="1" applyAlignment="1">
      <alignment horizontal="center" vertical="center"/>
    </xf>
    <xf numFmtId="0" fontId="27" fillId="0" borderId="29" xfId="0" applyFont="1" applyBorder="1" applyAlignment="1">
      <alignment horizontal="center" vertical="center"/>
    </xf>
    <xf numFmtId="0" fontId="0" fillId="0" borderId="0" xfId="0" applyBorder="1" applyAlignment="1">
      <alignment horizontal="center"/>
    </xf>
    <xf numFmtId="0" fontId="28" fillId="0" borderId="0" xfId="0" applyFont="1" applyBorder="1" applyAlignment="1">
      <alignment horizontal="center"/>
    </xf>
    <xf numFmtId="0" fontId="0" fillId="0" borderId="1" xfId="0" applyFill="1" applyBorder="1"/>
    <xf numFmtId="0" fontId="17" fillId="0" borderId="63" xfId="2" applyFont="1" applyFill="1" applyBorder="1" applyAlignment="1">
      <alignment horizontal="center" vertical="center"/>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3" xfId="0" applyFont="1"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10" fillId="0" borderId="28" xfId="0" applyFont="1"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11" fillId="8" borderId="46" xfId="2" quotePrefix="1" applyBorder="1" applyAlignment="1">
      <alignment horizontal="center" vertical="center" wrapText="1"/>
    </xf>
    <xf numFmtId="0" fontId="10" fillId="0" borderId="2" xfId="0" quotePrefix="1" applyFont="1" applyFill="1" applyBorder="1" applyAlignment="1">
      <alignment horizontal="center" vertical="center" wrapText="1"/>
    </xf>
    <xf numFmtId="0" fontId="11" fillId="8" borderId="64" xfId="2" applyBorder="1" applyAlignment="1">
      <alignment horizontal="center" vertical="center"/>
    </xf>
    <xf numFmtId="0" fontId="10" fillId="6" borderId="0" xfId="0" applyFont="1" applyFill="1" applyBorder="1" applyAlignment="1">
      <alignment horizontal="center" vertical="center" wrapText="1"/>
    </xf>
    <xf numFmtId="0" fontId="10" fillId="6" borderId="0" xfId="0" applyFont="1" applyFill="1" applyBorder="1" applyAlignment="1">
      <alignment vertical="center" wrapText="1"/>
    </xf>
    <xf numFmtId="0" fontId="0" fillId="6" borderId="0" xfId="0" applyFill="1" applyBorder="1" applyAlignment="1">
      <alignment horizontal="center" vertical="center"/>
    </xf>
    <xf numFmtId="0" fontId="10" fillId="6" borderId="0" xfId="0" applyFont="1" applyFill="1" applyBorder="1"/>
    <xf numFmtId="0" fontId="4" fillId="6" borderId="0" xfId="0" quotePrefix="1" applyFont="1" applyFill="1" applyBorder="1"/>
    <xf numFmtId="0" fontId="29" fillId="0" borderId="24" xfId="0" applyFont="1" applyBorder="1" applyAlignment="1">
      <alignment vertical="center" wrapText="1"/>
    </xf>
    <xf numFmtId="0" fontId="29" fillId="0" borderId="1" xfId="0" applyFont="1" applyBorder="1" applyAlignment="1">
      <alignment vertical="center" wrapText="1"/>
    </xf>
    <xf numFmtId="0" fontId="29" fillId="0" borderId="28" xfId="0" applyFont="1" applyBorder="1" applyAlignment="1">
      <alignment vertical="center" wrapText="1"/>
    </xf>
    <xf numFmtId="0" fontId="0" fillId="0" borderId="33"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28" xfId="0" applyFont="1" applyBorder="1" applyAlignment="1">
      <alignment wrapText="1"/>
    </xf>
    <xf numFmtId="0" fontId="4" fillId="0" borderId="1" xfId="0" quotePrefix="1" applyFont="1" applyFill="1" applyBorder="1" applyAlignment="1">
      <alignment horizontal="center" vertical="center"/>
    </xf>
    <xf numFmtId="0" fontId="4" fillId="0" borderId="28" xfId="0" quotePrefix="1" applyFont="1" applyFill="1" applyBorder="1" applyAlignment="1">
      <alignment horizontal="center" vertical="center"/>
    </xf>
    <xf numFmtId="0" fontId="8" fillId="3" borderId="65" xfId="1" applyBorder="1"/>
    <xf numFmtId="0" fontId="8" fillId="3" borderId="66" xfId="1" applyBorder="1" applyAlignment="1">
      <alignment horizontal="center" vertical="center" wrapText="1"/>
    </xf>
    <xf numFmtId="0" fontId="8" fillId="3" borderId="22" xfId="1" applyBorder="1" applyAlignment="1">
      <alignment horizontal="center" vertical="center" wrapText="1"/>
    </xf>
    <xf numFmtId="0" fontId="8" fillId="3" borderId="39" xfId="1" applyBorder="1" applyAlignment="1">
      <alignment horizontal="center" vertical="center" wrapText="1"/>
    </xf>
    <xf numFmtId="0" fontId="27" fillId="0" borderId="54" xfId="0" applyFont="1" applyBorder="1" applyAlignment="1">
      <alignment horizontal="center" vertical="center" wrapText="1"/>
    </xf>
    <xf numFmtId="0" fontId="8" fillId="3" borderId="65" xfId="1" applyBorder="1" applyAlignment="1">
      <alignment horizontal="center" vertical="center" wrapText="1"/>
    </xf>
    <xf numFmtId="0" fontId="27" fillId="0" borderId="52" xfId="0" applyFont="1" applyBorder="1" applyAlignment="1">
      <alignment horizontal="center" vertical="center"/>
    </xf>
    <xf numFmtId="0" fontId="27" fillId="0" borderId="67" xfId="0" applyFont="1" applyBorder="1" applyAlignment="1">
      <alignment horizontal="center" vertical="center" wrapText="1"/>
    </xf>
    <xf numFmtId="0" fontId="8" fillId="3" borderId="68" xfId="1" applyBorder="1" applyAlignment="1">
      <alignment horizontal="center" vertical="center" wrapText="1"/>
    </xf>
    <xf numFmtId="0" fontId="27" fillId="0" borderId="69" xfId="0" applyFont="1" applyBorder="1" applyAlignment="1">
      <alignment horizontal="center" vertical="center"/>
    </xf>
    <xf numFmtId="0" fontId="4" fillId="6" borderId="1" xfId="0" applyFont="1" applyFill="1" applyBorder="1" applyAlignment="1">
      <alignment horizontal="center" vertical="center"/>
    </xf>
    <xf numFmtId="0" fontId="0" fillId="6" borderId="1" xfId="0" applyFill="1" applyBorder="1" applyAlignment="1">
      <alignment horizontal="center" vertical="center"/>
    </xf>
    <xf numFmtId="0" fontId="4" fillId="0" borderId="0" xfId="0" applyFont="1" applyAlignment="1">
      <alignment vertical="center" wrapText="1"/>
    </xf>
    <xf numFmtId="0" fontId="9" fillId="0" borderId="5" xfId="0" applyFont="1" applyBorder="1" applyAlignment="1">
      <alignment horizontal="center" wrapText="1"/>
    </xf>
    <xf numFmtId="0" fontId="9" fillId="0" borderId="70" xfId="1" applyFont="1" applyFill="1" applyBorder="1" applyAlignment="1">
      <alignment horizontal="center" wrapText="1"/>
    </xf>
    <xf numFmtId="0" fontId="9" fillId="0" borderId="6" xfId="0" applyFont="1" applyBorder="1" applyAlignment="1">
      <alignment horizontal="center" wrapText="1"/>
    </xf>
    <xf numFmtId="0" fontId="9" fillId="0" borderId="6" xfId="0" applyFont="1" applyBorder="1" applyAlignment="1">
      <alignment horizontal="center"/>
    </xf>
    <xf numFmtId="0" fontId="9" fillId="0" borderId="6" xfId="0" applyFont="1" applyFill="1" applyBorder="1" applyAlignment="1">
      <alignment horizontal="center" wrapText="1"/>
    </xf>
    <xf numFmtId="0" fontId="4" fillId="0" borderId="1" xfId="2" applyFont="1" applyFill="1" applyBorder="1" applyAlignment="1">
      <alignment horizontal="center" vertical="center"/>
    </xf>
    <xf numFmtId="0" fontId="4" fillId="0" borderId="24" xfId="2" applyFont="1" applyFill="1" applyBorder="1" applyAlignment="1">
      <alignment horizontal="center" vertical="center"/>
    </xf>
    <xf numFmtId="0" fontId="4" fillId="0" borderId="28" xfId="2" applyFont="1" applyFill="1" applyBorder="1" applyAlignment="1">
      <alignment horizontal="center" vertical="center"/>
    </xf>
    <xf numFmtId="0" fontId="4" fillId="0" borderId="37" xfId="2" applyFont="1" applyFill="1" applyBorder="1" applyAlignment="1">
      <alignment horizontal="center" vertical="center"/>
    </xf>
    <xf numFmtId="0" fontId="10" fillId="0" borderId="37" xfId="0" applyFont="1" applyBorder="1" applyAlignment="1">
      <alignment wrapText="1"/>
    </xf>
    <xf numFmtId="0" fontId="0" fillId="0" borderId="38" xfId="0" applyBorder="1" applyAlignment="1">
      <alignment horizontal="center" vertical="center"/>
    </xf>
    <xf numFmtId="0" fontId="18" fillId="0" borderId="0" xfId="0" applyFont="1" applyAlignment="1">
      <alignment horizontal="center"/>
    </xf>
    <xf numFmtId="0" fontId="18" fillId="4" borderId="0" xfId="0" quotePrefix="1" applyFont="1" applyFill="1"/>
    <xf numFmtId="0" fontId="4" fillId="0" borderId="1" xfId="3" applyBorder="1" applyAlignment="1">
      <alignment horizontal="center" vertical="center"/>
    </xf>
    <xf numFmtId="0" fontId="4" fillId="0" borderId="24" xfId="3" applyBorder="1" applyAlignment="1">
      <alignment horizontal="center" vertical="center"/>
    </xf>
    <xf numFmtId="0" fontId="4" fillId="0" borderId="28" xfId="3" applyBorder="1" applyAlignment="1">
      <alignment horizontal="center" vertical="center"/>
    </xf>
    <xf numFmtId="0" fontId="0" fillId="0" borderId="1" xfId="0" applyBorder="1" applyAlignment="1">
      <alignment horizontal="center" vertical="center"/>
    </xf>
    <xf numFmtId="0" fontId="10" fillId="0" borderId="24" xfId="0" applyFont="1" applyFill="1" applyBorder="1" applyAlignment="1">
      <alignment horizontal="center" vertical="center"/>
    </xf>
    <xf numFmtId="0" fontId="4" fillId="0" borderId="1" xfId="0" applyFont="1" applyBorder="1" applyAlignment="1">
      <alignment horizontal="left" vertical="top" wrapText="1"/>
    </xf>
    <xf numFmtId="0" fontId="4" fillId="0" borderId="0" xfId="3" applyBorder="1" applyAlignment="1">
      <alignment horizontal="center" vertical="center"/>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0" fillId="0" borderId="1" xfId="0" applyBorder="1" applyAlignment="1">
      <alignment horizontal="center" vertical="center"/>
    </xf>
    <xf numFmtId="0" fontId="10" fillId="7" borderId="24"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7" fillId="0" borderId="1" xfId="2" quotePrefix="1" applyFont="1" applyFill="1" applyBorder="1" applyAlignment="1">
      <alignment horizontal="center" vertical="center"/>
    </xf>
    <xf numFmtId="0" fontId="4" fillId="0" borderId="28" xfId="3" quotePrefix="1" applyFill="1" applyBorder="1" applyAlignment="1">
      <alignment horizontal="center" vertical="center"/>
    </xf>
    <xf numFmtId="0" fontId="11" fillId="8" borderId="46" xfId="2" quotePrefix="1" applyBorder="1" applyAlignment="1">
      <alignment horizontal="center" vertical="center"/>
    </xf>
    <xf numFmtId="0" fontId="17" fillId="0" borderId="1" xfId="2" quotePrefix="1" applyFont="1" applyFill="1" applyBorder="1" applyAlignment="1">
      <alignment horizontal="center" vertical="center" wrapText="1"/>
    </xf>
    <xf numFmtId="0" fontId="17" fillId="0" borderId="28" xfId="2" quotePrefix="1" applyFont="1" applyFill="1" applyBorder="1" applyAlignment="1">
      <alignment horizontal="center" vertical="center" wrapText="1"/>
    </xf>
    <xf numFmtId="0" fontId="4" fillId="2" borderId="0" xfId="0" applyFont="1" applyFill="1"/>
    <xf numFmtId="0" fontId="4" fillId="6" borderId="1" xfId="0" applyFont="1" applyFill="1" applyBorder="1" applyAlignment="1">
      <alignment horizontal="left" vertical="top" wrapText="1"/>
    </xf>
    <xf numFmtId="0" fontId="4" fillId="6" borderId="1" xfId="0" quotePrefix="1" applyFont="1" applyFill="1" applyBorder="1" applyAlignment="1">
      <alignment horizontal="center" vertical="top" wrapText="1"/>
    </xf>
    <xf numFmtId="0" fontId="0" fillId="0" borderId="1" xfId="0" applyBorder="1" applyAlignment="1">
      <alignment horizontal="center" vertical="center"/>
    </xf>
    <xf numFmtId="0" fontId="0" fillId="0" borderId="28" xfId="0" applyBorder="1" applyAlignment="1">
      <alignment horizontal="center" vertical="center"/>
    </xf>
    <xf numFmtId="0" fontId="0" fillId="0" borderId="24" xfId="0" applyBorder="1" applyAlignment="1">
      <alignment horizontal="center" vertical="center"/>
    </xf>
    <xf numFmtId="0" fontId="4" fillId="6" borderId="1" xfId="0" applyFont="1" applyFill="1" applyBorder="1" applyAlignment="1">
      <alignment horizontal="left" vertical="center" wrapText="1"/>
    </xf>
    <xf numFmtId="0" fontId="4" fillId="6" borderId="24" xfId="3" applyFill="1" applyBorder="1" applyAlignment="1">
      <alignment horizontal="center" vertical="center"/>
    </xf>
    <xf numFmtId="0" fontId="4" fillId="6" borderId="1" xfId="3" applyFill="1" applyBorder="1" applyAlignment="1">
      <alignment horizontal="center" vertical="center"/>
    </xf>
    <xf numFmtId="0" fontId="4" fillId="6" borderId="28" xfId="0" quotePrefix="1" applyFont="1" applyFill="1" applyBorder="1" applyAlignment="1">
      <alignment horizontal="center" vertical="center"/>
    </xf>
    <xf numFmtId="0" fontId="4" fillId="6" borderId="1" xfId="0" quotePrefix="1" applyFont="1" applyFill="1" applyBorder="1" applyAlignment="1">
      <alignment horizontal="center" vertical="center"/>
    </xf>
    <xf numFmtId="0" fontId="10" fillId="6" borderId="1" xfId="0" applyFont="1" applyFill="1" applyBorder="1" applyAlignment="1">
      <alignment horizontal="center" vertical="center"/>
    </xf>
    <xf numFmtId="0" fontId="10" fillId="4" borderId="1" xfId="0" applyFont="1" applyFill="1" applyBorder="1" applyAlignment="1">
      <alignment horizontal="center" vertical="center"/>
    </xf>
    <xf numFmtId="0" fontId="4" fillId="4" borderId="22" xfId="2" applyFont="1" applyFill="1" applyBorder="1" applyAlignment="1">
      <alignment horizontal="center" vertical="center" wrapText="1"/>
    </xf>
    <xf numFmtId="0" fontId="10" fillId="6" borderId="24" xfId="0" applyFont="1" applyFill="1" applyBorder="1" applyAlignment="1">
      <alignment horizontal="center" vertical="center"/>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10" fillId="0" borderId="13" xfId="0" applyFont="1" applyBorder="1" applyAlignment="1">
      <alignment horizontal="center" vertical="center"/>
    </xf>
    <xf numFmtId="0" fontId="10" fillId="0" borderId="24" xfId="0" applyFont="1" applyFill="1" applyBorder="1" applyAlignment="1">
      <alignment horizontal="center" vertical="center"/>
    </xf>
    <xf numFmtId="0" fontId="0" fillId="0" borderId="24" xfId="0" applyBorder="1" applyAlignment="1">
      <alignment horizontal="center" vertical="center"/>
    </xf>
    <xf numFmtId="0" fontId="4" fillId="0" borderId="28" xfId="0" applyFont="1" applyFill="1" applyBorder="1" applyAlignment="1">
      <alignment horizontal="center" vertical="center"/>
    </xf>
    <xf numFmtId="0" fontId="10" fillId="6" borderId="0" xfId="0" applyFont="1" applyFill="1" applyBorder="1" applyAlignment="1">
      <alignment horizontal="center" vertical="center"/>
    </xf>
    <xf numFmtId="0" fontId="24" fillId="6" borderId="0" xfId="0" applyFont="1" applyFill="1" applyBorder="1" applyAlignment="1">
      <alignment vertical="center" wrapText="1"/>
    </xf>
    <xf numFmtId="0" fontId="0" fillId="0" borderId="1" xfId="0" quotePrefix="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24" xfId="0" applyBorder="1" applyAlignment="1">
      <alignment horizontal="left" vertical="top" wrapText="1"/>
    </xf>
    <xf numFmtId="0" fontId="0" fillId="0" borderId="28" xfId="0" applyBorder="1" applyAlignment="1">
      <alignment horizontal="left" vertical="top" wrapText="1"/>
    </xf>
    <xf numFmtId="0" fontId="24" fillId="0" borderId="0" xfId="0" applyFont="1" applyBorder="1" applyAlignment="1">
      <alignment vertical="center" wrapText="1"/>
    </xf>
    <xf numFmtId="0" fontId="24" fillId="0" borderId="0" xfId="0" quotePrefix="1" applyFont="1" applyBorder="1" applyAlignment="1">
      <alignment vertical="center" wrapText="1"/>
    </xf>
    <xf numFmtId="0" fontId="24" fillId="0" borderId="0" xfId="0" applyFont="1" applyBorder="1" applyAlignment="1">
      <alignment wrapText="1"/>
    </xf>
    <xf numFmtId="0" fontId="4" fillId="0" borderId="33" xfId="0" applyFont="1" applyFill="1" applyBorder="1" applyAlignment="1">
      <alignment horizontal="center" vertical="center"/>
    </xf>
    <xf numFmtId="0" fontId="4" fillId="0" borderId="6" xfId="3" applyBorder="1" applyAlignment="1">
      <alignment horizontal="center" vertical="center"/>
    </xf>
    <xf numFmtId="0" fontId="1" fillId="0" borderId="1" xfId="2" applyFont="1" applyFill="1" applyBorder="1" applyAlignment="1">
      <alignment horizontal="center" vertical="center"/>
    </xf>
    <xf numFmtId="0" fontId="4" fillId="0" borderId="1" xfId="0" applyFont="1" applyFill="1" applyBorder="1" applyAlignment="1">
      <alignment horizontal="left" vertical="center" wrapText="1"/>
    </xf>
    <xf numFmtId="0" fontId="1" fillId="0" borderId="28" xfId="2" applyFont="1" applyFill="1" applyBorder="1" applyAlignment="1">
      <alignment horizontal="center" vertical="center"/>
    </xf>
    <xf numFmtId="0" fontId="24" fillId="6" borderId="0" xfId="0" quotePrefix="1" applyFont="1" applyFill="1" applyBorder="1" applyAlignment="1">
      <alignment vertical="center" wrapText="1"/>
    </xf>
    <xf numFmtId="0" fontId="24" fillId="6" borderId="0" xfId="0" applyFont="1" applyFill="1" applyBorder="1" applyAlignment="1">
      <alignment horizontal="left" vertical="center" wrapText="1"/>
    </xf>
    <xf numFmtId="0" fontId="10" fillId="0" borderId="24" xfId="0" applyFont="1" applyFill="1" applyBorder="1" applyAlignment="1">
      <alignment horizontal="left" vertical="top" wrapText="1"/>
    </xf>
    <xf numFmtId="0" fontId="10" fillId="0" borderId="1" xfId="0" applyFont="1" applyFill="1" applyBorder="1" applyAlignment="1">
      <alignment horizontal="left" vertical="top" wrapText="1"/>
    </xf>
    <xf numFmtId="0" fontId="10" fillId="0" borderId="28" xfId="0" applyFont="1" applyFill="1" applyBorder="1" applyAlignment="1">
      <alignment horizontal="left" vertical="top" wrapText="1"/>
    </xf>
    <xf numFmtId="0" fontId="10" fillId="0" borderId="37" xfId="0" quotePrefix="1" applyFont="1" applyFill="1" applyBorder="1" applyAlignment="1">
      <alignment horizontal="center" vertical="center" wrapText="1"/>
    </xf>
    <xf numFmtId="0" fontId="10" fillId="0" borderId="37" xfId="0" applyFont="1" applyFill="1" applyBorder="1" applyAlignment="1">
      <alignment horizontal="left" vertical="top" wrapText="1"/>
    </xf>
    <xf numFmtId="0" fontId="4" fillId="0" borderId="37" xfId="0" applyFont="1" applyFill="1" applyBorder="1" applyAlignment="1">
      <alignment horizontal="center" vertical="center"/>
    </xf>
    <xf numFmtId="0" fontId="0" fillId="0" borderId="37" xfId="0" applyFill="1" applyBorder="1" applyAlignment="1">
      <alignment horizontal="center" vertical="center"/>
    </xf>
    <xf numFmtId="0" fontId="0" fillId="0" borderId="38" xfId="0" applyFill="1" applyBorder="1" applyAlignment="1">
      <alignment horizontal="center" vertical="center"/>
    </xf>
    <xf numFmtId="0" fontId="10" fillId="0" borderId="0" xfId="0" applyFont="1" applyFill="1" applyBorder="1" applyAlignment="1">
      <alignment horizontal="left" vertical="top" wrapText="1"/>
    </xf>
    <xf numFmtId="0" fontId="4" fillId="0" borderId="0" xfId="0" applyFont="1" applyFill="1" applyBorder="1" applyAlignment="1">
      <alignment horizontal="center" vertical="center"/>
    </xf>
    <xf numFmtId="0" fontId="4" fillId="0" borderId="8" xfId="0" applyFont="1" applyFill="1" applyBorder="1" applyAlignment="1">
      <alignment wrapText="1"/>
    </xf>
    <xf numFmtId="0" fontId="9" fillId="0" borderId="7" xfId="0" applyFont="1" applyFill="1" applyBorder="1" applyAlignment="1">
      <alignment horizontal="center" wrapText="1"/>
    </xf>
    <xf numFmtId="0" fontId="3" fillId="0" borderId="1" xfId="0" applyFont="1" applyBorder="1" applyAlignment="1">
      <alignment horizontal="center" vertical="center"/>
    </xf>
    <xf numFmtId="0" fontId="18" fillId="0" borderId="0" xfId="0" applyFont="1" applyAlignment="1">
      <alignment horizontal="left"/>
    </xf>
    <xf numFmtId="0" fontId="18" fillId="4" borderId="0" xfId="0" applyFont="1" applyFill="1" applyAlignment="1">
      <alignment horizontal="left"/>
    </xf>
    <xf numFmtId="0" fontId="4" fillId="0" borderId="1" xfId="0" applyFont="1" applyBorder="1" applyAlignment="1">
      <alignment horizontal="center" vertical="center" wrapText="1"/>
    </xf>
    <xf numFmtId="0" fontId="4" fillId="0" borderId="28" xfId="0" applyFont="1" applyBorder="1" applyAlignment="1">
      <alignment horizontal="center" vertical="center" wrapText="1"/>
    </xf>
    <xf numFmtId="0" fontId="4" fillId="6" borderId="1" xfId="0" quotePrefix="1" applyFont="1" applyFill="1" applyBorder="1" applyAlignment="1">
      <alignment horizontal="left" vertical="top"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4" fillId="0" borderId="1" xfId="0" applyFont="1" applyBorder="1" applyAlignment="1">
      <alignment horizontal="center" vertical="center" wrapText="1"/>
    </xf>
    <xf numFmtId="0" fontId="4" fillId="0" borderId="27" xfId="0" applyFont="1" applyBorder="1" applyAlignment="1">
      <alignment horizontal="left" vertical="center" wrapText="1"/>
    </xf>
    <xf numFmtId="0" fontId="4" fillId="0" borderId="27" xfId="0" applyFont="1" applyBorder="1" applyAlignment="1">
      <alignment horizontal="center" vertical="center"/>
    </xf>
    <xf numFmtId="0" fontId="0" fillId="0" borderId="2" xfId="0" applyBorder="1" applyAlignment="1">
      <alignment horizontal="center" vertical="center"/>
    </xf>
    <xf numFmtId="0" fontId="18" fillId="0" borderId="0" xfId="0" applyFont="1" applyFill="1" applyAlignment="1">
      <alignment horizontal="center"/>
    </xf>
    <xf numFmtId="0" fontId="18" fillId="0" borderId="0" xfId="0" applyFont="1" applyAlignment="1">
      <alignment horizontal="left" vertical="center"/>
    </xf>
    <xf numFmtId="0" fontId="18" fillId="4" borderId="0" xfId="0" applyFont="1" applyFill="1" applyAlignment="1">
      <alignment horizontal="center"/>
    </xf>
    <xf numFmtId="0" fontId="18" fillId="4" borderId="0" xfId="0" applyFont="1" applyFill="1" applyAlignment="1">
      <alignment horizontal="left" vertical="center"/>
    </xf>
    <xf numFmtId="0" fontId="18" fillId="4" borderId="0" xfId="0" applyFont="1" applyFill="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4" fillId="0" borderId="1" xfId="0" applyFont="1" applyBorder="1" applyAlignment="1">
      <alignment horizontal="center" vertical="center"/>
    </xf>
    <xf numFmtId="0" fontId="0" fillId="0" borderId="0" xfId="0" applyFill="1" applyBorder="1" applyAlignment="1">
      <alignment horizontal="center" vertical="center"/>
    </xf>
    <xf numFmtId="0" fontId="4" fillId="0" borderId="1" xfId="0" applyFont="1" applyBorder="1" applyAlignment="1">
      <alignment horizontal="left" vertical="center" wrapText="1"/>
    </xf>
    <xf numFmtId="0" fontId="4" fillId="11" borderId="6" xfId="0" applyFont="1" applyFill="1" applyBorder="1" applyAlignment="1">
      <alignment horizontal="center" vertical="center"/>
    </xf>
    <xf numFmtId="0" fontId="4" fillId="11" borderId="6" xfId="0" quotePrefix="1" applyFont="1" applyFill="1" applyBorder="1" applyAlignment="1">
      <alignment horizontal="center" vertical="center"/>
    </xf>
    <xf numFmtId="0" fontId="11" fillId="11" borderId="6" xfId="2" applyFill="1" applyBorder="1" applyAlignment="1">
      <alignment horizontal="center" vertical="center"/>
    </xf>
    <xf numFmtId="0" fontId="0" fillId="11" borderId="6" xfId="0" applyFill="1" applyBorder="1" applyAlignment="1">
      <alignment horizontal="center" vertical="center"/>
    </xf>
    <xf numFmtId="0" fontId="4" fillId="11" borderId="6" xfId="0" applyFont="1" applyFill="1" applyBorder="1" applyAlignment="1">
      <alignment horizontal="left" vertical="center" wrapText="1"/>
    </xf>
    <xf numFmtId="0" fontId="4" fillId="11" borderId="0" xfId="0" applyFont="1" applyFill="1" applyBorder="1" applyAlignment="1">
      <alignment wrapText="1"/>
    </xf>
    <xf numFmtId="0" fontId="0" fillId="0" borderId="0" xfId="0" applyAlignment="1">
      <alignment horizontal="center" vertical="center"/>
    </xf>
    <xf numFmtId="0" fontId="4" fillId="6" borderId="0" xfId="0" applyFont="1" applyFill="1" applyAlignment="1">
      <alignment horizontal="center" vertical="center"/>
    </xf>
    <xf numFmtId="0" fontId="0" fillId="6" borderId="0" xfId="0" applyFill="1" applyAlignment="1">
      <alignment vertical="top" wrapText="1"/>
    </xf>
    <xf numFmtId="0" fontId="3" fillId="5" borderId="11" xfId="0" applyFont="1" applyFill="1" applyBorder="1" applyAlignment="1">
      <alignment horizontal="center"/>
    </xf>
    <xf numFmtId="0" fontId="17" fillId="7" borderId="35" xfId="2" applyFont="1" applyFill="1" applyBorder="1" applyAlignment="1">
      <alignment horizontal="center" vertical="center"/>
    </xf>
    <xf numFmtId="0" fontId="4" fillId="0" borderId="1" xfId="0" quotePrefix="1" applyFont="1" applyBorder="1" applyAlignment="1">
      <alignment horizontal="center" vertical="center"/>
    </xf>
    <xf numFmtId="0" fontId="4" fillId="0" borderId="28" xfId="0" quotePrefix="1" applyFont="1"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0" fillId="0" borderId="24" xfId="0" applyFill="1" applyBorder="1" applyAlignment="1">
      <alignment horizontal="center" vertical="center"/>
    </xf>
    <xf numFmtId="0" fontId="0" fillId="0" borderId="0" xfId="0" applyFill="1" applyBorder="1" applyAlignment="1">
      <alignment vertical="top" wrapText="1"/>
    </xf>
    <xf numFmtId="0" fontId="4" fillId="6" borderId="1" xfId="0" applyFont="1" applyFill="1" applyBorder="1" applyAlignment="1">
      <alignment horizontal="left" wrapText="1"/>
    </xf>
    <xf numFmtId="0" fontId="4" fillId="6" borderId="1" xfId="0" quotePrefix="1" applyFont="1" applyFill="1" applyBorder="1" applyAlignment="1">
      <alignment horizontal="left" wrapText="1"/>
    </xf>
    <xf numFmtId="0" fontId="0" fillId="0" borderId="0" xfId="0" applyFill="1" applyBorder="1" applyAlignment="1">
      <alignment horizontal="center" vertical="center"/>
    </xf>
    <xf numFmtId="0" fontId="10" fillId="0" borderId="0" xfId="0" applyFont="1" applyFill="1" applyBorder="1" applyAlignment="1">
      <alignment vertical="center" wrapText="1"/>
    </xf>
    <xf numFmtId="0" fontId="10" fillId="0" borderId="0" xfId="0" applyFont="1" applyFill="1"/>
    <xf numFmtId="0" fontId="4" fillId="0" borderId="0" xfId="0" quotePrefix="1" applyFont="1" applyFill="1"/>
    <xf numFmtId="0" fontId="5" fillId="6" borderId="1" xfId="0" applyFont="1" applyFill="1" applyBorder="1" applyAlignment="1">
      <alignment horizontal="center"/>
    </xf>
    <xf numFmtId="0" fontId="0" fillId="0" borderId="1" xfId="0" applyBorder="1" applyAlignment="1">
      <alignment horizontal="left" vertical="top" wrapText="1"/>
    </xf>
    <xf numFmtId="0" fontId="4" fillId="0" borderId="24" xfId="0" applyFont="1" applyBorder="1" applyAlignment="1">
      <alignment horizontal="center" vertical="center"/>
    </xf>
    <xf numFmtId="0" fontId="4" fillId="0" borderId="1" xfId="0" applyFont="1" applyBorder="1" applyAlignment="1">
      <alignment horizontal="center" vertical="center"/>
    </xf>
    <xf numFmtId="0" fontId="4" fillId="0" borderId="24" xfId="0" applyFont="1" applyBorder="1" applyAlignment="1">
      <alignment horizontal="left" vertical="top" wrapText="1"/>
    </xf>
    <xf numFmtId="0" fontId="4" fillId="0" borderId="1" xfId="0" applyFont="1" applyBorder="1" applyAlignment="1">
      <alignment horizontal="left" vertical="top"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9" xfId="0" applyFont="1" applyBorder="1" applyAlignment="1">
      <alignment horizontal="center" vertical="center" wrapText="1"/>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4" fillId="0" borderId="10" xfId="0" applyFont="1" applyBorder="1" applyAlignment="1">
      <alignment horizontal="center" vertical="center"/>
    </xf>
    <xf numFmtId="0" fontId="4" fillId="0" borderId="2" xfId="0" applyFont="1" applyBorder="1" applyAlignment="1">
      <alignment horizontal="center" vertical="center"/>
    </xf>
    <xf numFmtId="0" fontId="4" fillId="0" borderId="28" xfId="0" applyFont="1" applyBorder="1" applyAlignment="1">
      <alignment horizontal="center" vertical="center"/>
    </xf>
    <xf numFmtId="0" fontId="4" fillId="0" borderId="28" xfId="0" applyFont="1" applyBorder="1" applyAlignment="1">
      <alignment horizontal="lef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9" xfId="0" applyBorder="1" applyAlignment="1">
      <alignment horizontal="center" vertical="center"/>
    </xf>
    <xf numFmtId="0" fontId="4" fillId="0" borderId="23" xfId="0" applyFont="1" applyBorder="1" applyAlignment="1">
      <alignment horizontal="center" vertical="center"/>
    </xf>
    <xf numFmtId="0" fontId="0" fillId="0" borderId="13"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4"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4" fillId="0" borderId="13" xfId="0" applyFont="1" applyBorder="1" applyAlignment="1">
      <alignment horizontal="center" vertical="center"/>
    </xf>
    <xf numFmtId="0" fontId="4" fillId="0" borderId="30"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0" borderId="5" xfId="0" applyFont="1" applyBorder="1" applyAlignment="1">
      <alignment horizontal="center"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0" fontId="10" fillId="6" borderId="0" xfId="0" applyFont="1" applyFill="1" applyBorder="1" applyAlignment="1">
      <alignment horizontal="center" vertical="center"/>
    </xf>
    <xf numFmtId="0" fontId="4" fillId="0" borderId="31" xfId="0" applyNumberFormat="1" applyFont="1" applyBorder="1" applyAlignment="1">
      <alignment horizontal="center" vertical="center"/>
    </xf>
    <xf numFmtId="0" fontId="4" fillId="0" borderId="34" xfId="0" applyFont="1" applyBorder="1" applyAlignment="1">
      <alignment horizontal="center" vertical="center"/>
    </xf>
    <xf numFmtId="0" fontId="4" fillId="0" borderId="21" xfId="0" applyFont="1" applyBorder="1" applyAlignment="1">
      <alignment horizontal="center" vertical="center"/>
    </xf>
    <xf numFmtId="0" fontId="10" fillId="0" borderId="23" xfId="0" applyFont="1" applyBorder="1" applyAlignment="1">
      <alignment horizontal="center" vertical="center"/>
    </xf>
    <xf numFmtId="0" fontId="10" fillId="0" borderId="31" xfId="0" applyNumberFormat="1" applyFont="1" applyBorder="1" applyAlignment="1">
      <alignment horizontal="center" vertical="center"/>
    </xf>
    <xf numFmtId="0" fontId="0" fillId="0" borderId="23" xfId="0" applyFill="1" applyBorder="1" applyAlignment="1">
      <alignment horizontal="center" vertical="center"/>
    </xf>
    <xf numFmtId="0" fontId="0" fillId="0" borderId="13" xfId="0" applyFill="1" applyBorder="1" applyAlignment="1">
      <alignment horizontal="center" vertical="center"/>
    </xf>
    <xf numFmtId="0" fontId="0" fillId="0" borderId="30" xfId="0" applyFill="1" applyBorder="1" applyAlignment="1">
      <alignment horizontal="center" vertical="center"/>
    </xf>
    <xf numFmtId="0" fontId="4" fillId="0" borderId="23" xfId="0" applyFont="1" applyFill="1" applyBorder="1" applyAlignment="1">
      <alignment horizontal="center" vertical="center"/>
    </xf>
    <xf numFmtId="0" fontId="0" fillId="0" borderId="31" xfId="0" applyFill="1" applyBorder="1" applyAlignment="1">
      <alignment horizontal="center" vertical="center"/>
    </xf>
    <xf numFmtId="0" fontId="0" fillId="0" borderId="34" xfId="0" applyFill="1" applyBorder="1" applyAlignment="1">
      <alignment horizontal="center" vertical="center"/>
    </xf>
    <xf numFmtId="0" fontId="0" fillId="0" borderId="21" xfId="0" applyFill="1" applyBorder="1" applyAlignment="1">
      <alignment horizontal="center" vertical="center"/>
    </xf>
    <xf numFmtId="0" fontId="24" fillId="6" borderId="0" xfId="0" applyFont="1" applyFill="1" applyBorder="1" applyAlignment="1">
      <alignment vertical="center" wrapText="1"/>
    </xf>
    <xf numFmtId="0" fontId="0" fillId="6" borderId="0" xfId="0" applyFill="1" applyBorder="1" applyAlignment="1">
      <alignment horizontal="left" vertical="center" wrapText="1"/>
    </xf>
    <xf numFmtId="0" fontId="4" fillId="0" borderId="24" xfId="0" applyFont="1" applyFill="1" applyBorder="1" applyAlignment="1">
      <alignment horizontal="center" vertical="center"/>
    </xf>
    <xf numFmtId="0" fontId="0" fillId="0" borderId="28" xfId="0" applyFill="1" applyBorder="1" applyAlignment="1">
      <alignment horizontal="center" vertical="center"/>
    </xf>
    <xf numFmtId="0" fontId="4" fillId="0" borderId="43" xfId="0" applyFont="1" applyFill="1" applyBorder="1" applyAlignment="1">
      <alignment horizontal="center" vertical="center"/>
    </xf>
    <xf numFmtId="0" fontId="4" fillId="0" borderId="45" xfId="0" applyFont="1" applyFill="1" applyBorder="1" applyAlignment="1">
      <alignment horizontal="center" vertical="center"/>
    </xf>
    <xf numFmtId="0" fontId="4" fillId="0" borderId="44" xfId="0" applyFont="1" applyFill="1" applyBorder="1" applyAlignment="1">
      <alignment horizontal="center" vertical="center"/>
    </xf>
    <xf numFmtId="0" fontId="4" fillId="0" borderId="2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8" xfId="0" applyFont="1" applyBorder="1" applyAlignment="1">
      <alignment horizontal="center" vertical="center" wrapText="1"/>
    </xf>
    <xf numFmtId="0" fontId="14" fillId="2" borderId="0" xfId="0" applyFont="1" applyFill="1" applyAlignment="1">
      <alignment horizontal="right"/>
    </xf>
    <xf numFmtId="0" fontId="14" fillId="2" borderId="1" xfId="0" applyFont="1" applyFill="1" applyBorder="1" applyAlignment="1">
      <alignment horizontal="left"/>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10" fillId="0" borderId="34" xfId="0" applyNumberFormat="1" applyFont="1" applyBorder="1" applyAlignment="1">
      <alignment horizontal="center" vertical="center"/>
    </xf>
    <xf numFmtId="0" fontId="9" fillId="0" borderId="4"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1" xfId="0" applyFont="1" applyBorder="1" applyAlignment="1">
      <alignment horizontal="center" vertical="center" wrapText="1"/>
    </xf>
    <xf numFmtId="0" fontId="10" fillId="0" borderId="21" xfId="0" applyNumberFormat="1" applyFont="1" applyBorder="1" applyAlignment="1">
      <alignment horizontal="center" vertical="center"/>
    </xf>
    <xf numFmtId="0" fontId="10" fillId="0" borderId="13" xfId="0" applyFont="1" applyBorder="1" applyAlignment="1">
      <alignment horizontal="center" vertical="center"/>
    </xf>
    <xf numFmtId="0" fontId="10" fillId="0" borderId="30" xfId="0" applyFont="1" applyBorder="1" applyAlignment="1">
      <alignment horizontal="center" vertical="center"/>
    </xf>
    <xf numFmtId="0" fontId="4" fillId="0" borderId="34" xfId="0" applyNumberFormat="1" applyFont="1" applyBorder="1" applyAlignment="1">
      <alignment horizontal="center" vertical="center"/>
    </xf>
    <xf numFmtId="0" fontId="10" fillId="0" borderId="24"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4" xfId="0" applyFont="1" applyBorder="1" applyAlignment="1">
      <alignment horizontal="center" vertical="center"/>
    </xf>
    <xf numFmtId="0" fontId="10" fillId="0" borderId="1" xfId="0" applyFont="1" applyBorder="1" applyAlignment="1">
      <alignment horizontal="center" vertical="center"/>
    </xf>
    <xf numFmtId="0" fontId="10" fillId="0" borderId="28" xfId="0" applyFont="1" applyBorder="1" applyAlignment="1">
      <alignment horizontal="center" vertical="center"/>
    </xf>
    <xf numFmtId="0" fontId="10" fillId="0" borderId="25" xfId="0" applyNumberFormat="1" applyFont="1" applyBorder="1" applyAlignment="1">
      <alignment horizontal="center" vertical="center"/>
    </xf>
    <xf numFmtId="0" fontId="10" fillId="0" borderId="26" xfId="0" applyNumberFormat="1" applyFont="1" applyBorder="1" applyAlignment="1">
      <alignment horizontal="center" vertical="center"/>
    </xf>
    <xf numFmtId="0" fontId="10" fillId="0" borderId="29" xfId="0" applyNumberFormat="1" applyFont="1" applyBorder="1" applyAlignment="1">
      <alignment horizontal="center" vertical="center"/>
    </xf>
    <xf numFmtId="0" fontId="14" fillId="6" borderId="0" xfId="0" applyFont="1" applyFill="1" applyBorder="1" applyAlignment="1">
      <alignment horizontal="center" wrapText="1"/>
    </xf>
    <xf numFmtId="0" fontId="4" fillId="5" borderId="11" xfId="1" applyFont="1" applyFill="1" applyBorder="1" applyAlignment="1">
      <alignment horizontal="center"/>
    </xf>
    <xf numFmtId="0" fontId="4" fillId="5" borderId="12" xfId="1" applyFont="1" applyFill="1" applyBorder="1" applyAlignment="1">
      <alignment horizontal="center"/>
    </xf>
    <xf numFmtId="0" fontId="17" fillId="5" borderId="22" xfId="1" applyFont="1" applyFill="1" applyBorder="1" applyAlignment="1">
      <alignment horizontal="center"/>
    </xf>
    <xf numFmtId="0" fontId="17" fillId="5" borderId="39" xfId="1" applyFont="1" applyFill="1" applyBorder="1" applyAlignment="1">
      <alignment horizontal="center"/>
    </xf>
    <xf numFmtId="0" fontId="2" fillId="0" borderId="0" xfId="0" applyFont="1" applyFill="1" applyBorder="1" applyAlignment="1">
      <alignment wrapText="1"/>
    </xf>
    <xf numFmtId="0" fontId="0" fillId="0" borderId="0" xfId="0" applyBorder="1" applyAlignment="1">
      <alignment wrapText="1"/>
    </xf>
    <xf numFmtId="0" fontId="11" fillId="8" borderId="22" xfId="2" applyBorder="1" applyAlignment="1">
      <alignment horizontal="center"/>
    </xf>
    <xf numFmtId="0" fontId="11" fillId="8" borderId="39" xfId="2" applyBorder="1" applyAlignment="1">
      <alignment horizontal="center"/>
    </xf>
    <xf numFmtId="0" fontId="4" fillId="6" borderId="8" xfId="0" applyFont="1" applyFill="1" applyBorder="1" applyAlignment="1">
      <alignment horizontal="left" vertical="center" wrapText="1"/>
    </xf>
    <xf numFmtId="0" fontId="4" fillId="6" borderId="9" xfId="0" applyFont="1" applyFill="1" applyBorder="1" applyAlignment="1">
      <alignment horizontal="left" vertical="center" wrapText="1"/>
    </xf>
    <xf numFmtId="0" fontId="0" fillId="5" borderId="19" xfId="0" applyFill="1" applyBorder="1" applyAlignment="1">
      <alignment horizontal="center"/>
    </xf>
    <xf numFmtId="0" fontId="0" fillId="5" borderId="20" xfId="0" applyFill="1" applyBorder="1" applyAlignment="1">
      <alignment horizontal="center"/>
    </xf>
    <xf numFmtId="0" fontId="0" fillId="7" borderId="19" xfId="0" applyFill="1" applyBorder="1" applyAlignment="1">
      <alignment horizontal="center"/>
    </xf>
    <xf numFmtId="0" fontId="0" fillId="7" borderId="20"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4" fillId="0" borderId="14" xfId="0" applyFont="1" applyBorder="1" applyAlignment="1">
      <alignment horizontal="left" vertical="center" wrapText="1"/>
    </xf>
    <xf numFmtId="0" fontId="0" fillId="0" borderId="15" xfId="0" applyBorder="1" applyAlignment="1">
      <alignment wrapText="1"/>
    </xf>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49" fontId="4" fillId="5" borderId="11" xfId="1" applyNumberFormat="1" applyFont="1" applyFill="1" applyBorder="1" applyAlignment="1">
      <alignment horizontal="center"/>
    </xf>
    <xf numFmtId="49" fontId="4" fillId="5" borderId="12" xfId="1" applyNumberFormat="1" applyFont="1" applyFill="1" applyBorder="1" applyAlignment="1">
      <alignment horizontal="center"/>
    </xf>
    <xf numFmtId="0" fontId="3" fillId="0" borderId="1" xfId="0" applyFont="1" applyFill="1" applyBorder="1" applyAlignment="1">
      <alignment horizontal="center"/>
    </xf>
    <xf numFmtId="0" fontId="3" fillId="0" borderId="26" xfId="0" applyFont="1" applyFill="1" applyBorder="1" applyAlignment="1">
      <alignment horizontal="center"/>
    </xf>
    <xf numFmtId="0" fontId="4" fillId="5" borderId="1" xfId="0" applyFont="1" applyFill="1" applyBorder="1" applyAlignment="1">
      <alignment horizontal="center"/>
    </xf>
    <xf numFmtId="0" fontId="4" fillId="5" borderId="26" xfId="0" applyFont="1" applyFill="1" applyBorder="1" applyAlignment="1">
      <alignment horizontal="center"/>
    </xf>
    <xf numFmtId="0" fontId="4" fillId="6" borderId="11" xfId="1" applyFont="1" applyFill="1" applyBorder="1" applyAlignment="1">
      <alignment horizontal="center"/>
    </xf>
    <xf numFmtId="0" fontId="4" fillId="6" borderId="12" xfId="1" applyFont="1" applyFill="1" applyBorder="1" applyAlignment="1">
      <alignment horizontal="center"/>
    </xf>
    <xf numFmtId="0" fontId="3" fillId="5" borderId="11" xfId="0" applyFont="1" applyFill="1" applyBorder="1" applyAlignment="1">
      <alignment horizontal="center" vertical="center" wrapText="1"/>
    </xf>
    <xf numFmtId="0" fontId="3" fillId="5" borderId="11" xfId="0" applyFont="1" applyFill="1" applyBorder="1" applyAlignment="1">
      <alignment horizontal="center" vertical="center"/>
    </xf>
    <xf numFmtId="0" fontId="22" fillId="6" borderId="14" xfId="0" applyFont="1" applyFill="1" applyBorder="1" applyAlignment="1">
      <alignment horizontal="left" vertical="center" wrapText="1"/>
    </xf>
    <xf numFmtId="0" fontId="4" fillId="5" borderId="59" xfId="1" applyFont="1" applyFill="1" applyBorder="1" applyAlignment="1">
      <alignment horizontal="center"/>
    </xf>
    <xf numFmtId="0" fontId="4" fillId="5" borderId="60" xfId="1" applyFont="1" applyFill="1" applyBorder="1" applyAlignment="1">
      <alignment horizontal="center"/>
    </xf>
    <xf numFmtId="0" fontId="16" fillId="0" borderId="0" xfId="2" applyFont="1" applyFill="1" applyBorder="1" applyAlignment="1">
      <alignment horizontal="center"/>
    </xf>
    <xf numFmtId="0" fontId="4" fillId="0" borderId="0" xfId="0" applyFont="1" applyBorder="1" applyAlignment="1">
      <alignment horizontal="center"/>
    </xf>
    <xf numFmtId="0" fontId="3" fillId="0" borderId="0" xfId="0" applyFont="1" applyBorder="1" applyAlignment="1">
      <alignment horizontal="center" vertical="center"/>
    </xf>
    <xf numFmtId="0" fontId="3" fillId="0" borderId="0" xfId="0" applyFont="1" applyAlignment="1">
      <alignment horizontal="center"/>
    </xf>
    <xf numFmtId="0" fontId="0" fillId="0" borderId="0" xfId="0" applyAlignment="1">
      <alignment wrapText="1"/>
    </xf>
    <xf numFmtId="0" fontId="11" fillId="8" borderId="35" xfId="2" applyBorder="1" applyAlignment="1">
      <alignment horizontal="center"/>
    </xf>
    <xf numFmtId="0" fontId="11" fillId="8" borderId="40" xfId="2" applyBorder="1" applyAlignment="1">
      <alignment horizontal="center"/>
    </xf>
    <xf numFmtId="0" fontId="2" fillId="0" borderId="0" xfId="0" applyFont="1" applyFill="1" applyBorder="1" applyAlignment="1">
      <alignment horizontal="left" vertical="top" wrapText="1"/>
    </xf>
    <xf numFmtId="0" fontId="0" fillId="0" borderId="0" xfId="0" applyAlignment="1">
      <alignment horizontal="left" vertical="top" wrapText="1"/>
    </xf>
    <xf numFmtId="0" fontId="4" fillId="7" borderId="1" xfId="0" applyFont="1" applyFill="1" applyBorder="1" applyAlignment="1">
      <alignment horizontal="left" vertical="top" wrapText="1"/>
    </xf>
    <xf numFmtId="0" fontId="3" fillId="7" borderId="1" xfId="0" applyFont="1" applyFill="1" applyBorder="1" applyAlignment="1">
      <alignment horizontal="center" vertical="top" wrapText="1"/>
    </xf>
    <xf numFmtId="0" fontId="10" fillId="0" borderId="25" xfId="0" applyNumberFormat="1" applyFont="1" applyFill="1" applyBorder="1" applyAlignment="1">
      <alignment horizontal="center" vertical="center"/>
    </xf>
    <xf numFmtId="0" fontId="0" fillId="0" borderId="26" xfId="0" applyFill="1" applyBorder="1" applyAlignment="1">
      <alignment horizontal="center" vertical="center"/>
    </xf>
    <xf numFmtId="0" fontId="0" fillId="0" borderId="29" xfId="0" applyFill="1" applyBorder="1" applyAlignment="1">
      <alignment horizontal="center" vertical="center"/>
    </xf>
    <xf numFmtId="0" fontId="10" fillId="0" borderId="24" xfId="0" applyFont="1" applyFill="1" applyBorder="1" applyAlignment="1">
      <alignment horizontal="center" vertical="center"/>
    </xf>
    <xf numFmtId="0" fontId="0" fillId="0" borderId="1" xfId="0" applyFill="1" applyBorder="1" applyAlignment="1">
      <alignment horizontal="center" vertical="center"/>
    </xf>
    <xf numFmtId="0" fontId="10" fillId="6" borderId="0" xfId="0" applyFont="1" applyFill="1" applyBorder="1" applyAlignment="1">
      <alignment horizontal="center" vertical="center" wrapText="1"/>
    </xf>
    <xf numFmtId="0" fontId="4" fillId="0" borderId="13"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21" xfId="0" applyFont="1" applyFill="1" applyBorder="1" applyAlignment="1">
      <alignment horizontal="center" vertical="center"/>
    </xf>
    <xf numFmtId="0" fontId="10" fillId="0" borderId="0" xfId="0" applyFont="1" applyFill="1" applyBorder="1" applyAlignment="1">
      <alignment horizontal="center"/>
    </xf>
    <xf numFmtId="0" fontId="0" fillId="0" borderId="0" xfId="0" applyFill="1" applyBorder="1" applyAlignment="1">
      <alignment horizontal="center" vertical="center"/>
    </xf>
    <xf numFmtId="0" fontId="0" fillId="6" borderId="25" xfId="0" applyFill="1" applyBorder="1" applyAlignment="1">
      <alignment horizontal="center" vertical="center"/>
    </xf>
    <xf numFmtId="0" fontId="0" fillId="6" borderId="26" xfId="0" applyFill="1" applyBorder="1" applyAlignment="1">
      <alignment horizontal="center" vertical="center"/>
    </xf>
    <xf numFmtId="0" fontId="0" fillId="6" borderId="29" xfId="0" applyFill="1" applyBorder="1" applyAlignment="1">
      <alignment horizontal="center" vertical="center"/>
    </xf>
    <xf numFmtId="0" fontId="0" fillId="0" borderId="4" xfId="0" applyBorder="1" applyAlignment="1">
      <alignment horizontal="center"/>
    </xf>
    <xf numFmtId="0" fontId="0" fillId="0" borderId="41" xfId="0" applyBorder="1" applyAlignment="1">
      <alignment horizontal="center"/>
    </xf>
    <xf numFmtId="0" fontId="0" fillId="0" borderId="56" xfId="0" applyBorder="1" applyAlignment="1">
      <alignment horizontal="center" vertical="center"/>
    </xf>
    <xf numFmtId="0" fontId="0" fillId="0" borderId="55" xfId="0" applyBorder="1" applyAlignment="1">
      <alignment horizontal="center" vertical="center"/>
    </xf>
    <xf numFmtId="0" fontId="0" fillId="0" borderId="57" xfId="0" applyBorder="1" applyAlignment="1">
      <alignment horizontal="center" vertical="center"/>
    </xf>
    <xf numFmtId="0" fontId="4" fillId="0" borderId="25" xfId="0" applyNumberFormat="1" applyFont="1" applyBorder="1" applyAlignment="1">
      <alignment horizontal="center" vertical="center"/>
    </xf>
    <xf numFmtId="0" fontId="4" fillId="0" borderId="26" xfId="0" applyNumberFormat="1" applyFont="1" applyBorder="1" applyAlignment="1">
      <alignment horizontal="center" vertical="center"/>
    </xf>
    <xf numFmtId="0" fontId="4" fillId="0" borderId="29" xfId="0" applyNumberFormat="1" applyFont="1" applyBorder="1" applyAlignment="1">
      <alignment horizontal="center" vertical="center"/>
    </xf>
    <xf numFmtId="0" fontId="3" fillId="9" borderId="4" xfId="0" applyFont="1" applyFill="1" applyBorder="1" applyAlignment="1">
      <alignment horizontal="center"/>
    </xf>
    <xf numFmtId="0" fontId="3" fillId="9" borderId="42" xfId="0" applyFont="1" applyFill="1" applyBorder="1" applyAlignment="1">
      <alignment horizontal="center"/>
    </xf>
    <xf numFmtId="0" fontId="3" fillId="9" borderId="41" xfId="0" applyFont="1" applyFill="1" applyBorder="1" applyAlignment="1">
      <alignment horizontal="center"/>
    </xf>
    <xf numFmtId="0" fontId="3" fillId="0" borderId="4" xfId="0" applyFont="1" applyFill="1" applyBorder="1" applyAlignment="1">
      <alignment wrapText="1"/>
    </xf>
    <xf numFmtId="0" fontId="0" fillId="0" borderId="42" xfId="0" applyFill="1" applyBorder="1" applyAlignment="1"/>
    <xf numFmtId="0" fontId="0" fillId="0" borderId="41" xfId="0" applyFill="1" applyBorder="1" applyAlignment="1"/>
    <xf numFmtId="0" fontId="3" fillId="0" borderId="31" xfId="3" applyFont="1" applyBorder="1" applyAlignment="1">
      <alignment horizontal="left" vertical="center" wrapText="1"/>
    </xf>
    <xf numFmtId="0" fontId="3" fillId="0" borderId="20" xfId="3" applyFont="1" applyBorder="1" applyAlignment="1">
      <alignment horizontal="left" vertical="center" wrapText="1"/>
    </xf>
    <xf numFmtId="0" fontId="4" fillId="6" borderId="23"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30" xfId="0" applyFont="1" applyFill="1" applyBorder="1" applyAlignment="1">
      <alignment horizontal="center" vertical="center" wrapText="1"/>
    </xf>
    <xf numFmtId="0" fontId="4" fillId="0" borderId="23"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43" xfId="0" applyFont="1" applyBorder="1" applyAlignment="1">
      <alignment horizontal="center" vertical="center"/>
    </xf>
    <xf numFmtId="0" fontId="4" fillId="0" borderId="45" xfId="0" applyFont="1" applyBorder="1" applyAlignment="1">
      <alignment horizontal="center" vertical="center"/>
    </xf>
    <xf numFmtId="0" fontId="4" fillId="0" borderId="44" xfId="0" applyFont="1" applyBorder="1" applyAlignment="1">
      <alignment horizontal="center" vertical="center"/>
    </xf>
    <xf numFmtId="0" fontId="0" fillId="0" borderId="2" xfId="0" applyBorder="1" applyAlignment="1">
      <alignment horizontal="center" vertical="center"/>
    </xf>
    <xf numFmtId="0" fontId="3" fillId="0" borderId="4" xfId="0" applyFont="1" applyBorder="1" applyAlignment="1">
      <alignment horizontal="center" vertical="center"/>
    </xf>
    <xf numFmtId="0" fontId="3" fillId="0" borderId="42" xfId="0" applyFont="1" applyBorder="1" applyAlignment="1">
      <alignment horizontal="center" vertical="center"/>
    </xf>
    <xf numFmtId="0" fontId="3" fillId="0" borderId="41" xfId="0" applyFont="1" applyBorder="1" applyAlignment="1">
      <alignment horizontal="center" vertical="center"/>
    </xf>
    <xf numFmtId="0" fontId="0" fillId="0" borderId="25" xfId="0" applyFill="1" applyBorder="1" applyAlignment="1">
      <alignment horizontal="center" vertical="center"/>
    </xf>
    <xf numFmtId="0" fontId="4" fillId="0" borderId="28" xfId="0" applyFont="1" applyFill="1" applyBorder="1" applyAlignment="1">
      <alignment horizontal="center" vertical="center"/>
    </xf>
    <xf numFmtId="0" fontId="0" fillId="0" borderId="73" xfId="0" applyBorder="1" applyAlignment="1">
      <alignment horizontal="center" vertical="center"/>
    </xf>
    <xf numFmtId="0" fontId="0" fillId="0" borderId="74" xfId="0" applyBorder="1" applyAlignment="1">
      <alignment horizontal="center" vertical="center"/>
    </xf>
    <xf numFmtId="0" fontId="4" fillId="0" borderId="24" xfId="0" applyFont="1" applyBorder="1" applyAlignment="1">
      <alignment horizontal="left" vertical="center" wrapText="1"/>
    </xf>
    <xf numFmtId="0" fontId="4" fillId="0" borderId="28" xfId="0" applyFont="1" applyBorder="1" applyAlignment="1">
      <alignment horizontal="left" vertical="center" wrapText="1"/>
    </xf>
    <xf numFmtId="0" fontId="0" fillId="0" borderId="24" xfId="0" applyFill="1" applyBorder="1" applyAlignment="1">
      <alignment horizontal="center" vertical="center"/>
    </xf>
    <xf numFmtId="0" fontId="4" fillId="0" borderId="10" xfId="0" applyFont="1" applyBorder="1" applyAlignment="1">
      <alignment horizontal="left" vertical="center" wrapText="1"/>
    </xf>
    <xf numFmtId="0" fontId="4" fillId="0" borderId="2" xfId="0" applyFont="1" applyBorder="1" applyAlignment="1">
      <alignment horizontal="left" vertical="center" wrapText="1"/>
    </xf>
    <xf numFmtId="0" fontId="23" fillId="11" borderId="0" xfId="0" applyFont="1" applyFill="1" applyBorder="1" applyAlignment="1">
      <alignment horizontal="center" vertical="center"/>
    </xf>
    <xf numFmtId="0" fontId="3" fillId="0" borderId="19" xfId="3" applyFont="1" applyBorder="1" applyAlignment="1">
      <alignment horizontal="left" vertical="center" wrapText="1"/>
    </xf>
    <xf numFmtId="0" fontId="4" fillId="0" borderId="10" xfId="0" quotePrefix="1"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23" xfId="0" applyFont="1" applyBorder="1" applyAlignment="1">
      <alignment horizontal="left" vertical="center" wrapText="1"/>
    </xf>
    <xf numFmtId="0" fontId="0" fillId="6" borderId="1" xfId="0" applyFill="1" applyBorder="1" applyAlignment="1">
      <alignment horizontal="center" wrapText="1"/>
    </xf>
    <xf numFmtId="0" fontId="0" fillId="6" borderId="2" xfId="0" applyFill="1" applyBorder="1" applyAlignment="1">
      <alignment horizontal="center"/>
    </xf>
    <xf numFmtId="0" fontId="3" fillId="0" borderId="4" xfId="0" applyFont="1" applyFill="1" applyBorder="1" applyAlignment="1">
      <alignment horizontal="center" vertical="center"/>
    </xf>
    <xf numFmtId="0" fontId="3" fillId="0" borderId="42" xfId="0" applyFont="1" applyFill="1" applyBorder="1" applyAlignment="1">
      <alignment horizontal="center" vertical="center"/>
    </xf>
    <xf numFmtId="0" fontId="3" fillId="0" borderId="41" xfId="0" applyFont="1" applyFill="1" applyBorder="1" applyAlignment="1">
      <alignment horizontal="center" vertical="center"/>
    </xf>
    <xf numFmtId="0" fontId="4" fillId="0" borderId="23" xfId="0" quotePrefix="1" applyFont="1" applyBorder="1" applyAlignment="1">
      <alignment horizontal="center" vertical="center" wrapText="1"/>
    </xf>
    <xf numFmtId="0" fontId="4" fillId="0" borderId="1" xfId="0" quotePrefix="1" applyFont="1" applyBorder="1" applyAlignment="1">
      <alignment horizontal="center" vertical="center"/>
    </xf>
    <xf numFmtId="0" fontId="4" fillId="0" borderId="28" xfId="0" quotePrefix="1" applyFont="1" applyBorder="1" applyAlignment="1">
      <alignment horizontal="center" vertical="center"/>
    </xf>
    <xf numFmtId="0" fontId="4" fillId="0" borderId="1" xfId="0" applyFont="1" applyBorder="1" applyAlignment="1">
      <alignment horizontal="left" vertical="center" wrapText="1"/>
    </xf>
    <xf numFmtId="0" fontId="0" fillId="0" borderId="71" xfId="0" applyBorder="1" applyAlignment="1">
      <alignment horizontal="center" vertical="center"/>
    </xf>
    <xf numFmtId="0" fontId="0" fillId="0" borderId="72" xfId="0" applyBorder="1" applyAlignment="1">
      <alignment horizontal="center" vertical="center"/>
    </xf>
    <xf numFmtId="0" fontId="4" fillId="0" borderId="30" xfId="0" applyFont="1" applyBorder="1" applyAlignment="1">
      <alignment horizontal="center" vertical="center" wrapText="1"/>
    </xf>
    <xf numFmtId="0" fontId="0" fillId="0" borderId="75" xfId="0" applyBorder="1" applyAlignment="1">
      <alignment horizontal="center" vertical="center"/>
    </xf>
    <xf numFmtId="0" fontId="0" fillId="0" borderId="76" xfId="0" applyBorder="1" applyAlignment="1">
      <alignment horizontal="center" vertical="center"/>
    </xf>
    <xf numFmtId="0" fontId="0" fillId="0" borderId="77" xfId="0" applyBorder="1" applyAlignment="1">
      <alignment horizontal="center" vertical="center"/>
    </xf>
    <xf numFmtId="0" fontId="0" fillId="0" borderId="1" xfId="0" applyBorder="1" applyAlignment="1">
      <alignment horizontal="center"/>
    </xf>
    <xf numFmtId="0" fontId="0" fillId="0" borderId="78" xfId="0" applyBorder="1" applyAlignment="1">
      <alignment horizontal="center"/>
    </xf>
    <xf numFmtId="0" fontId="26" fillId="0" borderId="0" xfId="0" applyFont="1"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0" fillId="0" borderId="42" xfId="0" applyBorder="1" applyAlignment="1">
      <alignment horizontal="center"/>
    </xf>
    <xf numFmtId="0" fontId="27" fillId="0" borderId="61" xfId="0" applyFont="1" applyBorder="1" applyAlignment="1">
      <alignment horizontal="center" vertical="center" wrapText="1"/>
    </xf>
    <xf numFmtId="0" fontId="27" fillId="0" borderId="62" xfId="0" applyFont="1" applyBorder="1" applyAlignment="1">
      <alignment horizontal="center" vertical="center" wrapText="1"/>
    </xf>
    <xf numFmtId="0" fontId="27" fillId="0" borderId="12" xfId="0" applyFont="1" applyBorder="1" applyAlignment="1">
      <alignment horizontal="center" vertical="center" wrapText="1"/>
    </xf>
    <xf numFmtId="0" fontId="28" fillId="0" borderId="1" xfId="0" applyFont="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11" xfId="0" applyBorder="1" applyAlignment="1">
      <alignment horizontal="center"/>
    </xf>
    <xf numFmtId="0" fontId="0" fillId="0" borderId="62" xfId="0" applyBorder="1" applyAlignment="1">
      <alignment horizontal="center"/>
    </xf>
    <xf numFmtId="0" fontId="0" fillId="0" borderId="47" xfId="0" applyBorder="1" applyAlignment="1">
      <alignment horizontal="center"/>
    </xf>
  </cellXfs>
  <cellStyles count="4">
    <cellStyle name="Calculation" xfId="2" builtinId="22"/>
    <cellStyle name="Input" xfId="1" builtinId="20"/>
    <cellStyle name="Normal" xfId="0" builtinId="0"/>
    <cellStyle name="Normal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28</xdr:row>
      <xdr:rowOff>185399</xdr:rowOff>
    </xdr:from>
    <xdr:to>
      <xdr:col>1</xdr:col>
      <xdr:colOff>6705600</xdr:colOff>
      <xdr:row>41</xdr:row>
      <xdr:rowOff>66675</xdr:rowOff>
    </xdr:to>
    <xdr:pic>
      <xdr:nvPicPr>
        <xdr:cNvPr id="6" name="Picture 4">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90550" y="4604999"/>
          <a:ext cx="6724650" cy="2014876"/>
        </a:xfrm>
        <a:prstGeom prst="rect">
          <a:avLst/>
        </a:prstGeom>
        <a:noFill/>
      </xdr:spPr>
    </xdr:pic>
    <xdr:clientData/>
  </xdr:twoCellAnchor>
  <xdr:twoCellAnchor editAs="oneCell">
    <xdr:from>
      <xdr:col>1</xdr:col>
      <xdr:colOff>19050</xdr:colOff>
      <xdr:row>43</xdr:row>
      <xdr:rowOff>76200</xdr:rowOff>
    </xdr:from>
    <xdr:to>
      <xdr:col>2</xdr:col>
      <xdr:colOff>167640</xdr:colOff>
      <xdr:row>45</xdr:row>
      <xdr:rowOff>15650</xdr:rowOff>
    </xdr:to>
    <xdr:pic>
      <xdr:nvPicPr>
        <xdr:cNvPr id="11" name="Picture 10">
          <a:extLst>
            <a:ext uri="{FF2B5EF4-FFF2-40B4-BE49-F238E27FC236}">
              <a16:creationId xmlns:a16="http://schemas.microsoft.com/office/drawing/2014/main" id="{50979185-AC43-4B90-8FC4-0D40CEF2FC5C}"/>
            </a:ext>
          </a:extLst>
        </xdr:cNvPr>
        <xdr:cNvPicPr>
          <a:picLocks noChangeAspect="1"/>
        </xdr:cNvPicPr>
      </xdr:nvPicPr>
      <xdr:blipFill>
        <a:blip xmlns:r="http://schemas.openxmlformats.org/officeDocument/2006/relationships" r:embed="rId2"/>
        <a:stretch>
          <a:fillRect/>
        </a:stretch>
      </xdr:blipFill>
      <xdr:spPr>
        <a:xfrm>
          <a:off x="628650" y="7886700"/>
          <a:ext cx="7273290" cy="274730"/>
        </a:xfrm>
        <a:prstGeom prst="rect">
          <a:avLst/>
        </a:prstGeom>
      </xdr:spPr>
    </xdr:pic>
    <xdr:clientData/>
  </xdr:twoCellAnchor>
  <xdr:twoCellAnchor editAs="oneCell">
    <xdr:from>
      <xdr:col>1</xdr:col>
      <xdr:colOff>0</xdr:colOff>
      <xdr:row>10</xdr:row>
      <xdr:rowOff>76200</xdr:rowOff>
    </xdr:from>
    <xdr:to>
      <xdr:col>1</xdr:col>
      <xdr:colOff>4057143</xdr:colOff>
      <xdr:row>24</xdr:row>
      <xdr:rowOff>104477</xdr:rowOff>
    </xdr:to>
    <xdr:pic>
      <xdr:nvPicPr>
        <xdr:cNvPr id="4" name="Picture 3">
          <a:extLst>
            <a:ext uri="{FF2B5EF4-FFF2-40B4-BE49-F238E27FC236}">
              <a16:creationId xmlns:a16="http://schemas.microsoft.com/office/drawing/2014/main" id="{F1ADE51E-1EF3-4D62-86E7-C79D565FC17F}"/>
            </a:ext>
          </a:extLst>
        </xdr:cNvPr>
        <xdr:cNvPicPr>
          <a:picLocks noChangeAspect="1"/>
        </xdr:cNvPicPr>
      </xdr:nvPicPr>
      <xdr:blipFill>
        <a:blip xmlns:r="http://schemas.openxmlformats.org/officeDocument/2006/relationships" r:embed="rId3"/>
        <a:stretch>
          <a:fillRect/>
        </a:stretch>
      </xdr:blipFill>
      <xdr:spPr>
        <a:xfrm>
          <a:off x="609600" y="1981200"/>
          <a:ext cx="4057143" cy="2380952"/>
        </a:xfrm>
        <a:prstGeom prst="rect">
          <a:avLst/>
        </a:prstGeom>
      </xdr:spPr>
    </xdr:pic>
    <xdr:clientData/>
  </xdr:twoCellAnchor>
  <xdr:twoCellAnchor editAs="oneCell">
    <xdr:from>
      <xdr:col>0</xdr:col>
      <xdr:colOff>594360</xdr:colOff>
      <xdr:row>6</xdr:row>
      <xdr:rowOff>137160</xdr:rowOff>
    </xdr:from>
    <xdr:to>
      <xdr:col>1</xdr:col>
      <xdr:colOff>6659880</xdr:colOff>
      <xdr:row>8</xdr:row>
      <xdr:rowOff>22860</xdr:rowOff>
    </xdr:to>
    <xdr:pic>
      <xdr:nvPicPr>
        <xdr:cNvPr id="7" name="Picture 6">
          <a:extLst>
            <a:ext uri="{FF2B5EF4-FFF2-40B4-BE49-F238E27FC236}">
              <a16:creationId xmlns:a16="http://schemas.microsoft.com/office/drawing/2014/main" id="{AA09B5FA-7B90-4099-B7B9-11C92CF1BD9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4360" y="1242060"/>
          <a:ext cx="6675120" cy="251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601980</xdr:colOff>
      <xdr:row>47</xdr:row>
      <xdr:rowOff>52978</xdr:rowOff>
    </xdr:from>
    <xdr:to>
      <xdr:col>2</xdr:col>
      <xdr:colOff>342900</xdr:colOff>
      <xdr:row>48</xdr:row>
      <xdr:rowOff>70450</xdr:rowOff>
    </xdr:to>
    <xdr:pic>
      <xdr:nvPicPr>
        <xdr:cNvPr id="3" name="Picture 2">
          <a:extLst>
            <a:ext uri="{FF2B5EF4-FFF2-40B4-BE49-F238E27FC236}">
              <a16:creationId xmlns:a16="http://schemas.microsoft.com/office/drawing/2014/main" id="{D260C6DE-107B-406D-8136-A3A5A27585F2}"/>
            </a:ext>
          </a:extLst>
        </xdr:cNvPr>
        <xdr:cNvPicPr>
          <a:picLocks noChangeAspect="1"/>
        </xdr:cNvPicPr>
      </xdr:nvPicPr>
      <xdr:blipFill>
        <a:blip xmlns:r="http://schemas.openxmlformats.org/officeDocument/2006/relationships" r:embed="rId5"/>
        <a:stretch>
          <a:fillRect/>
        </a:stretch>
      </xdr:blipFill>
      <xdr:spPr>
        <a:xfrm>
          <a:off x="601980" y="10012318"/>
          <a:ext cx="7475220" cy="200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495301</xdr:colOff>
      <xdr:row>14</xdr:row>
      <xdr:rowOff>704850</xdr:rowOff>
    </xdr:from>
    <xdr:to>
      <xdr:col>18</xdr:col>
      <xdr:colOff>552451</xdr:colOff>
      <xdr:row>14</xdr:row>
      <xdr:rowOff>3153665</xdr:rowOff>
    </xdr:to>
    <xdr:pic>
      <xdr:nvPicPr>
        <xdr:cNvPr id="2" name="Picture 1">
          <a:extLst>
            <a:ext uri="{FF2B5EF4-FFF2-40B4-BE49-F238E27FC236}">
              <a16:creationId xmlns:a16="http://schemas.microsoft.com/office/drawing/2014/main" id="{70D5C77D-F431-4FE1-A189-7F38BAB59D8F}"/>
            </a:ext>
          </a:extLst>
        </xdr:cNvPr>
        <xdr:cNvPicPr>
          <a:picLocks noChangeAspect="1"/>
        </xdr:cNvPicPr>
      </xdr:nvPicPr>
      <xdr:blipFill>
        <a:blip xmlns:r="http://schemas.openxmlformats.org/officeDocument/2006/relationships" r:embed="rId1"/>
        <a:stretch>
          <a:fillRect/>
        </a:stretch>
      </xdr:blipFill>
      <xdr:spPr>
        <a:xfrm>
          <a:off x="6819901" y="9020175"/>
          <a:ext cx="7981950" cy="24488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4"/>
  <sheetViews>
    <sheetView workbookViewId="0">
      <selection activeCell="F8" sqref="F8"/>
    </sheetView>
  </sheetViews>
  <sheetFormatPr defaultRowHeight="13.2" x14ac:dyDescent="0.25"/>
  <cols>
    <col min="2" max="2" width="103.88671875" customWidth="1"/>
  </cols>
  <sheetData>
    <row r="1" spans="1:7" ht="15" x14ac:dyDescent="0.25">
      <c r="A1" s="8"/>
      <c r="B1" s="159"/>
      <c r="C1" s="8"/>
      <c r="D1" s="8"/>
      <c r="E1" s="8"/>
      <c r="F1" s="8"/>
      <c r="G1" s="8"/>
    </row>
    <row r="2" spans="1:7" ht="14.4" x14ac:dyDescent="0.3">
      <c r="A2" s="8"/>
      <c r="B2" s="50" t="s">
        <v>30</v>
      </c>
      <c r="C2" s="28"/>
      <c r="D2" s="28"/>
      <c r="E2" s="8"/>
      <c r="F2" s="8"/>
      <c r="G2" s="8"/>
    </row>
    <row r="3" spans="1:7" ht="14.4" x14ac:dyDescent="0.3">
      <c r="A3" s="8"/>
      <c r="B3" s="50"/>
      <c r="C3" s="28"/>
      <c r="D3" s="28"/>
      <c r="E3" s="8"/>
      <c r="F3" s="8"/>
      <c r="G3" s="8"/>
    </row>
    <row r="4" spans="1:7" ht="14.4" x14ac:dyDescent="0.3">
      <c r="A4" s="8"/>
      <c r="B4" s="50" t="s">
        <v>31</v>
      </c>
      <c r="C4" s="28"/>
      <c r="D4" s="28"/>
      <c r="E4" s="8"/>
      <c r="F4" s="8"/>
      <c r="G4" s="8"/>
    </row>
    <row r="5" spans="1:7" ht="14.4" x14ac:dyDescent="0.3">
      <c r="A5" s="8"/>
      <c r="B5" s="50"/>
      <c r="C5" s="28"/>
      <c r="D5" s="28"/>
      <c r="E5" s="8"/>
      <c r="F5" s="8"/>
      <c r="G5" s="8"/>
    </row>
    <row r="6" spans="1:7" ht="14.4" x14ac:dyDescent="0.3">
      <c r="A6" s="8"/>
      <c r="B6" s="50" t="s">
        <v>2170</v>
      </c>
      <c r="C6" s="28"/>
      <c r="D6" s="28"/>
      <c r="E6" s="8"/>
      <c r="F6" s="8"/>
      <c r="G6" s="8"/>
    </row>
    <row r="7" spans="1:7" ht="14.4" x14ac:dyDescent="0.3">
      <c r="A7" s="8"/>
      <c r="B7" s="50"/>
      <c r="C7" s="28"/>
      <c r="D7" s="28"/>
      <c r="E7" s="8"/>
      <c r="F7" s="8"/>
      <c r="G7" s="8"/>
    </row>
    <row r="8" spans="1:7" ht="14.4" x14ac:dyDescent="0.3">
      <c r="A8" s="8"/>
      <c r="B8" s="50"/>
      <c r="C8" s="28"/>
      <c r="D8" s="28"/>
      <c r="E8" s="8"/>
      <c r="F8" s="8"/>
      <c r="G8" s="8"/>
    </row>
    <row r="9" spans="1:7" ht="14.4" x14ac:dyDescent="0.3">
      <c r="A9" s="8"/>
      <c r="B9" s="50"/>
      <c r="C9" s="28"/>
      <c r="D9" s="28"/>
      <c r="E9" s="8"/>
      <c r="F9" s="8"/>
      <c r="G9" s="8"/>
    </row>
    <row r="10" spans="1:7" ht="14.4" x14ac:dyDescent="0.3">
      <c r="A10" s="8"/>
      <c r="B10" s="50" t="s">
        <v>32</v>
      </c>
      <c r="C10" s="28"/>
      <c r="D10" s="28"/>
      <c r="E10" s="8"/>
      <c r="F10" s="8"/>
      <c r="G10" s="8"/>
    </row>
    <row r="11" spans="1:7" ht="14.4" x14ac:dyDescent="0.3">
      <c r="A11" s="8"/>
      <c r="B11" s="50"/>
      <c r="C11" s="28"/>
      <c r="D11" s="28"/>
      <c r="E11" s="8"/>
      <c r="F11" s="8"/>
      <c r="G11" s="8"/>
    </row>
    <row r="12" spans="1:7" ht="14.4" x14ac:dyDescent="0.3">
      <c r="A12" s="8"/>
      <c r="B12" s="50"/>
      <c r="C12" s="28"/>
      <c r="D12" s="28"/>
      <c r="E12" s="8"/>
      <c r="F12" s="8"/>
      <c r="G12" s="8"/>
    </row>
    <row r="13" spans="1:7" x14ac:dyDescent="0.25">
      <c r="A13" s="8"/>
      <c r="B13" s="8"/>
      <c r="C13" s="28"/>
      <c r="D13" s="28"/>
      <c r="E13" s="8"/>
      <c r="F13" s="8"/>
      <c r="G13" s="8"/>
    </row>
    <row r="14" spans="1:7" x14ac:dyDescent="0.25">
      <c r="A14" s="8"/>
      <c r="B14" s="8"/>
      <c r="C14" s="28"/>
      <c r="D14" s="28"/>
      <c r="E14" s="8"/>
      <c r="F14" s="8"/>
      <c r="G14" s="8"/>
    </row>
    <row r="15" spans="1:7" x14ac:dyDescent="0.25">
      <c r="A15" s="8"/>
      <c r="B15" s="8"/>
      <c r="C15" s="28"/>
      <c r="D15" s="28"/>
      <c r="E15" s="8"/>
      <c r="F15" s="8"/>
      <c r="G15" s="8"/>
    </row>
    <row r="16" spans="1:7" x14ac:dyDescent="0.25">
      <c r="A16" s="8"/>
      <c r="B16" s="8"/>
      <c r="C16" s="28"/>
      <c r="D16" s="28"/>
      <c r="E16" s="8"/>
      <c r="F16" s="8"/>
      <c r="G16" s="8"/>
    </row>
    <row r="17" spans="1:7" x14ac:dyDescent="0.25">
      <c r="A17" s="8"/>
      <c r="B17" s="8"/>
      <c r="C17" s="28"/>
      <c r="D17" s="28"/>
      <c r="E17" s="8"/>
      <c r="F17" s="8"/>
      <c r="G17" s="8"/>
    </row>
    <row r="18" spans="1:7" x14ac:dyDescent="0.25">
      <c r="A18" s="8"/>
      <c r="B18" s="8"/>
      <c r="C18" s="28"/>
      <c r="D18" s="28"/>
      <c r="E18" s="8"/>
      <c r="F18" s="8"/>
      <c r="G18" s="8"/>
    </row>
    <row r="19" spans="1:7" x14ac:dyDescent="0.25">
      <c r="A19" s="8"/>
      <c r="B19" s="8"/>
      <c r="C19" s="28"/>
      <c r="D19" s="28"/>
      <c r="E19" s="8"/>
      <c r="F19" s="8"/>
      <c r="G19" s="8"/>
    </row>
    <row r="20" spans="1:7" x14ac:dyDescent="0.25">
      <c r="A20" s="8"/>
      <c r="B20" s="8"/>
      <c r="C20" s="28"/>
      <c r="D20" s="28"/>
      <c r="E20" s="8"/>
      <c r="F20" s="8"/>
      <c r="G20" s="8"/>
    </row>
    <row r="21" spans="1:7" x14ac:dyDescent="0.25">
      <c r="A21" s="8"/>
      <c r="B21" s="8"/>
      <c r="C21" s="28"/>
      <c r="D21" s="28"/>
      <c r="E21" s="8"/>
      <c r="F21" s="8"/>
      <c r="G21" s="8"/>
    </row>
    <row r="22" spans="1:7" x14ac:dyDescent="0.25">
      <c r="A22" s="8"/>
      <c r="B22" s="8"/>
      <c r="C22" s="28"/>
      <c r="D22" s="28"/>
      <c r="E22" s="8"/>
      <c r="F22" s="8"/>
      <c r="G22" s="8"/>
    </row>
    <row r="23" spans="1:7" ht="14.4" x14ac:dyDescent="0.3">
      <c r="A23" s="8"/>
      <c r="B23" s="50"/>
      <c r="C23" s="28"/>
      <c r="D23" s="28"/>
      <c r="E23" s="8"/>
      <c r="F23" s="8"/>
      <c r="G23" s="8"/>
    </row>
    <row r="24" spans="1:7" x14ac:dyDescent="0.25">
      <c r="A24" s="8"/>
      <c r="B24" s="8"/>
      <c r="C24" s="28"/>
      <c r="D24" s="28"/>
      <c r="E24" s="8"/>
      <c r="F24" s="8"/>
      <c r="G24" s="8"/>
    </row>
    <row r="25" spans="1:7" x14ac:dyDescent="0.25">
      <c r="A25" s="8"/>
      <c r="B25" s="8"/>
      <c r="C25" s="28"/>
      <c r="D25" s="28"/>
      <c r="E25" s="8"/>
      <c r="F25" s="8"/>
      <c r="G25" s="8"/>
    </row>
    <row r="26" spans="1:7" x14ac:dyDescent="0.25">
      <c r="A26" s="8"/>
      <c r="B26" s="8"/>
      <c r="C26" s="28"/>
      <c r="D26" s="28"/>
      <c r="E26" s="8"/>
      <c r="F26" s="8"/>
      <c r="G26" s="8"/>
    </row>
    <row r="27" spans="1:7" x14ac:dyDescent="0.25">
      <c r="A27" s="8"/>
      <c r="B27" s="8"/>
      <c r="C27" s="28"/>
      <c r="D27" s="28"/>
      <c r="E27" s="8"/>
      <c r="F27" s="8"/>
      <c r="G27" s="8"/>
    </row>
    <row r="28" spans="1:7" ht="43.2" x14ac:dyDescent="0.3">
      <c r="A28" s="8"/>
      <c r="B28" s="50" t="s">
        <v>33</v>
      </c>
      <c r="C28" s="8"/>
      <c r="D28" s="8"/>
      <c r="E28" s="8"/>
      <c r="F28" s="8"/>
      <c r="G28" s="8"/>
    </row>
    <row r="29" spans="1:7" ht="14.4" x14ac:dyDescent="0.3">
      <c r="A29" s="8"/>
      <c r="B29" s="50"/>
      <c r="C29" s="8"/>
      <c r="D29" s="8"/>
      <c r="E29" s="8"/>
      <c r="F29" s="8"/>
      <c r="G29" s="8"/>
    </row>
    <row r="30" spans="1:7" x14ac:dyDescent="0.25">
      <c r="A30" s="8"/>
      <c r="B30" s="8"/>
      <c r="C30" s="8"/>
      <c r="D30" s="8"/>
      <c r="E30" s="8"/>
      <c r="F30" s="8"/>
      <c r="G30" s="8"/>
    </row>
    <row r="31" spans="1:7" x14ac:dyDescent="0.25">
      <c r="A31" s="8"/>
      <c r="B31" s="8"/>
      <c r="C31" s="8"/>
      <c r="D31" s="8"/>
      <c r="E31" s="8"/>
      <c r="F31" s="8"/>
      <c r="G31" s="8"/>
    </row>
    <row r="32" spans="1:7" x14ac:dyDescent="0.25">
      <c r="A32" s="8"/>
      <c r="B32" s="8"/>
      <c r="C32" s="8"/>
      <c r="D32" s="8"/>
      <c r="E32" s="8"/>
      <c r="F32" s="8"/>
      <c r="G32" s="8"/>
    </row>
    <row r="33" spans="1:7" x14ac:dyDescent="0.25">
      <c r="A33" s="8"/>
      <c r="B33" s="8"/>
      <c r="C33" s="8"/>
      <c r="D33" s="8"/>
      <c r="E33" s="8"/>
      <c r="F33" s="8"/>
      <c r="G33" s="8"/>
    </row>
    <row r="34" spans="1:7" x14ac:dyDescent="0.25">
      <c r="A34" s="8"/>
      <c r="B34" s="8"/>
      <c r="C34" s="8"/>
      <c r="D34" s="8"/>
      <c r="E34" s="8"/>
      <c r="F34" s="8"/>
      <c r="G34" s="8"/>
    </row>
    <row r="35" spans="1:7" x14ac:dyDescent="0.25">
      <c r="A35" s="8"/>
      <c r="B35" s="8"/>
      <c r="C35" s="8"/>
      <c r="D35" s="8"/>
      <c r="E35" s="8"/>
      <c r="F35" s="8"/>
      <c r="G35" s="8"/>
    </row>
    <row r="36" spans="1:7" x14ac:dyDescent="0.25">
      <c r="A36" s="8"/>
      <c r="B36" s="8"/>
      <c r="C36" s="8"/>
      <c r="D36" s="8"/>
      <c r="E36" s="8"/>
      <c r="F36" s="8"/>
      <c r="G36" s="8"/>
    </row>
    <row r="37" spans="1:7" x14ac:dyDescent="0.25">
      <c r="A37" s="8"/>
      <c r="B37" s="8"/>
      <c r="C37" s="8"/>
      <c r="D37" s="8"/>
      <c r="E37" s="8"/>
      <c r="F37" s="8"/>
      <c r="G37" s="8"/>
    </row>
    <row r="38" spans="1:7" x14ac:dyDescent="0.25">
      <c r="A38" s="8"/>
      <c r="B38" s="8"/>
      <c r="C38" s="8"/>
      <c r="D38" s="8"/>
      <c r="E38" s="8"/>
      <c r="F38" s="8"/>
      <c r="G38" s="8"/>
    </row>
    <row r="39" spans="1:7" x14ac:dyDescent="0.25">
      <c r="A39" s="8"/>
      <c r="B39" s="8"/>
      <c r="C39" s="8"/>
      <c r="D39" s="8"/>
      <c r="E39" s="8"/>
      <c r="F39" s="8"/>
      <c r="G39" s="8"/>
    </row>
    <row r="40" spans="1:7" x14ac:dyDescent="0.25">
      <c r="A40" s="8"/>
      <c r="B40" s="8"/>
      <c r="C40" s="8"/>
      <c r="D40" s="8"/>
      <c r="E40" s="8"/>
      <c r="F40" s="8"/>
      <c r="G40" s="8"/>
    </row>
    <row r="41" spans="1:7" x14ac:dyDescent="0.25">
      <c r="A41" s="8"/>
      <c r="B41" s="8"/>
      <c r="C41" s="8"/>
      <c r="D41" s="8"/>
      <c r="E41" s="8"/>
      <c r="F41" s="8"/>
      <c r="G41" s="8"/>
    </row>
    <row r="42" spans="1:7" x14ac:dyDescent="0.25">
      <c r="A42" s="8"/>
      <c r="B42" s="8"/>
      <c r="C42" s="8"/>
      <c r="D42" s="8"/>
      <c r="E42" s="8"/>
      <c r="F42" s="8"/>
      <c r="G42" s="8"/>
    </row>
    <row r="43" spans="1:7" x14ac:dyDescent="0.25">
      <c r="A43" s="8"/>
      <c r="B43" s="25" t="s">
        <v>1874</v>
      </c>
      <c r="C43" s="8"/>
      <c r="D43" s="8"/>
      <c r="E43" s="8"/>
      <c r="F43" s="8"/>
      <c r="G43" s="8"/>
    </row>
    <row r="44" spans="1:7" x14ac:dyDescent="0.25">
      <c r="A44" s="8"/>
      <c r="B44" s="25"/>
      <c r="C44" s="8"/>
      <c r="D44" s="8"/>
      <c r="E44" s="8"/>
      <c r="F44" s="8"/>
      <c r="G44" s="8"/>
    </row>
    <row r="45" spans="1:7" x14ac:dyDescent="0.25">
      <c r="A45" s="8"/>
      <c r="B45" s="25"/>
      <c r="C45" s="8"/>
      <c r="D45" s="8"/>
      <c r="E45" s="8"/>
      <c r="F45" s="8"/>
      <c r="G45" s="8"/>
    </row>
    <row r="46" spans="1:7" x14ac:dyDescent="0.25">
      <c r="A46" s="8"/>
      <c r="B46" s="8"/>
      <c r="C46" s="8"/>
      <c r="D46" s="8"/>
      <c r="E46" s="8"/>
      <c r="F46" s="8"/>
      <c r="G46" s="8"/>
    </row>
    <row r="47" spans="1:7" ht="129.6" x14ac:dyDescent="0.3">
      <c r="A47" s="8"/>
      <c r="B47" s="50" t="s">
        <v>2232</v>
      </c>
      <c r="C47" s="8"/>
      <c r="D47" s="8"/>
      <c r="E47" s="8"/>
      <c r="F47" s="8"/>
      <c r="G47" s="8"/>
    </row>
    <row r="48" spans="1:7" ht="14.4" x14ac:dyDescent="0.3">
      <c r="A48" s="8"/>
      <c r="B48" s="50"/>
      <c r="C48" s="8"/>
      <c r="D48" s="8"/>
      <c r="E48" s="8"/>
      <c r="F48" s="8"/>
      <c r="G48" s="8"/>
    </row>
    <row r="49" spans="1:7" ht="14.4" x14ac:dyDescent="0.3">
      <c r="A49" s="8"/>
      <c r="B49" s="50"/>
      <c r="C49" s="8"/>
      <c r="D49" s="8"/>
      <c r="E49" s="8"/>
      <c r="F49" s="8"/>
      <c r="G49" s="8"/>
    </row>
    <row r="50" spans="1:7" ht="14.4" x14ac:dyDescent="0.3">
      <c r="A50" s="8"/>
      <c r="B50" s="50"/>
      <c r="C50" s="8"/>
      <c r="D50" s="8"/>
      <c r="E50" s="8"/>
      <c r="F50" s="8"/>
      <c r="G50" s="8"/>
    </row>
    <row r="51" spans="1:7" x14ac:dyDescent="0.25">
      <c r="A51" s="8"/>
      <c r="B51" s="25"/>
      <c r="C51" s="8"/>
      <c r="D51" s="8"/>
      <c r="E51" s="8"/>
      <c r="F51" s="8"/>
      <c r="G51" s="8"/>
    </row>
    <row r="52" spans="1:7" x14ac:dyDescent="0.25">
      <c r="A52" s="8"/>
      <c r="B52" s="8"/>
      <c r="C52" s="8"/>
      <c r="D52" s="8"/>
      <c r="E52" s="8"/>
      <c r="F52" s="8"/>
      <c r="G52" s="8"/>
    </row>
    <row r="53" spans="1:7" x14ac:dyDescent="0.25">
      <c r="A53" s="8"/>
      <c r="B53" s="8"/>
      <c r="C53" s="8"/>
      <c r="D53" s="8"/>
      <c r="E53" s="8"/>
      <c r="F53" s="8"/>
      <c r="G53" s="8"/>
    </row>
    <row r="54" spans="1:7" x14ac:dyDescent="0.25">
      <c r="A54" s="8"/>
      <c r="B54" s="8"/>
      <c r="C54" s="8"/>
      <c r="D54" s="8"/>
      <c r="E54" s="8"/>
      <c r="F54" s="8"/>
      <c r="G54" s="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25"/>
  <sheetViews>
    <sheetView workbookViewId="0">
      <selection activeCell="C8" sqref="C8"/>
    </sheetView>
  </sheetViews>
  <sheetFormatPr defaultRowHeight="13.2" x14ac:dyDescent="0.25"/>
  <cols>
    <col min="2" max="2" width="21.5546875" customWidth="1"/>
    <col min="3" max="3" width="75.33203125" customWidth="1"/>
  </cols>
  <sheetData>
    <row r="2" spans="2:9" x14ac:dyDescent="0.25">
      <c r="B2" s="140" t="s">
        <v>200</v>
      </c>
    </row>
    <row r="3" spans="2:9" ht="198" x14ac:dyDescent="0.25">
      <c r="B3" s="130">
        <f>B8</f>
        <v>23</v>
      </c>
      <c r="C3" s="425" t="str">
        <f>C8</f>
        <v xml:space="preserve">-Reset sequence berfore/after DDR Controller programming updated. Previously, the reset programming sequence was over-writing other bit configurations (specifically the memory test and repair bit specific to the internal memories of the SoC).  The update was to ensure only the desired bits would be set, leaving other pre-configured bits unchanged.
-Update made to LPDDR4 MR13 programming, from 0xC0 to 0x40. The change was to clear MR13.FSP_OP as this bit was inadvertently set in the initialization sequence. This bit needs to be cleared prior to performing CBT (the CBT routine will set this at the conclusion of the training).  
-Removed deprecated preprocessor defines in the DCD 
-Configured VTCR1.ENUM=0 (changed it back to the default value). Though no functional issues were ever seen when ENUM=1, NXP investigation found the when ENUM=0, the Host VREF training yields a slightly more accurate and consistent value.  This is not a high priority change, but given that other high priority changes above were needed, it was decided to move forward with this update at this time to obtain the most robust interface possible.  </v>
      </c>
      <c r="D3" s="519"/>
      <c r="E3" s="519"/>
      <c r="F3" s="519"/>
      <c r="G3" s="519"/>
      <c r="H3" s="519"/>
      <c r="I3" s="519"/>
    </row>
    <row r="6" spans="2:9" ht="15.6" x14ac:dyDescent="0.3">
      <c r="B6" s="526" t="s">
        <v>20</v>
      </c>
      <c r="C6" s="526"/>
    </row>
    <row r="7" spans="2:9" ht="26.4" x14ac:dyDescent="0.25">
      <c r="B7" s="130" t="s">
        <v>198</v>
      </c>
      <c r="C7" s="130" t="s">
        <v>197</v>
      </c>
    </row>
    <row r="8" spans="2:9" ht="198" x14ac:dyDescent="0.25">
      <c r="B8" s="130">
        <v>23</v>
      </c>
      <c r="C8" s="521" t="s">
        <v>2259</v>
      </c>
    </row>
    <row r="9" spans="2:9" ht="66" x14ac:dyDescent="0.25">
      <c r="B9" s="130">
        <v>22</v>
      </c>
      <c r="C9" s="521" t="s">
        <v>2248</v>
      </c>
    </row>
    <row r="10" spans="2:9" ht="408.6" customHeight="1" x14ac:dyDescent="0.25">
      <c r="B10" s="130">
        <v>21</v>
      </c>
      <c r="C10" s="521" t="s">
        <v>2241</v>
      </c>
    </row>
    <row r="11" spans="2:9" ht="92.4" x14ac:dyDescent="0.25">
      <c r="B11" s="130">
        <v>20</v>
      </c>
      <c r="C11" s="520" t="s">
        <v>2231</v>
      </c>
    </row>
    <row r="12" spans="2:9" ht="76.5" customHeight="1" x14ac:dyDescent="0.25">
      <c r="B12" s="130">
        <v>19</v>
      </c>
      <c r="C12" s="425" t="s">
        <v>2219</v>
      </c>
      <c r="D12" s="527" t="s">
        <v>2221</v>
      </c>
      <c r="E12" s="527"/>
      <c r="F12" s="527"/>
      <c r="G12" s="527"/>
      <c r="H12" s="527"/>
      <c r="I12" s="527"/>
    </row>
    <row r="13" spans="2:9" ht="145.19999999999999" x14ac:dyDescent="0.25">
      <c r="B13" s="130">
        <v>18</v>
      </c>
      <c r="C13" s="425" t="s">
        <v>2215</v>
      </c>
    </row>
    <row r="14" spans="2:9" ht="356.4" x14ac:dyDescent="0.25">
      <c r="B14" s="130">
        <v>17</v>
      </c>
      <c r="C14" s="482" t="s">
        <v>2194</v>
      </c>
    </row>
    <row r="15" spans="2:9" ht="330" x14ac:dyDescent="0.25">
      <c r="B15" s="130">
        <v>16</v>
      </c>
      <c r="C15" s="425" t="s">
        <v>2060</v>
      </c>
    </row>
    <row r="16" spans="2:9" ht="39.6" x14ac:dyDescent="0.25">
      <c r="B16" s="426">
        <v>15</v>
      </c>
      <c r="C16" s="430" t="s">
        <v>1901</v>
      </c>
    </row>
    <row r="17" spans="2:3" ht="39.6" x14ac:dyDescent="0.25">
      <c r="B17" s="426">
        <v>14</v>
      </c>
      <c r="C17" s="430" t="s">
        <v>1898</v>
      </c>
    </row>
    <row r="18" spans="2:3" ht="26.4" x14ac:dyDescent="0.25">
      <c r="B18" s="426">
        <v>13</v>
      </c>
      <c r="C18" s="430" t="s">
        <v>1877</v>
      </c>
    </row>
    <row r="19" spans="2:3" ht="132" x14ac:dyDescent="0.25">
      <c r="B19" s="426">
        <v>12</v>
      </c>
      <c r="C19" s="430" t="s">
        <v>1876</v>
      </c>
    </row>
    <row r="20" spans="2:3" ht="26.4" x14ac:dyDescent="0.25">
      <c r="B20" s="426">
        <v>11</v>
      </c>
      <c r="C20" s="425" t="s">
        <v>1875</v>
      </c>
    </row>
    <row r="21" spans="2:3" ht="26.4" x14ac:dyDescent="0.25">
      <c r="B21" s="426">
        <v>10</v>
      </c>
      <c r="C21" s="425" t="s">
        <v>1873</v>
      </c>
    </row>
    <row r="22" spans="2:3" ht="39.6" x14ac:dyDescent="0.25">
      <c r="B22" s="408">
        <v>9</v>
      </c>
      <c r="C22" s="410" t="s">
        <v>1867</v>
      </c>
    </row>
    <row r="23" spans="2:3" ht="66" x14ac:dyDescent="0.25">
      <c r="B23" s="415">
        <v>8</v>
      </c>
      <c r="C23" s="410" t="s">
        <v>1826</v>
      </c>
    </row>
    <row r="24" spans="2:3" ht="26.4" x14ac:dyDescent="0.25">
      <c r="B24" s="130">
        <v>7</v>
      </c>
      <c r="C24" s="237" t="s">
        <v>1784</v>
      </c>
    </row>
    <row r="25" spans="2:3" x14ac:dyDescent="0.25">
      <c r="B25" s="130"/>
      <c r="C25" s="132"/>
    </row>
  </sheetData>
  <mergeCells count="2">
    <mergeCell ref="B6:C6"/>
    <mergeCell ref="D12:I1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Q605"/>
  <sheetViews>
    <sheetView showGridLines="0" tabSelected="1" topLeftCell="A28" zoomScale="80" zoomScaleNormal="80" workbookViewId="0">
      <selection activeCell="C151" sqref="C151"/>
    </sheetView>
  </sheetViews>
  <sheetFormatPr defaultRowHeight="13.2" x14ac:dyDescent="0.25"/>
  <cols>
    <col min="1" max="1" width="3.44140625" style="8" customWidth="1"/>
    <col min="2" max="2" width="36.109375" customWidth="1"/>
    <col min="3" max="3" width="15.5546875" customWidth="1"/>
    <col min="4" max="4" width="19" customWidth="1"/>
    <col min="5" max="5" width="13.88671875" style="1" customWidth="1"/>
    <col min="6" max="6" width="70.109375" customWidth="1"/>
    <col min="7" max="7" width="27.33203125" style="1" customWidth="1"/>
    <col min="8" max="9" width="15" style="1" customWidth="1"/>
    <col min="10" max="10" width="14" style="1" customWidth="1"/>
    <col min="11" max="11" width="18" customWidth="1"/>
    <col min="12" max="12" width="22.109375" style="8" customWidth="1"/>
    <col min="13" max="13" width="16.5546875" style="8" customWidth="1"/>
    <col min="14" max="14" width="14.109375" style="8" customWidth="1"/>
    <col min="15" max="15" width="11.6640625" style="8" customWidth="1"/>
    <col min="16" max="17" width="4.6640625" style="8" customWidth="1"/>
    <col min="18" max="18" width="8.44140625" style="8" customWidth="1"/>
    <col min="19" max="22" width="4.6640625" style="8" customWidth="1"/>
    <col min="23" max="23" width="9.109375" style="8"/>
  </cols>
  <sheetData>
    <row r="1" spans="1:43" ht="15" x14ac:dyDescent="0.25">
      <c r="B1" s="159"/>
      <c r="C1" s="8"/>
      <c r="D1" s="8"/>
      <c r="E1" s="8"/>
      <c r="F1" s="8"/>
      <c r="G1" s="44"/>
      <c r="H1" s="8"/>
      <c r="I1" s="8"/>
      <c r="J1" s="8"/>
      <c r="K1" s="8"/>
      <c r="X1" s="8"/>
      <c r="Y1" s="8"/>
      <c r="Z1" s="8"/>
      <c r="AA1" s="8"/>
      <c r="AB1" s="8"/>
      <c r="AC1" s="8"/>
      <c r="AD1" s="8"/>
      <c r="AE1" s="8"/>
      <c r="AF1" s="8"/>
      <c r="AG1" s="8"/>
      <c r="AH1" s="8"/>
      <c r="AI1" s="8"/>
      <c r="AJ1" s="8"/>
      <c r="AK1" s="8"/>
      <c r="AL1" s="8"/>
      <c r="AM1" s="8"/>
      <c r="AN1" s="8"/>
      <c r="AO1" s="8"/>
      <c r="AP1" s="8"/>
      <c r="AQ1" s="8"/>
    </row>
    <row r="2" spans="1:43" x14ac:dyDescent="0.25">
      <c r="B2" s="8"/>
      <c r="C2" s="8"/>
      <c r="D2" s="8"/>
      <c r="E2" s="8"/>
      <c r="F2" s="8"/>
      <c r="G2" s="44"/>
      <c r="H2" s="8"/>
      <c r="I2" s="8"/>
      <c r="J2" s="8"/>
      <c r="K2" s="8"/>
      <c r="X2" s="8"/>
      <c r="Y2" s="8"/>
      <c r="Z2" s="8"/>
      <c r="AA2" s="8"/>
      <c r="AB2" s="8"/>
      <c r="AC2" s="8"/>
      <c r="AD2" s="8"/>
      <c r="AE2" s="8"/>
      <c r="AF2" s="8"/>
      <c r="AG2" s="8"/>
      <c r="AH2" s="8"/>
      <c r="AI2" s="8"/>
      <c r="AJ2" s="8"/>
      <c r="AK2" s="8"/>
      <c r="AL2" s="8"/>
      <c r="AM2" s="8"/>
      <c r="AN2" s="8"/>
      <c r="AO2" s="8"/>
      <c r="AP2" s="8"/>
    </row>
    <row r="3" spans="1:43" s="10" customFormat="1" ht="35.4" x14ac:dyDescent="0.6">
      <c r="A3" s="11"/>
      <c r="C3" s="181" t="s">
        <v>2165</v>
      </c>
      <c r="D3" s="181"/>
      <c r="E3" s="181"/>
      <c r="F3" s="181"/>
      <c r="G3" s="181"/>
      <c r="H3" s="9"/>
      <c r="I3" s="9"/>
      <c r="J3" s="9"/>
      <c r="K3" s="9"/>
      <c r="L3" s="11"/>
      <c r="M3" s="11"/>
      <c r="N3" s="11"/>
      <c r="O3" s="11"/>
      <c r="P3" s="11"/>
      <c r="Q3" s="11"/>
      <c r="R3" s="11"/>
      <c r="S3" s="11"/>
      <c r="T3" s="11"/>
      <c r="U3" s="11"/>
      <c r="V3" s="11"/>
      <c r="W3" s="11"/>
      <c r="X3" s="9"/>
      <c r="Y3" s="9"/>
      <c r="Z3" s="9"/>
      <c r="AA3" s="9"/>
      <c r="AB3" s="9"/>
      <c r="AC3" s="9"/>
      <c r="AD3" s="9"/>
      <c r="AE3" s="9"/>
      <c r="AF3" s="9"/>
      <c r="AG3" s="9"/>
      <c r="AH3" s="424">
        <v>80</v>
      </c>
      <c r="AI3" s="9"/>
      <c r="AJ3" s="9"/>
      <c r="AK3" s="9"/>
      <c r="AL3" s="9"/>
      <c r="AM3" s="9"/>
      <c r="AN3" s="9"/>
      <c r="AO3" s="9"/>
    </row>
    <row r="4" spans="1:43" s="151" customFormat="1" ht="22.8" x14ac:dyDescent="0.4">
      <c r="A4" s="150"/>
      <c r="C4" s="583" t="s">
        <v>201</v>
      </c>
      <c r="D4" s="583"/>
      <c r="E4" s="583"/>
      <c r="F4" s="583"/>
      <c r="G4" s="584" t="s">
        <v>724</v>
      </c>
      <c r="H4" s="584"/>
      <c r="I4" s="584"/>
      <c r="J4" s="584"/>
      <c r="K4" s="584"/>
      <c r="L4" s="150"/>
      <c r="M4" s="150"/>
      <c r="N4" s="150"/>
      <c r="O4" s="150"/>
      <c r="P4" s="150"/>
      <c r="Q4" s="150"/>
      <c r="R4" s="150"/>
      <c r="S4" s="150"/>
      <c r="T4" s="150"/>
      <c r="U4" s="150"/>
      <c r="V4" s="150"/>
      <c r="W4" s="150"/>
      <c r="X4" s="152"/>
      <c r="Y4" s="152"/>
      <c r="Z4" s="3" t="s">
        <v>2044</v>
      </c>
      <c r="AA4" s="152"/>
      <c r="AB4" s="3" t="s">
        <v>13</v>
      </c>
      <c r="AC4" s="152"/>
      <c r="AD4" s="8">
        <v>32</v>
      </c>
      <c r="AE4" s="8">
        <v>800</v>
      </c>
      <c r="AF4" s="424">
        <v>1</v>
      </c>
      <c r="AG4" s="152"/>
      <c r="AH4" s="424">
        <v>60</v>
      </c>
      <c r="AI4" s="152"/>
      <c r="AJ4" s="152"/>
      <c r="AK4" s="152"/>
      <c r="AL4" s="152"/>
      <c r="AM4" s="152"/>
      <c r="AN4" s="152"/>
      <c r="AO4" s="152"/>
    </row>
    <row r="5" spans="1:43" s="8" customFormat="1" ht="23.4" thickBot="1" x14ac:dyDescent="0.45">
      <c r="B5" s="609"/>
      <c r="C5" s="609"/>
      <c r="D5" s="609"/>
      <c r="E5" s="609"/>
      <c r="F5" s="609"/>
      <c r="G5" s="609"/>
      <c r="H5" s="609"/>
      <c r="I5" s="609"/>
      <c r="J5" s="609"/>
      <c r="K5" s="609"/>
      <c r="Z5" s="3" t="s">
        <v>2045</v>
      </c>
      <c r="AB5" s="3" t="s">
        <v>35</v>
      </c>
      <c r="AD5" s="8">
        <v>16</v>
      </c>
      <c r="AE5" s="8">
        <v>1600</v>
      </c>
      <c r="AF5" s="25">
        <v>2</v>
      </c>
      <c r="AH5" s="25">
        <v>48</v>
      </c>
      <c r="AK5" s="25"/>
      <c r="AO5" s="25"/>
    </row>
    <row r="6" spans="1:43" ht="15.6" x14ac:dyDescent="0.3">
      <c r="B6" s="19" t="s">
        <v>12</v>
      </c>
      <c r="C6" s="20"/>
      <c r="D6" s="20"/>
      <c r="E6" s="21"/>
      <c r="F6" s="19" t="s">
        <v>16</v>
      </c>
      <c r="G6" s="21"/>
      <c r="H6" s="13"/>
      <c r="I6" s="13"/>
      <c r="J6" s="13"/>
      <c r="AB6" s="3" t="s">
        <v>122</v>
      </c>
      <c r="AE6">
        <v>1200</v>
      </c>
      <c r="AH6" s="3">
        <v>40</v>
      </c>
      <c r="AK6" s="7"/>
      <c r="AL6" s="3"/>
      <c r="AO6" s="7"/>
      <c r="AP6" s="31"/>
    </row>
    <row r="7" spans="1:43" ht="12.75" customHeight="1" x14ac:dyDescent="0.25">
      <c r="B7" s="626" t="s">
        <v>15</v>
      </c>
      <c r="C7" s="615"/>
      <c r="D7" s="615"/>
      <c r="E7" s="627"/>
      <c r="F7" s="618" t="s">
        <v>18</v>
      </c>
      <c r="G7" s="620"/>
      <c r="H7" s="13"/>
      <c r="I7" s="13"/>
      <c r="J7" s="13"/>
      <c r="AB7" s="3" t="s">
        <v>209</v>
      </c>
      <c r="AH7" s="3">
        <v>34.299999999999997</v>
      </c>
      <c r="AK7" s="7"/>
      <c r="AL7" s="3"/>
      <c r="AO7" s="7"/>
      <c r="AP7" s="31"/>
    </row>
    <row r="8" spans="1:43" x14ac:dyDescent="0.25">
      <c r="B8" s="628"/>
      <c r="C8" s="615"/>
      <c r="D8" s="615"/>
      <c r="E8" s="627"/>
      <c r="F8" s="618"/>
      <c r="G8" s="621"/>
      <c r="H8" s="13"/>
      <c r="I8" s="13"/>
      <c r="J8" s="13"/>
      <c r="AB8" s="3" t="s">
        <v>210</v>
      </c>
      <c r="AK8" s="7"/>
      <c r="AL8" s="3"/>
      <c r="AO8" s="7"/>
      <c r="AP8" s="31"/>
    </row>
    <row r="9" spans="1:43" x14ac:dyDescent="0.25">
      <c r="B9" s="628"/>
      <c r="C9" s="615"/>
      <c r="D9" s="615"/>
      <c r="E9" s="627"/>
      <c r="F9" s="618" t="s">
        <v>21</v>
      </c>
      <c r="G9" s="622"/>
      <c r="H9" s="13"/>
      <c r="I9" s="13"/>
      <c r="J9" s="13"/>
      <c r="AB9" s="3" t="s">
        <v>202</v>
      </c>
      <c r="AC9" s="3" t="s">
        <v>202</v>
      </c>
      <c r="AK9" s="7"/>
      <c r="AL9" s="3"/>
      <c r="AM9" s="3"/>
      <c r="AO9" s="7"/>
      <c r="AP9" s="31"/>
    </row>
    <row r="10" spans="1:43" x14ac:dyDescent="0.25">
      <c r="B10" s="628"/>
      <c r="C10" s="615"/>
      <c r="D10" s="615"/>
      <c r="E10" s="627"/>
      <c r="F10" s="618"/>
      <c r="G10" s="623"/>
      <c r="H10" s="13"/>
      <c r="I10" s="13"/>
      <c r="J10" s="13"/>
      <c r="AB10" s="3" t="s">
        <v>203</v>
      </c>
      <c r="AC10" s="3" t="s">
        <v>203</v>
      </c>
      <c r="AK10" s="7"/>
      <c r="AL10" s="3"/>
      <c r="AM10" s="3"/>
      <c r="AO10" s="7"/>
      <c r="AP10" s="7"/>
    </row>
    <row r="11" spans="1:43" ht="39.6" x14ac:dyDescent="0.3">
      <c r="B11" s="628"/>
      <c r="C11" s="615"/>
      <c r="D11" s="615"/>
      <c r="E11" s="627"/>
      <c r="F11" s="47" t="s">
        <v>23</v>
      </c>
      <c r="G11" s="48" t="s">
        <v>22</v>
      </c>
      <c r="H11" s="13"/>
      <c r="I11" s="13"/>
      <c r="J11" s="13"/>
      <c r="AK11" s="7"/>
      <c r="AL11" s="3"/>
      <c r="AM11" s="3"/>
      <c r="AO11" s="7"/>
      <c r="AP11" s="7"/>
    </row>
    <row r="12" spans="1:43" ht="39.6" x14ac:dyDescent="0.3">
      <c r="B12" s="628"/>
      <c r="C12" s="615"/>
      <c r="D12" s="615"/>
      <c r="E12" s="627"/>
      <c r="F12" s="47" t="s">
        <v>29</v>
      </c>
      <c r="G12" s="49"/>
      <c r="H12" s="13"/>
      <c r="I12" s="13"/>
      <c r="J12" s="13"/>
      <c r="AK12" s="7"/>
      <c r="AL12" s="3"/>
      <c r="AM12" s="3"/>
      <c r="AO12" s="7"/>
      <c r="AP12" s="7"/>
    </row>
    <row r="13" spans="1:43" x14ac:dyDescent="0.25">
      <c r="B13" s="628"/>
      <c r="C13" s="615"/>
      <c r="D13" s="615"/>
      <c r="E13" s="627"/>
      <c r="F13" s="618" t="s">
        <v>17</v>
      </c>
      <c r="G13" s="624"/>
      <c r="H13" s="13"/>
      <c r="I13" s="13"/>
      <c r="J13" s="13"/>
      <c r="AK13" s="30"/>
      <c r="AO13" s="7"/>
      <c r="AP13" s="7"/>
    </row>
    <row r="14" spans="1:43" ht="13.8" thickBot="1" x14ac:dyDescent="0.3">
      <c r="B14" s="629"/>
      <c r="C14" s="630"/>
      <c r="D14" s="630"/>
      <c r="E14" s="631"/>
      <c r="F14" s="619"/>
      <c r="G14" s="625"/>
      <c r="H14" s="13"/>
      <c r="I14" s="13"/>
      <c r="J14" s="13"/>
      <c r="AK14" s="26"/>
      <c r="AO14" s="30"/>
      <c r="AP14" s="30"/>
    </row>
    <row r="15" spans="1:43" s="8" customFormat="1" ht="13.8" thickBot="1" x14ac:dyDescent="0.3">
      <c r="B15" s="25"/>
      <c r="E15" s="13"/>
      <c r="G15" s="13"/>
      <c r="H15" s="13"/>
      <c r="I15" s="13"/>
      <c r="J15" s="13"/>
      <c r="AK15"/>
      <c r="AO15" s="26"/>
      <c r="AP15" s="26"/>
    </row>
    <row r="16" spans="1:43" ht="15.75" customHeight="1" x14ac:dyDescent="0.3">
      <c r="B16" s="19" t="s">
        <v>10</v>
      </c>
      <c r="C16" s="20"/>
      <c r="D16" s="27"/>
      <c r="E16" s="13"/>
      <c r="G16" s="8"/>
      <c r="H16" s="8"/>
      <c r="I16" s="8"/>
      <c r="J16" s="8"/>
      <c r="K16" s="8"/>
      <c r="S16"/>
      <c r="T16"/>
      <c r="U16"/>
      <c r="V16"/>
      <c r="W16"/>
    </row>
    <row r="17" spans="1:37" ht="12.75" customHeight="1" x14ac:dyDescent="0.25">
      <c r="B17" s="22" t="s">
        <v>8</v>
      </c>
      <c r="C17" s="634" t="s">
        <v>209</v>
      </c>
      <c r="D17" s="635"/>
      <c r="E17" s="13"/>
      <c r="F17" s="640" t="s">
        <v>2164</v>
      </c>
      <c r="G17" s="654" t="s">
        <v>2193</v>
      </c>
      <c r="H17" s="654"/>
      <c r="I17" s="654"/>
      <c r="J17" s="654"/>
      <c r="K17" s="654"/>
      <c r="L17" s="510"/>
      <c r="S17"/>
      <c r="T17"/>
      <c r="U17"/>
      <c r="V17"/>
      <c r="W17"/>
    </row>
    <row r="18" spans="1:37" ht="12.75" customHeight="1" x14ac:dyDescent="0.25">
      <c r="B18" s="22" t="s">
        <v>14</v>
      </c>
      <c r="C18" s="632" t="s">
        <v>725</v>
      </c>
      <c r="D18" s="633"/>
      <c r="E18" s="13"/>
      <c r="F18" s="641"/>
      <c r="G18" s="654"/>
      <c r="H18" s="654"/>
      <c r="I18" s="654"/>
      <c r="J18" s="654"/>
      <c r="K18" s="654"/>
      <c r="L18" s="510"/>
      <c r="S18"/>
      <c r="T18"/>
      <c r="U18"/>
      <c r="V18"/>
      <c r="W18"/>
    </row>
    <row r="19" spans="1:37" ht="12.75" customHeight="1" x14ac:dyDescent="0.25">
      <c r="B19" s="22" t="s">
        <v>9</v>
      </c>
      <c r="C19" s="632" t="s">
        <v>1871</v>
      </c>
      <c r="D19" s="633"/>
      <c r="E19" s="13"/>
      <c r="F19" s="511">
        <v>2</v>
      </c>
      <c r="G19" s="654"/>
      <c r="H19" s="654"/>
      <c r="I19" s="654"/>
      <c r="J19" s="654"/>
      <c r="K19" s="654"/>
      <c r="L19" s="510"/>
      <c r="S19"/>
      <c r="T19"/>
      <c r="U19"/>
      <c r="V19"/>
      <c r="W19"/>
    </row>
    <row r="20" spans="1:37" ht="19.5" customHeight="1" x14ac:dyDescent="0.3">
      <c r="A20" s="6"/>
      <c r="B20" s="475" t="s">
        <v>2036</v>
      </c>
      <c r="C20" s="612">
        <v>6</v>
      </c>
      <c r="D20" s="613"/>
      <c r="E20" s="13"/>
      <c r="F20" s="8"/>
      <c r="G20" s="654"/>
      <c r="H20" s="654"/>
      <c r="I20" s="654"/>
      <c r="J20" s="654"/>
      <c r="K20" s="654"/>
      <c r="L20" s="510"/>
      <c r="S20"/>
      <c r="T20"/>
      <c r="U20"/>
      <c r="V20"/>
      <c r="W20"/>
    </row>
    <row r="21" spans="1:37" ht="14.25" customHeight="1" x14ac:dyDescent="0.3">
      <c r="A21" s="6"/>
      <c r="B21" s="22" t="s">
        <v>2037</v>
      </c>
      <c r="C21" s="616">
        <f>IF(C28=32, 2, 1)</f>
        <v>2</v>
      </c>
      <c r="D21" s="617"/>
      <c r="E21" s="13"/>
      <c r="F21" s="8"/>
      <c r="G21" s="654"/>
      <c r="H21" s="654"/>
      <c r="I21" s="654"/>
      <c r="J21" s="654"/>
      <c r="K21" s="654"/>
      <c r="L21" s="510"/>
      <c r="S21"/>
      <c r="T21"/>
      <c r="U21"/>
      <c r="V21"/>
      <c r="W21"/>
    </row>
    <row r="22" spans="1:37" ht="14.25" customHeight="1" x14ac:dyDescent="0.25">
      <c r="A22" s="6"/>
      <c r="B22" s="22" t="s">
        <v>25</v>
      </c>
      <c r="C22" s="643">
        <v>2</v>
      </c>
      <c r="D22" s="644"/>
      <c r="E22" s="13"/>
      <c r="F22" s="8"/>
      <c r="G22" s="654"/>
      <c r="H22" s="654"/>
      <c r="I22" s="654"/>
      <c r="J22" s="654"/>
      <c r="K22" s="654"/>
      <c r="L22" s="510"/>
      <c r="S22"/>
      <c r="T22"/>
      <c r="U22"/>
      <c r="V22"/>
      <c r="W22"/>
    </row>
    <row r="23" spans="1:37" ht="14.4" x14ac:dyDescent="0.3">
      <c r="A23" s="6"/>
      <c r="B23" s="22" t="s">
        <v>34</v>
      </c>
      <c r="C23" s="616">
        <f>(C20*C21*C22)</f>
        <v>24</v>
      </c>
      <c r="D23" s="617"/>
      <c r="E23" s="13"/>
      <c r="F23" s="8"/>
      <c r="G23" s="654"/>
      <c r="H23" s="654"/>
      <c r="I23" s="654"/>
      <c r="J23" s="654"/>
      <c r="K23" s="654"/>
      <c r="L23" s="510"/>
      <c r="S23"/>
      <c r="T23"/>
      <c r="U23"/>
      <c r="V23"/>
      <c r="W23"/>
    </row>
    <row r="24" spans="1:37" ht="14.25" customHeight="1" x14ac:dyDescent="0.25">
      <c r="B24" s="22" t="s">
        <v>26</v>
      </c>
      <c r="C24" s="610">
        <v>16</v>
      </c>
      <c r="D24" s="611"/>
      <c r="E24" s="13"/>
      <c r="F24" s="8"/>
      <c r="G24" s="654"/>
      <c r="H24" s="654"/>
      <c r="I24" s="654"/>
      <c r="J24" s="654"/>
      <c r="K24" s="654"/>
      <c r="L24" s="510"/>
      <c r="S24"/>
      <c r="T24"/>
      <c r="U24"/>
      <c r="V24"/>
      <c r="W24"/>
    </row>
    <row r="25" spans="1:37" ht="14.25" customHeight="1" x14ac:dyDescent="0.25">
      <c r="B25" s="22" t="s">
        <v>27</v>
      </c>
      <c r="C25" s="638">
        <v>10</v>
      </c>
      <c r="D25" s="639"/>
      <c r="E25" s="13"/>
      <c r="F25" s="8"/>
      <c r="G25" s="654"/>
      <c r="H25" s="654"/>
      <c r="I25" s="654"/>
      <c r="J25" s="654"/>
      <c r="K25" s="654"/>
      <c r="L25" s="510"/>
      <c r="S25"/>
      <c r="T25"/>
      <c r="U25"/>
      <c r="V25"/>
      <c r="W25"/>
    </row>
    <row r="26" spans="1:37" ht="14.25" customHeight="1" x14ac:dyDescent="0.25">
      <c r="B26" s="22" t="s">
        <v>100</v>
      </c>
      <c r="C26" s="638">
        <v>3</v>
      </c>
      <c r="D26" s="639"/>
      <c r="E26" s="13"/>
      <c r="F26" s="8"/>
      <c r="G26" s="654"/>
      <c r="H26" s="654"/>
      <c r="I26" s="654"/>
      <c r="J26" s="654"/>
      <c r="K26" s="654"/>
      <c r="L26" s="510"/>
      <c r="S26"/>
      <c r="T26"/>
      <c r="U26"/>
      <c r="V26"/>
      <c r="W26"/>
    </row>
    <row r="27" spans="1:37" ht="16.2" x14ac:dyDescent="0.3">
      <c r="B27" s="22" t="s">
        <v>28</v>
      </c>
      <c r="C27" s="616">
        <f>(2^C26)</f>
        <v>8</v>
      </c>
      <c r="D27" s="617"/>
      <c r="E27" s="13"/>
      <c r="F27" s="8"/>
      <c r="G27" s="654"/>
      <c r="H27" s="654"/>
      <c r="I27" s="654"/>
      <c r="J27" s="654"/>
      <c r="K27" s="654"/>
      <c r="L27" s="510"/>
      <c r="S27"/>
      <c r="T27"/>
      <c r="U27"/>
      <c r="V27"/>
      <c r="W27"/>
    </row>
    <row r="28" spans="1:37" ht="14.25" customHeight="1" x14ac:dyDescent="0.25">
      <c r="B28" s="23" t="s">
        <v>2191</v>
      </c>
      <c r="C28" s="636">
        <v>32</v>
      </c>
      <c r="D28" s="637"/>
      <c r="E28" s="133"/>
      <c r="F28" s="133"/>
      <c r="G28" s="655" t="s">
        <v>2192</v>
      </c>
      <c r="H28" s="655"/>
      <c r="I28" s="655"/>
      <c r="J28" s="655"/>
      <c r="K28" s="655"/>
      <c r="L28" s="510"/>
      <c r="W28"/>
    </row>
    <row r="29" spans="1:37" ht="15.6" x14ac:dyDescent="0.25">
      <c r="B29" s="23" t="s">
        <v>2039</v>
      </c>
      <c r="C29" s="610">
        <v>1600</v>
      </c>
      <c r="D29" s="611"/>
      <c r="E29" s="13"/>
      <c r="F29" s="153" t="s">
        <v>2043</v>
      </c>
      <c r="G29" s="510"/>
      <c r="H29" s="510"/>
      <c r="I29" s="510"/>
      <c r="J29" s="510"/>
      <c r="K29" s="510"/>
      <c r="L29" s="714" t="s">
        <v>2220</v>
      </c>
      <c r="M29" s="714"/>
      <c r="N29" s="714"/>
      <c r="O29" s="714"/>
    </row>
    <row r="30" spans="1:37" ht="15" thickBot="1" x14ac:dyDescent="0.35">
      <c r="B30" s="24" t="s">
        <v>11</v>
      </c>
      <c r="C30" s="650">
        <f>(1/C29)*1000</f>
        <v>0.625</v>
      </c>
      <c r="D30" s="651"/>
      <c r="E30" s="13"/>
      <c r="F30" s="477" t="s">
        <v>2044</v>
      </c>
      <c r="G30" s="133"/>
      <c r="H30" s="13"/>
      <c r="I30" s="13"/>
      <c r="J30" s="13"/>
      <c r="K30" s="8"/>
      <c r="L30" s="714"/>
      <c r="M30" s="714"/>
      <c r="N30" s="714"/>
      <c r="O30" s="714"/>
      <c r="AK30" s="8"/>
    </row>
    <row r="31" spans="1:37" ht="18" customHeight="1" x14ac:dyDescent="0.3">
      <c r="B31" s="66" t="s">
        <v>618</v>
      </c>
      <c r="C31" s="645" t="s">
        <v>206</v>
      </c>
      <c r="D31" s="646"/>
      <c r="E31" s="13"/>
      <c r="G31" s="46"/>
      <c r="H31" s="13"/>
      <c r="I31" s="13"/>
      <c r="J31" s="13"/>
      <c r="K31" s="8"/>
      <c r="L31" s="715" t="s">
        <v>2216</v>
      </c>
      <c r="M31" s="715"/>
      <c r="N31" s="715"/>
      <c r="O31" s="715"/>
      <c r="AK31" s="8"/>
    </row>
    <row r="32" spans="1:37" ht="14.4" x14ac:dyDescent="0.3">
      <c r="B32" s="66" t="s">
        <v>619</v>
      </c>
      <c r="C32" s="645" t="s">
        <v>620</v>
      </c>
      <c r="D32" s="646"/>
      <c r="E32" s="13"/>
      <c r="F32" s="46"/>
      <c r="G32" s="46"/>
      <c r="H32" s="13"/>
      <c r="I32" s="13"/>
      <c r="J32" s="13"/>
      <c r="K32" s="8"/>
      <c r="AK32" s="8"/>
    </row>
    <row r="33" spans="1:37" ht="14.25" customHeight="1" x14ac:dyDescent="0.25">
      <c r="B33" s="66" t="s">
        <v>621</v>
      </c>
      <c r="C33" s="647" t="s">
        <v>205</v>
      </c>
      <c r="D33" s="648"/>
      <c r="E33" s="13"/>
      <c r="F33" s="46"/>
      <c r="G33" s="46"/>
      <c r="H33" s="13"/>
      <c r="I33" s="13"/>
      <c r="J33" s="13"/>
      <c r="K33" s="8"/>
      <c r="AK33" s="8"/>
    </row>
    <row r="34" spans="1:37" x14ac:dyDescent="0.25">
      <c r="B34" s="66" t="s">
        <v>622</v>
      </c>
      <c r="C34" s="647" t="s">
        <v>623</v>
      </c>
      <c r="D34" s="648"/>
      <c r="E34" s="13"/>
      <c r="F34" s="46"/>
      <c r="G34" s="46"/>
      <c r="H34" s="13"/>
      <c r="I34" s="13"/>
      <c r="J34" s="13"/>
      <c r="K34" s="8"/>
      <c r="AK34" s="8"/>
    </row>
    <row r="35" spans="1:37" ht="32.25" customHeight="1" x14ac:dyDescent="0.25">
      <c r="B35" s="614" t="s">
        <v>1872</v>
      </c>
      <c r="C35" s="615"/>
      <c r="D35" s="615"/>
      <c r="E35" s="13"/>
      <c r="F35" s="12"/>
      <c r="G35" s="29"/>
      <c r="H35" s="13"/>
      <c r="I35" s="13"/>
      <c r="J35" s="13"/>
      <c r="K35" s="8"/>
      <c r="AK35" s="8"/>
    </row>
    <row r="36" spans="1:37" ht="22.5" customHeight="1" x14ac:dyDescent="0.25">
      <c r="B36" s="614" t="s">
        <v>24</v>
      </c>
      <c r="C36" s="649"/>
      <c r="D36" s="649"/>
      <c r="E36" s="13"/>
      <c r="F36" s="12"/>
      <c r="G36" s="29"/>
      <c r="H36" s="13"/>
      <c r="I36" s="13"/>
      <c r="J36" s="13"/>
      <c r="K36" s="8"/>
      <c r="AK36" s="8"/>
    </row>
    <row r="37" spans="1:37" ht="23.25" customHeight="1" x14ac:dyDescent="0.25">
      <c r="B37" s="614" t="s">
        <v>2040</v>
      </c>
      <c r="C37" s="649"/>
      <c r="D37" s="649"/>
      <c r="E37" s="13"/>
      <c r="F37" s="12"/>
      <c r="G37" s="29"/>
      <c r="H37" s="13"/>
      <c r="I37" s="13"/>
      <c r="J37" s="13"/>
      <c r="K37" s="8"/>
      <c r="M37" s="40"/>
      <c r="N37" s="40"/>
      <c r="AK37" s="8"/>
    </row>
    <row r="38" spans="1:37" s="40" customFormat="1" ht="13.8" thickBot="1" x14ac:dyDescent="0.3">
      <c r="B38" s="652" t="s">
        <v>2038</v>
      </c>
      <c r="C38" s="653"/>
      <c r="D38" s="653"/>
      <c r="E38" s="42"/>
      <c r="F38" s="41"/>
      <c r="G38" s="43"/>
      <c r="H38" s="41"/>
      <c r="I38" s="41"/>
      <c r="J38" s="41"/>
      <c r="M38" s="8"/>
      <c r="N38" s="8"/>
      <c r="AJ38" s="6"/>
    </row>
    <row r="39" spans="1:37" ht="40.200000000000003" thickBot="1" x14ac:dyDescent="0.3">
      <c r="B39" s="2" t="s">
        <v>80</v>
      </c>
      <c r="C39" s="2" t="s">
        <v>5</v>
      </c>
      <c r="D39" s="2" t="s">
        <v>7</v>
      </c>
      <c r="E39" s="2" t="s">
        <v>6</v>
      </c>
      <c r="F39" s="4" t="s">
        <v>1</v>
      </c>
      <c r="G39" s="45" t="s">
        <v>3</v>
      </c>
      <c r="H39" s="5" t="s">
        <v>624</v>
      </c>
      <c r="I39" s="5" t="s">
        <v>625</v>
      </c>
      <c r="J39" s="5" t="s">
        <v>4</v>
      </c>
      <c r="K39" s="18"/>
      <c r="AK39" s="8"/>
    </row>
    <row r="40" spans="1:37" ht="3" customHeight="1" thickBot="1" x14ac:dyDescent="0.3">
      <c r="B40" s="37"/>
      <c r="C40" s="37"/>
      <c r="D40" s="37"/>
      <c r="E40" s="37"/>
      <c r="F40" s="38"/>
      <c r="G40" s="39"/>
      <c r="H40" s="39"/>
      <c r="I40" s="39"/>
      <c r="J40" s="39"/>
      <c r="K40" s="18"/>
      <c r="AK40" s="8"/>
    </row>
    <row r="41" spans="1:37" ht="48" customHeight="1" x14ac:dyDescent="0.25">
      <c r="B41" s="182" t="s">
        <v>211</v>
      </c>
      <c r="C41" s="183" t="s">
        <v>0</v>
      </c>
      <c r="D41" s="96">
        <f>IF(C28= 32, 3, 2)</f>
        <v>3</v>
      </c>
      <c r="E41" s="91" t="str">
        <f>DEC2HEX(((D41)*2^30),8)</f>
        <v>C0000000</v>
      </c>
      <c r="F41" s="94" t="s">
        <v>212</v>
      </c>
      <c r="G41" s="596" t="s">
        <v>36</v>
      </c>
      <c r="H41" s="596" t="str">
        <f>"0x"&amp;DEC2HEX((HEX2DEC(C31)), 8)</f>
        <v>0x5C000000</v>
      </c>
      <c r="I41" s="596" t="str">
        <f>"0x"&amp;DEC2HEX((HEX2DEC(C32)), 8)</f>
        <v>0x5C100000</v>
      </c>
      <c r="J41" s="600" t="str">
        <f>"0x"&amp;DEC2HEX((HEX2DEC(E41)+HEX2DEC(E42)+HEX2DEC(E43)+HEX2DEC(E44)+HEX2DEC(E45)+HEX2DEC(E46)+HEX2DEC(E47)+HEX2DEC(E48)+HEX2DEC(E49)+HEX2DEC(E50)+HEX2DEC(E51)+HEX2DEC(E52)+HEX2DEC(E53)),8)</f>
        <v>0xC3080020</v>
      </c>
      <c r="K41" s="18"/>
      <c r="AK41" s="8"/>
    </row>
    <row r="42" spans="1:37" ht="48" customHeight="1" x14ac:dyDescent="0.25">
      <c r="B42" s="184" t="s">
        <v>215</v>
      </c>
      <c r="C42" s="103" t="s">
        <v>0</v>
      </c>
      <c r="D42" s="187">
        <v>0</v>
      </c>
      <c r="E42" s="92" t="str">
        <f>DEC2HEX(((D42)*2^29),8)</f>
        <v>00000000</v>
      </c>
      <c r="F42" s="186" t="s">
        <v>214</v>
      </c>
      <c r="G42" s="597"/>
      <c r="H42" s="597"/>
      <c r="I42" s="597"/>
      <c r="J42" s="601"/>
      <c r="K42" s="18"/>
      <c r="AK42" s="8"/>
    </row>
    <row r="43" spans="1:37" ht="92.4" x14ac:dyDescent="0.25">
      <c r="A43" s="6"/>
      <c r="B43" s="58" t="s">
        <v>116</v>
      </c>
      <c r="C43" s="103" t="s">
        <v>0</v>
      </c>
      <c r="D43" s="168">
        <f>IF(C22=1, 1, 3)</f>
        <v>3</v>
      </c>
      <c r="E43" s="169" t="str">
        <f>DEC2HEX(((D43)*2^24),8)</f>
        <v>03000000</v>
      </c>
      <c r="F43" s="141" t="s">
        <v>213</v>
      </c>
      <c r="G43" s="598"/>
      <c r="H43" s="598"/>
      <c r="I43" s="598"/>
      <c r="J43" s="601"/>
      <c r="K43" s="18"/>
    </row>
    <row r="44" spans="1:37" ht="111" customHeight="1" x14ac:dyDescent="0.25">
      <c r="B44" s="58" t="s">
        <v>117</v>
      </c>
      <c r="C44" s="60" t="s">
        <v>0</v>
      </c>
      <c r="D44" s="179">
        <f>IF(C17="LPDDR2",2,(IF(C17="LPDDR4",8,4)))</f>
        <v>8</v>
      </c>
      <c r="E44" s="169" t="str">
        <f>DEC2HEX(((D44)*2^16),8)</f>
        <v>00080000</v>
      </c>
      <c r="F44" s="141" t="s">
        <v>219</v>
      </c>
      <c r="G44" s="598"/>
      <c r="H44" s="598"/>
      <c r="I44" s="598"/>
      <c r="J44" s="601"/>
      <c r="K44" s="86"/>
    </row>
    <row r="45" spans="1:37" ht="61.5" customHeight="1" x14ac:dyDescent="0.25">
      <c r="B45" s="58" t="s">
        <v>118</v>
      </c>
      <c r="C45" s="60" t="s">
        <v>0</v>
      </c>
      <c r="D45" s="135">
        <v>0</v>
      </c>
      <c r="E45" s="169" t="str">
        <f>DEC2HEX(((D45)*2^15),8)</f>
        <v>00000000</v>
      </c>
      <c r="F45" s="141" t="s">
        <v>37</v>
      </c>
      <c r="G45" s="598"/>
      <c r="H45" s="598"/>
      <c r="I45" s="598"/>
      <c r="J45" s="601"/>
      <c r="K45" s="18"/>
    </row>
    <row r="46" spans="1:37" ht="92.4" x14ac:dyDescent="0.25">
      <c r="B46" s="58" t="s">
        <v>119</v>
      </c>
      <c r="C46" s="60" t="s">
        <v>0</v>
      </c>
      <c r="D46" s="134">
        <f>IF(C28= 32, 0, 1)</f>
        <v>0</v>
      </c>
      <c r="E46" s="169" t="str">
        <f>DEC2HEX(((D46)*2^12),8)</f>
        <v>00000000</v>
      </c>
      <c r="F46" s="141" t="s">
        <v>204</v>
      </c>
      <c r="G46" s="598"/>
      <c r="H46" s="598"/>
      <c r="I46" s="598"/>
      <c r="J46" s="601"/>
      <c r="K46" s="18"/>
    </row>
    <row r="47" spans="1:37" ht="79.2" x14ac:dyDescent="0.25">
      <c r="B47" s="58" t="s">
        <v>120</v>
      </c>
      <c r="C47" s="60" t="s">
        <v>0</v>
      </c>
      <c r="D47" s="135">
        <v>0</v>
      </c>
      <c r="E47" s="169" t="str">
        <f>DEC2HEX(((D47)*2^9),8)</f>
        <v>00000000</v>
      </c>
      <c r="F47" s="141" t="s">
        <v>216</v>
      </c>
      <c r="G47" s="598"/>
      <c r="H47" s="598"/>
      <c r="I47" s="598"/>
      <c r="J47" s="601"/>
      <c r="K47" s="18"/>
    </row>
    <row r="48" spans="1:37" ht="52.8" x14ac:dyDescent="0.25">
      <c r="B48" s="58" t="s">
        <v>121</v>
      </c>
      <c r="C48" s="60" t="s">
        <v>0</v>
      </c>
      <c r="D48" s="135">
        <v>0</v>
      </c>
      <c r="E48" s="169" t="str">
        <f>DEC2HEX(((D48)*2^8),8)</f>
        <v>00000000</v>
      </c>
      <c r="F48" s="141" t="s">
        <v>163</v>
      </c>
      <c r="G48" s="598"/>
      <c r="H48" s="598"/>
      <c r="I48" s="598"/>
      <c r="J48" s="601"/>
      <c r="K48" s="18"/>
    </row>
    <row r="49" spans="1:12" ht="92.4" x14ac:dyDescent="0.25">
      <c r="B49" s="58" t="s">
        <v>209</v>
      </c>
      <c r="C49" s="60" t="s">
        <v>0</v>
      </c>
      <c r="D49" s="168">
        <f>IF(C17 = "lpddr4",1,0)</f>
        <v>1</v>
      </c>
      <c r="E49" s="169" t="str">
        <f>DEC2HEX(((D49)*2^5),8)</f>
        <v>00000020</v>
      </c>
      <c r="F49" s="141" t="s">
        <v>217</v>
      </c>
      <c r="G49" s="598"/>
      <c r="H49" s="598"/>
      <c r="I49" s="598"/>
      <c r="J49" s="601"/>
      <c r="K49" s="18"/>
    </row>
    <row r="50" spans="1:12" ht="92.4" x14ac:dyDescent="0.25">
      <c r="B50" s="58" t="s">
        <v>210</v>
      </c>
      <c r="C50" s="60" t="s">
        <v>0</v>
      </c>
      <c r="D50" s="168">
        <f>IF(C17 = "ddr4",1,0)</f>
        <v>0</v>
      </c>
      <c r="E50" s="169" t="str">
        <f>DEC2HEX(((D50)*2^4),8)</f>
        <v>00000000</v>
      </c>
      <c r="F50" s="141" t="s">
        <v>218</v>
      </c>
      <c r="G50" s="598"/>
      <c r="H50" s="598"/>
      <c r="I50" s="598"/>
      <c r="J50" s="601"/>
      <c r="K50" s="18"/>
    </row>
    <row r="51" spans="1:12" ht="92.4" x14ac:dyDescent="0.25">
      <c r="B51" s="58" t="s">
        <v>35</v>
      </c>
      <c r="C51" s="60" t="s">
        <v>0</v>
      </c>
      <c r="D51" s="168">
        <f>IF(C17 = "lpddr3",1,0)</f>
        <v>0</v>
      </c>
      <c r="E51" s="169" t="str">
        <f>DEC2HEX(((D51)*2^3),8)</f>
        <v>00000000</v>
      </c>
      <c r="F51" s="141" t="s">
        <v>123</v>
      </c>
      <c r="G51" s="598"/>
      <c r="H51" s="598"/>
      <c r="I51" s="598"/>
      <c r="J51" s="601"/>
      <c r="K51" s="18"/>
    </row>
    <row r="52" spans="1:12" ht="92.4" x14ac:dyDescent="0.25">
      <c r="B52" s="58" t="s">
        <v>13</v>
      </c>
      <c r="C52" s="60" t="s">
        <v>0</v>
      </c>
      <c r="D52" s="168">
        <f>IF(C17 = "lpddr2",1,0)</f>
        <v>0</v>
      </c>
      <c r="E52" s="169" t="str">
        <f>DEC2HEX(((D52)*2^2),8)</f>
        <v>00000000</v>
      </c>
      <c r="F52" s="141" t="s">
        <v>124</v>
      </c>
      <c r="G52" s="598"/>
      <c r="H52" s="598"/>
      <c r="I52" s="598"/>
      <c r="J52" s="601"/>
      <c r="K52" s="18"/>
    </row>
    <row r="53" spans="1:12" ht="93" thickBot="1" x14ac:dyDescent="0.3">
      <c r="B53" s="59" t="s">
        <v>122</v>
      </c>
      <c r="C53" s="62" t="s">
        <v>0</v>
      </c>
      <c r="D53" s="120">
        <f>IF(C17 = "ddr3",1,0)</f>
        <v>0</v>
      </c>
      <c r="E53" s="170" t="str">
        <f>DEC2HEX(((D53)*2^0),8)</f>
        <v>00000000</v>
      </c>
      <c r="F53" s="145" t="s">
        <v>125</v>
      </c>
      <c r="G53" s="599"/>
      <c r="H53" s="599"/>
      <c r="I53" s="599"/>
      <c r="J53" s="602"/>
      <c r="K53" s="18"/>
    </row>
    <row r="54" spans="1:12" ht="15" thickBot="1" x14ac:dyDescent="0.3">
      <c r="B54" s="75"/>
      <c r="C54" s="76"/>
      <c r="D54" s="124"/>
      <c r="E54" s="36"/>
      <c r="F54" s="72"/>
      <c r="G54" s="75"/>
      <c r="H54" s="75"/>
      <c r="I54" s="75"/>
      <c r="J54" s="75"/>
      <c r="K54" s="18"/>
    </row>
    <row r="55" spans="1:12" ht="13.8" thickBot="1" x14ac:dyDescent="0.3">
      <c r="B55" s="589" t="s">
        <v>164</v>
      </c>
      <c r="C55" s="590"/>
      <c r="D55" s="590"/>
      <c r="E55" s="590"/>
      <c r="F55" s="590"/>
      <c r="G55" s="590"/>
      <c r="H55" s="590"/>
      <c r="I55" s="590"/>
      <c r="J55" s="591"/>
      <c r="K55" s="18"/>
      <c r="L55" s="65"/>
    </row>
    <row r="56" spans="1:12" ht="39.6" x14ac:dyDescent="0.25">
      <c r="B56" s="57" t="s">
        <v>165</v>
      </c>
      <c r="C56" s="64" t="s">
        <v>0</v>
      </c>
      <c r="D56" s="56">
        <v>0</v>
      </c>
      <c r="E56" s="306" t="str">
        <f>DEC2HEX(((D56)*2^8),8)</f>
        <v>00000000</v>
      </c>
      <c r="F56" s="142" t="s">
        <v>101</v>
      </c>
      <c r="G56" s="564" t="s">
        <v>57</v>
      </c>
      <c r="H56" s="564" t="str">
        <f>"0x"&amp;DEC2HEX((HEX2DEC(C31)+512), 8)</f>
        <v>0x5C000200</v>
      </c>
      <c r="I56" s="564" t="str">
        <f>"0x"&amp;DEC2HEX((HEX2DEC(C32)+512), 8)</f>
        <v>0x5C100200</v>
      </c>
      <c r="J56" s="565" t="str">
        <f>"0x"&amp;DEC2HEX((HEX2DEC(E56)+HEX2DEC(E57)), 8)</f>
        <v>0x00000007</v>
      </c>
      <c r="K56" s="18"/>
      <c r="L56" s="65"/>
    </row>
    <row r="57" spans="1:12" ht="91.5" customHeight="1" thickBot="1" x14ac:dyDescent="0.3">
      <c r="B57" s="59" t="s">
        <v>166</v>
      </c>
      <c r="C57" s="62" t="s">
        <v>0</v>
      </c>
      <c r="D57" s="139">
        <f>IF(C22=1,31,(IF(C28=32,7,6)))</f>
        <v>7</v>
      </c>
      <c r="E57" s="307" t="str">
        <f>DEC2HEX(((D57)*2^0),8)</f>
        <v>00000007</v>
      </c>
      <c r="F57" s="145" t="s">
        <v>82</v>
      </c>
      <c r="G57" s="547"/>
      <c r="H57" s="547"/>
      <c r="I57" s="547"/>
      <c r="J57" s="550"/>
      <c r="K57" s="18"/>
      <c r="L57" s="65"/>
    </row>
    <row r="58" spans="1:12" ht="3" customHeight="1" thickBot="1" x14ac:dyDescent="0.3">
      <c r="B58" s="68"/>
      <c r="C58" s="69"/>
      <c r="D58" s="70"/>
      <c r="E58" s="71"/>
      <c r="F58" s="148"/>
      <c r="G58" s="36"/>
      <c r="H58" s="36"/>
      <c r="I58" s="36"/>
      <c r="J58" s="54"/>
      <c r="K58" s="18"/>
      <c r="L58" s="65"/>
    </row>
    <row r="59" spans="1:12" ht="86.25" customHeight="1" x14ac:dyDescent="0.25">
      <c r="B59" s="57" t="s">
        <v>167</v>
      </c>
      <c r="C59" s="64" t="s">
        <v>0</v>
      </c>
      <c r="D59" s="121">
        <f>D61</f>
        <v>8</v>
      </c>
      <c r="E59" s="51" t="str">
        <f>DEC2HEX(((D59)*2^16),8)</f>
        <v>00080000</v>
      </c>
      <c r="F59" s="142" t="s">
        <v>83</v>
      </c>
      <c r="G59" s="564" t="s">
        <v>58</v>
      </c>
      <c r="H59" s="564" t="str">
        <f>"0x"&amp;DEC2HEX((HEX2DEC(C31)+516), 8)</f>
        <v>0x5C000204</v>
      </c>
      <c r="I59" s="564" t="str">
        <f>"0x"&amp;DEC2HEX((HEX2DEC(C32)+516), 8)</f>
        <v>0x5C100204</v>
      </c>
      <c r="J59" s="565" t="str">
        <f>"0x"&amp;DEC2HEX((HEX2DEC(E59)+HEX2DEC(E60)+HEX2DEC(E61)), 8)</f>
        <v>0x00080808</v>
      </c>
      <c r="K59" s="18"/>
      <c r="L59" s="65"/>
    </row>
    <row r="60" spans="1:12" ht="74.25" customHeight="1" x14ac:dyDescent="0.25">
      <c r="B60" s="74" t="s">
        <v>168</v>
      </c>
      <c r="C60" s="60" t="s">
        <v>0</v>
      </c>
      <c r="D60" s="119">
        <f>D61</f>
        <v>8</v>
      </c>
      <c r="E60" s="52" t="str">
        <f>DEC2HEX(((D60)*2^8),8)</f>
        <v>00000800</v>
      </c>
      <c r="F60" s="144" t="s">
        <v>84</v>
      </c>
      <c r="G60" s="546"/>
      <c r="H60" s="546"/>
      <c r="I60" s="546"/>
      <c r="J60" s="549"/>
      <c r="K60" s="18"/>
      <c r="L60" s="65"/>
    </row>
    <row r="61" spans="1:12" ht="76.5" customHeight="1" thickBot="1" x14ac:dyDescent="0.3">
      <c r="B61" s="59" t="s">
        <v>169</v>
      </c>
      <c r="C61" s="62" t="s">
        <v>0</v>
      </c>
      <c r="D61" s="120">
        <f>IF(C28=32, 8, 7)</f>
        <v>8</v>
      </c>
      <c r="E61" s="53" t="str">
        <f>DEC2HEX(((D61)*2^0),8)</f>
        <v>00000008</v>
      </c>
      <c r="F61" s="145" t="s">
        <v>85</v>
      </c>
      <c r="G61" s="547"/>
      <c r="H61" s="547"/>
      <c r="I61" s="547"/>
      <c r="J61" s="550"/>
      <c r="K61" s="18"/>
      <c r="L61" s="65"/>
    </row>
    <row r="62" spans="1:12" s="12" customFormat="1" ht="8.25" customHeight="1" thickBot="1" x14ac:dyDescent="0.3">
      <c r="B62" s="365"/>
      <c r="C62" s="365"/>
      <c r="D62" s="165"/>
      <c r="E62" s="366"/>
      <c r="F62" s="367"/>
      <c r="G62" s="367"/>
      <c r="H62" s="367"/>
      <c r="I62" s="368"/>
      <c r="J62" s="369"/>
    </row>
    <row r="63" spans="1:12" ht="224.4" x14ac:dyDescent="0.25">
      <c r="A63" s="6"/>
      <c r="B63" s="57" t="s">
        <v>1078</v>
      </c>
      <c r="C63" s="64" t="s">
        <v>0</v>
      </c>
      <c r="D63" s="96">
        <f>IF(C28=32, IF(C25&gt;9, 0, 31), IF(C25&gt;10, 0, 31))</f>
        <v>0</v>
      </c>
      <c r="E63" s="352" t="str">
        <f>DEC2HEX(((D63)*2^24),8)</f>
        <v>00000000</v>
      </c>
      <c r="F63" s="370" t="s">
        <v>1822</v>
      </c>
      <c r="G63" s="545" t="s">
        <v>1079</v>
      </c>
      <c r="H63" s="551" t="str">
        <f>"0x"&amp;DEC2HEX((HEX2DEC(C31)+524), 8)</f>
        <v>0x5C00020C</v>
      </c>
      <c r="I63" s="564" t="str">
        <f>"0x"&amp;DEC2HEX((HEX2DEC(C32)+524), 8)</f>
        <v>0x5C10020C</v>
      </c>
      <c r="J63" s="565" t="str">
        <f>"0x"&amp;DEC2HEX((HEX2DEC(E63)+HEX2DEC(E64)+HEX2DEC(E65)+HEX2DEC(E66)), 8)</f>
        <v>0x00000000</v>
      </c>
      <c r="K63" s="18"/>
      <c r="L63" s="65"/>
    </row>
    <row r="64" spans="1:12" ht="193.8" x14ac:dyDescent="0.25">
      <c r="A64" s="6"/>
      <c r="B64" s="58" t="s">
        <v>1080</v>
      </c>
      <c r="C64" s="60" t="s">
        <v>0</v>
      </c>
      <c r="D64" s="275">
        <f>IF(C28=32, IF(C25&gt;8, 0, 31), IF(C25&gt;9, 0, 31))</f>
        <v>0</v>
      </c>
      <c r="E64" s="353" t="str">
        <f>DEC2HEX(((D64)*2^16),8)</f>
        <v>00000000</v>
      </c>
      <c r="F64" s="371" t="s">
        <v>1823</v>
      </c>
      <c r="G64" s="546"/>
      <c r="H64" s="546"/>
      <c r="I64" s="593"/>
      <c r="J64" s="549"/>
      <c r="K64" s="18"/>
      <c r="L64" s="65"/>
    </row>
    <row r="65" spans="1:12" ht="122.4" x14ac:dyDescent="0.25">
      <c r="A65" s="6"/>
      <c r="B65" s="58" t="s">
        <v>1081</v>
      </c>
      <c r="C65" s="60" t="s">
        <v>0</v>
      </c>
      <c r="D65" s="275">
        <f>IF(C28=32, IF(C25&gt;7, 0, 31), IF(C25&gt;8, 0, 31))</f>
        <v>0</v>
      </c>
      <c r="E65" s="353" t="str">
        <f>DEC2HEX(((D65)*2^8),8)</f>
        <v>00000000</v>
      </c>
      <c r="F65" s="371" t="s">
        <v>1824</v>
      </c>
      <c r="G65" s="546"/>
      <c r="H65" s="546"/>
      <c r="I65" s="593"/>
      <c r="J65" s="549"/>
      <c r="K65" s="18"/>
      <c r="L65" s="65"/>
    </row>
    <row r="66" spans="1:12" ht="92.4" thickBot="1" x14ac:dyDescent="0.3">
      <c r="A66" s="6"/>
      <c r="B66" s="59" t="s">
        <v>1082</v>
      </c>
      <c r="C66" s="62" t="s">
        <v>0</v>
      </c>
      <c r="D66" s="180">
        <f>IF(C28=32, IF(C25&gt;6, 0, 15), IF(C25&gt;7, 0, 15))</f>
        <v>0</v>
      </c>
      <c r="E66" s="358" t="str">
        <f>DEC2HEX(((D66)*2^0),8)</f>
        <v>00000000</v>
      </c>
      <c r="F66" s="372" t="s">
        <v>1083</v>
      </c>
      <c r="G66" s="547"/>
      <c r="H66" s="547"/>
      <c r="I66" s="594"/>
      <c r="J66" s="550"/>
      <c r="K66" s="18"/>
      <c r="L66" s="65"/>
    </row>
    <row r="67" spans="1:12" ht="2.25" customHeight="1" thickBot="1" x14ac:dyDescent="0.3">
      <c r="B67" s="75"/>
      <c r="C67" s="76"/>
      <c r="D67" s="77"/>
      <c r="E67" s="36"/>
      <c r="F67" s="148"/>
      <c r="G67" s="81"/>
      <c r="H67" s="81"/>
      <c r="I67" s="81"/>
      <c r="J67" s="81"/>
      <c r="K67" s="18"/>
      <c r="L67" s="65"/>
    </row>
    <row r="68" spans="1:12" ht="118.8" x14ac:dyDescent="0.25">
      <c r="B68" s="57" t="s">
        <v>170</v>
      </c>
      <c r="C68" s="64" t="s">
        <v>0</v>
      </c>
      <c r="D68" s="122">
        <f>IF(11&lt;C25,0,15+16)</f>
        <v>31</v>
      </c>
      <c r="E68" s="51" t="str">
        <f>DEC2HEX(((D68)*2^8),8)</f>
        <v>00001F00</v>
      </c>
      <c r="F68" s="142" t="s">
        <v>695</v>
      </c>
      <c r="G68" s="545" t="s">
        <v>98</v>
      </c>
      <c r="H68" s="551" t="str">
        <f>"0x"&amp;DEC2HEX((HEX2DEC(C31)+528), 8)</f>
        <v>0x5C000210</v>
      </c>
      <c r="I68" s="551" t="str">
        <f>"0x"&amp;DEC2HEX((HEX2DEC(C32)+528), 8)</f>
        <v>0x5C100210</v>
      </c>
      <c r="J68" s="548" t="str">
        <f>"0x"&amp;DEC2HEX((HEX2DEC(E68)+HEX2DEC(E69)), 8)</f>
        <v>0x00001F1F</v>
      </c>
      <c r="K68" s="18"/>
      <c r="L68" s="65"/>
    </row>
    <row r="69" spans="1:12" ht="119.4" thickBot="1" x14ac:dyDescent="0.3">
      <c r="B69" s="59" t="s">
        <v>171</v>
      </c>
      <c r="C69" s="62" t="s">
        <v>0</v>
      </c>
      <c r="D69" s="120">
        <f>IF(10&lt;C25,0,15+16)</f>
        <v>31</v>
      </c>
      <c r="E69" s="53" t="str">
        <f>DEC2HEX(((D69)*2^0),8)</f>
        <v>0000001F</v>
      </c>
      <c r="F69" s="145" t="s">
        <v>696</v>
      </c>
      <c r="G69" s="547"/>
      <c r="H69" s="547"/>
      <c r="I69" s="547"/>
      <c r="J69" s="550"/>
      <c r="K69" s="18"/>
      <c r="L69" s="65"/>
    </row>
    <row r="70" spans="1:12" ht="3" customHeight="1" thickBot="1" x14ac:dyDescent="0.3">
      <c r="B70" s="68"/>
      <c r="C70" s="69"/>
      <c r="D70" s="70">
        <v>8</v>
      </c>
      <c r="E70" s="71"/>
      <c r="F70" s="72"/>
      <c r="G70" s="36"/>
      <c r="H70" s="36"/>
      <c r="I70" s="36"/>
      <c r="J70" s="54"/>
      <c r="K70" s="18"/>
      <c r="L70" s="65"/>
    </row>
    <row r="71" spans="1:12" ht="93" customHeight="1" x14ac:dyDescent="0.25">
      <c r="B71" s="57" t="s">
        <v>173</v>
      </c>
      <c r="C71" s="64" t="s">
        <v>0</v>
      </c>
      <c r="D71" s="122">
        <f>D74</f>
        <v>8</v>
      </c>
      <c r="E71" s="51" t="str">
        <f>DEC2HEX(((D71)*2^24),8)</f>
        <v>08000000</v>
      </c>
      <c r="F71" s="142" t="s">
        <v>86</v>
      </c>
      <c r="G71" s="564" t="s">
        <v>59</v>
      </c>
      <c r="H71" s="564" t="str">
        <f>"0x"&amp;DEC2HEX((HEX2DEC(C31)+532), 8)</f>
        <v>0x5C000214</v>
      </c>
      <c r="I71" s="564" t="str">
        <f>"0x"&amp;DEC2HEX((HEX2DEC(C32)+532), 8)</f>
        <v>0x5C100214</v>
      </c>
      <c r="J71" s="565" t="str">
        <f>"0x"&amp;DEC2HEX((HEX2DEC(E71)+HEX2DEC(E72)+HEX2DEC(E73)+HEX2DEC(E74)), 8)</f>
        <v>0x08080808</v>
      </c>
      <c r="K71" s="18"/>
      <c r="L71" s="65"/>
    </row>
    <row r="72" spans="1:12" ht="114" customHeight="1" x14ac:dyDescent="0.25">
      <c r="B72" s="58" t="s">
        <v>174</v>
      </c>
      <c r="C72" s="60" t="s">
        <v>0</v>
      </c>
      <c r="D72" s="119">
        <f>D74</f>
        <v>8</v>
      </c>
      <c r="E72" s="52" t="str">
        <f>DEC2HEX(((D72)*2^16),8)</f>
        <v>00080000</v>
      </c>
      <c r="F72" s="141" t="s">
        <v>87</v>
      </c>
      <c r="G72" s="546"/>
      <c r="H72" s="546"/>
      <c r="I72" s="546"/>
      <c r="J72" s="549"/>
      <c r="K72" s="18"/>
      <c r="L72" s="65"/>
    </row>
    <row r="73" spans="1:12" ht="79.5" customHeight="1" x14ac:dyDescent="0.25">
      <c r="B73" s="74" t="s">
        <v>175</v>
      </c>
      <c r="C73" s="60" t="s">
        <v>0</v>
      </c>
      <c r="D73" s="119">
        <f>D74</f>
        <v>8</v>
      </c>
      <c r="E73" s="52" t="str">
        <f>DEC2HEX(((D73)*2^8),8)</f>
        <v>00000800</v>
      </c>
      <c r="F73" s="144" t="s">
        <v>88</v>
      </c>
      <c r="G73" s="546"/>
      <c r="H73" s="546"/>
      <c r="I73" s="546"/>
      <c r="J73" s="549"/>
      <c r="K73" s="18"/>
      <c r="L73" s="65"/>
    </row>
    <row r="74" spans="1:12" ht="92.25" customHeight="1" thickBot="1" x14ac:dyDescent="0.3">
      <c r="B74" s="59" t="s">
        <v>176</v>
      </c>
      <c r="C74" s="62" t="s">
        <v>0</v>
      </c>
      <c r="D74" s="120">
        <f>IF(C28=32, IF(C22=2, 8, 7), IF(C22=2, 7, 6))</f>
        <v>8</v>
      </c>
      <c r="E74" s="53" t="str">
        <f>DEC2HEX(((D74)*2^0),8)</f>
        <v>00000008</v>
      </c>
      <c r="F74" s="145" t="s">
        <v>89</v>
      </c>
      <c r="G74" s="547"/>
      <c r="H74" s="547"/>
      <c r="I74" s="547"/>
      <c r="J74" s="550"/>
      <c r="K74" s="18"/>
      <c r="L74" s="65"/>
    </row>
    <row r="75" spans="1:12" ht="3" customHeight="1" thickBot="1" x14ac:dyDescent="0.3">
      <c r="B75" s="68"/>
      <c r="C75" s="69"/>
      <c r="D75" s="70"/>
      <c r="E75" s="71"/>
      <c r="F75" s="72"/>
      <c r="G75" s="36"/>
      <c r="H75" s="36"/>
      <c r="I75" s="36"/>
      <c r="J75" s="54"/>
      <c r="K75" s="18"/>
      <c r="L75" s="65"/>
    </row>
    <row r="76" spans="1:12" ht="78.75" customHeight="1" x14ac:dyDescent="0.25">
      <c r="B76" s="57" t="s">
        <v>172</v>
      </c>
      <c r="C76" s="97" t="s">
        <v>0</v>
      </c>
      <c r="D76" s="310">
        <v>0</v>
      </c>
      <c r="E76" s="354" t="str">
        <f>DEC2HEX(((D76)*2^31),8)</f>
        <v>00000000</v>
      </c>
      <c r="F76" s="142" t="s">
        <v>81</v>
      </c>
      <c r="G76" s="564" t="s">
        <v>60</v>
      </c>
      <c r="H76" s="564" t="str">
        <f>"0x"&amp;DEC2HEX((HEX2DEC(C31)+536), 8)</f>
        <v>0x5C000218</v>
      </c>
      <c r="I76" s="564" t="str">
        <f>"0x"&amp;DEC2HEX((HEX2DEC(C32)+536), 8)</f>
        <v>0x5C100218</v>
      </c>
      <c r="J76" s="565" t="str">
        <f>"0x"&amp;DEC2HEX((HEX2DEC(E76)+HEX2DEC(E77)+HEX2DEC(E78)+HEX2DEC(E79)+HEX2DEC(E80)+HEX2DEC(E81)), 8)</f>
        <v>0x48080808</v>
      </c>
      <c r="K76" s="18"/>
      <c r="L76" s="65"/>
    </row>
    <row r="77" spans="1:12" ht="132" x14ac:dyDescent="0.25">
      <c r="A77" s="6"/>
      <c r="B77" s="73" t="s">
        <v>1077</v>
      </c>
      <c r="C77" s="363" t="s">
        <v>0</v>
      </c>
      <c r="D77" s="272">
        <f>IF(OR(C20=3, C20=6), C24-14, 0)</f>
        <v>2</v>
      </c>
      <c r="E77" s="353" t="str">
        <f>DEC2HEX(((D77)*2^29),8)</f>
        <v>40000000</v>
      </c>
      <c r="F77" s="299" t="s">
        <v>1076</v>
      </c>
      <c r="G77" s="593"/>
      <c r="H77" s="593"/>
      <c r="I77" s="593"/>
      <c r="J77" s="588"/>
      <c r="K77" s="18"/>
      <c r="L77" s="65"/>
    </row>
    <row r="78" spans="1:12" ht="90" customHeight="1" x14ac:dyDescent="0.25">
      <c r="B78" s="58" t="s">
        <v>177</v>
      </c>
      <c r="C78" s="98" t="s">
        <v>0</v>
      </c>
      <c r="D78" s="364">
        <f>IF(15&lt;C24,D74,15)</f>
        <v>8</v>
      </c>
      <c r="E78" s="315" t="str">
        <f>DEC2HEX(((D78)*2^24),8)</f>
        <v>08000000</v>
      </c>
      <c r="F78" s="141" t="s">
        <v>90</v>
      </c>
      <c r="G78" s="546"/>
      <c r="H78" s="546"/>
      <c r="I78" s="546"/>
      <c r="J78" s="549"/>
      <c r="K78" s="18"/>
      <c r="L78" s="65"/>
    </row>
    <row r="79" spans="1:12" ht="86.25" customHeight="1" x14ac:dyDescent="0.25">
      <c r="B79" s="58" t="s">
        <v>178</v>
      </c>
      <c r="C79" s="98" t="s">
        <v>0</v>
      </c>
      <c r="D79" s="138">
        <f>IF(14&lt;C24,D74,15)</f>
        <v>8</v>
      </c>
      <c r="E79" s="315" t="str">
        <f>DEC2HEX(((D79)*2^16),8)</f>
        <v>00080000</v>
      </c>
      <c r="F79" s="318" t="s">
        <v>91</v>
      </c>
      <c r="G79" s="546"/>
      <c r="H79" s="546"/>
      <c r="I79" s="546"/>
      <c r="J79" s="549"/>
      <c r="K79" s="18"/>
      <c r="L79" s="65"/>
    </row>
    <row r="80" spans="1:12" ht="87" customHeight="1" x14ac:dyDescent="0.25">
      <c r="B80" s="58" t="s">
        <v>179</v>
      </c>
      <c r="C80" s="98" t="s">
        <v>0</v>
      </c>
      <c r="D80" s="320">
        <f>IF(13&lt;C24,D74,15)</f>
        <v>8</v>
      </c>
      <c r="E80" s="315" t="str">
        <f>DEC2HEX(((D80)*2^8),8)</f>
        <v>00000800</v>
      </c>
      <c r="F80" s="318" t="s">
        <v>92</v>
      </c>
      <c r="G80" s="546"/>
      <c r="H80" s="546"/>
      <c r="I80" s="546"/>
      <c r="J80" s="549"/>
      <c r="K80" s="18"/>
      <c r="L80" s="65"/>
    </row>
    <row r="81" spans="2:13" ht="89.25" customHeight="1" thickBot="1" x14ac:dyDescent="0.3">
      <c r="B81" s="59" t="s">
        <v>180</v>
      </c>
      <c r="C81" s="101" t="s">
        <v>0</v>
      </c>
      <c r="D81" s="120">
        <f>IF(12&lt;C24,D74,15)</f>
        <v>8</v>
      </c>
      <c r="E81" s="316" t="str">
        <f>DEC2HEX(((D81)*2^0),8)</f>
        <v>00000008</v>
      </c>
      <c r="F81" s="145" t="s">
        <v>93</v>
      </c>
      <c r="G81" s="547"/>
      <c r="H81" s="547"/>
      <c r="I81" s="547"/>
      <c r="J81" s="550"/>
      <c r="K81" s="18"/>
      <c r="L81" s="65"/>
    </row>
    <row r="82" spans="2:13" s="6" customFormat="1" ht="12.6" customHeight="1" x14ac:dyDescent="0.25">
      <c r="B82" s="76"/>
      <c r="C82" s="106"/>
      <c r="D82" s="124"/>
      <c r="E82" s="118"/>
      <c r="F82" s="523"/>
      <c r="G82" s="522"/>
      <c r="H82" s="522"/>
      <c r="I82" s="522"/>
      <c r="J82" s="522"/>
      <c r="K82" s="524"/>
      <c r="L82" s="525"/>
    </row>
    <row r="83" spans="2:13" ht="8.25" customHeight="1" thickBot="1" x14ac:dyDescent="0.3">
      <c r="B83" s="75"/>
      <c r="C83" s="76"/>
      <c r="D83" s="77"/>
      <c r="E83" s="36"/>
      <c r="F83" s="72"/>
      <c r="G83" s="36"/>
      <c r="H83" s="36"/>
      <c r="I83" s="36"/>
      <c r="J83" s="54"/>
      <c r="K83" s="18"/>
      <c r="L83" s="65"/>
    </row>
    <row r="84" spans="2:13" ht="40.200000000000003" thickBot="1" x14ac:dyDescent="0.3">
      <c r="B84" s="14" t="s">
        <v>79</v>
      </c>
      <c r="C84" s="14" t="s">
        <v>2</v>
      </c>
      <c r="D84" s="14" t="s">
        <v>19</v>
      </c>
      <c r="E84" s="14" t="s">
        <v>6</v>
      </c>
      <c r="F84" s="15" t="s">
        <v>1</v>
      </c>
      <c r="G84" s="35" t="s">
        <v>3</v>
      </c>
      <c r="H84" s="16" t="s">
        <v>626</v>
      </c>
      <c r="I84" s="16" t="s">
        <v>627</v>
      </c>
      <c r="J84" s="16" t="s">
        <v>4</v>
      </c>
      <c r="K84" s="18"/>
      <c r="L84" s="65"/>
    </row>
    <row r="85" spans="2:13" ht="3.75" customHeight="1" thickBot="1" x14ac:dyDescent="0.3">
      <c r="B85" s="75"/>
      <c r="C85" s="76"/>
      <c r="D85" s="77"/>
      <c r="E85" s="36"/>
      <c r="F85" s="72"/>
      <c r="G85" s="36"/>
      <c r="H85" s="36"/>
      <c r="I85" s="36"/>
      <c r="J85" s="54"/>
      <c r="K85" s="18"/>
      <c r="L85" s="65"/>
    </row>
    <row r="86" spans="2:13" ht="145.19999999999999" x14ac:dyDescent="0.25">
      <c r="B86" s="57" t="s">
        <v>633</v>
      </c>
      <c r="C86" s="97" t="s">
        <v>0</v>
      </c>
      <c r="D86" s="56">
        <v>2</v>
      </c>
      <c r="E86" s="439" t="str">
        <f>DEC2HEX(((D86)*2^20),8)</f>
        <v>00200000</v>
      </c>
      <c r="F86" s="33" t="s">
        <v>634</v>
      </c>
      <c r="G86" s="564" t="s">
        <v>632</v>
      </c>
      <c r="H86" s="564" t="str">
        <f>"0x"&amp;DEC2HEX((HEX2DEC(C31)+HEX2DEC(50)), 8)</f>
        <v>0x5C000050</v>
      </c>
      <c r="I86" s="564" t="str">
        <f>"0x"&amp;DEC2HEX((HEX2DEC(C32)+HEX2DEC(50)), 8)</f>
        <v>0x5C100050</v>
      </c>
      <c r="J86" s="565" t="str">
        <f>"0x"&amp;DEC2HEX((HEX2DEC(E86)+HEX2DEC(E87)+HEX2DEC(E88)+HEX2DEC(E89)), 8)</f>
        <v>0x0021F000</v>
      </c>
      <c r="K86" s="661"/>
      <c r="L86" s="65"/>
    </row>
    <row r="87" spans="2:13" ht="176.25" customHeight="1" x14ac:dyDescent="0.25">
      <c r="B87" s="58" t="s">
        <v>635</v>
      </c>
      <c r="C87" s="98" t="s">
        <v>0</v>
      </c>
      <c r="D87" s="135">
        <v>31</v>
      </c>
      <c r="E87" s="440" t="str">
        <f>DEC2HEX(((D87)*2^12),8)</f>
        <v>0001F000</v>
      </c>
      <c r="F87" s="17" t="s">
        <v>636</v>
      </c>
      <c r="G87" s="593"/>
      <c r="H87" s="593"/>
      <c r="I87" s="593"/>
      <c r="J87" s="588"/>
      <c r="K87" s="661"/>
      <c r="L87" s="65"/>
    </row>
    <row r="88" spans="2:13" ht="305.25" customHeight="1" x14ac:dyDescent="0.25">
      <c r="B88" s="58" t="s">
        <v>637</v>
      </c>
      <c r="C88" s="98" t="s">
        <v>0</v>
      </c>
      <c r="D88" s="277">
        <v>0</v>
      </c>
      <c r="E88" s="440" t="str">
        <f>DEC2HEX(((D88)*2^4),8)</f>
        <v>00000000</v>
      </c>
      <c r="F88" s="17" t="s">
        <v>638</v>
      </c>
      <c r="G88" s="593"/>
      <c r="H88" s="593"/>
      <c r="I88" s="593"/>
      <c r="J88" s="588"/>
      <c r="K88" s="661"/>
      <c r="L88" s="65"/>
    </row>
    <row r="89" spans="2:13" ht="106.2" thickBot="1" x14ac:dyDescent="0.3">
      <c r="B89" s="59" t="s">
        <v>639</v>
      </c>
      <c r="C89" s="101" t="s">
        <v>0</v>
      </c>
      <c r="D89" s="278">
        <v>0</v>
      </c>
      <c r="E89" s="441" t="str">
        <f>DEC2HEX(((D89)*2^2),8)</f>
        <v>00000000</v>
      </c>
      <c r="F89" s="34" t="s">
        <v>640</v>
      </c>
      <c r="G89" s="594"/>
      <c r="H89" s="594"/>
      <c r="I89" s="594"/>
      <c r="J89" s="592"/>
      <c r="K89" s="661"/>
      <c r="L89" s="65"/>
    </row>
    <row r="90" spans="2:13" ht="14.25" customHeight="1" thickBot="1" x14ac:dyDescent="0.3">
      <c r="B90" s="75"/>
      <c r="C90" s="76"/>
      <c r="D90" s="77"/>
      <c r="E90" s="36"/>
      <c r="F90" s="72"/>
      <c r="G90" s="36"/>
      <c r="H90" s="36"/>
      <c r="I90" s="36"/>
      <c r="J90" s="54"/>
      <c r="K90" s="18"/>
      <c r="L90" s="65"/>
    </row>
    <row r="91" spans="2:13" ht="330" x14ac:dyDescent="0.25">
      <c r="B91" s="136" t="s">
        <v>139</v>
      </c>
      <c r="C91" s="416">
        <f>IF((G28 = "Apply maximum de-rate timings"), ROUNDDOWN(3904/4, 0), 3904)</f>
        <v>3904</v>
      </c>
      <c r="D91" s="122">
        <f>ROUNDDOWN(((C91/C30)/64), 0)</f>
        <v>97</v>
      </c>
      <c r="E91" s="439" t="str">
        <f>DEC2HEX(((D91)*2^16),8)</f>
        <v>00610000</v>
      </c>
      <c r="F91" s="146" t="s">
        <v>726</v>
      </c>
      <c r="G91" s="564" t="s">
        <v>38</v>
      </c>
      <c r="H91" s="564" t="str">
        <f>"0x"&amp;DEC2HEX((HEX2DEC(C31)+HEX2DEC(64)), 8)</f>
        <v>0x5C000064</v>
      </c>
      <c r="I91" s="564" t="str">
        <f>"0x"&amp;DEC2HEX((HEX2DEC(C32)+HEX2DEC(64)), 8)</f>
        <v>0x5C100064</v>
      </c>
      <c r="J91" s="565" t="str">
        <f>"0x"&amp;DEC2HEX((HEX2DEC(E91)+HEX2DEC(E92)), 8)</f>
        <v>0x006100E0</v>
      </c>
      <c r="K91" s="449"/>
      <c r="L91" s="65"/>
    </row>
    <row r="92" spans="2:13" ht="225" thickBot="1" x14ac:dyDescent="0.3">
      <c r="B92" s="158" t="s">
        <v>140</v>
      </c>
      <c r="C92" s="180">
        <f>IF(C20&lt;3, 130, IF(C20&lt;6, 180, IF(C20&lt;12, 280, 380)))</f>
        <v>280</v>
      </c>
      <c r="D92" s="120">
        <f>ROUNDUP((C92/C30/2),0)</f>
        <v>224</v>
      </c>
      <c r="E92" s="441" t="str">
        <f>DEC2HEX(((D92)*2^0),8)</f>
        <v>000000E0</v>
      </c>
      <c r="F92" s="147" t="s">
        <v>727</v>
      </c>
      <c r="G92" s="547"/>
      <c r="H92" s="547"/>
      <c r="I92" s="547"/>
      <c r="J92" s="550"/>
      <c r="K92" s="449"/>
      <c r="L92" s="65"/>
    </row>
    <row r="93" spans="2:13" ht="9" customHeight="1" thickBot="1" x14ac:dyDescent="0.3">
      <c r="B93" s="75"/>
      <c r="C93" s="76"/>
      <c r="D93" s="77"/>
      <c r="E93" s="36"/>
      <c r="F93" s="72"/>
      <c r="G93" s="36"/>
      <c r="H93" s="36"/>
      <c r="I93" s="36"/>
      <c r="J93" s="54"/>
      <c r="K93" s="18"/>
      <c r="L93" s="65"/>
    </row>
    <row r="94" spans="2:13" ht="13.8" thickBot="1" x14ac:dyDescent="0.3">
      <c r="B94" s="585" t="s">
        <v>220</v>
      </c>
      <c r="C94" s="586"/>
      <c r="D94" s="586"/>
      <c r="E94" s="586"/>
      <c r="F94" s="586"/>
      <c r="G94" s="586"/>
      <c r="H94" s="586"/>
      <c r="I94" s="586"/>
      <c r="J94" s="587"/>
      <c r="K94" s="18"/>
      <c r="L94" s="65"/>
    </row>
    <row r="95" spans="2:13" ht="127.5" customHeight="1" x14ac:dyDescent="0.25">
      <c r="B95" s="57" t="s">
        <v>102</v>
      </c>
      <c r="C95" s="64" t="s">
        <v>0</v>
      </c>
      <c r="D95" s="56">
        <v>1</v>
      </c>
      <c r="E95" s="439" t="str">
        <f>DEC2HEX(((D95)*2^30),8)</f>
        <v>40000000</v>
      </c>
      <c r="F95" s="142" t="s">
        <v>94</v>
      </c>
      <c r="G95" s="603" t="s">
        <v>41</v>
      </c>
      <c r="H95" s="603" t="str">
        <f>"0x"&amp;DEC2HEX((HEX2DEC(C31)+208), 8)</f>
        <v>0x5C0000D0</v>
      </c>
      <c r="I95" s="603" t="str">
        <f>"0x"&amp;DEC2HEX((HEX2DEC(C32)+208), 8)</f>
        <v>0x5C1000D0</v>
      </c>
      <c r="J95" s="606" t="str">
        <f>"0x"&amp;DEC2HEX((HEX2DEC(E95)+HEX2DEC(E96)+HEX2DEC(E97)), 8)</f>
        <v>0x4003061C</v>
      </c>
      <c r="K95" s="18"/>
    </row>
    <row r="96" spans="2:13" ht="277.2" x14ac:dyDescent="0.25">
      <c r="B96" s="58" t="s">
        <v>103</v>
      </c>
      <c r="C96" s="60">
        <v>2000</v>
      </c>
      <c r="D96" s="168">
        <f>ROUNDUP(((C96/C30)/2/1024+1),0)</f>
        <v>3</v>
      </c>
      <c r="E96" s="440" t="str">
        <f>DEC2HEX(((D96)*2^16),8)</f>
        <v>00030000</v>
      </c>
      <c r="F96" s="141" t="s">
        <v>1250</v>
      </c>
      <c r="G96" s="536"/>
      <c r="H96" s="536"/>
      <c r="I96" s="536"/>
      <c r="J96" s="543"/>
      <c r="K96" s="448"/>
      <c r="L96" s="271"/>
      <c r="M96" s="449"/>
    </row>
    <row r="97" spans="1:13" ht="172.2" thickBot="1" x14ac:dyDescent="0.3">
      <c r="B97" s="59" t="s">
        <v>104</v>
      </c>
      <c r="C97" s="62">
        <v>2000000</v>
      </c>
      <c r="D97" s="125">
        <f>ROUNDUP(((C97/C30)/2/1024 + 1),0)</f>
        <v>1564</v>
      </c>
      <c r="E97" s="441" t="str">
        <f>DEC2HEX(((D97)*2^0),8)</f>
        <v>0000061C</v>
      </c>
      <c r="F97" s="145" t="s">
        <v>728</v>
      </c>
      <c r="G97" s="537"/>
      <c r="H97" s="537"/>
      <c r="I97" s="537"/>
      <c r="J97" s="544"/>
      <c r="K97" s="573"/>
      <c r="L97" s="573"/>
      <c r="M97" s="12"/>
    </row>
    <row r="98" spans="1:13" ht="8.25" customHeight="1" thickBot="1" x14ac:dyDescent="0.3">
      <c r="B98" s="68"/>
      <c r="C98" s="69"/>
      <c r="D98" s="70"/>
      <c r="E98" s="71"/>
      <c r="F98" s="72"/>
      <c r="G98" s="36"/>
      <c r="H98" s="36"/>
      <c r="I98" s="36"/>
      <c r="J98" s="54"/>
      <c r="K98" s="18"/>
      <c r="L98" s="271"/>
    </row>
    <row r="99" spans="1:13" ht="118.8" x14ac:dyDescent="0.25">
      <c r="B99" s="57" t="s">
        <v>137</v>
      </c>
      <c r="C99" s="64">
        <v>200000</v>
      </c>
      <c r="D99" s="96">
        <f>ROUNDUP((C99/C30/1024/2 + 1), 0)</f>
        <v>158</v>
      </c>
      <c r="E99" s="439" t="str">
        <f>DEC2HEX(((D99)*2^16),8)</f>
        <v>009E0000</v>
      </c>
      <c r="F99" s="142" t="s">
        <v>693</v>
      </c>
      <c r="G99" s="564" t="s">
        <v>40</v>
      </c>
      <c r="H99" s="564" t="str">
        <f>"0x"&amp;DEC2HEX((HEX2DEC(C31)+212), 8)</f>
        <v>0x5C0000D4</v>
      </c>
      <c r="I99" s="564" t="str">
        <f>"0x"&amp;DEC2HEX((HEX2DEC(C32)+212), 8)</f>
        <v>0x5C1000D4</v>
      </c>
      <c r="J99" s="565" t="str">
        <f>"0x"&amp;DEC2HEX((HEX2DEC(E99)+HEX2DEC(E100)), 8)</f>
        <v>0x009E0000</v>
      </c>
      <c r="K99" s="573"/>
      <c r="L99" s="573"/>
    </row>
    <row r="100" spans="1:13" ht="80.25" customHeight="1" thickBot="1" x14ac:dyDescent="0.3">
      <c r="B100" s="59" t="s">
        <v>138</v>
      </c>
      <c r="C100" s="62" t="s">
        <v>0</v>
      </c>
      <c r="D100" s="63">
        <v>0</v>
      </c>
      <c r="E100" s="441" t="str">
        <f>DEC2HEX(((D100)*2^0),8)</f>
        <v>00000000</v>
      </c>
      <c r="F100" s="145" t="s">
        <v>39</v>
      </c>
      <c r="G100" s="547"/>
      <c r="H100" s="547"/>
      <c r="I100" s="547"/>
      <c r="J100" s="550"/>
      <c r="K100" s="18"/>
    </row>
    <row r="101" spans="1:13" ht="7.5" customHeight="1" x14ac:dyDescent="0.25">
      <c r="B101" s="68"/>
      <c r="C101" s="69"/>
      <c r="D101" s="70"/>
      <c r="E101" s="71"/>
      <c r="F101" s="72"/>
      <c r="G101" s="36"/>
      <c r="H101" s="36"/>
      <c r="I101" s="36"/>
      <c r="J101" s="54"/>
      <c r="K101" s="18"/>
    </row>
    <row r="102" spans="1:13" ht="7.5" customHeight="1" thickBot="1" x14ac:dyDescent="0.3">
      <c r="B102" s="68"/>
      <c r="C102" s="69"/>
      <c r="D102" s="70"/>
      <c r="E102" s="71"/>
      <c r="F102" s="72"/>
      <c r="G102" s="36"/>
      <c r="H102" s="36"/>
      <c r="I102" s="36"/>
      <c r="J102" s="54"/>
      <c r="K102" s="18"/>
    </row>
    <row r="103" spans="1:13" ht="13.8" thickBot="1" x14ac:dyDescent="0.3">
      <c r="B103" s="680" t="s">
        <v>182</v>
      </c>
      <c r="C103" s="681"/>
      <c r="D103" s="681"/>
      <c r="E103" s="681"/>
      <c r="F103" s="681"/>
      <c r="G103" s="681"/>
      <c r="H103" s="681"/>
      <c r="I103" s="681"/>
      <c r="J103" s="682"/>
      <c r="K103" s="18"/>
    </row>
    <row r="104" spans="1:13" ht="316.8" x14ac:dyDescent="0.25">
      <c r="A104" s="6"/>
      <c r="B104" s="57" t="s">
        <v>183</v>
      </c>
      <c r="C104" s="97">
        <v>6</v>
      </c>
      <c r="D104" s="134">
        <f>(C104)</f>
        <v>6</v>
      </c>
      <c r="E104" s="51" t="str">
        <f>DEC2HEX(((D104)*2^8),8)</f>
        <v>00000600</v>
      </c>
      <c r="F104" s="146" t="s">
        <v>1073</v>
      </c>
      <c r="G104" s="564" t="s">
        <v>44</v>
      </c>
      <c r="H104" s="564" t="str">
        <f>"0x"&amp;DEC2HEX((HEX2DEC(C31)+244), 8)</f>
        <v>0x5C0000F4</v>
      </c>
      <c r="I104" s="564" t="str">
        <f>"0x"&amp;DEC2HEX((HEX2DEC(C32)+244), 8)</f>
        <v>0x5C1000F4</v>
      </c>
      <c r="J104" s="565" t="str">
        <f>"0x"&amp;DEC2HEX((HEX2DEC(E104)+HEX2DEC(E105)+HEX2DEC(E106)), 8)</f>
        <v>0x0000066F</v>
      </c>
      <c r="K104" s="18"/>
    </row>
    <row r="105" spans="1:13" ht="264" x14ac:dyDescent="0.25">
      <c r="A105" s="6"/>
      <c r="B105" s="58" t="s">
        <v>184</v>
      </c>
      <c r="C105" s="98">
        <v>5</v>
      </c>
      <c r="D105" s="134">
        <f>(C105+1)</f>
        <v>6</v>
      </c>
      <c r="E105" s="52" t="str">
        <f>DEC2HEX(((D105)*2^4),8)</f>
        <v>00000060</v>
      </c>
      <c r="F105" s="276" t="s">
        <v>1074</v>
      </c>
      <c r="G105" s="546"/>
      <c r="H105" s="546"/>
      <c r="I105" s="546"/>
      <c r="J105" s="549"/>
      <c r="K105" s="18"/>
    </row>
    <row r="106" spans="1:13" ht="304.5" customHeight="1" thickBot="1" x14ac:dyDescent="0.3">
      <c r="B106" s="59" t="s">
        <v>185</v>
      </c>
      <c r="C106" s="62" t="s">
        <v>0</v>
      </c>
      <c r="D106" s="63">
        <v>15</v>
      </c>
      <c r="E106" s="53" t="str">
        <f>DEC2HEX(((D106)*2^0),8)</f>
        <v>0000000F</v>
      </c>
      <c r="F106" s="147" t="s">
        <v>95</v>
      </c>
      <c r="G106" s="547"/>
      <c r="H106" s="547"/>
      <c r="I106" s="547"/>
      <c r="J106" s="550"/>
      <c r="K106" s="18"/>
    </row>
    <row r="107" spans="1:13" ht="9" customHeight="1" thickBot="1" x14ac:dyDescent="0.3">
      <c r="B107" s="68"/>
      <c r="C107" s="69"/>
      <c r="D107" s="70"/>
      <c r="E107" s="71"/>
      <c r="F107" s="72"/>
      <c r="G107" s="36"/>
      <c r="H107" s="36"/>
      <c r="I107" s="36"/>
      <c r="J107" s="54"/>
      <c r="K107" s="18"/>
    </row>
    <row r="108" spans="1:13" ht="250.8" x14ac:dyDescent="0.25">
      <c r="B108" s="57" t="s">
        <v>186</v>
      </c>
      <c r="C108" s="96">
        <f>MAX(18/C30, 6)</f>
        <v>28.8</v>
      </c>
      <c r="D108" s="55">
        <f>ROUNDUP((1+C119+D44+ROUNDUP((C108),0))/2, 0)</f>
        <v>26</v>
      </c>
      <c r="E108" s="439" t="str">
        <f>DEC2HEX(((D108)*2^24),8)</f>
        <v>1A000000</v>
      </c>
      <c r="F108" s="142" t="s">
        <v>1815</v>
      </c>
      <c r="G108" s="564" t="s">
        <v>45</v>
      </c>
      <c r="H108" s="564" t="str">
        <f>"0x"&amp;DEC2HEX((HEX2DEC(C31)+256), 8)</f>
        <v>0x5C000100</v>
      </c>
      <c r="I108" s="564" t="str">
        <f>"0x"&amp;DEC2HEX((HEX2DEC(C32)+256), 8)</f>
        <v>0x5C100100</v>
      </c>
      <c r="J108" s="565" t="str">
        <f>"0x"&amp;DEC2HEX((HEX2DEC(E108)+HEX2DEC(E109)+HEX2DEC(E110)+HEX2DEC(E111)), 8)</f>
        <v>0x1A201B22</v>
      </c>
      <c r="K108" s="86"/>
      <c r="L108" s="25"/>
    </row>
    <row r="109" spans="1:13" ht="132" x14ac:dyDescent="0.25">
      <c r="B109" s="73" t="s">
        <v>187</v>
      </c>
      <c r="C109" s="417">
        <v>40</v>
      </c>
      <c r="D109" s="168">
        <f>ROUNDUP(((C109/C30)/2),0)</f>
        <v>32</v>
      </c>
      <c r="E109" s="67" t="str">
        <f>DEC2HEX(((D109)*2^16),8)</f>
        <v>00200000</v>
      </c>
      <c r="F109" s="299" t="s">
        <v>1816</v>
      </c>
      <c r="G109" s="593"/>
      <c r="H109" s="593"/>
      <c r="I109" s="593"/>
      <c r="J109" s="588"/>
      <c r="K109" s="464"/>
      <c r="L109" s="25"/>
    </row>
    <row r="110" spans="1:13" ht="118.8" x14ac:dyDescent="0.25">
      <c r="B110" s="58" t="s">
        <v>188</v>
      </c>
      <c r="C110" s="275">
        <f>IF(C17="DDR3", 9*C91, IF(C17="LPDDR4", (9*C91), 70000))</f>
        <v>35136</v>
      </c>
      <c r="D110" s="320">
        <f>ROUNDDOWN(((C110/C30 - 1)/2/1024),0)</f>
        <v>27</v>
      </c>
      <c r="E110" s="440" t="str">
        <f>DEC2HEX(((D110)*2^8),8)</f>
        <v>00001B00</v>
      </c>
      <c r="F110" s="141" t="s">
        <v>729</v>
      </c>
      <c r="G110" s="546"/>
      <c r="H110" s="546"/>
      <c r="I110" s="546"/>
      <c r="J110" s="549"/>
      <c r="K110" s="18"/>
      <c r="L110" s="25"/>
    </row>
    <row r="111" spans="1:13" ht="106.2" thickBot="1" x14ac:dyDescent="0.3">
      <c r="B111" s="158" t="s">
        <v>189</v>
      </c>
      <c r="C111" s="180">
        <f>IF(G28 = "Apply maximum de-rate timings", MAX((42+1.875)/C30, 3), MAX(42/C30, 3))</f>
        <v>67.2</v>
      </c>
      <c r="D111" s="167">
        <f>ROUNDUP((C111)/2,0)</f>
        <v>34</v>
      </c>
      <c r="E111" s="163" t="str">
        <f>DEC2HEX(((D111)*2^0),8)</f>
        <v>00000022</v>
      </c>
      <c r="F111" s="166" t="s">
        <v>1817</v>
      </c>
      <c r="G111" s="547"/>
      <c r="H111" s="547"/>
      <c r="I111" s="547"/>
      <c r="J111" s="550"/>
      <c r="K111" s="18"/>
    </row>
    <row r="112" spans="1:13" ht="10.5" customHeight="1" thickBot="1" x14ac:dyDescent="0.3">
      <c r="B112" s="68"/>
      <c r="C112" s="69"/>
      <c r="D112" s="70"/>
      <c r="E112" s="71"/>
      <c r="F112" s="72"/>
      <c r="G112" s="36"/>
      <c r="H112" s="36"/>
      <c r="I112" s="36"/>
      <c r="J112" s="54"/>
      <c r="K112" s="18"/>
    </row>
    <row r="113" spans="1:15" ht="165.75" customHeight="1" x14ac:dyDescent="0.25">
      <c r="B113" s="57" t="s">
        <v>111</v>
      </c>
      <c r="C113" s="96">
        <f>MAX(7.5/C30, 5)</f>
        <v>12</v>
      </c>
      <c r="D113" s="122">
        <f>ROUNDUP((C113)/2, 0)</f>
        <v>6</v>
      </c>
      <c r="E113" s="439" t="str">
        <f>DEC2HEX(((D113)*2^16),8)</f>
        <v>00060000</v>
      </c>
      <c r="F113" s="146" t="s">
        <v>1818</v>
      </c>
      <c r="G113" s="603" t="s">
        <v>46</v>
      </c>
      <c r="H113" s="603" t="str">
        <f>"0x"&amp;DEC2HEX((HEX2DEC(C31)+260), 8)</f>
        <v>0x5C000104</v>
      </c>
      <c r="I113" s="603" t="str">
        <f>"0x"&amp;DEC2HEX((HEX2DEC(C32)+260), 8)</f>
        <v>0x5C100104</v>
      </c>
      <c r="J113" s="677" t="str">
        <f>"0x"&amp;DEC2HEX((HEX2DEC(E113)+HEX2DEC(E114)+HEX2DEC(E115)), 8)</f>
        <v>0x00060633</v>
      </c>
      <c r="K113" s="449"/>
    </row>
    <row r="114" spans="1:15" ht="250.8" x14ac:dyDescent="0.25">
      <c r="B114" s="58" t="s">
        <v>112</v>
      </c>
      <c r="C114" s="275">
        <f>MAX(7.5/C30, 8)</f>
        <v>12</v>
      </c>
      <c r="D114" s="168">
        <f>ROUNDUP((C114)/2,0)</f>
        <v>6</v>
      </c>
      <c r="E114" s="440" t="str">
        <f>DEC2HEX(((D114)*2^8),8)</f>
        <v>00000600</v>
      </c>
      <c r="F114" s="178" t="s">
        <v>1829</v>
      </c>
      <c r="G114" s="604"/>
      <c r="H114" s="604"/>
      <c r="I114" s="604"/>
      <c r="J114" s="678"/>
      <c r="K114" s="449"/>
    </row>
    <row r="115" spans="1:15" ht="115.5" customHeight="1" thickBot="1" x14ac:dyDescent="0.3">
      <c r="B115" s="59" t="s">
        <v>641</v>
      </c>
      <c r="C115" s="180">
        <f>IF(G28 = "Apply maximum de-rate timings", MAX((21+1.875)/C30, 4), MAX(21/C30, 4))</f>
        <v>33.6</v>
      </c>
      <c r="D115" s="180">
        <f xml:space="preserve"> ROUNDUP(((C115+C111)/2),0)</f>
        <v>51</v>
      </c>
      <c r="E115" s="441" t="str">
        <f>DEC2HEX(((D115)*2^0),8)</f>
        <v>00000033</v>
      </c>
      <c r="F115" s="147" t="s">
        <v>1830</v>
      </c>
      <c r="G115" s="605"/>
      <c r="H115" s="605"/>
      <c r="I115" s="605"/>
      <c r="J115" s="679"/>
      <c r="K115" s="18"/>
    </row>
    <row r="116" spans="1:15" ht="13.8" thickBot="1" x14ac:dyDescent="0.3">
      <c r="B116" s="75"/>
      <c r="C116" s="99"/>
      <c r="D116" s="77"/>
      <c r="E116" s="36"/>
      <c r="F116" s="72"/>
      <c r="G116" s="81"/>
      <c r="H116" s="81"/>
      <c r="I116" s="81"/>
      <c r="J116" s="81"/>
      <c r="K116" s="18"/>
    </row>
    <row r="117" spans="1:15" ht="53.4" thickBot="1" x14ac:dyDescent="0.3">
      <c r="B117" s="14" t="s">
        <v>79</v>
      </c>
      <c r="C117" s="16" t="s">
        <v>106</v>
      </c>
      <c r="D117" s="100" t="s">
        <v>190</v>
      </c>
      <c r="E117" s="14" t="s">
        <v>6</v>
      </c>
      <c r="F117" s="15" t="s">
        <v>1</v>
      </c>
      <c r="G117" s="35" t="s">
        <v>3</v>
      </c>
      <c r="H117" s="16" t="s">
        <v>626</v>
      </c>
      <c r="I117" s="16" t="s">
        <v>627</v>
      </c>
      <c r="J117" s="16" t="s">
        <v>4</v>
      </c>
      <c r="K117" s="18"/>
    </row>
    <row r="118" spans="1:15" ht="13.8" thickBot="1" x14ac:dyDescent="0.3">
      <c r="B118" s="392"/>
      <c r="C118" s="396"/>
      <c r="D118" s="393"/>
      <c r="E118" s="394"/>
      <c r="F118" s="395"/>
      <c r="G118" s="396"/>
      <c r="H118" s="396"/>
      <c r="I118" s="396"/>
      <c r="J118" s="476"/>
      <c r="K118" s="667"/>
      <c r="L118" s="667"/>
    </row>
    <row r="119" spans="1:15" ht="211.2" x14ac:dyDescent="0.25">
      <c r="A119" s="6"/>
      <c r="B119" s="57" t="s">
        <v>109</v>
      </c>
      <c r="C119" s="244">
        <f>IF(C29&lt;801, 8, IF(C29&lt;1067, 10, IF(C29&lt;1334, 12, 14)))</f>
        <v>14</v>
      </c>
      <c r="D119" s="122">
        <f>ROUNDUP((C119/2), 0)</f>
        <v>7</v>
      </c>
      <c r="E119" s="439" t="str">
        <f>DEC2HEX(((D119)*2^24),8)</f>
        <v>07000000</v>
      </c>
      <c r="F119" s="142" t="s">
        <v>1075</v>
      </c>
      <c r="G119" s="564" t="s">
        <v>47</v>
      </c>
      <c r="H119" s="564" t="str">
        <f>"0x"&amp;DEC2HEX((HEX2DEC(C31)+264), 8)</f>
        <v>0x5C000108</v>
      </c>
      <c r="I119" s="564" t="str">
        <f>"0x"&amp;DEC2HEX((HEX2DEC(C32)+264), 8)</f>
        <v>0x5C100108</v>
      </c>
      <c r="J119" s="561" t="str">
        <f>"0x"&amp;DEC2HEX((HEX2DEC(E119)+HEX2DEC(E120)+HEX2DEC(E121)+HEX2DEC(E122)), 8)</f>
        <v>0x07101617</v>
      </c>
      <c r="K119" s="118"/>
      <c r="L119" s="668"/>
    </row>
    <row r="120" spans="1:15" ht="198" x14ac:dyDescent="0.25">
      <c r="A120" s="6"/>
      <c r="B120" s="73" t="s">
        <v>110</v>
      </c>
      <c r="C120" s="275">
        <f>IF(C29&lt;801, 16, IF(C29&lt;1067, 22, IF(C29&lt;1334, 28, 32)))</f>
        <v>32</v>
      </c>
      <c r="D120" s="168">
        <f>ROUNDUP((C120/2), 0)</f>
        <v>16</v>
      </c>
      <c r="E120" s="67" t="str">
        <f>DEC2HEX(((D120)*2^16),8)</f>
        <v>00100000</v>
      </c>
      <c r="F120" s="299" t="s">
        <v>1819</v>
      </c>
      <c r="G120" s="593"/>
      <c r="H120" s="593"/>
      <c r="I120" s="593"/>
      <c r="J120" s="595"/>
      <c r="K120" s="118"/>
      <c r="L120" s="668"/>
    </row>
    <row r="121" spans="1:15" ht="409.6" x14ac:dyDescent="0.25">
      <c r="A121" s="6"/>
      <c r="B121" s="58" t="s">
        <v>108</v>
      </c>
      <c r="C121" s="418">
        <v>3.6</v>
      </c>
      <c r="D121" s="87">
        <f>ROUNDUP((C120 + ROUNDUP(C121/C30, 0) + D44 + ROUNDDOWN((0.4+D186), 0) - C119 + 1.8 + 2 + (C119-O121))/2, 0)</f>
        <v>22</v>
      </c>
      <c r="E121" s="162" t="str">
        <f>DEC2HEX(((D121)*2^8),8)</f>
        <v>00001600</v>
      </c>
      <c r="F121" s="141" t="s">
        <v>1820</v>
      </c>
      <c r="G121" s="546"/>
      <c r="H121" s="546"/>
      <c r="I121" s="546"/>
      <c r="J121" s="562"/>
      <c r="K121" s="43"/>
      <c r="L121" s="668"/>
      <c r="N121" s="389" t="s">
        <v>1223</v>
      </c>
      <c r="O121" s="390">
        <f>IF(C119&lt;10, 0, IF(C119&lt;14, 4, IF(C119&lt;18, 6, 8)))</f>
        <v>6</v>
      </c>
    </row>
    <row r="122" spans="1:15" ht="330.6" thickBot="1" x14ac:dyDescent="0.3">
      <c r="B122" s="102" t="s">
        <v>107</v>
      </c>
      <c r="C122" s="180">
        <f>MAX(10/C30, 8)</f>
        <v>16</v>
      </c>
      <c r="D122" s="180">
        <f>ROUNDUP((C119+D44+ (C122) +1+O122)/2, 0)</f>
        <v>23</v>
      </c>
      <c r="E122" s="447" t="str">
        <f>DEC2HEX(((D122)*2^0),8)</f>
        <v>00000017</v>
      </c>
      <c r="F122" s="143" t="s">
        <v>1831</v>
      </c>
      <c r="G122" s="547"/>
      <c r="H122" s="547"/>
      <c r="I122" s="547"/>
      <c r="J122" s="563"/>
      <c r="K122" s="43"/>
      <c r="L122" s="668"/>
      <c r="N122" s="389" t="s">
        <v>1224</v>
      </c>
      <c r="O122" s="390">
        <f>(C119/2)</f>
        <v>7</v>
      </c>
    </row>
    <row r="123" spans="1:15" ht="6" customHeight="1" thickBot="1" x14ac:dyDescent="0.3">
      <c r="B123" s="68"/>
      <c r="C123" s="69"/>
      <c r="D123" s="70"/>
      <c r="E123" s="71"/>
      <c r="F123" s="72"/>
      <c r="G123" s="36"/>
      <c r="H123" s="36"/>
      <c r="I123" s="36"/>
      <c r="J123" s="54"/>
      <c r="K123" s="368"/>
      <c r="L123" s="367"/>
    </row>
    <row r="124" spans="1:15" ht="92.4" x14ac:dyDescent="0.25">
      <c r="B124" s="57" t="s">
        <v>113</v>
      </c>
      <c r="C124" s="96">
        <f>MAX(14/C30, 10)</f>
        <v>22.4</v>
      </c>
      <c r="D124" s="96">
        <f>ROUNDUP((C124)/2, 0)</f>
        <v>12</v>
      </c>
      <c r="E124" s="439" t="str">
        <f>DEC2HEX(((D124)*2^20),8)</f>
        <v>00C00000</v>
      </c>
      <c r="F124" s="33" t="s">
        <v>1821</v>
      </c>
      <c r="G124" s="564" t="s">
        <v>48</v>
      </c>
      <c r="H124" s="564" t="str">
        <f>"0x"&amp;DEC2HEX((HEX2DEC(C31)+268), 8)</f>
        <v>0x5C00010C</v>
      </c>
      <c r="I124" s="564" t="str">
        <f>"0x"&amp;DEC2HEX((HEX2DEC(C32)+268), 8)</f>
        <v>0x5C10010C</v>
      </c>
      <c r="J124" s="565" t="str">
        <f>"0x"&amp;DEC2HEX((HEX2DEC(E124)+HEX2DEC(E125)+HEX2DEC(E126)), 8)</f>
        <v>0x00C0C000</v>
      </c>
      <c r="K124" s="18"/>
    </row>
    <row r="125" spans="1:15" ht="145.19999999999999" x14ac:dyDescent="0.25">
      <c r="B125" s="137" t="s">
        <v>114</v>
      </c>
      <c r="C125" s="275">
        <f>MAX(14/C30, 10)</f>
        <v>22.4</v>
      </c>
      <c r="D125" s="123">
        <f>ROUNDUP((C125)/2, 0)</f>
        <v>12</v>
      </c>
      <c r="E125" s="440" t="str">
        <f>DEC2HEX(((D125)*2^12),8)</f>
        <v>0000C000</v>
      </c>
      <c r="F125" s="17" t="s">
        <v>1832</v>
      </c>
      <c r="G125" s="546"/>
      <c r="H125" s="546"/>
      <c r="I125" s="546"/>
      <c r="J125" s="549"/>
      <c r="K125" s="18"/>
    </row>
    <row r="126" spans="1:15" ht="145.80000000000001" thickBot="1" x14ac:dyDescent="0.3">
      <c r="B126" s="158" t="s">
        <v>115</v>
      </c>
      <c r="C126" s="62">
        <v>0</v>
      </c>
      <c r="D126" s="120">
        <f>(C126/2)</f>
        <v>0</v>
      </c>
      <c r="E126" s="441" t="str">
        <f>DEC2HEX(((D126)*2^0),8)</f>
        <v>00000000</v>
      </c>
      <c r="F126" s="34" t="s">
        <v>692</v>
      </c>
      <c r="G126" s="547"/>
      <c r="H126" s="547"/>
      <c r="I126" s="547"/>
      <c r="J126" s="550"/>
      <c r="K126" s="449"/>
    </row>
    <row r="127" spans="1:15" ht="13.5" customHeight="1" thickBot="1" x14ac:dyDescent="0.3">
      <c r="B127" s="68"/>
      <c r="C127" s="69"/>
      <c r="D127" s="70"/>
      <c r="E127" s="71"/>
      <c r="F127" s="72"/>
      <c r="G127" s="36"/>
      <c r="H127" s="36"/>
      <c r="I127" s="36"/>
      <c r="J127" s="54"/>
      <c r="K127" s="368"/>
    </row>
    <row r="128" spans="1:15" ht="132" x14ac:dyDescent="0.25">
      <c r="B128" s="57" t="s">
        <v>126</v>
      </c>
      <c r="C128" s="96">
        <f>IF((G28 = "Apply maximum de-rate timings"), MAX((18+1.875)/C30, 4), MAX(18/C30, 4))</f>
        <v>28.8</v>
      </c>
      <c r="D128" s="122">
        <f>ROUNDUP(((C128)/2),0)</f>
        <v>15</v>
      </c>
      <c r="E128" s="439" t="str">
        <f>DEC2HEX(((D128)*2^24),8)</f>
        <v>0F000000</v>
      </c>
      <c r="F128" s="142" t="s">
        <v>1833</v>
      </c>
      <c r="G128" s="564" t="s">
        <v>49</v>
      </c>
      <c r="H128" s="564" t="str">
        <f>"0x"&amp;DEC2HEX((HEX2DEC(C31)+272), 8)</f>
        <v>0x5C000110</v>
      </c>
      <c r="I128" s="564" t="str">
        <f>"0x"&amp;DEC2HEX((HEX2DEC(C32)+272), 8)</f>
        <v>0x5C100110</v>
      </c>
      <c r="J128" s="561" t="str">
        <f>"0x"&amp;DEC2HEX((HEX2DEC(E128)+HEX2DEC(E129)+HEX2DEC(E130)+HEX2DEC(E131)), 8)</f>
        <v>0x0F04080F</v>
      </c>
      <c r="K128" s="368"/>
    </row>
    <row r="129" spans="1:12" ht="105.6" x14ac:dyDescent="0.25">
      <c r="B129" s="58" t="s">
        <v>127</v>
      </c>
      <c r="C129" s="60">
        <v>8</v>
      </c>
      <c r="D129" s="168">
        <f>ROUNDUP(C129/2, 0)</f>
        <v>4</v>
      </c>
      <c r="E129" s="440" t="str">
        <f>DEC2HEX(((D129)*2^16),8)</f>
        <v>00040000</v>
      </c>
      <c r="F129" s="141" t="s">
        <v>1834</v>
      </c>
      <c r="G129" s="546"/>
      <c r="H129" s="546"/>
      <c r="I129" s="546"/>
      <c r="J129" s="562"/>
      <c r="K129" s="368"/>
    </row>
    <row r="130" spans="1:12" ht="105.6" x14ac:dyDescent="0.25">
      <c r="B130" s="74" t="s">
        <v>128</v>
      </c>
      <c r="C130" s="275">
        <f>IF(G28 = "Apply maximum de-rate timings", MAX((10+1.875)/C30, 4), MAX(10/C30, 4))</f>
        <v>16</v>
      </c>
      <c r="D130" s="320">
        <f>ROUNDUP(((C130)/2),0)</f>
        <v>8</v>
      </c>
      <c r="E130" s="440" t="str">
        <f>DEC2HEX(((D130)*2^8),8)</f>
        <v>00000800</v>
      </c>
      <c r="F130" s="318" t="s">
        <v>1835</v>
      </c>
      <c r="G130" s="546"/>
      <c r="H130" s="546"/>
      <c r="I130" s="546"/>
      <c r="J130" s="562"/>
      <c r="K130" s="449"/>
    </row>
    <row r="131" spans="1:12" ht="132.6" thickBot="1" x14ac:dyDescent="0.3">
      <c r="A131" s="6"/>
      <c r="B131" s="59" t="s">
        <v>129</v>
      </c>
      <c r="C131" s="180">
        <f>IF((G28 = "Apply maximum de-rate timings"), MAX((18+1.875)/C30, 4), MAX(18/C30, 4))</f>
        <v>28.8</v>
      </c>
      <c r="D131" s="120">
        <f xml:space="preserve"> ROUNDUP((C131)/2, 0)</f>
        <v>15</v>
      </c>
      <c r="E131" s="163" t="str">
        <f>DEC2HEX(((D131)*2^0),8)</f>
        <v>0000000F</v>
      </c>
      <c r="F131" s="145" t="s">
        <v>1836</v>
      </c>
      <c r="G131" s="547"/>
      <c r="H131" s="547"/>
      <c r="I131" s="547"/>
      <c r="J131" s="563"/>
      <c r="K131" s="256"/>
    </row>
    <row r="132" spans="1:12" ht="13.5" customHeight="1" thickBot="1" x14ac:dyDescent="0.3">
      <c r="B132" s="68"/>
      <c r="C132" s="69"/>
      <c r="D132" s="70"/>
      <c r="E132" s="71"/>
      <c r="F132" s="72"/>
      <c r="G132" s="36"/>
      <c r="H132" s="36"/>
      <c r="I132" s="36"/>
      <c r="J132" s="54"/>
      <c r="K132" s="18"/>
    </row>
    <row r="133" spans="1:12" ht="184.8" x14ac:dyDescent="0.25">
      <c r="B133" s="57" t="s">
        <v>130</v>
      </c>
      <c r="C133" s="96">
        <f>MAX(1.75/C30, 3)</f>
        <v>3</v>
      </c>
      <c r="D133" s="122">
        <f>ROUNDUP(((C133/2)),0)</f>
        <v>2</v>
      </c>
      <c r="E133" s="445" t="str">
        <f>DEC2HEX(((D133)*2^24),8)</f>
        <v>02000000</v>
      </c>
      <c r="F133" s="142" t="s">
        <v>1837</v>
      </c>
      <c r="G133" s="564" t="s">
        <v>50</v>
      </c>
      <c r="H133" s="564" t="str">
        <f>"0x"&amp;DEC2HEX((HEX2DEC(C31)+276), 8)</f>
        <v>0x5C000114</v>
      </c>
      <c r="I133" s="564" t="str">
        <f>"0x"&amp;DEC2HEX((HEX2DEC(C32)+276), 8)</f>
        <v>0x5C100114</v>
      </c>
      <c r="J133" s="565" t="str">
        <f>"0x"&amp;DEC2HEX((HEX2DEC(E133)+HEX2DEC(E134)+HEX2DEC(E135)+HEX2DEC(E136)), 8)</f>
        <v>0x02040C0C</v>
      </c>
      <c r="K133" s="253"/>
    </row>
    <row r="134" spans="1:12" ht="211.2" x14ac:dyDescent="0.25">
      <c r="B134" s="58" t="s">
        <v>131</v>
      </c>
      <c r="C134" s="275">
        <f>MAX(5/C30, 5)</f>
        <v>8</v>
      </c>
      <c r="D134" s="168">
        <f>ROUNDUP((C134)/2, 0)</f>
        <v>4</v>
      </c>
      <c r="E134" s="162" t="str">
        <f>DEC2HEX(((D134)*2^16),8)</f>
        <v>00040000</v>
      </c>
      <c r="F134" s="141" t="s">
        <v>1838</v>
      </c>
      <c r="G134" s="546"/>
      <c r="H134" s="546"/>
      <c r="I134" s="546"/>
      <c r="J134" s="549"/>
      <c r="K134" s="449"/>
    </row>
    <row r="135" spans="1:12" ht="211.2" x14ac:dyDescent="0.25">
      <c r="B135" s="74" t="s">
        <v>730</v>
      </c>
      <c r="C135" s="275">
        <f>MAX(15/C30, 4)</f>
        <v>24</v>
      </c>
      <c r="D135" s="319">
        <f>ROUNDUP(((C135)/2),0)</f>
        <v>12</v>
      </c>
      <c r="E135" s="317" t="str">
        <f>DEC2HEX(((D135)*2^8),8)</f>
        <v>00000C00</v>
      </c>
      <c r="F135" s="318" t="s">
        <v>1839</v>
      </c>
      <c r="G135" s="546"/>
      <c r="H135" s="546"/>
      <c r="I135" s="546"/>
      <c r="J135" s="549"/>
      <c r="K135" s="449"/>
    </row>
    <row r="136" spans="1:12" ht="132.6" thickBot="1" x14ac:dyDescent="0.3">
      <c r="B136" s="59" t="s">
        <v>731</v>
      </c>
      <c r="C136" s="180">
        <f>MAX(15/C30, 4)</f>
        <v>24</v>
      </c>
      <c r="D136" s="125">
        <f>ROUNDUP(((C136)/2),0)</f>
        <v>12</v>
      </c>
      <c r="E136" s="441" t="str">
        <f>DEC2HEX(((D136)*2^0),8)</f>
        <v>0000000C</v>
      </c>
      <c r="F136" s="145" t="s">
        <v>1840</v>
      </c>
      <c r="G136" s="547"/>
      <c r="H136" s="547"/>
      <c r="I136" s="547"/>
      <c r="J136" s="550"/>
      <c r="K136" s="463"/>
    </row>
    <row r="137" spans="1:12" ht="13.8" thickBot="1" x14ac:dyDescent="0.3">
      <c r="K137" s="18"/>
      <c r="L137" s="65"/>
    </row>
    <row r="138" spans="1:12" ht="18.75" customHeight="1" thickBot="1" x14ac:dyDescent="0.3">
      <c r="B138" s="589" t="s">
        <v>242</v>
      </c>
      <c r="C138" s="590"/>
      <c r="D138" s="590"/>
      <c r="E138" s="590"/>
      <c r="F138" s="590"/>
      <c r="G138" s="590"/>
      <c r="H138" s="590"/>
      <c r="I138" s="590"/>
      <c r="J138" s="591"/>
      <c r="K138" s="18"/>
    </row>
    <row r="139" spans="1:12" ht="132" x14ac:dyDescent="0.25">
      <c r="B139" s="57" t="s">
        <v>134</v>
      </c>
      <c r="C139" s="104" t="s">
        <v>0</v>
      </c>
      <c r="D139" s="56">
        <v>2</v>
      </c>
      <c r="E139" s="439" t="str">
        <f>DEC2HEX(((D139)*2^24),8)</f>
        <v>02000000</v>
      </c>
      <c r="F139" s="142" t="s">
        <v>733</v>
      </c>
      <c r="G139" s="545" t="s">
        <v>97</v>
      </c>
      <c r="H139" s="551" t="str">
        <f>"0x"&amp;DEC2HEX((HEX2DEC(C31)+280), 8)</f>
        <v>0x5C000118</v>
      </c>
      <c r="I139" s="551" t="str">
        <f>"0x"&amp;DEC2HEX((HEX2DEC(C32)+280), 8)</f>
        <v>0x5C100118</v>
      </c>
      <c r="J139" s="548" t="str">
        <f>"0x"&amp;DEC2HEX((HEX2DEC(E139)+HEX2DEC(E140)+HEX2DEC(E141)), 8)</f>
        <v>0x02020007</v>
      </c>
      <c r="K139" s="18"/>
    </row>
    <row r="140" spans="1:12" ht="132" x14ac:dyDescent="0.25">
      <c r="B140" s="88" t="s">
        <v>133</v>
      </c>
      <c r="C140" s="103" t="s">
        <v>0</v>
      </c>
      <c r="D140" s="135">
        <v>2</v>
      </c>
      <c r="E140" s="444" t="str">
        <f>DEC2HEX(((D140)*2^16),8)</f>
        <v>00020000</v>
      </c>
      <c r="F140" s="149" t="s">
        <v>732</v>
      </c>
      <c r="G140" s="552"/>
      <c r="H140" s="546"/>
      <c r="I140" s="546"/>
      <c r="J140" s="549"/>
      <c r="K140" s="18"/>
    </row>
    <row r="141" spans="1:12" ht="185.4" thickBot="1" x14ac:dyDescent="0.3">
      <c r="B141" s="59" t="s">
        <v>132</v>
      </c>
      <c r="C141" s="105" t="s">
        <v>0</v>
      </c>
      <c r="D141" s="120">
        <f>ROUNDUP(((C113) +2)/2, 0)</f>
        <v>7</v>
      </c>
      <c r="E141" s="441" t="str">
        <f>DEC2HEX(((D141)*2^0),8)</f>
        <v>00000007</v>
      </c>
      <c r="F141" s="145" t="s">
        <v>1841</v>
      </c>
      <c r="G141" s="547"/>
      <c r="H141" s="547"/>
      <c r="I141" s="547"/>
      <c r="J141" s="550"/>
      <c r="K141" s="449"/>
    </row>
    <row r="142" spans="1:12" ht="9.75" customHeight="1" thickBot="1" x14ac:dyDescent="0.3">
      <c r="B142" s="75"/>
      <c r="C142" s="76"/>
      <c r="D142" s="77"/>
      <c r="E142" s="36"/>
      <c r="F142" s="148"/>
      <c r="G142" s="81"/>
      <c r="H142" s="81"/>
      <c r="I142" s="81"/>
      <c r="J142" s="81"/>
      <c r="K142" s="368"/>
    </row>
    <row r="143" spans="1:12" ht="18.75" customHeight="1" thickBot="1" x14ac:dyDescent="0.3">
      <c r="B143" s="589" t="s">
        <v>243</v>
      </c>
      <c r="C143" s="590"/>
      <c r="D143" s="590"/>
      <c r="E143" s="590"/>
      <c r="F143" s="590"/>
      <c r="G143" s="590"/>
      <c r="H143" s="590"/>
      <c r="I143" s="590"/>
      <c r="J143" s="591"/>
      <c r="K143" s="368"/>
    </row>
    <row r="144" spans="1:12" ht="184.8" x14ac:dyDescent="0.25">
      <c r="B144" s="57" t="s">
        <v>135</v>
      </c>
      <c r="C144" s="421">
        <f>MAX(5/C30, 5)</f>
        <v>8</v>
      </c>
      <c r="D144" s="96">
        <f>ROUNDUP((C144)/2, 0)</f>
        <v>4</v>
      </c>
      <c r="E144" s="439" t="str">
        <f>DEC2HEX(((D144)*2^8),8)</f>
        <v>00000400</v>
      </c>
      <c r="F144" s="142" t="s">
        <v>1842</v>
      </c>
      <c r="G144" s="545" t="s">
        <v>96</v>
      </c>
      <c r="H144" s="551" t="str">
        <f>"0x"&amp;DEC2HEX((HEX2DEC(C31)+284), 8)</f>
        <v>0x5C00011C</v>
      </c>
      <c r="I144" s="551" t="str">
        <f>"0x"&amp;DEC2HEX((HEX2DEC(C32)+284), 8)</f>
        <v>0x5C10011C</v>
      </c>
      <c r="J144" s="548" t="str">
        <f>"0x"&amp;DEC2HEX((HEX2DEC(E144)+HEX2DEC(E145)), 8)</f>
        <v>0x00000401</v>
      </c>
      <c r="K144" s="449"/>
    </row>
    <row r="145" spans="1:11" ht="172.2" thickBot="1" x14ac:dyDescent="0.3">
      <c r="B145" s="59" t="s">
        <v>136</v>
      </c>
      <c r="C145" s="420">
        <v>2</v>
      </c>
      <c r="D145" s="180">
        <f>IF(C17="LPDDR4", ROUNDUP(C145/2, 0), 2)</f>
        <v>1</v>
      </c>
      <c r="E145" s="441" t="str">
        <f>DEC2HEX(((D145)*2^0),8)</f>
        <v>00000001</v>
      </c>
      <c r="F145" s="145" t="s">
        <v>734</v>
      </c>
      <c r="G145" s="547"/>
      <c r="H145" s="547"/>
      <c r="I145" s="547"/>
      <c r="J145" s="550"/>
      <c r="K145" s="18"/>
    </row>
    <row r="146" spans="1:11" ht="13.8" thickBot="1" x14ac:dyDescent="0.3">
      <c r="B146" s="68"/>
      <c r="C146" s="69"/>
      <c r="D146" s="70"/>
      <c r="E146" s="71"/>
      <c r="F146" s="148"/>
      <c r="G146" s="36"/>
      <c r="H146" s="36"/>
      <c r="I146" s="36"/>
      <c r="J146" s="54"/>
      <c r="K146" s="18"/>
    </row>
    <row r="147" spans="1:11" ht="105.6" x14ac:dyDescent="0.25">
      <c r="B147" s="57" t="s">
        <v>244</v>
      </c>
      <c r="C147" s="96">
        <f>MAX(1.75/C30, 3)</f>
        <v>3</v>
      </c>
      <c r="D147" s="96">
        <f>ROUNDUP( (C147/2), 0)</f>
        <v>2</v>
      </c>
      <c r="E147" s="439" t="str">
        <f>DEC2HEX(((D147)*2^16),8)</f>
        <v>00020000</v>
      </c>
      <c r="F147" s="142" t="s">
        <v>1843</v>
      </c>
      <c r="G147" s="603" t="s">
        <v>247</v>
      </c>
      <c r="H147" s="603" t="str">
        <f>"0x"&amp;DEC2HEX((HEX2DEC(C31)+304), 8)</f>
        <v>0x5C000130</v>
      </c>
      <c r="I147" s="603" t="str">
        <f>"0x"&amp;DEC2HEX((HEX2DEC(C32)+304), 8)</f>
        <v>0x5C100130</v>
      </c>
      <c r="J147" s="606" t="str">
        <f>"0x"&amp;DEC2HEX((HEX2DEC(E147)+HEX2DEC(E148)+HEX2DEC(E149)), 8)</f>
        <v>0x00020610</v>
      </c>
      <c r="K147" s="249"/>
    </row>
    <row r="148" spans="1:11" ht="92.4" x14ac:dyDescent="0.25">
      <c r="B148" s="58" t="s">
        <v>245</v>
      </c>
      <c r="C148" s="275">
        <f>MAX(7.5/C30, 5)</f>
        <v>12</v>
      </c>
      <c r="D148" s="275">
        <f>ROUNDUP( (C148/2), 0)</f>
        <v>6</v>
      </c>
      <c r="E148" s="440" t="str">
        <f>DEC2HEX(((D148)*2^8),8)</f>
        <v>00000600</v>
      </c>
      <c r="F148" s="141" t="s">
        <v>1844</v>
      </c>
      <c r="G148" s="604"/>
      <c r="H148" s="604"/>
      <c r="I148" s="604"/>
      <c r="J148" s="607"/>
      <c r="K148" s="449"/>
    </row>
    <row r="149" spans="1:11" ht="66.599999999999994" thickBot="1" x14ac:dyDescent="0.3">
      <c r="B149" s="59" t="s">
        <v>246</v>
      </c>
      <c r="C149" s="221" t="s">
        <v>0</v>
      </c>
      <c r="D149" s="222">
        <v>16</v>
      </c>
      <c r="E149" s="441" t="str">
        <f>DEC2HEX(((D149)*2^0),8)</f>
        <v>00000010</v>
      </c>
      <c r="F149" s="145" t="s">
        <v>735</v>
      </c>
      <c r="G149" s="605"/>
      <c r="H149" s="605"/>
      <c r="I149" s="605"/>
      <c r="J149" s="608"/>
      <c r="K149" s="368"/>
    </row>
    <row r="150" spans="1:11" ht="15" thickBot="1" x14ac:dyDescent="0.3">
      <c r="B150" s="75"/>
      <c r="C150" s="223"/>
      <c r="D150" s="187"/>
      <c r="E150" s="36"/>
      <c r="F150" s="148"/>
      <c r="G150" s="36"/>
      <c r="H150" s="36"/>
      <c r="I150" s="36"/>
      <c r="J150" s="54"/>
      <c r="K150" s="368"/>
    </row>
    <row r="151" spans="1:11" ht="118.8" x14ac:dyDescent="0.25">
      <c r="A151" s="6"/>
      <c r="B151" s="57" t="s">
        <v>248</v>
      </c>
      <c r="C151" s="362">
        <f>IF(C29&lt;=1066, 20, IF(C29&lt;=1333, 22, 24))</f>
        <v>24</v>
      </c>
      <c r="D151" s="96">
        <f>ROUNDUP( (C151/2), 0)</f>
        <v>12</v>
      </c>
      <c r="E151" s="439" t="str">
        <f>DEC2HEX(((D151)*2^24),8)</f>
        <v>0C000000</v>
      </c>
      <c r="F151" s="142" t="s">
        <v>736</v>
      </c>
      <c r="G151" s="603" t="s">
        <v>251</v>
      </c>
      <c r="H151" s="603" t="str">
        <f>"0x"&amp;DEC2HEX((HEX2DEC(C31)+308), 8)</f>
        <v>0x5C000134</v>
      </c>
      <c r="I151" s="603" t="str">
        <f>"0x"&amp;DEC2HEX((HEX2DEC(C32)+308), 8)</f>
        <v>0x5C100134</v>
      </c>
      <c r="J151" s="606" t="str">
        <f>"0x"&amp;DEC2HEX((HEX2DEC(E151)+HEX2DEC(E152)+HEX2DEC(E153)), 8)</f>
        <v>0x0C100002</v>
      </c>
      <c r="K151" s="368"/>
    </row>
    <row r="152" spans="1:11" ht="105.6" x14ac:dyDescent="0.25">
      <c r="B152" s="58" t="s">
        <v>249</v>
      </c>
      <c r="C152" s="422">
        <v>32</v>
      </c>
      <c r="D152" s="275">
        <f>ROUNDUP( (C152/2), 0)</f>
        <v>16</v>
      </c>
      <c r="E152" s="440" t="str">
        <f>DEC2HEX(((D152)*2^16),8)</f>
        <v>00100000</v>
      </c>
      <c r="F152" s="141" t="s">
        <v>737</v>
      </c>
      <c r="G152" s="604"/>
      <c r="H152" s="604"/>
      <c r="I152" s="604"/>
      <c r="J152" s="607"/>
      <c r="K152" s="368"/>
    </row>
    <row r="153" spans="1:11" ht="79.8" thickBot="1" x14ac:dyDescent="0.3">
      <c r="B153" s="59" t="s">
        <v>250</v>
      </c>
      <c r="C153" s="423">
        <v>4</v>
      </c>
      <c r="D153" s="180">
        <f>ROUNDUP( (C153/2), 0)</f>
        <v>2</v>
      </c>
      <c r="E153" s="441" t="str">
        <f>DEC2HEX(((D153)*2^0),8)</f>
        <v>00000002</v>
      </c>
      <c r="F153" s="145" t="s">
        <v>738</v>
      </c>
      <c r="G153" s="605"/>
      <c r="H153" s="605"/>
      <c r="I153" s="605"/>
      <c r="J153" s="608"/>
      <c r="K153" s="368"/>
    </row>
    <row r="154" spans="1:11" ht="15" thickBot="1" x14ac:dyDescent="0.3">
      <c r="B154" s="75"/>
      <c r="C154" s="165"/>
      <c r="D154" s="165"/>
      <c r="E154" s="36"/>
      <c r="F154" s="148"/>
      <c r="G154" s="36"/>
      <c r="H154" s="36"/>
      <c r="I154" s="36"/>
      <c r="J154" s="54"/>
      <c r="K154" s="368"/>
    </row>
    <row r="155" spans="1:11" ht="93" thickBot="1" x14ac:dyDescent="0.3">
      <c r="B155" s="321" t="s">
        <v>208</v>
      </c>
      <c r="C155" s="322">
        <f>MAX((C92+7.5)/C30, 2)</f>
        <v>460</v>
      </c>
      <c r="D155" s="323">
        <f>ROUNDUP((C155)/2,0)</f>
        <v>230</v>
      </c>
      <c r="E155" s="324" t="str">
        <f>DEC2HEX(((D155)*2^0),8)</f>
        <v>000000E6</v>
      </c>
      <c r="F155" s="325" t="s">
        <v>1845</v>
      </c>
      <c r="G155" s="95" t="s">
        <v>207</v>
      </c>
      <c r="H155" s="78" t="str">
        <f>"0x"&amp;DEC2HEX((HEX2DEC(C31)+312), 8)</f>
        <v>0x5C000138</v>
      </c>
      <c r="I155" s="78" t="str">
        <f>"0x"&amp;DEC2HEX((HEX2DEC(C32)+312), 8)</f>
        <v>0x5C100138</v>
      </c>
      <c r="J155" s="402" t="str">
        <f>"0x"&amp;DEC2HEX((HEX2DEC(E155)), 8)</f>
        <v>0x000000E6</v>
      </c>
      <c r="K155" s="449"/>
    </row>
    <row r="156" spans="1:11" ht="15" thickBot="1" x14ac:dyDescent="0.3">
      <c r="B156" s="75"/>
      <c r="C156" s="165"/>
      <c r="D156" s="165"/>
      <c r="E156" s="36"/>
      <c r="F156" s="148"/>
      <c r="G156" s="36"/>
      <c r="H156" s="36"/>
      <c r="I156" s="36"/>
      <c r="J156" s="54"/>
      <c r="K156" s="18"/>
    </row>
    <row r="157" spans="1:11" ht="91.5" customHeight="1" x14ac:dyDescent="0.25">
      <c r="B157" s="57" t="s">
        <v>141</v>
      </c>
      <c r="C157" s="64" t="s">
        <v>0</v>
      </c>
      <c r="D157" s="56">
        <v>0</v>
      </c>
      <c r="E157" s="439" t="str">
        <f>DEC2HEX(((D157)*2^31),8)</f>
        <v>00000000</v>
      </c>
      <c r="F157" s="142" t="s">
        <v>76</v>
      </c>
      <c r="G157" s="564" t="s">
        <v>51</v>
      </c>
      <c r="H157" s="564" t="str">
        <f>"0x"&amp;DEC2HEX((HEX2DEC(C31)+384), 8)</f>
        <v>0x5C000180</v>
      </c>
      <c r="I157" s="564" t="str">
        <f>"0x"&amp;DEC2HEX((HEX2DEC(C32)+384), 8)</f>
        <v>0x5C100180</v>
      </c>
      <c r="J157" s="565" t="str">
        <f>"0x"&amp;DEC2HEX((HEX2DEC(E157)+HEX2DEC(E158)+HEX2DEC(E159)+HEX2DEC(E161)+HEX2DEC(E162)), 8)</f>
        <v>0x03200018</v>
      </c>
      <c r="K157" s="18"/>
    </row>
    <row r="158" spans="1:11" ht="54.75" customHeight="1" x14ac:dyDescent="0.25">
      <c r="B158" s="58" t="s">
        <v>142</v>
      </c>
      <c r="C158" s="60" t="s">
        <v>0</v>
      </c>
      <c r="D158" s="135">
        <v>0</v>
      </c>
      <c r="E158" s="440" t="str">
        <f>DEC2HEX(((D158)*2^30),8)</f>
        <v>00000000</v>
      </c>
      <c r="F158" s="141" t="s">
        <v>77</v>
      </c>
      <c r="G158" s="593"/>
      <c r="H158" s="593"/>
      <c r="I158" s="593"/>
      <c r="J158" s="588"/>
      <c r="K158" s="18"/>
    </row>
    <row r="159" spans="1:11" ht="93" customHeight="1" x14ac:dyDescent="0.25">
      <c r="B159" s="58" t="s">
        <v>143</v>
      </c>
      <c r="C159" s="60" t="s">
        <v>0</v>
      </c>
      <c r="D159" s="225">
        <v>0</v>
      </c>
      <c r="E159" s="440" t="str">
        <f>DEC2HEX(((D159)*2^29),8)</f>
        <v>00000000</v>
      </c>
      <c r="F159" s="318" t="s">
        <v>78</v>
      </c>
      <c r="G159" s="593"/>
      <c r="H159" s="593"/>
      <c r="I159" s="593"/>
      <c r="J159" s="588"/>
      <c r="K159" s="18"/>
    </row>
    <row r="160" spans="1:11" ht="93" customHeight="1" x14ac:dyDescent="0.25">
      <c r="B160" s="74" t="s">
        <v>252</v>
      </c>
      <c r="C160" s="98" t="s">
        <v>0</v>
      </c>
      <c r="D160" s="226">
        <v>0</v>
      </c>
      <c r="E160" s="440" t="str">
        <f>DEC2HEX(((D160)*2^28),8)</f>
        <v>00000000</v>
      </c>
      <c r="F160" s="318" t="s">
        <v>253</v>
      </c>
      <c r="G160" s="593"/>
      <c r="H160" s="593"/>
      <c r="I160" s="593"/>
      <c r="J160" s="588"/>
      <c r="K160" s="18"/>
    </row>
    <row r="161" spans="2:12" ht="158.4" x14ac:dyDescent="0.25">
      <c r="B161" s="74" t="s">
        <v>144</v>
      </c>
      <c r="C161" s="60">
        <v>1000</v>
      </c>
      <c r="D161" s="168">
        <f>ROUNDUP(((C161/C30)/2),0)</f>
        <v>800</v>
      </c>
      <c r="E161" s="440" t="str">
        <f>DEC2HEX(((D161)*2^16),8)</f>
        <v>03200000</v>
      </c>
      <c r="F161" s="318" t="s">
        <v>1846</v>
      </c>
      <c r="G161" s="593"/>
      <c r="H161" s="593"/>
      <c r="I161" s="593"/>
      <c r="J161" s="588"/>
      <c r="K161" s="449"/>
    </row>
    <row r="162" spans="2:12" ht="119.4" thickBot="1" x14ac:dyDescent="0.3">
      <c r="B162" s="59" t="s">
        <v>145</v>
      </c>
      <c r="C162" s="180">
        <f>MAX(30/C30, 8)</f>
        <v>48</v>
      </c>
      <c r="D162" s="125">
        <f>ROUNDUP(((C162)/2),0)</f>
        <v>24</v>
      </c>
      <c r="E162" s="441" t="str">
        <f>DEC2HEX(((D162)*2^0),8)</f>
        <v>00000018</v>
      </c>
      <c r="F162" s="145" t="s">
        <v>1847</v>
      </c>
      <c r="G162" s="594"/>
      <c r="H162" s="594"/>
      <c r="I162" s="594"/>
      <c r="J162" s="592"/>
      <c r="K162" s="449"/>
    </row>
    <row r="163" spans="2:12" ht="7.5" customHeight="1" thickBot="1" x14ac:dyDescent="0.3">
      <c r="B163" s="68"/>
      <c r="C163" s="69"/>
      <c r="D163" s="70"/>
      <c r="E163" s="71"/>
      <c r="F163" s="148"/>
      <c r="G163" s="36"/>
      <c r="H163" s="36"/>
      <c r="I163" s="36"/>
      <c r="J163" s="54"/>
      <c r="K163" s="368"/>
    </row>
    <row r="164" spans="2:12" ht="18.75" customHeight="1" thickBot="1" x14ac:dyDescent="0.3">
      <c r="B164" s="589" t="s">
        <v>739</v>
      </c>
      <c r="C164" s="590"/>
      <c r="D164" s="590"/>
      <c r="E164" s="590"/>
      <c r="F164" s="590"/>
      <c r="G164" s="590"/>
      <c r="H164" s="590"/>
      <c r="I164" s="590"/>
      <c r="J164" s="591"/>
      <c r="K164" s="368"/>
    </row>
    <row r="165" spans="2:12" ht="92.4" x14ac:dyDescent="0.25">
      <c r="B165" s="57" t="s">
        <v>146</v>
      </c>
      <c r="C165" s="96">
        <f>MAX(50/C30, 3)</f>
        <v>80</v>
      </c>
      <c r="D165" s="96">
        <f>ROUNDUP((C165)/2,0)</f>
        <v>40</v>
      </c>
      <c r="E165" s="439" t="str">
        <f>DEC2HEX(((D165)*2^20),8)</f>
        <v>02800000</v>
      </c>
      <c r="F165" s="142" t="s">
        <v>1848</v>
      </c>
      <c r="G165" s="564" t="s">
        <v>99</v>
      </c>
      <c r="H165" s="564" t="str">
        <f>"0x"&amp;DEC2HEX((HEX2DEC(C31)+388), 8)</f>
        <v>0x5C000184</v>
      </c>
      <c r="I165" s="564" t="str">
        <f>"0x"&amp;DEC2HEX((HEX2DEC(C32)+388), 8)</f>
        <v>0x5C100184</v>
      </c>
      <c r="J165" s="565" t="str">
        <f>"0x"&amp;DEC2HEX((HEX2DEC(E165)+HEX2DEC(E166)), 8)</f>
        <v>0x028061A8</v>
      </c>
      <c r="K165" s="449"/>
    </row>
    <row r="166" spans="2:12" ht="132.6" thickBot="1" x14ac:dyDescent="0.3">
      <c r="B166" s="59" t="s">
        <v>147</v>
      </c>
      <c r="C166" s="101">
        <v>32</v>
      </c>
      <c r="D166" s="63">
        <f>ROUNDUP((C166*1000000)/2/C30/1024, 0)</f>
        <v>25000</v>
      </c>
      <c r="E166" s="441" t="str">
        <f>DEC2HEX(((D166)*2^0),8)</f>
        <v>000061A8</v>
      </c>
      <c r="F166" s="145" t="s">
        <v>1251</v>
      </c>
      <c r="G166" s="547"/>
      <c r="H166" s="547"/>
      <c r="I166" s="547"/>
      <c r="J166" s="550"/>
      <c r="K166" s="18"/>
    </row>
    <row r="167" spans="2:12" ht="11.25" customHeight="1" thickBot="1" x14ac:dyDescent="0.3">
      <c r="B167" s="75"/>
      <c r="C167" s="76"/>
      <c r="D167" s="77"/>
      <c r="E167" s="126"/>
      <c r="F167" s="72"/>
      <c r="G167" s="81"/>
      <c r="H167" s="81"/>
      <c r="I167" s="81"/>
      <c r="J167" s="81"/>
      <c r="K167" s="672" t="s">
        <v>1897</v>
      </c>
      <c r="L167" s="673"/>
    </row>
    <row r="168" spans="2:12" ht="118.8" x14ac:dyDescent="0.25">
      <c r="B168" s="57" t="s">
        <v>1234</v>
      </c>
      <c r="C168" s="64">
        <v>3.75</v>
      </c>
      <c r="D168" s="96">
        <f>ROUNDUP(C168/C30/2, 0) - 1</f>
        <v>2</v>
      </c>
      <c r="E168" s="398" t="str">
        <f>DEC2HEX(((D168)*2^8),8)</f>
        <v>00000200</v>
      </c>
      <c r="F168" s="33" t="s">
        <v>1238</v>
      </c>
      <c r="G168" s="545" t="s">
        <v>1233</v>
      </c>
      <c r="H168" s="551" t="str">
        <f>"0x"&amp;DEC2HEX((HEX2DEC(C31)+32), 8)</f>
        <v>0x5C000020</v>
      </c>
      <c r="I168" s="551" t="str">
        <f>"0x"&amp;DEC2HEX((HEX2DEC(C32)+32), 8)</f>
        <v>0x5C100020</v>
      </c>
      <c r="J168" s="674" t="str">
        <f>"0x"&amp;DEC2HEX((HEX2DEC(E168)+HEX2DEC(E169)+HEX2DEC(E170)+HEX2DEC(E171)), 8)</f>
        <v>0x00000213</v>
      </c>
      <c r="K168" s="438" t="str">
        <f>E168</f>
        <v>00000200</v>
      </c>
      <c r="L168" s="669" t="str">
        <f>"0x"&amp;DEC2HEX((HEX2DEC(K168)+HEX2DEC(K169)+HEX2DEC(K170)+HEX2DEC(K171)), 8)</f>
        <v>0x00000213</v>
      </c>
    </row>
    <row r="169" spans="2:12" ht="52.8" x14ac:dyDescent="0.25">
      <c r="B169" s="58" t="s">
        <v>1235</v>
      </c>
      <c r="C169" s="98" t="s">
        <v>0</v>
      </c>
      <c r="D169" s="437">
        <f>BoardDataBusConfig!AA10</f>
        <v>1</v>
      </c>
      <c r="E169" s="397" t="str">
        <f>DEC2HEX(((D169)*2^4),8)</f>
        <v>00000010</v>
      </c>
      <c r="F169" s="17" t="s">
        <v>1239</v>
      </c>
      <c r="G169" s="546"/>
      <c r="H169" s="546"/>
      <c r="I169" s="546"/>
      <c r="J169" s="675"/>
      <c r="K169" s="436" t="str">
        <f>DEC2HEX(((BoardDataBusConfig!AA34)*2^4),8)</f>
        <v>00000010</v>
      </c>
      <c r="L169" s="670"/>
    </row>
    <row r="170" spans="2:12" ht="79.2" x14ac:dyDescent="0.25">
      <c r="B170" s="58" t="s">
        <v>1236</v>
      </c>
      <c r="C170" s="60">
        <v>1.875</v>
      </c>
      <c r="D170" s="275">
        <f>ROUNDUP(C170/C30/2, 0) - 1</f>
        <v>1</v>
      </c>
      <c r="E170" s="397" t="str">
        <f>DEC2HEX(((D170)*2^1),8)</f>
        <v>00000002</v>
      </c>
      <c r="F170" s="17" t="s">
        <v>1240</v>
      </c>
      <c r="G170" s="546"/>
      <c r="H170" s="546"/>
      <c r="I170" s="546"/>
      <c r="J170" s="675"/>
      <c r="K170" s="435" t="str">
        <f>E170</f>
        <v>00000002</v>
      </c>
      <c r="L170" s="670"/>
    </row>
    <row r="171" spans="2:12" ht="66.599999999999994" thickBot="1" x14ac:dyDescent="0.3">
      <c r="B171" s="59" t="s">
        <v>1237</v>
      </c>
      <c r="C171" s="101" t="s">
        <v>0</v>
      </c>
      <c r="D171" s="180">
        <f>IF((G28 = "Apply maximum de-rate timings"), 0, 1)</f>
        <v>1</v>
      </c>
      <c r="E171" s="399" t="str">
        <f>DEC2HEX(((D171)*2^0),8)</f>
        <v>00000001</v>
      </c>
      <c r="F171" s="34" t="s">
        <v>1241</v>
      </c>
      <c r="G171" s="547"/>
      <c r="H171" s="547"/>
      <c r="I171" s="547"/>
      <c r="J171" s="676"/>
      <c r="K171" s="163" t="str">
        <f>E171</f>
        <v>00000001</v>
      </c>
      <c r="L171" s="671"/>
    </row>
    <row r="172" spans="2:12" ht="11.25" customHeight="1" thickBot="1" x14ac:dyDescent="0.3">
      <c r="B172" s="75"/>
      <c r="C172" s="76"/>
      <c r="D172" s="77"/>
      <c r="E172" s="126"/>
      <c r="F172" s="72"/>
      <c r="G172" s="81"/>
      <c r="H172" s="81"/>
      <c r="I172" s="81"/>
      <c r="J172" s="81"/>
      <c r="K172" s="86"/>
    </row>
    <row r="173" spans="2:12" ht="66.599999999999994" thickBot="1" x14ac:dyDescent="0.3">
      <c r="B173" s="321" t="s">
        <v>1242</v>
      </c>
      <c r="C173" s="330">
        <v>32</v>
      </c>
      <c r="D173" s="331">
        <f>ROUNDUP(C173*1000000/C30/2, 0 )</f>
        <v>25600000</v>
      </c>
      <c r="E173" s="400" t="str">
        <f>DEC2HEX(((D173)*2^0),8)</f>
        <v>0186A000</v>
      </c>
      <c r="F173" s="401" t="s">
        <v>1244</v>
      </c>
      <c r="G173" s="95" t="s">
        <v>1243</v>
      </c>
      <c r="H173" s="78" t="str">
        <f>"0x"&amp;DEC2HEX((HEX2DEC(C31)+36), 8)</f>
        <v>0x5C000024</v>
      </c>
      <c r="I173" s="78" t="str">
        <f>"0x"&amp;DEC2HEX((HEX2DEC(C32)+36), 8)</f>
        <v>0x5C100024</v>
      </c>
      <c r="J173" s="402" t="str">
        <f>"0x"&amp;DEC2HEX(HEX2DEC(E173), 8)</f>
        <v>0x0186A000</v>
      </c>
      <c r="K173" s="86"/>
    </row>
    <row r="174" spans="2:12" ht="11.25" customHeight="1" thickBot="1" x14ac:dyDescent="0.3">
      <c r="B174" s="75"/>
      <c r="C174" s="76"/>
      <c r="D174" s="77"/>
      <c r="E174" s="126"/>
      <c r="F174" s="72"/>
      <c r="G174" s="81"/>
      <c r="H174" s="81"/>
      <c r="I174" s="81"/>
      <c r="J174" s="81"/>
      <c r="K174" s="86"/>
    </row>
    <row r="175" spans="2:12" ht="108.75" customHeight="1" x14ac:dyDescent="0.25">
      <c r="B175" s="57" t="s">
        <v>191</v>
      </c>
      <c r="C175" s="64" t="s">
        <v>0</v>
      </c>
      <c r="D175" s="224">
        <v>0</v>
      </c>
      <c r="E175" s="51" t="str">
        <f>DEC2HEX(((D175)*2^12),8)</f>
        <v>00000000</v>
      </c>
      <c r="F175" s="142" t="s">
        <v>64</v>
      </c>
      <c r="G175" s="603" t="s">
        <v>61</v>
      </c>
      <c r="H175" s="603" t="str">
        <f>"0x"&amp;DEC2HEX((HEX2DEC(C31)+580), 8)</f>
        <v>0x5C000244</v>
      </c>
      <c r="I175" s="603" t="str">
        <f>"0x"&amp;DEC2HEX((HEX2DEC(C32)+580), 8)</f>
        <v>0x5C100244</v>
      </c>
      <c r="J175" s="606" t="str">
        <f>"0x"&amp;DEC2HEX((HEX2DEC(E175)+HEX2DEC(E176)+HEX2DEC(E177)+HEX2DEC(E178)), 8)</f>
        <v>0x00000000</v>
      </c>
      <c r="K175" s="642"/>
      <c r="L175" s="236"/>
    </row>
    <row r="176" spans="2:12" ht="99.75" customHeight="1" x14ac:dyDescent="0.25">
      <c r="B176" s="58" t="s">
        <v>192</v>
      </c>
      <c r="C176" s="60" t="s">
        <v>0</v>
      </c>
      <c r="D176" s="234">
        <v>0</v>
      </c>
      <c r="E176" s="52" t="str">
        <f>DEC2HEX(((D176)*2^8),8)</f>
        <v>00000000</v>
      </c>
      <c r="F176" s="141" t="s">
        <v>65</v>
      </c>
      <c r="G176" s="536"/>
      <c r="H176" s="536"/>
      <c r="I176" s="536"/>
      <c r="J176" s="543"/>
      <c r="K176" s="642"/>
      <c r="L176" s="236"/>
    </row>
    <row r="177" spans="2:12" ht="102" customHeight="1" x14ac:dyDescent="0.25">
      <c r="B177" s="58" t="s">
        <v>193</v>
      </c>
      <c r="C177" s="60" t="s">
        <v>0</v>
      </c>
      <c r="D177" s="234">
        <v>0</v>
      </c>
      <c r="E177" s="52" t="str">
        <f>DEC2HEX(((D177)*2^4),8)</f>
        <v>00000000</v>
      </c>
      <c r="F177" s="141" t="s">
        <v>63</v>
      </c>
      <c r="G177" s="536"/>
      <c r="H177" s="536"/>
      <c r="I177" s="536"/>
      <c r="J177" s="543"/>
      <c r="K177" s="642"/>
      <c r="L177" s="236"/>
    </row>
    <row r="178" spans="2:12" ht="102.75" customHeight="1" thickBot="1" x14ac:dyDescent="0.3">
      <c r="B178" s="59" t="s">
        <v>194</v>
      </c>
      <c r="C178" s="62" t="s">
        <v>0</v>
      </c>
      <c r="D178" s="235">
        <v>0</v>
      </c>
      <c r="E178" s="53" t="str">
        <f>DEC2HEX(((D178)*2^0),8)</f>
        <v>00000000</v>
      </c>
      <c r="F178" s="145" t="s">
        <v>62</v>
      </c>
      <c r="G178" s="537"/>
      <c r="H178" s="537"/>
      <c r="I178" s="537"/>
      <c r="J178" s="544"/>
      <c r="K178" s="642"/>
      <c r="L178" s="236"/>
    </row>
    <row r="179" spans="2:12" x14ac:dyDescent="0.25">
      <c r="B179" s="75"/>
      <c r="C179" s="76"/>
      <c r="D179" s="77"/>
      <c r="E179" s="36"/>
      <c r="F179" s="72"/>
      <c r="G179" s="81"/>
      <c r="H179" s="81"/>
      <c r="I179" s="81"/>
      <c r="J179" s="81"/>
      <c r="K179" s="86"/>
    </row>
    <row r="180" spans="2:12" ht="13.8" thickBot="1" x14ac:dyDescent="0.3">
      <c r="B180" s="75"/>
      <c r="C180" s="76"/>
      <c r="D180" s="77"/>
      <c r="E180" s="36"/>
      <c r="F180" s="72"/>
      <c r="G180" s="81"/>
      <c r="H180" s="81"/>
      <c r="I180" s="81"/>
      <c r="J180" s="81"/>
      <c r="K180" s="86"/>
    </row>
    <row r="181" spans="2:12" s="8" customFormat="1" ht="13.8" thickBot="1" x14ac:dyDescent="0.3">
      <c r="B181" s="680" t="s">
        <v>195</v>
      </c>
      <c r="C181" s="681"/>
      <c r="D181" s="681"/>
      <c r="E181" s="681"/>
      <c r="F181" s="681"/>
      <c r="G181" s="681"/>
      <c r="H181" s="681"/>
      <c r="I181" s="681"/>
      <c r="J181" s="682"/>
    </row>
    <row r="182" spans="2:12" s="8" customFormat="1" ht="13.8" thickBot="1" x14ac:dyDescent="0.3">
      <c r="B182" s="25"/>
      <c r="E182" s="13"/>
      <c r="G182" s="13"/>
      <c r="H182" s="13"/>
      <c r="I182" s="13"/>
      <c r="J182" s="13"/>
    </row>
    <row r="183" spans="2:12" s="8" customFormat="1" ht="41.25" customHeight="1" thickBot="1" x14ac:dyDescent="0.3">
      <c r="B183" s="683" t="s">
        <v>196</v>
      </c>
      <c r="C183" s="684"/>
      <c r="D183" s="685"/>
      <c r="E183" s="13"/>
      <c r="G183" s="13"/>
      <c r="H183" s="13"/>
      <c r="I183" s="13"/>
      <c r="J183" s="13"/>
    </row>
    <row r="184" spans="2:12" s="8" customFormat="1" ht="66.599999999999994" thickBot="1" x14ac:dyDescent="0.3">
      <c r="B184" s="2" t="s">
        <v>271</v>
      </c>
      <c r="C184" s="2" t="s">
        <v>5</v>
      </c>
      <c r="D184" s="2" t="s">
        <v>7</v>
      </c>
      <c r="E184" s="2" t="s">
        <v>6</v>
      </c>
      <c r="F184" s="4" t="s">
        <v>1</v>
      </c>
      <c r="G184" s="45" t="s">
        <v>3</v>
      </c>
      <c r="H184" s="5" t="s">
        <v>624</v>
      </c>
      <c r="I184" s="5" t="s">
        <v>625</v>
      </c>
      <c r="J184" s="5" t="s">
        <v>4</v>
      </c>
    </row>
    <row r="185" spans="2:12" s="8" customFormat="1" ht="8.25" customHeight="1" thickBot="1" x14ac:dyDescent="0.3">
      <c r="B185" s="37"/>
      <c r="C185" s="37"/>
      <c r="D185" s="37"/>
      <c r="E185" s="37"/>
      <c r="F185" s="38"/>
      <c r="G185" s="39"/>
      <c r="H185" s="39"/>
      <c r="I185" s="39"/>
      <c r="J185" s="39"/>
    </row>
    <row r="186" spans="2:12" s="8" customFormat="1" ht="52.8" x14ac:dyDescent="0.25">
      <c r="B186" s="198" t="s">
        <v>597</v>
      </c>
      <c r="C186" s="326" t="s">
        <v>0</v>
      </c>
      <c r="D186" s="327">
        <v>0</v>
      </c>
      <c r="E186" s="199" t="str">
        <f>DEC2HEX(((D186)*2^23),8)</f>
        <v>00000000</v>
      </c>
      <c r="F186" s="328" t="s">
        <v>221</v>
      </c>
      <c r="G186" s="577" t="s">
        <v>43</v>
      </c>
      <c r="H186" s="569" t="str">
        <f>"0x"&amp;DEC2HEX((HEX2DEC(C31)+220), 8)</f>
        <v>0x5C0000DC</v>
      </c>
      <c r="I186" s="569" t="str">
        <f>"0x"&amp;DEC2HEX((HEX2DEC(C32)+220), 8)</f>
        <v>0x5C1000DC</v>
      </c>
      <c r="J186" s="664" t="str">
        <f>IF(C17="LPDDR4", "0x"&amp;DEC2HEX((HEX2DEC(E186)+HEX2DEC(E187)+HEX2DEC(E188)+HEX2DEC(E189)+HEX2DEC(E190)+HEX2DEC(E191)+HEX2DEC(E192)+HEX2DEC(E193)+HEX2DEC(E194)), 8), "0x"&amp;DEC2HEX((HEX2DEC(#REF!)+HEX2DEC(#REF!)+HEX2DEC(#REF!)+HEX2DEC(#REF!)+HEX2DEC(#REF!)+HEX2DEC(#REF!)), 8))</f>
        <v>0x0054002D</v>
      </c>
    </row>
    <row r="187" spans="2:12" s="8" customFormat="1" ht="171.6" x14ac:dyDescent="0.25">
      <c r="B187" s="200" t="s">
        <v>598</v>
      </c>
      <c r="C187" s="193" t="s">
        <v>0</v>
      </c>
      <c r="D187" s="138">
        <f>D193</f>
        <v>5</v>
      </c>
      <c r="E187" s="113" t="str">
        <f>DEC2HEX(((D187)*2^20),8)</f>
        <v>00500000</v>
      </c>
      <c r="F187" s="194" t="s">
        <v>716</v>
      </c>
      <c r="G187" s="578"/>
      <c r="H187" s="662"/>
      <c r="I187" s="662"/>
      <c r="J187" s="665"/>
    </row>
    <row r="188" spans="2:12" s="8" customFormat="1" ht="52.8" x14ac:dyDescent="0.25">
      <c r="B188" s="192" t="s">
        <v>599</v>
      </c>
      <c r="C188" s="193" t="s">
        <v>0</v>
      </c>
      <c r="D188" s="313">
        <v>0</v>
      </c>
      <c r="E188" s="113" t="str">
        <f>DEC2HEX(((D188)*2^19),8)</f>
        <v>00000000</v>
      </c>
      <c r="F188" s="195" t="s">
        <v>223</v>
      </c>
      <c r="G188" s="578"/>
      <c r="H188" s="662"/>
      <c r="I188" s="662"/>
      <c r="J188" s="665"/>
    </row>
    <row r="189" spans="2:12" s="8" customFormat="1" ht="52.8" x14ac:dyDescent="0.25">
      <c r="B189" s="192" t="s">
        <v>600</v>
      </c>
      <c r="C189" s="193" t="s">
        <v>0</v>
      </c>
      <c r="D189" s="313">
        <v>1</v>
      </c>
      <c r="E189" s="113" t="str">
        <f>DEC2HEX(((D189)*2^18),8)</f>
        <v>00040000</v>
      </c>
      <c r="F189" s="195" t="s">
        <v>224</v>
      </c>
      <c r="G189" s="578"/>
      <c r="H189" s="662"/>
      <c r="I189" s="662"/>
      <c r="J189" s="665"/>
    </row>
    <row r="190" spans="2:12" s="8" customFormat="1" ht="79.8" thickBot="1" x14ac:dyDescent="0.3">
      <c r="B190" s="196" t="s">
        <v>601</v>
      </c>
      <c r="C190" s="197" t="s">
        <v>0</v>
      </c>
      <c r="D190" s="314">
        <v>0</v>
      </c>
      <c r="E190" s="189" t="str">
        <f>DEC2HEX(((D190)*2^16),8)</f>
        <v>00000000</v>
      </c>
      <c r="F190" s="201" t="s">
        <v>225</v>
      </c>
      <c r="G190" s="578"/>
      <c r="H190" s="662"/>
      <c r="I190" s="662"/>
      <c r="J190" s="665"/>
    </row>
    <row r="191" spans="2:12" s="8" customFormat="1" ht="52.5" customHeight="1" x14ac:dyDescent="0.25">
      <c r="B191" s="202" t="s">
        <v>602</v>
      </c>
      <c r="C191" s="203" t="s">
        <v>0</v>
      </c>
      <c r="D191" s="190">
        <v>0</v>
      </c>
      <c r="E191" s="188" t="str">
        <f>DEC2HEX(((D191)*2^7),8)</f>
        <v>00000000</v>
      </c>
      <c r="F191" s="204" t="s">
        <v>226</v>
      </c>
      <c r="G191" s="578"/>
      <c r="H191" s="662"/>
      <c r="I191" s="662"/>
      <c r="J191" s="665"/>
    </row>
    <row r="192" spans="2:12" s="8" customFormat="1" ht="52.8" x14ac:dyDescent="0.25">
      <c r="B192" s="202" t="s">
        <v>603</v>
      </c>
      <c r="C192" s="193" t="s">
        <v>0</v>
      </c>
      <c r="D192" s="191">
        <v>0</v>
      </c>
      <c r="E192" s="188" t="str">
        <f>DEC2HEX(((D192)*2^6),8)</f>
        <v>00000000</v>
      </c>
      <c r="F192" s="204" t="s">
        <v>227</v>
      </c>
      <c r="G192" s="578"/>
      <c r="H192" s="662"/>
      <c r="I192" s="662"/>
      <c r="J192" s="665"/>
    </row>
    <row r="193" spans="1:11" s="8" customFormat="1" ht="236.4" x14ac:dyDescent="0.25">
      <c r="B193" s="202" t="s">
        <v>604</v>
      </c>
      <c r="C193" s="193" t="s">
        <v>0</v>
      </c>
      <c r="D193" s="138">
        <f>(C119-4)/2</f>
        <v>5</v>
      </c>
      <c r="E193" s="188" t="str">
        <f>DEC2HEX(((D193)*2^3),8)</f>
        <v>00000028</v>
      </c>
      <c r="F193" s="204" t="s">
        <v>740</v>
      </c>
      <c r="G193" s="578"/>
      <c r="H193" s="662"/>
      <c r="I193" s="662"/>
      <c r="J193" s="665"/>
    </row>
    <row r="194" spans="1:11" s="8" customFormat="1" ht="237" thickBot="1" x14ac:dyDescent="0.3">
      <c r="B194" s="205" t="s">
        <v>605</v>
      </c>
      <c r="C194" s="197" t="s">
        <v>0</v>
      </c>
      <c r="D194" s="139">
        <f>D193</f>
        <v>5</v>
      </c>
      <c r="E194" s="206" t="str">
        <f>DEC2HEX(((D194)*2^0),8)</f>
        <v>00000005</v>
      </c>
      <c r="F194" s="207" t="s">
        <v>741</v>
      </c>
      <c r="G194" s="579"/>
      <c r="H194" s="663"/>
      <c r="I194" s="663"/>
      <c r="J194" s="666"/>
    </row>
    <row r="195" spans="1:11" s="8" customFormat="1" ht="9.75" customHeight="1" thickBot="1" x14ac:dyDescent="0.3">
      <c r="A195" s="12"/>
      <c r="B195" s="229"/>
      <c r="C195" s="230"/>
      <c r="D195" s="231"/>
      <c r="E195" s="232"/>
      <c r="F195" s="229"/>
      <c r="G195" s="233"/>
      <c r="H195" s="233"/>
      <c r="I195" s="233"/>
      <c r="J195" s="233"/>
      <c r="K195" s="12"/>
    </row>
    <row r="196" spans="1:11" s="8" customFormat="1" ht="66.599999999999994" thickBot="1" x14ac:dyDescent="0.3">
      <c r="B196" s="2" t="s">
        <v>272</v>
      </c>
      <c r="C196" s="2" t="s">
        <v>5</v>
      </c>
      <c r="D196" s="2" t="s">
        <v>7</v>
      </c>
      <c r="E196" s="2" t="s">
        <v>6</v>
      </c>
      <c r="F196" s="4" t="s">
        <v>1</v>
      </c>
      <c r="G196" s="45" t="s">
        <v>3</v>
      </c>
      <c r="H196" s="5" t="s">
        <v>624</v>
      </c>
      <c r="I196" s="5" t="s">
        <v>625</v>
      </c>
      <c r="J196" s="5" t="s">
        <v>4</v>
      </c>
    </row>
    <row r="197" spans="1:11" s="8" customFormat="1" ht="14.25" customHeight="1" thickBot="1" x14ac:dyDescent="0.3">
      <c r="B197" s="37"/>
      <c r="C197" s="37"/>
      <c r="D197" s="37"/>
      <c r="E197" s="37"/>
      <c r="F197" s="38"/>
      <c r="G197" s="39"/>
      <c r="H197" s="39"/>
      <c r="I197" s="39"/>
      <c r="J197" s="43" t="s">
        <v>2177</v>
      </c>
      <c r="K197" s="509" t="s">
        <v>2178</v>
      </c>
    </row>
    <row r="198" spans="1:11" s="8" customFormat="1" ht="52.8" x14ac:dyDescent="0.25">
      <c r="B198" s="213" t="s">
        <v>606</v>
      </c>
      <c r="C198" s="183" t="s">
        <v>0</v>
      </c>
      <c r="D198" s="268">
        <v>1</v>
      </c>
      <c r="E198" s="91" t="str">
        <f>DEC2HEX(((D198)*2^23),8)</f>
        <v>00800000</v>
      </c>
      <c r="F198" s="214" t="s">
        <v>228</v>
      </c>
      <c r="G198" s="693" t="s">
        <v>42</v>
      </c>
      <c r="H198" s="551" t="str">
        <f>"0x"&amp;DEC2HEX((HEX2DEC(C31)+224), 8)</f>
        <v>0x5C0000E0</v>
      </c>
      <c r="I198" s="551" t="str">
        <f>"0x"&amp;DEC2HEX((HEX2DEC(C32)+224), 8)</f>
        <v>0x5C1000E0</v>
      </c>
      <c r="J198" s="548" t="str">
        <f>"0x"&amp;DEC2HEX((HEX2DEC(E198)+HEX2DEC(E199)+HEX2DEC(E200)+HEX2DEC(E201)+HEX2DEC(E202)+HEX2DEC(E203)+HEX2DEC(E204)+HEX2DEC(E206)+HEX2DEC(E208)+HEX2DEC(E209)+HEX2DEC(E210)+HEX2DEC(E211)+HEX2DEC(E212)+HEX2DEC(E213) ), 8)</f>
        <v>0x00F10040</v>
      </c>
      <c r="K198" s="548" t="str">
        <f>"0x"&amp;DEC2HEX((HEX2DEC(E198)+HEX2DEC(E199)+HEX2DEC(E200)+HEX2DEC(E201)+HEX2DEC(E202)+HEX2DEC(E203)+HEX2DEC(E205)+HEX2DEC(E207)+HEX2DEC(E208)+HEX2DEC(E209)+HEX2DEC(E210)+HEX2DEC(E211)+HEX2DEC(E212)+HEX2DEC(E213) ), 8)</f>
        <v>0x00F10000</v>
      </c>
    </row>
    <row r="199" spans="1:11" s="8" customFormat="1" ht="52.8" x14ac:dyDescent="0.25">
      <c r="B199" s="111" t="s">
        <v>607</v>
      </c>
      <c r="C199" s="107" t="s">
        <v>0</v>
      </c>
      <c r="D199" s="108">
        <v>1</v>
      </c>
      <c r="E199" s="93" t="str">
        <f>DEC2HEX(((D199)*2^22),8)</f>
        <v>00400000</v>
      </c>
      <c r="F199" s="112" t="s">
        <v>229</v>
      </c>
      <c r="G199" s="694"/>
      <c r="H199" s="546"/>
      <c r="I199" s="546"/>
      <c r="J199" s="549"/>
      <c r="K199" s="549"/>
    </row>
    <row r="200" spans="1:11" s="8" customFormat="1" ht="132" x14ac:dyDescent="0.25">
      <c r="B200" s="111" t="s">
        <v>608</v>
      </c>
      <c r="C200" s="107" t="s">
        <v>0</v>
      </c>
      <c r="D200" s="108">
        <v>6</v>
      </c>
      <c r="E200" s="93" t="str">
        <f>DEC2HEX(((D200)*2^19),8)</f>
        <v>00300000</v>
      </c>
      <c r="F200" s="112" t="s">
        <v>230</v>
      </c>
      <c r="G200" s="694"/>
      <c r="H200" s="546"/>
      <c r="I200" s="546"/>
      <c r="J200" s="549"/>
      <c r="K200" s="549"/>
    </row>
    <row r="201" spans="1:11" s="8" customFormat="1" ht="52.8" x14ac:dyDescent="0.25">
      <c r="B201" s="111" t="s">
        <v>609</v>
      </c>
      <c r="C201" s="107" t="s">
        <v>0</v>
      </c>
      <c r="D201" s="219">
        <v>0</v>
      </c>
      <c r="E201" s="93" t="str">
        <f>DEC2HEX(((D201)*2^18),8)</f>
        <v>00000000</v>
      </c>
      <c r="F201" s="112" t="s">
        <v>231</v>
      </c>
      <c r="G201" s="694"/>
      <c r="H201" s="546"/>
      <c r="I201" s="546"/>
      <c r="J201" s="549"/>
      <c r="K201" s="549"/>
    </row>
    <row r="202" spans="1:11" s="8" customFormat="1" ht="66" x14ac:dyDescent="0.25">
      <c r="B202" s="111" t="s">
        <v>610</v>
      </c>
      <c r="C202" s="107" t="s">
        <v>0</v>
      </c>
      <c r="D202" s="108">
        <v>0</v>
      </c>
      <c r="E202" s="93" t="str">
        <f>DEC2HEX(((D202)*2^17),8)</f>
        <v>00000000</v>
      </c>
      <c r="F202" s="112" t="s">
        <v>232</v>
      </c>
      <c r="G202" s="694"/>
      <c r="H202" s="546"/>
      <c r="I202" s="546"/>
      <c r="J202" s="549"/>
      <c r="K202" s="549"/>
    </row>
    <row r="203" spans="1:11" s="8" customFormat="1" ht="53.4" thickBot="1" x14ac:dyDescent="0.3">
      <c r="B203" s="89" t="s">
        <v>611</v>
      </c>
      <c r="C203" s="109" t="s">
        <v>0</v>
      </c>
      <c r="D203" s="211">
        <v>1</v>
      </c>
      <c r="E203" s="110" t="str">
        <f>DEC2HEX(((D203)*2^16),8)</f>
        <v>00010000</v>
      </c>
      <c r="F203" s="212" t="s">
        <v>233</v>
      </c>
      <c r="G203" s="694"/>
      <c r="H203" s="546"/>
      <c r="I203" s="546"/>
      <c r="J203" s="549"/>
      <c r="K203" s="549"/>
    </row>
    <row r="204" spans="1:11" s="8" customFormat="1" ht="51" customHeight="1" x14ac:dyDescent="0.25">
      <c r="B204" s="215" t="s">
        <v>2106</v>
      </c>
      <c r="C204" s="719" t="s">
        <v>0</v>
      </c>
      <c r="D204" s="218">
        <v>0</v>
      </c>
      <c r="E204" s="92" t="str">
        <f>DEC2HEX(((D204)*2^7),8)</f>
        <v>00000000</v>
      </c>
      <c r="F204" s="686" t="s">
        <v>234</v>
      </c>
      <c r="G204" s="694"/>
      <c r="H204" s="546"/>
      <c r="I204" s="546"/>
      <c r="J204" s="549"/>
      <c r="K204" s="549"/>
    </row>
    <row r="205" spans="1:11" s="8" customFormat="1" ht="33.75" customHeight="1" x14ac:dyDescent="0.25">
      <c r="B205" s="488" t="s">
        <v>2107</v>
      </c>
      <c r="C205" s="712"/>
      <c r="D205" s="218">
        <v>0</v>
      </c>
      <c r="E205" s="92" t="str">
        <f>DEC2HEX(((D205)*2^7),8)</f>
        <v>00000000</v>
      </c>
      <c r="F205" s="687"/>
      <c r="G205" s="694"/>
      <c r="H205" s="546"/>
      <c r="I205" s="546"/>
      <c r="J205" s="549"/>
      <c r="K205" s="549"/>
    </row>
    <row r="206" spans="1:11" s="8" customFormat="1" ht="51" customHeight="1" x14ac:dyDescent="0.25">
      <c r="B206" s="216" t="s">
        <v>2108</v>
      </c>
      <c r="C206" s="711" t="s">
        <v>0</v>
      </c>
      <c r="D206" s="219">
        <v>1</v>
      </c>
      <c r="E206" s="93" t="str">
        <f>DEC2HEX(((D206)*2^6),8)</f>
        <v>00000040</v>
      </c>
      <c r="F206" s="710" t="s">
        <v>235</v>
      </c>
      <c r="G206" s="694"/>
      <c r="H206" s="546"/>
      <c r="I206" s="546"/>
      <c r="J206" s="549"/>
      <c r="K206" s="549"/>
    </row>
    <row r="207" spans="1:11" s="8" customFormat="1" ht="34.5" customHeight="1" x14ac:dyDescent="0.25">
      <c r="B207" s="111" t="s">
        <v>2109</v>
      </c>
      <c r="C207" s="712"/>
      <c r="D207" s="219">
        <v>0</v>
      </c>
      <c r="E207" s="487" t="str">
        <f>DEC2HEX(((D207)*2^6),8)</f>
        <v>00000000</v>
      </c>
      <c r="F207" s="687"/>
      <c r="G207" s="694"/>
      <c r="H207" s="546"/>
      <c r="I207" s="546"/>
      <c r="J207" s="549"/>
      <c r="K207" s="549"/>
    </row>
    <row r="208" spans="1:11" s="8" customFormat="1" ht="52.8" x14ac:dyDescent="0.25">
      <c r="B208" s="216" t="s">
        <v>612</v>
      </c>
      <c r="C208" s="107" t="s">
        <v>0</v>
      </c>
      <c r="D208" s="108">
        <v>0</v>
      </c>
      <c r="E208" s="93" t="str">
        <f>DEC2HEX(((D208)*2^5),8)</f>
        <v>00000000</v>
      </c>
      <c r="F208" s="112" t="s">
        <v>236</v>
      </c>
      <c r="G208" s="694"/>
      <c r="H208" s="546"/>
      <c r="I208" s="546"/>
      <c r="J208" s="549"/>
      <c r="K208" s="549"/>
    </row>
    <row r="209" spans="2:14" s="8" customFormat="1" ht="52.8" x14ac:dyDescent="0.25">
      <c r="B209" s="216" t="s">
        <v>613</v>
      </c>
      <c r="C209" s="107" t="s">
        <v>0</v>
      </c>
      <c r="D209" s="219">
        <v>0</v>
      </c>
      <c r="E209" s="93" t="str">
        <f>DEC2HEX(((D209)*2^4),8)</f>
        <v>00000000</v>
      </c>
      <c r="F209" s="112" t="s">
        <v>237</v>
      </c>
      <c r="G209" s="694"/>
      <c r="H209" s="546"/>
      <c r="I209" s="546"/>
      <c r="J209" s="549"/>
      <c r="K209" s="549"/>
    </row>
    <row r="210" spans="2:14" s="8" customFormat="1" ht="52.8" x14ac:dyDescent="0.25">
      <c r="B210" s="216" t="s">
        <v>614</v>
      </c>
      <c r="C210" s="107" t="s">
        <v>0</v>
      </c>
      <c r="D210" s="219">
        <v>0</v>
      </c>
      <c r="E210" s="93" t="str">
        <f>DEC2HEX(((D210)*2^3),8)</f>
        <v>00000000</v>
      </c>
      <c r="F210" s="112" t="s">
        <v>238</v>
      </c>
      <c r="G210" s="694"/>
      <c r="H210" s="546"/>
      <c r="I210" s="546"/>
      <c r="J210" s="549"/>
      <c r="K210" s="549"/>
    </row>
    <row r="211" spans="2:14" s="8" customFormat="1" ht="52.8" x14ac:dyDescent="0.25">
      <c r="B211" s="216" t="s">
        <v>615</v>
      </c>
      <c r="C211" s="107" t="s">
        <v>0</v>
      </c>
      <c r="D211" s="219">
        <v>0</v>
      </c>
      <c r="E211" s="93" t="str">
        <f>DEC2HEX(((D211)*2^2),8)</f>
        <v>00000000</v>
      </c>
      <c r="F211" s="112" t="s">
        <v>239</v>
      </c>
      <c r="G211" s="694"/>
      <c r="H211" s="546"/>
      <c r="I211" s="546"/>
      <c r="J211" s="549"/>
      <c r="K211" s="549"/>
    </row>
    <row r="212" spans="2:14" s="8" customFormat="1" ht="52.8" x14ac:dyDescent="0.25">
      <c r="B212" s="216" t="s">
        <v>616</v>
      </c>
      <c r="C212" s="107" t="s">
        <v>0</v>
      </c>
      <c r="D212" s="219">
        <v>0</v>
      </c>
      <c r="E212" s="93" t="str">
        <f>DEC2HEX(((D212)*2^1),8)</f>
        <v>00000000</v>
      </c>
      <c r="F212" s="112" t="s">
        <v>240</v>
      </c>
      <c r="G212" s="694"/>
      <c r="H212" s="546"/>
      <c r="I212" s="546"/>
      <c r="J212" s="549"/>
      <c r="K212" s="549"/>
    </row>
    <row r="213" spans="2:14" s="8" customFormat="1" ht="53.4" thickBot="1" x14ac:dyDescent="0.3">
      <c r="B213" s="217" t="s">
        <v>617</v>
      </c>
      <c r="C213" s="109" t="s">
        <v>0</v>
      </c>
      <c r="D213" s="220">
        <v>0</v>
      </c>
      <c r="E213" s="110" t="str">
        <f>DEC2HEX(((D213)*2^0),8)</f>
        <v>00000000</v>
      </c>
      <c r="F213" s="212" t="s">
        <v>241</v>
      </c>
      <c r="G213" s="695"/>
      <c r="H213" s="547"/>
      <c r="I213" s="547"/>
      <c r="J213" s="550"/>
      <c r="K213" s="550"/>
    </row>
    <row r="214" spans="2:14" s="8" customFormat="1" x14ac:dyDescent="0.25">
      <c r="E214" s="13"/>
      <c r="G214" s="13"/>
      <c r="H214" s="13"/>
      <c r="I214" s="13"/>
      <c r="J214" s="13"/>
    </row>
    <row r="215" spans="2:14" ht="13.8" thickBot="1" x14ac:dyDescent="0.3">
      <c r="B215" s="75"/>
      <c r="C215" s="76"/>
      <c r="D215" s="77"/>
      <c r="E215" s="36"/>
      <c r="F215" s="72"/>
      <c r="G215" s="81"/>
      <c r="H215" s="81"/>
      <c r="I215" s="81"/>
      <c r="J215" s="81"/>
      <c r="K215" s="86"/>
    </row>
    <row r="216" spans="2:14" ht="13.8" thickBot="1" x14ac:dyDescent="0.3">
      <c r="B216" s="680" t="s">
        <v>181</v>
      </c>
      <c r="C216" s="681"/>
      <c r="D216" s="681"/>
      <c r="E216" s="681"/>
      <c r="F216" s="681"/>
      <c r="G216" s="681"/>
      <c r="H216" s="681"/>
      <c r="I216" s="681"/>
      <c r="J216" s="682"/>
      <c r="K216" s="86"/>
      <c r="M216" s="116"/>
      <c r="N216" s="116"/>
    </row>
    <row r="217" spans="2:14" s="116" customFormat="1" ht="13.8" thickBot="1" x14ac:dyDescent="0.3">
      <c r="B217" s="117"/>
      <c r="C217" s="117"/>
      <c r="D217" s="117"/>
      <c r="E217" s="117"/>
      <c r="F217" s="117"/>
      <c r="G217" s="117"/>
      <c r="H217" s="117"/>
      <c r="I217" s="117"/>
      <c r="J217" s="117"/>
      <c r="K217" s="118"/>
      <c r="M217" s="8"/>
      <c r="N217" s="8"/>
    </row>
    <row r="218" spans="2:14" ht="40.200000000000003" thickBot="1" x14ac:dyDescent="0.3">
      <c r="B218" s="14" t="s">
        <v>79</v>
      </c>
      <c r="C218" s="16" t="s">
        <v>106</v>
      </c>
      <c r="D218" s="100" t="s">
        <v>105</v>
      </c>
      <c r="E218" s="14" t="s">
        <v>6</v>
      </c>
      <c r="F218" s="15" t="s">
        <v>1</v>
      </c>
      <c r="G218" s="35" t="s">
        <v>3</v>
      </c>
      <c r="H218" s="16" t="s">
        <v>626</v>
      </c>
      <c r="I218" s="16" t="s">
        <v>627</v>
      </c>
      <c r="J218" s="16" t="s">
        <v>4</v>
      </c>
      <c r="K218" s="18"/>
    </row>
    <row r="219" spans="2:14" ht="134.25" customHeight="1" x14ac:dyDescent="0.25">
      <c r="B219" s="57" t="s">
        <v>148</v>
      </c>
      <c r="C219" s="64"/>
      <c r="D219" s="56">
        <v>4</v>
      </c>
      <c r="E219" s="157" t="str">
        <f>DEC2HEX(((D219)*2^24),8)</f>
        <v>04000000</v>
      </c>
      <c r="F219" s="33" t="s">
        <v>74</v>
      </c>
      <c r="G219" s="564" t="s">
        <v>52</v>
      </c>
      <c r="H219" s="564" t="str">
        <f>"0x"&amp;DEC2HEX((HEX2DEC(C31)+400), 8)</f>
        <v>0x5C000190</v>
      </c>
      <c r="I219" s="564" t="str">
        <f>"0x"&amp;DEC2HEX((HEX2DEC(C32)+400), 8)</f>
        <v>0x5C100190</v>
      </c>
      <c r="J219" s="561" t="str">
        <f>"0x"&amp;DEC2HEX((HEX2DEC(E219)+HEX2DEC(E220)+HEX2DEC(E221)+HEX2DEC(E222)+HEX2DEC(E223)+HEX2DEC(E224)), 8)</f>
        <v>0x049E820C</v>
      </c>
      <c r="K219" s="18"/>
    </row>
    <row r="220" spans="2:14" ht="106.5" customHeight="1" x14ac:dyDescent="0.25">
      <c r="B220" s="58" t="s">
        <v>149</v>
      </c>
      <c r="C220" s="60"/>
      <c r="D220" s="135">
        <v>1</v>
      </c>
      <c r="E220" s="155" t="str">
        <f>DEC2HEX(((D220)*2^23),8)</f>
        <v>00800000</v>
      </c>
      <c r="F220" s="17" t="s">
        <v>742</v>
      </c>
      <c r="G220" s="546"/>
      <c r="H220" s="546"/>
      <c r="I220" s="546"/>
      <c r="J220" s="562"/>
      <c r="K220" s="18"/>
    </row>
    <row r="221" spans="2:14" ht="145.19999999999999" x14ac:dyDescent="0.25">
      <c r="B221" s="58" t="s">
        <v>150</v>
      </c>
      <c r="C221" s="60"/>
      <c r="D221" s="134">
        <f>(C120+ D451-4)</f>
        <v>30</v>
      </c>
      <c r="E221" s="155" t="str">
        <f>DEC2HEX(((D221)*2^16),8)</f>
        <v>001E0000</v>
      </c>
      <c r="F221" s="32" t="s">
        <v>744</v>
      </c>
      <c r="G221" s="546"/>
      <c r="H221" s="546"/>
      <c r="I221" s="546"/>
      <c r="J221" s="562"/>
      <c r="K221" s="227"/>
    </row>
    <row r="222" spans="2:14" ht="118.8" x14ac:dyDescent="0.25">
      <c r="B222" s="58" t="s">
        <v>151</v>
      </c>
      <c r="C222" s="60"/>
      <c r="D222" s="135">
        <v>1</v>
      </c>
      <c r="E222" s="155" t="str">
        <f>DEC2HEX(((D222)*2^15),8)</f>
        <v>00008000</v>
      </c>
      <c r="F222" s="32" t="s">
        <v>743</v>
      </c>
      <c r="G222" s="546"/>
      <c r="H222" s="546"/>
      <c r="I222" s="546"/>
      <c r="J222" s="562"/>
      <c r="K222" s="18"/>
    </row>
    <row r="223" spans="2:14" ht="100.5" customHeight="1" x14ac:dyDescent="0.25">
      <c r="B223" s="74" t="s">
        <v>152</v>
      </c>
      <c r="C223" s="60"/>
      <c r="D223" s="135">
        <v>2</v>
      </c>
      <c r="E223" s="155" t="str">
        <f>DEC2HEX(((D223)*2^8),8)</f>
        <v>00000200</v>
      </c>
      <c r="F223" s="32" t="s">
        <v>75</v>
      </c>
      <c r="G223" s="546"/>
      <c r="H223" s="546"/>
      <c r="I223" s="546"/>
      <c r="J223" s="562"/>
      <c r="K223" s="18"/>
    </row>
    <row r="224" spans="2:14" ht="93" thickBot="1" x14ac:dyDescent="0.3">
      <c r="B224" s="158" t="s">
        <v>153</v>
      </c>
      <c r="C224" s="62"/>
      <c r="D224" s="154">
        <f>C119-2</f>
        <v>12</v>
      </c>
      <c r="E224" s="156" t="str">
        <f>DEC2HEX(((D224)*2^0),8)</f>
        <v>0000000C</v>
      </c>
      <c r="F224" s="34" t="s">
        <v>697</v>
      </c>
      <c r="G224" s="547"/>
      <c r="H224" s="547"/>
      <c r="I224" s="547"/>
      <c r="J224" s="563"/>
      <c r="K224" s="227"/>
    </row>
    <row r="225" spans="1:12" ht="12.75" customHeight="1" thickBot="1" x14ac:dyDescent="0.3">
      <c r="B225" s="68"/>
      <c r="C225" s="69"/>
      <c r="D225" s="70"/>
      <c r="E225" s="71"/>
      <c r="F225" s="72"/>
      <c r="G225" s="36"/>
      <c r="H225" s="36"/>
      <c r="I225" s="36"/>
      <c r="J225" s="54"/>
      <c r="K225" s="18"/>
    </row>
    <row r="226" spans="1:12" ht="92.4" x14ac:dyDescent="0.25">
      <c r="B226" s="57" t="s">
        <v>255</v>
      </c>
      <c r="C226" s="64" t="s">
        <v>0</v>
      </c>
      <c r="D226" s="56">
        <v>0</v>
      </c>
      <c r="E226" s="51" t="str">
        <f>DEC2HEX(((D226)*2^28),8)</f>
        <v>00000000</v>
      </c>
      <c r="F226" s="33" t="s">
        <v>256</v>
      </c>
      <c r="G226" s="564" t="s">
        <v>53</v>
      </c>
      <c r="H226" s="564" t="str">
        <f>"0x"&amp;DEC2HEX((HEX2DEC(C31)+404), 8)</f>
        <v>0x5C000194</v>
      </c>
      <c r="I226" s="564" t="str">
        <f>"0x"&amp;DEC2HEX((HEX2DEC(C32)+404), 8)</f>
        <v>0x5C100194</v>
      </c>
      <c r="J226" s="565" t="str">
        <f>"0x"&amp;DEC2HEX((HEX2DEC(E226)+HEX2DEC(E227)+HEX2DEC(E228)+HEX2DEC(E229)+HEX2DEC(E230)), 8)</f>
        <v>0x00070303</v>
      </c>
      <c r="K226" s="18"/>
    </row>
    <row r="227" spans="1:12" ht="39.6" x14ac:dyDescent="0.25">
      <c r="B227" s="58" t="s">
        <v>257</v>
      </c>
      <c r="C227" s="60" t="s">
        <v>0</v>
      </c>
      <c r="D227" s="61">
        <v>0</v>
      </c>
      <c r="E227" s="52" t="str">
        <f>DEC2HEX(((D227)*2^24),8)</f>
        <v>00000000</v>
      </c>
      <c r="F227" s="17" t="s">
        <v>258</v>
      </c>
      <c r="G227" s="546"/>
      <c r="H227" s="546"/>
      <c r="I227" s="546"/>
      <c r="J227" s="549"/>
      <c r="K227" s="18"/>
    </row>
    <row r="228" spans="1:12" ht="171.6" x14ac:dyDescent="0.25">
      <c r="B228" s="58" t="s">
        <v>1827</v>
      </c>
      <c r="C228" s="60" t="s">
        <v>0</v>
      </c>
      <c r="D228" s="61">
        <v>7</v>
      </c>
      <c r="E228" s="52" t="str">
        <f>DEC2HEX(((D228)*2^16),8)</f>
        <v>00070000</v>
      </c>
      <c r="F228" s="32" t="s">
        <v>254</v>
      </c>
      <c r="G228" s="546"/>
      <c r="H228" s="546"/>
      <c r="I228" s="546"/>
      <c r="J228" s="549"/>
      <c r="K228" s="18"/>
    </row>
    <row r="229" spans="1:12" ht="91.5" customHeight="1" x14ac:dyDescent="0.25">
      <c r="B229" s="58" t="s">
        <v>154</v>
      </c>
      <c r="C229" s="60" t="s">
        <v>0</v>
      </c>
      <c r="D229" s="61">
        <v>3</v>
      </c>
      <c r="E229" s="52" t="str">
        <f>DEC2HEX(((D229)*2^8),8)</f>
        <v>00000300</v>
      </c>
      <c r="F229" s="32" t="s">
        <v>72</v>
      </c>
      <c r="G229" s="546"/>
      <c r="H229" s="546"/>
      <c r="I229" s="546"/>
      <c r="J229" s="549"/>
      <c r="K229" s="18"/>
    </row>
    <row r="230" spans="1:12" ht="96.75" customHeight="1" thickBot="1" x14ac:dyDescent="0.3">
      <c r="B230" s="59" t="s">
        <v>155</v>
      </c>
      <c r="C230" s="62" t="s">
        <v>0</v>
      </c>
      <c r="D230" s="63">
        <v>3</v>
      </c>
      <c r="E230" s="53" t="str">
        <f>DEC2HEX(((D230)*2^0),8)</f>
        <v>00000003</v>
      </c>
      <c r="F230" s="34" t="s">
        <v>73</v>
      </c>
      <c r="G230" s="547"/>
      <c r="H230" s="547"/>
      <c r="I230" s="547"/>
      <c r="J230" s="550"/>
      <c r="K230" s="18"/>
    </row>
    <row r="231" spans="1:12" ht="8.25" customHeight="1" thickBot="1" x14ac:dyDescent="0.3">
      <c r="B231" s="75"/>
      <c r="C231" s="76"/>
      <c r="D231" s="77"/>
      <c r="E231" s="36"/>
      <c r="F231" s="72"/>
      <c r="G231" s="81"/>
      <c r="H231" s="81"/>
      <c r="I231" s="81"/>
      <c r="J231" s="81"/>
      <c r="K231" s="18"/>
    </row>
    <row r="232" spans="1:12" ht="79.2" x14ac:dyDescent="0.25">
      <c r="A232" s="308"/>
      <c r="B232" s="57" t="s">
        <v>260</v>
      </c>
      <c r="C232" s="97" t="s">
        <v>0</v>
      </c>
      <c r="D232" s="96">
        <f>(D221-2)</f>
        <v>28</v>
      </c>
      <c r="E232" s="306" t="str">
        <f>DEC2HEX(((D232)*2^8),8)</f>
        <v>00001C00</v>
      </c>
      <c r="F232" s="33" t="s">
        <v>698</v>
      </c>
      <c r="G232" s="551" t="s">
        <v>259</v>
      </c>
      <c r="H232" s="551" t="str">
        <f>"0x"&amp;DEC2HEX((HEX2DEC(C31)+436), 8)</f>
        <v>0x5C0001B4</v>
      </c>
      <c r="I232" s="551" t="str">
        <f>"0x"&amp;DEC2HEX((HEX2DEC(C32)+436), 8)</f>
        <v>0x5C1001B4</v>
      </c>
      <c r="J232" s="565" t="str">
        <f>"0x"&amp;DEC2HEX((HEX2DEC(E232)+HEX2DEC(E233)), 8)</f>
        <v>0x00001C0A</v>
      </c>
      <c r="K232" s="18"/>
    </row>
    <row r="233" spans="1:12" ht="79.8" thickBot="1" x14ac:dyDescent="0.3">
      <c r="A233" s="308"/>
      <c r="B233" s="59" t="s">
        <v>261</v>
      </c>
      <c r="C233" s="101" t="s">
        <v>0</v>
      </c>
      <c r="D233" s="180">
        <f>(D224-2)</f>
        <v>10</v>
      </c>
      <c r="E233" s="307" t="str">
        <f>DEC2HEX(((D233)*2^0),8)</f>
        <v>0000000A</v>
      </c>
      <c r="F233" s="34" t="s">
        <v>699</v>
      </c>
      <c r="G233" s="547"/>
      <c r="H233" s="547"/>
      <c r="I233" s="547"/>
      <c r="J233" s="550"/>
      <c r="K233" s="18"/>
    </row>
    <row r="234" spans="1:12" ht="9" customHeight="1" thickBot="1" x14ac:dyDescent="0.3">
      <c r="B234" s="75"/>
      <c r="C234" s="106"/>
      <c r="D234" s="77"/>
      <c r="E234" s="36"/>
      <c r="F234" s="72"/>
      <c r="G234" s="81"/>
      <c r="H234" s="81"/>
      <c r="I234" s="81"/>
      <c r="J234" s="81"/>
      <c r="K234" s="18"/>
    </row>
    <row r="235" spans="1:12" ht="52.8" x14ac:dyDescent="0.25">
      <c r="B235" s="57" t="s">
        <v>263</v>
      </c>
      <c r="C235" s="97" t="s">
        <v>0</v>
      </c>
      <c r="D235" s="56">
        <v>1</v>
      </c>
      <c r="E235" s="412" t="str">
        <f>DEC2HEX(((D235)*2^2),8)</f>
        <v>00000004</v>
      </c>
      <c r="F235" s="33" t="s">
        <v>266</v>
      </c>
      <c r="G235" s="535" t="s">
        <v>262</v>
      </c>
      <c r="H235" s="535" t="str">
        <f>"0x"&amp;DEC2HEX((HEX2DEC(C31)+432), 8)</f>
        <v>0x5C0001B0</v>
      </c>
      <c r="I235" s="535" t="str">
        <f>"0x"&amp;DEC2HEX((HEX2DEC(C32)+432), 8)</f>
        <v>0x5C1001B0</v>
      </c>
      <c r="J235" s="542" t="str">
        <f>"0x"&amp;DEC2HEX((HEX2DEC(E235)+HEX2DEC(E236)+HEX2DEC(E237)), 8)</f>
        <v>0x00000005</v>
      </c>
      <c r="K235" s="560"/>
      <c r="L235" s="574"/>
    </row>
    <row r="236" spans="1:12" ht="66" x14ac:dyDescent="0.25">
      <c r="B236" s="58" t="s">
        <v>264</v>
      </c>
      <c r="C236" s="98" t="s">
        <v>0</v>
      </c>
      <c r="D236" s="135">
        <v>0</v>
      </c>
      <c r="E236" s="413" t="str">
        <f>DEC2HEX(((D236)*2^1),8)</f>
        <v>00000000</v>
      </c>
      <c r="F236" s="17" t="s">
        <v>267</v>
      </c>
      <c r="G236" s="536"/>
      <c r="H236" s="536"/>
      <c r="I236" s="536"/>
      <c r="J236" s="543"/>
      <c r="K236" s="560"/>
      <c r="L236" s="574"/>
    </row>
    <row r="237" spans="1:12" ht="53.4" thickBot="1" x14ac:dyDescent="0.3">
      <c r="B237" s="59" t="s">
        <v>265</v>
      </c>
      <c r="C237" s="101" t="s">
        <v>0</v>
      </c>
      <c r="D237" s="63">
        <v>1</v>
      </c>
      <c r="E237" s="414" t="str">
        <f>DEC2HEX(((D237)*2^0),8)</f>
        <v>00000001</v>
      </c>
      <c r="F237" s="34" t="s">
        <v>268</v>
      </c>
      <c r="G237" s="537"/>
      <c r="H237" s="537"/>
      <c r="I237" s="537"/>
      <c r="J237" s="544"/>
      <c r="K237" s="560"/>
      <c r="L237" s="574"/>
    </row>
    <row r="238" spans="1:12" ht="7.5" customHeight="1" thickBot="1" x14ac:dyDescent="0.3">
      <c r="B238" s="68"/>
      <c r="C238" s="69"/>
      <c r="D238" s="70"/>
      <c r="E238" s="71"/>
      <c r="F238" s="72"/>
      <c r="G238" s="36"/>
      <c r="H238" s="36"/>
      <c r="I238" s="36"/>
      <c r="J238" s="54"/>
      <c r="K238" s="18"/>
    </row>
    <row r="239" spans="1:12" ht="105" customHeight="1" x14ac:dyDescent="0.25">
      <c r="B239" s="57" t="s">
        <v>156</v>
      </c>
      <c r="C239" s="64" t="s">
        <v>0</v>
      </c>
      <c r="D239" s="56">
        <v>0</v>
      </c>
      <c r="E239" s="51" t="str">
        <f>DEC2HEX(((D239)*2^31),8)</f>
        <v>00000000</v>
      </c>
      <c r="F239" s="33" t="s">
        <v>71</v>
      </c>
      <c r="G239" s="564" t="s">
        <v>54</v>
      </c>
      <c r="H239" s="564" t="str">
        <f>"0x"&amp;DEC2HEX((HEX2DEC(C31)+416), 8)</f>
        <v>0x5C0001A0</v>
      </c>
      <c r="I239" s="564" t="str">
        <f>"0x"&amp;DEC2HEX((HEX2DEC(C32)+416), 8)</f>
        <v>0x5C1001A0</v>
      </c>
      <c r="J239" s="565" t="str">
        <f>"0x"&amp;DEC2HEX((HEX2DEC(E239)+HEX2DEC(E240)+HEX2DEC(E241)+HEX2DEC(E242)), 8)</f>
        <v>0x00400003</v>
      </c>
      <c r="K239" s="18"/>
    </row>
    <row r="240" spans="1:12" ht="102.75" customHeight="1" x14ac:dyDescent="0.25">
      <c r="B240" s="58" t="s">
        <v>157</v>
      </c>
      <c r="C240" s="60" t="s">
        <v>0</v>
      </c>
      <c r="D240" s="61">
        <v>0</v>
      </c>
      <c r="E240" s="52" t="str">
        <f>DEC2HEX(((D240)*2^30),8)</f>
        <v>00000000</v>
      </c>
      <c r="F240" s="17" t="s">
        <v>70</v>
      </c>
      <c r="G240" s="546"/>
      <c r="H240" s="546"/>
      <c r="I240" s="546"/>
      <c r="J240" s="549"/>
      <c r="K240" s="18"/>
    </row>
    <row r="241" spans="2:11" ht="63" customHeight="1" x14ac:dyDescent="0.25">
      <c r="B241" s="74" t="s">
        <v>158</v>
      </c>
      <c r="C241" s="60" t="s">
        <v>0</v>
      </c>
      <c r="D241" s="61">
        <v>64</v>
      </c>
      <c r="E241" s="52" t="str">
        <f>DEC2HEX(((D241)*2^16),8)</f>
        <v>00400000</v>
      </c>
      <c r="F241" s="32" t="s">
        <v>68</v>
      </c>
      <c r="G241" s="546"/>
      <c r="H241" s="546"/>
      <c r="I241" s="546"/>
      <c r="J241" s="549"/>
      <c r="K241" s="18"/>
    </row>
    <row r="242" spans="2:11" ht="105.75" customHeight="1" thickBot="1" x14ac:dyDescent="0.3">
      <c r="B242" s="59" t="s">
        <v>159</v>
      </c>
      <c r="C242" s="62" t="s">
        <v>0</v>
      </c>
      <c r="D242" s="63">
        <v>3</v>
      </c>
      <c r="E242" s="53" t="str">
        <f>DEC2HEX(((D242)*2^0),8)</f>
        <v>00000003</v>
      </c>
      <c r="F242" s="34" t="s">
        <v>69</v>
      </c>
      <c r="G242" s="547"/>
      <c r="H242" s="547"/>
      <c r="I242" s="547"/>
      <c r="J242" s="550"/>
      <c r="K242" s="18"/>
    </row>
    <row r="243" spans="2:11" ht="6" customHeight="1" thickBot="1" x14ac:dyDescent="0.3">
      <c r="B243" s="68"/>
      <c r="C243" s="69"/>
      <c r="D243" s="70"/>
      <c r="E243" s="71"/>
      <c r="F243" s="72"/>
      <c r="G243" s="36"/>
      <c r="H243" s="36"/>
      <c r="I243" s="36"/>
      <c r="J243" s="54"/>
      <c r="K243" s="18"/>
    </row>
    <row r="244" spans="2:11" ht="92.4" x14ac:dyDescent="0.25">
      <c r="B244" s="57" t="s">
        <v>160</v>
      </c>
      <c r="C244" s="64" t="s">
        <v>0</v>
      </c>
      <c r="D244" s="228">
        <v>128</v>
      </c>
      <c r="E244" s="51" t="str">
        <f>DEC2HEX(((D244)*2^16),8)</f>
        <v>00800000</v>
      </c>
      <c r="F244" s="33" t="s">
        <v>67</v>
      </c>
      <c r="G244" s="564" t="s">
        <v>55</v>
      </c>
      <c r="H244" s="564" t="str">
        <f>"0x"&amp;DEC2HEX((HEX2DEC(C31)+420), 8)</f>
        <v>0x5C0001A4</v>
      </c>
      <c r="I244" s="564" t="str">
        <f>"0x"&amp;DEC2HEX((HEX2DEC(C32)+420), 8)</f>
        <v>0x5C1001A4</v>
      </c>
      <c r="J244" s="565" t="str">
        <f>"0x"&amp;DEC2HEX((HEX2DEC(E244)+HEX2DEC(E245)), 8)</f>
        <v>0x008000A0</v>
      </c>
      <c r="K244" s="18"/>
    </row>
    <row r="245" spans="2:11" ht="159" thickBot="1" x14ac:dyDescent="0.3">
      <c r="B245" s="59" t="s">
        <v>161</v>
      </c>
      <c r="C245" s="62" t="s">
        <v>0</v>
      </c>
      <c r="D245" s="63">
        <v>160</v>
      </c>
      <c r="E245" s="53" t="str">
        <f>DEC2HEX(((D245)*2^0),8)</f>
        <v>000000A0</v>
      </c>
      <c r="F245" s="34" t="s">
        <v>269</v>
      </c>
      <c r="G245" s="547"/>
      <c r="H245" s="547"/>
      <c r="I245" s="547"/>
      <c r="J245" s="550"/>
      <c r="K245" s="18"/>
    </row>
    <row r="246" spans="2:11" ht="6.75" customHeight="1" thickBot="1" x14ac:dyDescent="0.3">
      <c r="B246" s="68"/>
      <c r="C246" s="69"/>
      <c r="D246" s="70"/>
      <c r="E246" s="71"/>
      <c r="F246" s="72"/>
      <c r="G246" s="36"/>
      <c r="H246" s="36"/>
      <c r="I246" s="36"/>
      <c r="J246" s="54"/>
      <c r="K246" s="18"/>
    </row>
    <row r="247" spans="2:11" ht="68.25" customHeight="1" thickBot="1" x14ac:dyDescent="0.3">
      <c r="B247" s="329" t="s">
        <v>162</v>
      </c>
      <c r="C247" s="330" t="s">
        <v>0</v>
      </c>
      <c r="D247" s="331">
        <v>1</v>
      </c>
      <c r="E247" s="332" t="str">
        <f>DEC2HEX(((D247)*2^31),8)</f>
        <v>80000000</v>
      </c>
      <c r="F247" s="333" t="s">
        <v>66</v>
      </c>
      <c r="G247" s="332" t="s">
        <v>56</v>
      </c>
      <c r="H247" s="332" t="str">
        <f>"0x"&amp;DEC2HEX((HEX2DEC(C31)+424), 8)</f>
        <v>0x5C0001A8</v>
      </c>
      <c r="I247" s="332" t="str">
        <f>"0x"&amp;DEC2HEX((HEX2DEC(C32)+424), 8)</f>
        <v>0x5C1001A8</v>
      </c>
      <c r="J247" s="334" t="str">
        <f>"0x"&amp;DEC2HEX((HEX2DEC(E247)), 8)</f>
        <v>0x80000000</v>
      </c>
      <c r="K247" s="18"/>
    </row>
    <row r="248" spans="2:11" ht="13.8" thickBot="1" x14ac:dyDescent="0.3">
      <c r="B248" s="76"/>
      <c r="C248" s="76"/>
      <c r="D248" s="77"/>
      <c r="E248" s="118"/>
      <c r="F248" s="269"/>
      <c r="G248" s="270"/>
      <c r="H248" s="270"/>
      <c r="I248" s="270"/>
      <c r="J248" s="270"/>
      <c r="K248" s="18"/>
    </row>
    <row r="249" spans="2:11" ht="92.4" x14ac:dyDescent="0.25">
      <c r="B249" s="136" t="s">
        <v>718</v>
      </c>
      <c r="C249" s="97" t="s">
        <v>0</v>
      </c>
      <c r="D249" s="431">
        <v>1</v>
      </c>
      <c r="E249" s="160" t="str">
        <f>DEC2HEX(((D249)*2^2),8)</f>
        <v>00000004</v>
      </c>
      <c r="F249" s="161" t="s">
        <v>721</v>
      </c>
      <c r="G249" s="659" t="s">
        <v>717</v>
      </c>
      <c r="H249" s="659" t="str">
        <f>"0x"&amp;DEC2HEX((HEX2DEC(C31)+448), 8)</f>
        <v>0x5C0001C0</v>
      </c>
      <c r="I249" s="659" t="str">
        <f>"0x"&amp;DEC2HEX((HEX2DEC(C32)+448), 8)</f>
        <v>0x5C1001C0</v>
      </c>
      <c r="J249" s="656" t="str">
        <f>"0x"&amp;DEC2HEX((HEX2DEC(E249)+HEX2DEC(E250)+HEX2DEC(E251)), 8)</f>
        <v>0x00000007</v>
      </c>
      <c r="K249" s="18"/>
    </row>
    <row r="250" spans="2:11" ht="92.4" x14ac:dyDescent="0.25">
      <c r="B250" s="137" t="s">
        <v>719</v>
      </c>
      <c r="C250" s="98" t="s">
        <v>0</v>
      </c>
      <c r="D250" s="432">
        <v>1</v>
      </c>
      <c r="E250" s="162" t="str">
        <f>DEC2HEX(((D250)*2^1),8)</f>
        <v>00000002</v>
      </c>
      <c r="F250" s="309" t="s">
        <v>722</v>
      </c>
      <c r="G250" s="660"/>
      <c r="H250" s="660"/>
      <c r="I250" s="660"/>
      <c r="J250" s="657"/>
      <c r="K250" s="18"/>
    </row>
    <row r="251" spans="2:11" ht="119.4" thickBot="1" x14ac:dyDescent="0.3">
      <c r="B251" s="158" t="s">
        <v>720</v>
      </c>
      <c r="C251" s="101" t="s">
        <v>0</v>
      </c>
      <c r="D251" s="407">
        <v>1</v>
      </c>
      <c r="E251" s="163" t="str">
        <f>DEC2HEX(((D251)*2^0),8)</f>
        <v>00000001</v>
      </c>
      <c r="F251" s="164" t="s">
        <v>723</v>
      </c>
      <c r="G251" s="576"/>
      <c r="H251" s="576"/>
      <c r="I251" s="576"/>
      <c r="J251" s="658"/>
      <c r="K251" s="18"/>
    </row>
    <row r="252" spans="2:11" ht="13.8" thickBot="1" x14ac:dyDescent="0.3">
      <c r="B252" s="76"/>
      <c r="C252" s="106"/>
      <c r="D252" s="411"/>
      <c r="E252" s="118"/>
      <c r="F252" s="269"/>
      <c r="G252" s="270"/>
      <c r="H252" s="270"/>
      <c r="I252" s="270"/>
      <c r="J252" s="270"/>
      <c r="K252" s="18"/>
    </row>
    <row r="253" spans="2:11" ht="66" x14ac:dyDescent="0.25">
      <c r="B253" s="136" t="s">
        <v>1786</v>
      </c>
      <c r="C253" s="97" t="s">
        <v>0</v>
      </c>
      <c r="D253" s="56">
        <v>1</v>
      </c>
      <c r="E253" s="409" t="str">
        <f>DEC2HEX(((D253)*2^8),8)</f>
        <v>00000100</v>
      </c>
      <c r="F253" s="161" t="s">
        <v>1787</v>
      </c>
      <c r="G253" s="569" t="s">
        <v>1788</v>
      </c>
      <c r="H253" s="566" t="str">
        <f>"0x"&amp;DEC2HEX((HEX2DEC(C31)+48), 8)</f>
        <v>0x5C000030</v>
      </c>
      <c r="I253" s="566" t="str">
        <f>"0x"&amp;DEC2HEX((HEX2DEC(C32)+48), 8)</f>
        <v>0x5C100030</v>
      </c>
      <c r="J253" s="570" t="str">
        <f>"0x"&amp;DEC2HEX((HEX2DEC(E253)+HEX2DEC(E254)+HEX2DEC(E255)+HEX2DEC(E256)+HEX2DEC(E257)+HEX2DEC(E258)+HEX2DEC(E259)+HEX2DEC(E260)+HEX2DEC(E261)), 8)</f>
        <v>0x0000010A</v>
      </c>
      <c r="K253" s="18"/>
    </row>
    <row r="254" spans="2:11" ht="66" x14ac:dyDescent="0.25">
      <c r="B254" s="137" t="s">
        <v>1789</v>
      </c>
      <c r="C254" s="98" t="s">
        <v>0</v>
      </c>
      <c r="D254" s="135">
        <v>0</v>
      </c>
      <c r="E254" s="162" t="str">
        <f>DEC2HEX(((D254)*2^7),8)</f>
        <v>00000000</v>
      </c>
      <c r="F254" s="309" t="s">
        <v>1790</v>
      </c>
      <c r="G254" s="567"/>
      <c r="H254" s="567"/>
      <c r="I254" s="567"/>
      <c r="J254" s="571"/>
      <c r="K254" s="18"/>
    </row>
    <row r="255" spans="2:11" ht="79.2" x14ac:dyDescent="0.25">
      <c r="B255" s="137" t="s">
        <v>1791</v>
      </c>
      <c r="C255" s="98" t="s">
        <v>0</v>
      </c>
      <c r="D255" s="135">
        <v>0</v>
      </c>
      <c r="E255" s="162" t="str">
        <f>DEC2HEX(((D255)*2^6),8)</f>
        <v>00000000</v>
      </c>
      <c r="F255" s="309" t="s">
        <v>1792</v>
      </c>
      <c r="G255" s="567"/>
      <c r="H255" s="567"/>
      <c r="I255" s="567"/>
      <c r="J255" s="571"/>
      <c r="K255" s="18"/>
    </row>
    <row r="256" spans="2:11" ht="79.2" x14ac:dyDescent="0.25">
      <c r="B256" s="137" t="s">
        <v>1793</v>
      </c>
      <c r="C256" s="98" t="s">
        <v>0</v>
      </c>
      <c r="D256" s="135">
        <v>0</v>
      </c>
      <c r="E256" s="162" t="str">
        <f>DEC2HEX(((D256)*2^5),8)</f>
        <v>00000000</v>
      </c>
      <c r="F256" s="309" t="s">
        <v>1794</v>
      </c>
      <c r="G256" s="567"/>
      <c r="H256" s="567"/>
      <c r="I256" s="567"/>
      <c r="J256" s="571"/>
      <c r="K256" s="18"/>
    </row>
    <row r="257" spans="2:23" ht="145.19999999999999" x14ac:dyDescent="0.25">
      <c r="B257" s="137" t="s">
        <v>1795</v>
      </c>
      <c r="C257" s="98" t="s">
        <v>0</v>
      </c>
      <c r="D257" s="135">
        <v>0</v>
      </c>
      <c r="E257" s="162" t="str">
        <f>DEC2HEX(((D257)*2^4),8)</f>
        <v>00000000</v>
      </c>
      <c r="F257" s="309" t="s">
        <v>1796</v>
      </c>
      <c r="G257" s="567"/>
      <c r="H257" s="567"/>
      <c r="I257" s="567"/>
      <c r="J257" s="571"/>
      <c r="K257" s="18"/>
    </row>
    <row r="258" spans="2:23" ht="237.6" x14ac:dyDescent="0.25">
      <c r="B258" s="137" t="s">
        <v>1797</v>
      </c>
      <c r="C258" s="98" t="s">
        <v>0</v>
      </c>
      <c r="D258" s="135">
        <v>1</v>
      </c>
      <c r="E258" s="162" t="str">
        <f>DEC2HEX(((D258)*2^3),8)</f>
        <v>00000008</v>
      </c>
      <c r="F258" s="309" t="s">
        <v>1798</v>
      </c>
      <c r="G258" s="567"/>
      <c r="H258" s="567"/>
      <c r="I258" s="567"/>
      <c r="J258" s="571"/>
      <c r="K258" s="18"/>
    </row>
    <row r="259" spans="2:23" ht="105.6" x14ac:dyDescent="0.25">
      <c r="B259" s="137" t="s">
        <v>1799</v>
      </c>
      <c r="C259" s="98" t="s">
        <v>0</v>
      </c>
      <c r="D259" s="135">
        <v>0</v>
      </c>
      <c r="E259" s="162" t="str">
        <f>DEC2HEX(((D259)*2^2),8)</f>
        <v>00000000</v>
      </c>
      <c r="F259" s="309" t="s">
        <v>1800</v>
      </c>
      <c r="G259" s="567"/>
      <c r="H259" s="567"/>
      <c r="I259" s="567"/>
      <c r="J259" s="571"/>
      <c r="K259" s="18"/>
    </row>
    <row r="260" spans="2:23" ht="52.8" x14ac:dyDescent="0.25">
      <c r="B260" s="137" t="s">
        <v>1801</v>
      </c>
      <c r="C260" s="98" t="s">
        <v>0</v>
      </c>
      <c r="D260" s="135">
        <v>1</v>
      </c>
      <c r="E260" s="162" t="str">
        <f>DEC2HEX(((D260)*2^1),8)</f>
        <v>00000002</v>
      </c>
      <c r="F260" s="309" t="s">
        <v>1802</v>
      </c>
      <c r="G260" s="567"/>
      <c r="H260" s="567"/>
      <c r="I260" s="567"/>
      <c r="J260" s="571"/>
      <c r="K260" s="18"/>
    </row>
    <row r="261" spans="2:23" ht="66.599999999999994" thickBot="1" x14ac:dyDescent="0.3">
      <c r="B261" s="158" t="s">
        <v>1803</v>
      </c>
      <c r="C261" s="101" t="s">
        <v>0</v>
      </c>
      <c r="D261" s="63">
        <v>0</v>
      </c>
      <c r="E261" s="163" t="str">
        <f>DEC2HEX(((D261)*2^0),8)</f>
        <v>00000000</v>
      </c>
      <c r="F261" s="164" t="s">
        <v>1804</v>
      </c>
      <c r="G261" s="568"/>
      <c r="H261" s="568"/>
      <c r="I261" s="568"/>
      <c r="J261" s="572"/>
      <c r="K261" s="18"/>
    </row>
    <row r="262" spans="2:23" ht="13.8" thickBot="1" x14ac:dyDescent="0.3">
      <c r="B262" s="76"/>
      <c r="C262" s="106"/>
      <c r="D262" s="411"/>
      <c r="E262" s="118"/>
      <c r="F262" s="269"/>
      <c r="G262" s="270"/>
      <c r="H262" s="270"/>
      <c r="I262" s="270"/>
      <c r="J262" s="270"/>
      <c r="K262" s="18"/>
    </row>
    <row r="263" spans="2:23" ht="105.6" x14ac:dyDescent="0.25">
      <c r="B263" s="136" t="s">
        <v>1805</v>
      </c>
      <c r="C263" s="97" t="s">
        <v>0</v>
      </c>
      <c r="D263" s="406">
        <v>1791</v>
      </c>
      <c r="E263" s="409" t="str">
        <f>DEC2HEX(((D263)*2^16),8)</f>
        <v>06FF0000</v>
      </c>
      <c r="F263" s="161" t="s">
        <v>1810</v>
      </c>
      <c r="G263" s="569" t="s">
        <v>1811</v>
      </c>
      <c r="H263" s="566" t="str">
        <f>"0x"&amp;DEC2HEX((HEX2DEC(C31)+56), 8)</f>
        <v>0x5C000038</v>
      </c>
      <c r="I263" s="566" t="str">
        <f>"0x"&amp;DEC2HEX((HEX2DEC(C32)+56), 8)</f>
        <v>0x5C100038</v>
      </c>
      <c r="J263" s="570" t="str">
        <f>"0x"&amp;DEC2HEX((HEX2DEC(E263)+HEX2DEC(E264)+HEX2DEC(E265)), 8)</f>
        <v>0x06FF0001</v>
      </c>
      <c r="K263" s="18"/>
    </row>
    <row r="264" spans="2:23" ht="66" x14ac:dyDescent="0.25">
      <c r="B264" s="137" t="s">
        <v>1806</v>
      </c>
      <c r="C264" s="98" t="s">
        <v>0</v>
      </c>
      <c r="D264" s="405">
        <v>0</v>
      </c>
      <c r="E264" s="162" t="str">
        <f>DEC2HEX(((D264)*2^1),8)</f>
        <v>00000000</v>
      </c>
      <c r="F264" s="309" t="s">
        <v>1809</v>
      </c>
      <c r="G264" s="567"/>
      <c r="H264" s="567"/>
      <c r="I264" s="567"/>
      <c r="J264" s="571"/>
      <c r="K264" s="18"/>
    </row>
    <row r="265" spans="2:23" ht="27" thickBot="1" x14ac:dyDescent="0.3">
      <c r="B265" s="158" t="s">
        <v>1807</v>
      </c>
      <c r="C265" s="101" t="s">
        <v>0</v>
      </c>
      <c r="D265" s="407">
        <v>1</v>
      </c>
      <c r="E265" s="163" t="str">
        <f>DEC2HEX(((D265)*2^0),8)</f>
        <v>00000001</v>
      </c>
      <c r="F265" s="164" t="s">
        <v>1808</v>
      </c>
      <c r="G265" s="568"/>
      <c r="H265" s="568"/>
      <c r="I265" s="568"/>
      <c r="J265" s="572"/>
      <c r="K265" s="18"/>
    </row>
    <row r="266" spans="2:23" ht="19.5" customHeight="1" thickBot="1" x14ac:dyDescent="0.3">
      <c r="B266" s="68"/>
      <c r="C266" s="69"/>
      <c r="D266" s="70"/>
      <c r="E266" s="71"/>
      <c r="F266" s="72"/>
      <c r="G266" s="36"/>
      <c r="H266" s="36"/>
      <c r="I266" s="36"/>
      <c r="J266" s="54"/>
      <c r="K266" s="18"/>
    </row>
    <row r="267" spans="2:23" ht="66" x14ac:dyDescent="0.25">
      <c r="B267" s="136" t="s">
        <v>1906</v>
      </c>
      <c r="C267" s="97" t="s">
        <v>0</v>
      </c>
      <c r="D267" s="406">
        <v>7</v>
      </c>
      <c r="E267" s="445" t="str">
        <f>DEC2HEX(((D267)*2^24),8)</f>
        <v>07000000</v>
      </c>
      <c r="F267" s="161" t="s">
        <v>1907</v>
      </c>
      <c r="G267" s="566" t="s">
        <v>1908</v>
      </c>
      <c r="H267" s="566" t="str">
        <f>"0x"&amp;DEC2HEX((HEX2DEC(C31)+408), 8)</f>
        <v>0x5C000198</v>
      </c>
      <c r="I267" s="566" t="str">
        <f>"0x"&amp;DEC2HEX((HEX2DEC(C32)+408), 8)</f>
        <v>0x5C100198</v>
      </c>
      <c r="J267" s="570" t="str">
        <f>"0x"&amp;DEC2HEX((HEX2DEC(E267)+HEX2DEC(E268)+HEX2DEC(E269)+HEX2DEC(E270)+HEX2DEC(E271)+HEX2DEC(E272)+HEX2DEC(E273)), 8)</f>
        <v>0x0700B100</v>
      </c>
      <c r="K267" s="8"/>
      <c r="W267"/>
    </row>
    <row r="268" spans="2:23" ht="277.2" x14ac:dyDescent="0.25">
      <c r="B268" s="137" t="s">
        <v>1909</v>
      </c>
      <c r="C268" s="98" t="s">
        <v>0</v>
      </c>
      <c r="D268" s="405">
        <v>0</v>
      </c>
      <c r="E268" s="162" t="str">
        <f>DEC2HEX(((D268)*2^20),8)</f>
        <v>00000000</v>
      </c>
      <c r="F268" s="309" t="s">
        <v>1910</v>
      </c>
      <c r="G268" s="567"/>
      <c r="H268" s="567"/>
      <c r="I268" s="567"/>
      <c r="J268" s="571"/>
      <c r="K268" s="8"/>
      <c r="W268"/>
    </row>
    <row r="269" spans="2:23" ht="79.2" x14ac:dyDescent="0.25">
      <c r="B269" s="137" t="s">
        <v>1911</v>
      </c>
      <c r="C269" s="98" t="s">
        <v>0</v>
      </c>
      <c r="D269" s="405">
        <v>0</v>
      </c>
      <c r="E269" s="162" t="str">
        <f>DEC2HEX(((D269)*2^16),8)</f>
        <v>00000000</v>
      </c>
      <c r="F269" s="309" t="s">
        <v>1912</v>
      </c>
      <c r="G269" s="567"/>
      <c r="H269" s="567"/>
      <c r="I269" s="567"/>
      <c r="J269" s="571"/>
      <c r="K269" s="8"/>
      <c r="W269"/>
    </row>
    <row r="270" spans="2:23" ht="264" x14ac:dyDescent="0.25">
      <c r="B270" s="137" t="s">
        <v>1913</v>
      </c>
      <c r="C270" s="98" t="s">
        <v>0</v>
      </c>
      <c r="D270" s="405">
        <v>11</v>
      </c>
      <c r="E270" s="162" t="str">
        <f>DEC2HEX(((D270)*2^12),8)</f>
        <v>0000B000</v>
      </c>
      <c r="F270" s="309" t="s">
        <v>1914</v>
      </c>
      <c r="G270" s="567"/>
      <c r="H270" s="567"/>
      <c r="I270" s="567"/>
      <c r="J270" s="571"/>
      <c r="K270" s="8"/>
      <c r="W270"/>
    </row>
    <row r="271" spans="2:23" ht="52.8" x14ac:dyDescent="0.25">
      <c r="B271" s="137" t="s">
        <v>1915</v>
      </c>
      <c r="C271" s="98" t="s">
        <v>0</v>
      </c>
      <c r="D271" s="405">
        <v>1</v>
      </c>
      <c r="E271" s="162" t="str">
        <f>DEC2HEX(((D271)*2^8),8)</f>
        <v>00000100</v>
      </c>
      <c r="F271" s="309" t="s">
        <v>1916</v>
      </c>
      <c r="G271" s="567"/>
      <c r="H271" s="567"/>
      <c r="I271" s="567"/>
      <c r="J271" s="571"/>
      <c r="K271" s="8"/>
      <c r="W271"/>
    </row>
    <row r="272" spans="2:23" ht="264" x14ac:dyDescent="0.25">
      <c r="B272" s="137" t="s">
        <v>1917</v>
      </c>
      <c r="C272" s="98" t="s">
        <v>0</v>
      </c>
      <c r="D272" s="405">
        <v>0</v>
      </c>
      <c r="E272" s="162" t="str">
        <f>DEC2HEX(((D272)*2^4),8)</f>
        <v>00000000</v>
      </c>
      <c r="F272" s="309" t="s">
        <v>1918</v>
      </c>
      <c r="G272" s="567"/>
      <c r="H272" s="567"/>
      <c r="I272" s="567"/>
      <c r="J272" s="571"/>
      <c r="K272" s="8"/>
      <c r="W272"/>
    </row>
    <row r="273" spans="2:23" ht="53.4" thickBot="1" x14ac:dyDescent="0.3">
      <c r="B273" s="158" t="s">
        <v>1919</v>
      </c>
      <c r="C273" s="101" t="s">
        <v>0</v>
      </c>
      <c r="D273" s="407">
        <v>0</v>
      </c>
      <c r="E273" s="163" t="str">
        <f>DEC2HEX(((D273)*2^0),8)</f>
        <v>00000000</v>
      </c>
      <c r="F273" s="164" t="s">
        <v>1920</v>
      </c>
      <c r="G273" s="568"/>
      <c r="H273" s="568"/>
      <c r="I273" s="568"/>
      <c r="J273" s="572"/>
      <c r="K273" s="8"/>
      <c r="W273"/>
    </row>
    <row r="274" spans="2:23" ht="27.75" customHeight="1" thickBot="1" x14ac:dyDescent="0.3">
      <c r="B274" s="68"/>
      <c r="C274" s="69"/>
      <c r="D274" s="70"/>
      <c r="E274" s="71"/>
      <c r="F274" s="72"/>
      <c r="G274" s="36"/>
      <c r="H274" s="36"/>
      <c r="I274" s="36"/>
      <c r="J274" s="54"/>
      <c r="K274" s="18"/>
    </row>
    <row r="275" spans="2:23" ht="92.4" x14ac:dyDescent="0.25">
      <c r="B275" s="136" t="s">
        <v>1921</v>
      </c>
      <c r="C275" s="97" t="s">
        <v>0</v>
      </c>
      <c r="D275" s="406">
        <v>64</v>
      </c>
      <c r="E275" s="445" t="str">
        <f>DEC2HEX(((D275)*2^16),8)</f>
        <v>00400000</v>
      </c>
      <c r="F275" s="161" t="s">
        <v>1922</v>
      </c>
      <c r="G275" s="566" t="s">
        <v>1923</v>
      </c>
      <c r="H275" s="566" t="str">
        <f>"0x"&amp;DEC2HEX((HEX2DEC(C31)+52), 8)</f>
        <v>0x5C000034</v>
      </c>
      <c r="I275" s="566" t="str">
        <f>"0x"&amp;DEC2HEX((HEX2DEC(C32)+52), 8)</f>
        <v>0x5C100034</v>
      </c>
      <c r="J275" s="570" t="str">
        <f>"0x"&amp;DEC2HEX((HEX2DEC(E275)+HEX2DEC(E276)+HEX2DEC(E277)), 8)</f>
        <v>0x00402010</v>
      </c>
      <c r="K275" s="8"/>
      <c r="W275"/>
    </row>
    <row r="276" spans="2:23" ht="105.6" x14ac:dyDescent="0.25">
      <c r="B276" s="137" t="s">
        <v>1924</v>
      </c>
      <c r="C276" s="98" t="s">
        <v>0</v>
      </c>
      <c r="D276" s="405">
        <v>32</v>
      </c>
      <c r="E276" s="162" t="str">
        <f>DEC2HEX(((D276)*2^8),8)</f>
        <v>00002000</v>
      </c>
      <c r="F276" s="309" t="s">
        <v>1925</v>
      </c>
      <c r="G276" s="567"/>
      <c r="H276" s="567"/>
      <c r="I276" s="567"/>
      <c r="J276" s="571"/>
      <c r="K276" s="8"/>
      <c r="W276"/>
    </row>
    <row r="277" spans="2:23" ht="93" thickBot="1" x14ac:dyDescent="0.3">
      <c r="B277" s="158" t="s">
        <v>1926</v>
      </c>
      <c r="C277" s="101" t="s">
        <v>0</v>
      </c>
      <c r="D277" s="407">
        <v>16</v>
      </c>
      <c r="E277" s="163" t="str">
        <f>DEC2HEX(((D277)*2^0),8)</f>
        <v>00000010</v>
      </c>
      <c r="F277" s="164" t="s">
        <v>1927</v>
      </c>
      <c r="G277" s="568"/>
      <c r="H277" s="568"/>
      <c r="I277" s="568"/>
      <c r="J277" s="572"/>
      <c r="K277" s="8"/>
      <c r="W277"/>
    </row>
    <row r="278" spans="2:23" ht="13.8" thickBot="1" x14ac:dyDescent="0.3">
      <c r="B278" s="76"/>
      <c r="C278" s="106"/>
      <c r="D278" s="411"/>
      <c r="E278" s="118"/>
      <c r="F278" s="269"/>
      <c r="G278" s="270"/>
      <c r="H278" s="270"/>
      <c r="I278" s="270"/>
      <c r="J278" s="270"/>
      <c r="K278" s="8"/>
      <c r="W278"/>
    </row>
    <row r="279" spans="2:23" ht="118.8" x14ac:dyDescent="0.25">
      <c r="B279" s="136" t="s">
        <v>1959</v>
      </c>
      <c r="C279" s="97" t="s">
        <v>0</v>
      </c>
      <c r="D279" s="56">
        <v>127</v>
      </c>
      <c r="E279" s="445" t="str">
        <f>DEC2HEX(((D279)*2^24),8)</f>
        <v>7F000000</v>
      </c>
      <c r="F279" s="465" t="s">
        <v>1960</v>
      </c>
      <c r="G279" s="569" t="s">
        <v>1961</v>
      </c>
      <c r="H279" s="566" t="str">
        <f>"0x"&amp;DEC2HEX((HEX2DEC(C31)+592), 8)</f>
        <v>0x5C000250</v>
      </c>
      <c r="I279" s="566" t="str">
        <f>"0x"&amp;DEC2HEX((HEX2DEC(C32)+592), 8)</f>
        <v>0x5C100250</v>
      </c>
      <c r="J279" s="570" t="str">
        <f>"0x"&amp;DEC2HEX((HEX2DEC(E279)+HEX2DEC(E280)+HEX2DEC(E281)+HEX2DEC(E282)+HEX2DEC(E283)+HEX2DEC(E284) ), 8)</f>
        <v>0x7F001E04</v>
      </c>
      <c r="K279" s="8"/>
      <c r="W279"/>
    </row>
    <row r="280" spans="2:23" ht="26.4" x14ac:dyDescent="0.25">
      <c r="B280" s="137" t="s">
        <v>1962</v>
      </c>
      <c r="C280" s="98" t="s">
        <v>0</v>
      </c>
      <c r="D280" s="135">
        <v>0</v>
      </c>
      <c r="E280" s="162" t="str">
        <f>DEC2HEX(((D280)*2^16),8)</f>
        <v>00000000</v>
      </c>
      <c r="F280" s="466" t="s">
        <v>1963</v>
      </c>
      <c r="G280" s="662"/>
      <c r="H280" s="567"/>
      <c r="I280" s="567"/>
      <c r="J280" s="571"/>
      <c r="K280" s="8"/>
      <c r="W280"/>
    </row>
    <row r="281" spans="2:23" ht="145.19999999999999" x14ac:dyDescent="0.25">
      <c r="B281" s="137" t="s">
        <v>1964</v>
      </c>
      <c r="C281" s="98" t="s">
        <v>0</v>
      </c>
      <c r="D281" s="135">
        <v>30</v>
      </c>
      <c r="E281" s="162" t="str">
        <f>DEC2HEX(((D281)*2^8),8)</f>
        <v>00001E00</v>
      </c>
      <c r="F281" s="466" t="s">
        <v>1965</v>
      </c>
      <c r="G281" s="662"/>
      <c r="H281" s="567"/>
      <c r="I281" s="567"/>
      <c r="J281" s="571"/>
      <c r="K281" s="8"/>
      <c r="W281"/>
    </row>
    <row r="282" spans="2:23" ht="198" x14ac:dyDescent="0.25">
      <c r="B282" s="137" t="s">
        <v>1966</v>
      </c>
      <c r="C282" s="98" t="s">
        <v>0</v>
      </c>
      <c r="D282" s="135">
        <v>1</v>
      </c>
      <c r="E282" s="162" t="str">
        <f>DEC2HEX(((D282)*2^2),8)</f>
        <v>00000004</v>
      </c>
      <c r="F282" s="466" t="s">
        <v>1967</v>
      </c>
      <c r="G282" s="662"/>
      <c r="H282" s="567"/>
      <c r="I282" s="567"/>
      <c r="J282" s="571"/>
      <c r="K282" s="8"/>
      <c r="W282"/>
    </row>
    <row r="283" spans="2:23" ht="39.6" x14ac:dyDescent="0.25">
      <c r="B283" s="137" t="s">
        <v>1968</v>
      </c>
      <c r="C283" s="98" t="s">
        <v>0</v>
      </c>
      <c r="D283" s="135">
        <v>0</v>
      </c>
      <c r="E283" s="162" t="str">
        <f>DEC2HEX(((D283)*2^1),8)</f>
        <v>00000000</v>
      </c>
      <c r="F283" s="466" t="s">
        <v>1969</v>
      </c>
      <c r="G283" s="662"/>
      <c r="H283" s="567"/>
      <c r="I283" s="567"/>
      <c r="J283" s="571"/>
      <c r="K283" s="8"/>
      <c r="W283"/>
    </row>
    <row r="284" spans="2:23" ht="106.2" thickBot="1" x14ac:dyDescent="0.3">
      <c r="B284" s="158" t="s">
        <v>1970</v>
      </c>
      <c r="C284" s="101" t="s">
        <v>0</v>
      </c>
      <c r="D284" s="63">
        <v>0</v>
      </c>
      <c r="E284" s="163" t="str">
        <f>DEC2HEX(((D284)*2^0),8)</f>
        <v>00000000</v>
      </c>
      <c r="F284" s="467" t="s">
        <v>1971</v>
      </c>
      <c r="G284" s="663"/>
      <c r="H284" s="568"/>
      <c r="I284" s="568"/>
      <c r="J284" s="572"/>
      <c r="K284" s="8"/>
      <c r="W284"/>
    </row>
    <row r="285" spans="2:23" ht="13.8" thickBot="1" x14ac:dyDescent="0.3">
      <c r="B285" s="76"/>
      <c r="C285" s="106"/>
      <c r="D285" s="411"/>
      <c r="E285" s="118"/>
      <c r="F285" s="269"/>
      <c r="G285" s="270"/>
      <c r="H285" s="270"/>
      <c r="I285" s="270"/>
      <c r="J285" s="270"/>
      <c r="K285" s="8"/>
      <c r="W285"/>
    </row>
    <row r="286" spans="2:23" ht="185.4" thickBot="1" x14ac:dyDescent="0.3">
      <c r="B286" s="329" t="s">
        <v>1972</v>
      </c>
      <c r="C286" s="468" t="s">
        <v>0</v>
      </c>
      <c r="D286" s="331">
        <v>112</v>
      </c>
      <c r="E286" s="332" t="str">
        <f>DEC2HEX(((D286)*2^0),8)</f>
        <v>00000070</v>
      </c>
      <c r="F286" s="469" t="s">
        <v>1973</v>
      </c>
      <c r="G286" s="470" t="s">
        <v>1974</v>
      </c>
      <c r="H286" s="471" t="str">
        <f>"0x"&amp;DEC2HEX((HEX2DEC(C31)+596), 8)</f>
        <v>0x5C000254</v>
      </c>
      <c r="I286" s="471" t="str">
        <f>"0x"&amp;DEC2HEX((HEX2DEC(C32)+596), 8)</f>
        <v>0x5C100254</v>
      </c>
      <c r="J286" s="472" t="str">
        <f>"0x"&amp;DEC2HEX((HEX2DEC(E286)), 8)</f>
        <v>0x00000070</v>
      </c>
      <c r="K286" s="8"/>
      <c r="W286"/>
    </row>
    <row r="287" spans="2:23" ht="13.8" thickBot="1" x14ac:dyDescent="0.3">
      <c r="B287" s="76"/>
      <c r="C287" s="106"/>
      <c r="D287" s="411"/>
      <c r="E287" s="118"/>
      <c r="F287" s="269"/>
      <c r="G287" s="270"/>
      <c r="H287" s="270"/>
      <c r="I287" s="270"/>
      <c r="J287" s="270"/>
      <c r="K287" s="8"/>
      <c r="W287"/>
    </row>
    <row r="288" spans="2:23" ht="92.4" x14ac:dyDescent="0.25">
      <c r="B288" s="136" t="s">
        <v>1975</v>
      </c>
      <c r="C288" s="97" t="s">
        <v>0</v>
      </c>
      <c r="D288" s="56">
        <v>127</v>
      </c>
      <c r="E288" s="445" t="str">
        <f>DEC2HEX(((D288)*2^24),8)</f>
        <v>7F000000</v>
      </c>
      <c r="F288" s="465" t="s">
        <v>1976</v>
      </c>
      <c r="G288" s="575" t="s">
        <v>1977</v>
      </c>
      <c r="H288" s="706" t="str">
        <f>"0x"&amp;DEC2HEX((HEX2DEC(C31)+612), 8)</f>
        <v>0x5C000264</v>
      </c>
      <c r="I288" s="706" t="str">
        <f>"0x"&amp;DEC2HEX((HEX2DEC(C32)+612), 8)</f>
        <v>0x5C100264</v>
      </c>
      <c r="J288" s="700" t="str">
        <f>"0x"&amp;DEC2HEX((HEX2DEC(E288)+HEX2DEC(E289)), 8)</f>
        <v>0x7F00007F</v>
      </c>
      <c r="K288" s="8"/>
      <c r="W288"/>
    </row>
    <row r="289" spans="1:23" ht="79.8" thickBot="1" x14ac:dyDescent="0.3">
      <c r="B289" s="158" t="s">
        <v>1978</v>
      </c>
      <c r="C289" s="101" t="s">
        <v>0</v>
      </c>
      <c r="D289" s="63">
        <v>127</v>
      </c>
      <c r="E289" s="163" t="str">
        <f>DEC2HEX(((D289)*2^0),8)</f>
        <v>0000007F</v>
      </c>
      <c r="F289" s="467" t="s">
        <v>1979</v>
      </c>
      <c r="G289" s="701"/>
      <c r="H289" s="576"/>
      <c r="I289" s="576"/>
      <c r="J289" s="658"/>
      <c r="K289" s="8"/>
      <c r="W289"/>
    </row>
    <row r="290" spans="1:23" ht="13.8" thickBot="1" x14ac:dyDescent="0.3">
      <c r="B290" s="76"/>
      <c r="C290" s="106"/>
      <c r="D290" s="77"/>
      <c r="E290" s="473"/>
      <c r="F290" s="474"/>
      <c r="G290" s="270"/>
      <c r="H290" s="270"/>
      <c r="I290" s="18"/>
      <c r="J290" s="8"/>
      <c r="K290" s="8"/>
      <c r="V290"/>
      <c r="W290"/>
    </row>
    <row r="291" spans="1:23" ht="92.4" x14ac:dyDescent="0.25">
      <c r="B291" s="136" t="s">
        <v>1980</v>
      </c>
      <c r="C291" s="97" t="s">
        <v>0</v>
      </c>
      <c r="D291" s="56">
        <v>127</v>
      </c>
      <c r="E291" s="445" t="str">
        <f>DEC2HEX(((D291)*2^24),8)</f>
        <v>7F000000</v>
      </c>
      <c r="F291" s="465" t="s">
        <v>1981</v>
      </c>
      <c r="G291" s="575" t="s">
        <v>1982</v>
      </c>
      <c r="H291" s="706" t="str">
        <f>"0x"&amp;DEC2HEX((HEX2DEC(C31)+620), 8)</f>
        <v>0x5C00026C</v>
      </c>
      <c r="I291" s="706" t="str">
        <f>"0x"&amp;DEC2HEX((HEX2DEC(C32)+620), 8)</f>
        <v>0x5C10026C</v>
      </c>
      <c r="J291" s="700" t="str">
        <f>"0x"&amp;DEC2HEX((HEX2DEC(E291)+HEX2DEC(E292)), 8)</f>
        <v>0x7F00007F</v>
      </c>
      <c r="K291" s="8"/>
      <c r="W291"/>
    </row>
    <row r="292" spans="1:23" ht="79.8" thickBot="1" x14ac:dyDescent="0.3">
      <c r="B292" s="158" t="s">
        <v>1983</v>
      </c>
      <c r="C292" s="101" t="s">
        <v>0</v>
      </c>
      <c r="D292" s="63">
        <v>127</v>
      </c>
      <c r="E292" s="163" t="str">
        <f>DEC2HEX(((D292)*2^0),8)</f>
        <v>0000007F</v>
      </c>
      <c r="F292" s="467" t="s">
        <v>1984</v>
      </c>
      <c r="G292" s="701"/>
      <c r="H292" s="576"/>
      <c r="I292" s="576"/>
      <c r="J292" s="658"/>
      <c r="K292" s="8"/>
      <c r="W292"/>
    </row>
    <row r="293" spans="1:23" x14ac:dyDescent="0.25">
      <c r="B293" s="76"/>
      <c r="C293" s="106"/>
      <c r="D293" s="77"/>
      <c r="E293" s="473"/>
      <c r="F293" s="474"/>
      <c r="G293" s="270"/>
      <c r="H293" s="270"/>
      <c r="I293" s="18"/>
      <c r="J293" s="8"/>
      <c r="K293" s="8"/>
      <c r="V293"/>
      <c r="W293"/>
    </row>
    <row r="294" spans="1:23" ht="21.75" customHeight="1" thickBot="1" x14ac:dyDescent="0.3">
      <c r="A294" s="258"/>
      <c r="B294" s="709" t="s">
        <v>270</v>
      </c>
      <c r="C294" s="709"/>
      <c r="D294" s="709"/>
      <c r="E294" s="709"/>
      <c r="F294" s="709"/>
      <c r="G294" s="709"/>
      <c r="H294" s="709"/>
      <c r="I294" s="709"/>
      <c r="J294" s="709"/>
    </row>
    <row r="295" spans="1:23" ht="40.200000000000003" thickBot="1" x14ac:dyDescent="0.3">
      <c r="A295" s="258"/>
      <c r="B295" s="2" t="s">
        <v>199</v>
      </c>
      <c r="C295" s="2" t="s">
        <v>5</v>
      </c>
      <c r="D295" s="2" t="s">
        <v>7</v>
      </c>
      <c r="E295" s="2" t="s">
        <v>6</v>
      </c>
      <c r="F295" s="4" t="s">
        <v>1</v>
      </c>
      <c r="G295" s="45" t="s">
        <v>3</v>
      </c>
      <c r="H295" s="5" t="s">
        <v>628</v>
      </c>
      <c r="I295" s="5" t="s">
        <v>629</v>
      </c>
      <c r="J295" s="5" t="s">
        <v>4</v>
      </c>
    </row>
    <row r="296" spans="1:23" ht="6" customHeight="1" thickBot="1" x14ac:dyDescent="0.3">
      <c r="A296" s="258"/>
      <c r="B296" s="258"/>
      <c r="C296" s="258"/>
      <c r="D296" s="258"/>
      <c r="E296" s="263"/>
      <c r="F296" s="258"/>
      <c r="G296" s="263"/>
      <c r="H296" s="263"/>
      <c r="I296" s="263"/>
      <c r="J296" s="263"/>
    </row>
    <row r="297" spans="1:23" ht="79.2" x14ac:dyDescent="0.25">
      <c r="A297" s="258"/>
      <c r="B297" s="174" t="s">
        <v>276</v>
      </c>
      <c r="C297" s="82" t="s">
        <v>0</v>
      </c>
      <c r="D297" s="79">
        <v>0</v>
      </c>
      <c r="E297" s="79" t="str">
        <f>DEC2HEX(((D297)*2^31),8)</f>
        <v>00000000</v>
      </c>
      <c r="F297" s="239" t="s">
        <v>492</v>
      </c>
      <c r="G297" s="545" t="s">
        <v>273</v>
      </c>
      <c r="H297" s="551" t="str">
        <f>"0x"&amp;DEC2HEX((HEX2DEC(C33)+4*64), 8)</f>
        <v>0x5C010100</v>
      </c>
      <c r="I297" s="551" t="str">
        <f>"0x"&amp;DEC2HEX((HEX2DEC(C34)+4*64), 8)</f>
        <v>0x5C110100</v>
      </c>
      <c r="J297" s="548" t="str">
        <f>"0x"&amp;DEC2HEX((HEX2DEC(E297)+HEX2DEC(E298)+HEX2DEC(E299)+HEX2DEC(E300)+HEX2DEC(E301)+HEX2DEC(E302)+HEX2DEC(E303)+HEX2DEC(E304)+HEX2DEC(E305)+HEX2DEC(E306)+HEX2DEC(E307)), 8)</f>
        <v>0x0000040D</v>
      </c>
    </row>
    <row r="298" spans="1:23" ht="39.6" x14ac:dyDescent="0.25">
      <c r="A298" s="258"/>
      <c r="B298" s="175" t="s">
        <v>277</v>
      </c>
      <c r="C298" s="85" t="s">
        <v>0</v>
      </c>
      <c r="D298" s="172">
        <v>0</v>
      </c>
      <c r="E298" s="172" t="str">
        <f>DEC2HEX(((D298)*2^30),8)</f>
        <v>00000000</v>
      </c>
      <c r="F298" s="237" t="s">
        <v>493</v>
      </c>
      <c r="G298" s="552"/>
      <c r="H298" s="546"/>
      <c r="I298" s="546"/>
      <c r="J298" s="549"/>
    </row>
    <row r="299" spans="1:23" ht="92.4" x14ac:dyDescent="0.25">
      <c r="A299" s="258"/>
      <c r="B299" s="175" t="s">
        <v>278</v>
      </c>
      <c r="C299" s="85" t="s">
        <v>0</v>
      </c>
      <c r="D299" s="172">
        <v>0</v>
      </c>
      <c r="E299" s="172" t="str">
        <f>DEC2HEX(((D299)*2^29),8)</f>
        <v>00000000</v>
      </c>
      <c r="F299" s="238" t="s">
        <v>494</v>
      </c>
      <c r="G299" s="552"/>
      <c r="H299" s="546"/>
      <c r="I299" s="546"/>
      <c r="J299" s="549"/>
    </row>
    <row r="300" spans="1:23" ht="39.6" x14ac:dyDescent="0.25">
      <c r="A300" s="258"/>
      <c r="B300" s="175" t="s">
        <v>279</v>
      </c>
      <c r="C300" s="85" t="s">
        <v>0</v>
      </c>
      <c r="D300" s="172">
        <v>0</v>
      </c>
      <c r="E300" s="172" t="str">
        <f>DEC2HEX(((D300)*2^28),8)</f>
        <v>00000000</v>
      </c>
      <c r="F300" s="238" t="s">
        <v>495</v>
      </c>
      <c r="G300" s="552"/>
      <c r="H300" s="546"/>
      <c r="I300" s="546"/>
      <c r="J300" s="549"/>
    </row>
    <row r="301" spans="1:23" ht="66" x14ac:dyDescent="0.25">
      <c r="A301" s="258"/>
      <c r="B301" s="175" t="s">
        <v>280</v>
      </c>
      <c r="C301" s="85" t="s">
        <v>0</v>
      </c>
      <c r="D301" s="172">
        <v>0</v>
      </c>
      <c r="E301" s="172" t="str">
        <f>DEC2HEX(((D301)*2^27),8)</f>
        <v>00000000</v>
      </c>
      <c r="F301" s="238" t="s">
        <v>496</v>
      </c>
      <c r="G301" s="552"/>
      <c r="H301" s="546"/>
      <c r="I301" s="546"/>
      <c r="J301" s="549"/>
    </row>
    <row r="302" spans="1:23" ht="66" customHeight="1" x14ac:dyDescent="0.25">
      <c r="A302" s="258"/>
      <c r="B302" s="175" t="s">
        <v>281</v>
      </c>
      <c r="C302" s="85" t="s">
        <v>0</v>
      </c>
      <c r="D302" s="172">
        <v>1</v>
      </c>
      <c r="E302" s="172" t="str">
        <f>DEC2HEX(((D302)*2^10),8)</f>
        <v>00000400</v>
      </c>
      <c r="F302" s="238" t="s">
        <v>497</v>
      </c>
      <c r="G302" s="552"/>
      <c r="H302" s="546"/>
      <c r="I302" s="546"/>
      <c r="J302" s="549"/>
    </row>
    <row r="303" spans="1:23" ht="66" customHeight="1" x14ac:dyDescent="0.25">
      <c r="A303" s="258"/>
      <c r="B303" s="175" t="s">
        <v>282</v>
      </c>
      <c r="C303" s="85" t="s">
        <v>0</v>
      </c>
      <c r="D303" s="172">
        <v>0</v>
      </c>
      <c r="E303" s="172" t="str">
        <f>DEC2HEX(((D303)*2^8),8)</f>
        <v>00000000</v>
      </c>
      <c r="F303" s="238" t="s">
        <v>275</v>
      </c>
      <c r="G303" s="552"/>
      <c r="H303" s="546"/>
      <c r="I303" s="546"/>
      <c r="J303" s="549"/>
    </row>
    <row r="304" spans="1:23" ht="92.4" x14ac:dyDescent="0.25">
      <c r="A304" s="258"/>
      <c r="B304" s="177" t="s">
        <v>283</v>
      </c>
      <c r="C304" s="85" t="s">
        <v>0</v>
      </c>
      <c r="D304" s="172">
        <v>0</v>
      </c>
      <c r="E304" s="172" t="str">
        <f>DEC2HEX(((D304)*2^7),8)</f>
        <v>00000000</v>
      </c>
      <c r="F304" s="238" t="s">
        <v>498</v>
      </c>
      <c r="G304" s="552"/>
      <c r="H304" s="546"/>
      <c r="I304" s="546"/>
      <c r="J304" s="549"/>
    </row>
    <row r="305" spans="1:10" ht="52.8" x14ac:dyDescent="0.25">
      <c r="A305" s="258"/>
      <c r="B305" s="175" t="s">
        <v>284</v>
      </c>
      <c r="C305" s="85" t="s">
        <v>0</v>
      </c>
      <c r="D305" s="172">
        <v>0</v>
      </c>
      <c r="E305" s="172" t="str">
        <f>DEC2HEX(((D305)*2^4),8)</f>
        <v>00000000</v>
      </c>
      <c r="F305" s="238" t="s">
        <v>499</v>
      </c>
      <c r="G305" s="552"/>
      <c r="H305" s="546"/>
      <c r="I305" s="546"/>
      <c r="J305" s="549"/>
    </row>
    <row r="306" spans="1:10" ht="66" x14ac:dyDescent="0.25">
      <c r="A306" s="258"/>
      <c r="B306" s="177" t="s">
        <v>285</v>
      </c>
      <c r="C306" s="85" t="s">
        <v>0</v>
      </c>
      <c r="D306" s="172">
        <v>1</v>
      </c>
      <c r="E306" s="172" t="str">
        <f>DEC2HEX(((D306)*2^3),8)</f>
        <v>00000008</v>
      </c>
      <c r="F306" s="238" t="s">
        <v>500</v>
      </c>
      <c r="G306" s="552"/>
      <c r="H306" s="546"/>
      <c r="I306" s="546"/>
      <c r="J306" s="549"/>
    </row>
    <row r="307" spans="1:10" ht="106.2" thickBot="1" x14ac:dyDescent="0.3">
      <c r="A307" s="258"/>
      <c r="B307" s="80" t="s">
        <v>286</v>
      </c>
      <c r="C307" s="84" t="s">
        <v>0</v>
      </c>
      <c r="D307" s="173">
        <v>5</v>
      </c>
      <c r="E307" s="173" t="str">
        <f>DEC2HEX(((D307)*2^0),8)</f>
        <v>00000005</v>
      </c>
      <c r="F307" s="143" t="s">
        <v>274</v>
      </c>
      <c r="G307" s="553"/>
      <c r="H307" s="547"/>
      <c r="I307" s="547"/>
      <c r="J307" s="550"/>
    </row>
    <row r="308" spans="1:10" ht="13.8" thickBot="1" x14ac:dyDescent="0.3">
      <c r="A308" s="258"/>
      <c r="B308" s="259"/>
      <c r="C308" s="260"/>
      <c r="D308" s="259"/>
      <c r="E308" s="259"/>
      <c r="F308" s="261"/>
      <c r="G308" s="260"/>
      <c r="H308" s="259"/>
      <c r="I308" s="259"/>
      <c r="J308" s="259"/>
    </row>
    <row r="309" spans="1:10" ht="105.6" x14ac:dyDescent="0.25">
      <c r="A309" s="258"/>
      <c r="B309" s="174" t="s">
        <v>689</v>
      </c>
      <c r="C309" s="245" t="s">
        <v>0</v>
      </c>
      <c r="D309" s="303">
        <v>1</v>
      </c>
      <c r="E309" s="303" t="str">
        <f>DEC2HEX(((D309)*2^31),8)</f>
        <v>80000000</v>
      </c>
      <c r="F309" s="242" t="s">
        <v>690</v>
      </c>
      <c r="G309" s="528" t="s">
        <v>691</v>
      </c>
      <c r="H309" s="535" t="str">
        <f>"0x"&amp;DEC2HEX((HEX2DEC(C33)+4*4), 8)</f>
        <v>0x5C010010</v>
      </c>
      <c r="I309" s="535" t="str">
        <f>"0x"&amp;DEC2HEX((HEX2DEC(C34)+4*4), 8)</f>
        <v>0x5C110010</v>
      </c>
      <c r="J309" s="542" t="str">
        <f>"0x"&amp;DEC2HEX((HEX2DEC(E309)+HEX2DEC(E310)+HEX2DEC(E311)+HEX2DEC(E312)+HEX2DEC(E313)+HEX2DEC(E314)), 8)</f>
        <v>0x87001E00</v>
      </c>
    </row>
    <row r="310" spans="1:10" ht="39.6" x14ac:dyDescent="0.25">
      <c r="A310" s="258"/>
      <c r="B310" s="177" t="s">
        <v>687</v>
      </c>
      <c r="C310" s="243" t="s">
        <v>0</v>
      </c>
      <c r="D310" s="304">
        <v>1</v>
      </c>
      <c r="E310" s="304" t="str">
        <f>DEC2HEX(((D310)*2^26),8)</f>
        <v>04000000</v>
      </c>
      <c r="F310" s="238" t="s">
        <v>688</v>
      </c>
      <c r="G310" s="529"/>
      <c r="H310" s="536"/>
      <c r="I310" s="536"/>
      <c r="J310" s="543"/>
    </row>
    <row r="311" spans="1:10" ht="118.8" x14ac:dyDescent="0.25">
      <c r="A311" s="258"/>
      <c r="B311" s="175" t="s">
        <v>685</v>
      </c>
      <c r="C311" s="243" t="s">
        <v>0</v>
      </c>
      <c r="D311" s="304">
        <v>3</v>
      </c>
      <c r="E311" s="304" t="str">
        <f>DEC2HEX(((D311)*2^24),8)</f>
        <v>03000000</v>
      </c>
      <c r="F311" s="238" t="s">
        <v>686</v>
      </c>
      <c r="G311" s="529"/>
      <c r="H311" s="536"/>
      <c r="I311" s="536"/>
      <c r="J311" s="543"/>
    </row>
    <row r="312" spans="1:10" ht="342" x14ac:dyDescent="0.25">
      <c r="A312" s="258"/>
      <c r="B312" s="177" t="s">
        <v>683</v>
      </c>
      <c r="C312" s="243" t="s">
        <v>0</v>
      </c>
      <c r="D312" s="304">
        <v>0</v>
      </c>
      <c r="E312" s="304" t="str">
        <f>DEC2HEX(((D312)*2^14),8)</f>
        <v>00000000</v>
      </c>
      <c r="F312" s="298" t="s">
        <v>684</v>
      </c>
      <c r="G312" s="529"/>
      <c r="H312" s="536"/>
      <c r="I312" s="536"/>
      <c r="J312" s="543"/>
    </row>
    <row r="313" spans="1:10" ht="132" x14ac:dyDescent="0.25">
      <c r="A313" s="258"/>
      <c r="B313" s="175" t="s">
        <v>681</v>
      </c>
      <c r="C313" s="243" t="s">
        <v>0</v>
      </c>
      <c r="D313" s="304">
        <v>15</v>
      </c>
      <c r="E313" s="304" t="str">
        <f>DEC2HEX(((D313)*2^9),8)</f>
        <v>00001E00</v>
      </c>
      <c r="F313" s="238" t="s">
        <v>682</v>
      </c>
      <c r="G313" s="529"/>
      <c r="H313" s="536"/>
      <c r="I313" s="536"/>
      <c r="J313" s="543"/>
    </row>
    <row r="314" spans="1:10" ht="13.8" thickBot="1" x14ac:dyDescent="0.3">
      <c r="A314" s="258"/>
      <c r="B314" s="80" t="s">
        <v>679</v>
      </c>
      <c r="C314" s="246" t="s">
        <v>0</v>
      </c>
      <c r="D314" s="305">
        <v>0</v>
      </c>
      <c r="E314" s="305" t="str">
        <f>DEC2HEX(((D314)*2^8),8)</f>
        <v>00000000</v>
      </c>
      <c r="F314" s="143" t="s">
        <v>680</v>
      </c>
      <c r="G314" s="540"/>
      <c r="H314" s="537"/>
      <c r="I314" s="537"/>
      <c r="J314" s="544"/>
    </row>
    <row r="315" spans="1:10" ht="12" customHeight="1" thickBot="1" x14ac:dyDescent="0.3">
      <c r="A315" s="258"/>
      <c r="B315" s="259"/>
      <c r="C315" s="260"/>
      <c r="D315" s="259"/>
      <c r="E315" s="259"/>
      <c r="F315" s="261"/>
      <c r="G315" s="260"/>
      <c r="H315" s="259"/>
      <c r="I315" s="259"/>
      <c r="J315" s="259"/>
    </row>
    <row r="316" spans="1:10" ht="66" x14ac:dyDescent="0.25">
      <c r="A316" s="258"/>
      <c r="B316" s="241" t="s">
        <v>288</v>
      </c>
      <c r="C316" s="300" t="s">
        <v>0</v>
      </c>
      <c r="D316" s="303">
        <v>0</v>
      </c>
      <c r="E316" s="303" t="str">
        <f>DEC2HEX(((D316)*2^31),8)</f>
        <v>00000000</v>
      </c>
      <c r="F316" s="242" t="s">
        <v>501</v>
      </c>
      <c r="G316" s="545" t="s">
        <v>287</v>
      </c>
      <c r="H316" s="551" t="str">
        <f>"0x"&amp;DEC2HEX((HEX2DEC(C33)+4*6), 8)</f>
        <v>0x5C010018</v>
      </c>
      <c r="I316" s="551" t="str">
        <f>"0x"&amp;DEC2HEX((HEX2DEC(C34)+4*6), 8)</f>
        <v>0x5C110018</v>
      </c>
      <c r="J316" s="548" t="str">
        <f>"0x"&amp;DEC2HEX((HEX2DEC(E316)+HEX2DEC(E317)+HEX2DEC(E318)+HEX2DEC(E319)+HEX2DEC(E320)+HEX2DEC(E321)+HEX2DEC(E322)+HEX2DEC(E323)), 8)</f>
        <v>0x00F0D879</v>
      </c>
    </row>
    <row r="317" spans="1:10" ht="39.6" x14ac:dyDescent="0.25">
      <c r="A317" s="258"/>
      <c r="B317" s="175" t="s">
        <v>290</v>
      </c>
      <c r="C317" s="301" t="s">
        <v>0</v>
      </c>
      <c r="D317" s="304">
        <v>0</v>
      </c>
      <c r="E317" s="304" t="str">
        <f>DEC2HEX(((D317)*2^30),8)</f>
        <v>00000000</v>
      </c>
      <c r="F317" s="238" t="s">
        <v>289</v>
      </c>
      <c r="G317" s="552"/>
      <c r="H317" s="546"/>
      <c r="I317" s="546"/>
      <c r="J317" s="549"/>
    </row>
    <row r="318" spans="1:10" ht="26.4" x14ac:dyDescent="0.25">
      <c r="A318" s="258"/>
      <c r="B318" s="177" t="s">
        <v>291</v>
      </c>
      <c r="C318" s="301" t="s">
        <v>0</v>
      </c>
      <c r="D318" s="304">
        <v>0</v>
      </c>
      <c r="E318" s="304" t="str">
        <f>DEC2HEX(((D318)*2^29),8)</f>
        <v>00000000</v>
      </c>
      <c r="F318" s="238" t="s">
        <v>292</v>
      </c>
      <c r="G318" s="552"/>
      <c r="H318" s="546"/>
      <c r="I318" s="546"/>
      <c r="J318" s="549"/>
    </row>
    <row r="319" spans="1:10" ht="105.6" x14ac:dyDescent="0.25">
      <c r="A319" s="258"/>
      <c r="B319" s="177" t="s">
        <v>294</v>
      </c>
      <c r="C319" s="301" t="s">
        <v>0</v>
      </c>
      <c r="D319" s="304">
        <v>0</v>
      </c>
      <c r="E319" s="304" t="str">
        <f>DEC2HEX(((D319)*2^28),8)</f>
        <v>00000000</v>
      </c>
      <c r="F319" s="238" t="s">
        <v>293</v>
      </c>
      <c r="G319" s="552"/>
      <c r="H319" s="546"/>
      <c r="I319" s="546"/>
      <c r="J319" s="549"/>
    </row>
    <row r="320" spans="1:10" ht="66" x14ac:dyDescent="0.25">
      <c r="A320" s="258"/>
      <c r="B320" s="177" t="s">
        <v>296</v>
      </c>
      <c r="C320" s="301" t="s">
        <v>0</v>
      </c>
      <c r="D320" s="304">
        <v>15</v>
      </c>
      <c r="E320" s="304" t="str">
        <f>DEC2HEX(((D320)*2^20),8)</f>
        <v>00F00000</v>
      </c>
      <c r="F320" s="238" t="s">
        <v>502</v>
      </c>
      <c r="G320" s="552"/>
      <c r="H320" s="546"/>
      <c r="I320" s="546"/>
      <c r="J320" s="549"/>
    </row>
    <row r="321" spans="1:23" ht="39.6" x14ac:dyDescent="0.25">
      <c r="A321" s="258"/>
      <c r="B321" s="177" t="s">
        <v>297</v>
      </c>
      <c r="C321" s="301" t="s">
        <v>0</v>
      </c>
      <c r="D321" s="304">
        <v>0</v>
      </c>
      <c r="E321" s="304" t="str">
        <f>DEC2HEX(((D321)*2^19),8)</f>
        <v>00000000</v>
      </c>
      <c r="F321" s="238" t="s">
        <v>503</v>
      </c>
      <c r="G321" s="552"/>
      <c r="H321" s="546"/>
      <c r="I321" s="546"/>
      <c r="J321" s="549"/>
    </row>
    <row r="322" spans="1:23" ht="52.8" x14ac:dyDescent="0.25">
      <c r="A322" s="258"/>
      <c r="B322" s="177" t="s">
        <v>298</v>
      </c>
      <c r="C322" s="301" t="s">
        <v>0</v>
      </c>
      <c r="D322" s="304">
        <v>0</v>
      </c>
      <c r="E322" s="304" t="str">
        <f>DEC2HEX(((D322)*2^18),8)</f>
        <v>00000000</v>
      </c>
      <c r="F322" s="238" t="s">
        <v>295</v>
      </c>
      <c r="G322" s="552"/>
      <c r="H322" s="546"/>
      <c r="I322" s="546"/>
      <c r="J322" s="549"/>
    </row>
    <row r="323" spans="1:23" ht="132.6" thickBot="1" x14ac:dyDescent="0.3">
      <c r="A323" s="258"/>
      <c r="B323" s="90" t="s">
        <v>299</v>
      </c>
      <c r="C323" s="302" t="s">
        <v>0</v>
      </c>
      <c r="D323" s="139">
        <f>IF(G28 = "Apply maximum de-rate timings", ROUNDDOWN(((9*3.904*C29/4)-800),0), ROUNDDOWN(((9*3.904*C29)-800),0))</f>
        <v>55417</v>
      </c>
      <c r="E323" s="305" t="str">
        <f>DEC2HEX(((D323)*2^0),8)</f>
        <v>0000D879</v>
      </c>
      <c r="F323" s="143" t="s">
        <v>694</v>
      </c>
      <c r="G323" s="553"/>
      <c r="H323" s="547"/>
      <c r="I323" s="547"/>
      <c r="J323" s="550"/>
      <c r="K323" s="240"/>
    </row>
    <row r="324" spans="1:23" ht="14.25" customHeight="1" thickBot="1" x14ac:dyDescent="0.3">
      <c r="A324" s="258"/>
      <c r="B324" s="259"/>
      <c r="C324" s="260"/>
      <c r="D324" s="259"/>
      <c r="E324" s="259"/>
      <c r="F324" s="261"/>
      <c r="G324" s="260"/>
      <c r="H324" s="259"/>
      <c r="I324" s="259"/>
      <c r="J324" s="259"/>
    </row>
    <row r="325" spans="1:23" ht="132" x14ac:dyDescent="0.25">
      <c r="A325" s="258"/>
      <c r="B325" s="241" t="s">
        <v>308</v>
      </c>
      <c r="C325" s="82" t="s">
        <v>0</v>
      </c>
      <c r="D325" s="79">
        <v>5</v>
      </c>
      <c r="E325" s="79" t="str">
        <f>DEC2HEX(((D325)*2^24),8)</f>
        <v>05000000</v>
      </c>
      <c r="F325" s="176" t="s">
        <v>504</v>
      </c>
      <c r="G325" s="545" t="s">
        <v>300</v>
      </c>
      <c r="H325" s="551" t="str">
        <f>"0x"&amp;DEC2HEX((HEX2DEC(C33)+4*7), 8)</f>
        <v>0x5C01001C</v>
      </c>
      <c r="I325" s="551" t="str">
        <f>"0x"&amp;DEC2HEX((HEX2DEC(C34)+4*7), 8)</f>
        <v>0x5C11001C</v>
      </c>
      <c r="J325" s="548" t="str">
        <f>"0x"&amp;DEC2HEX((HEX2DEC(E325)+HEX2DEC(E326)+HEX2DEC(E327)+HEX2DEC(E328)+HEX2DEC(E329)+HEX2DEC(E330)+HEX2DEC(E331)+HEX2DEC(E332)+HEX2DEC(E333)+HEX2DEC(E334)), 8)</f>
        <v>0x050A1080</v>
      </c>
    </row>
    <row r="326" spans="1:23" ht="145.19999999999999" x14ac:dyDescent="0.25">
      <c r="A326" s="258"/>
      <c r="B326" s="175" t="s">
        <v>309</v>
      </c>
      <c r="C326" s="85" t="s">
        <v>0</v>
      </c>
      <c r="D326" s="85">
        <v>10</v>
      </c>
      <c r="E326" s="172" t="str">
        <f>DEC2HEX(((D326)*2^16),8)</f>
        <v>000A0000</v>
      </c>
      <c r="F326" s="178" t="s">
        <v>505</v>
      </c>
      <c r="G326" s="552"/>
      <c r="H326" s="546"/>
      <c r="I326" s="546"/>
      <c r="J326" s="549"/>
    </row>
    <row r="327" spans="1:23" ht="79.2" x14ac:dyDescent="0.25">
      <c r="A327" s="258"/>
      <c r="B327" s="175" t="s">
        <v>310</v>
      </c>
      <c r="C327" s="85" t="s">
        <v>0</v>
      </c>
      <c r="D327" s="172">
        <v>0</v>
      </c>
      <c r="E327" s="172" t="str">
        <f>DEC2HEX(((D327)*2^13),8)</f>
        <v>00000000</v>
      </c>
      <c r="F327" s="178" t="s">
        <v>307</v>
      </c>
      <c r="G327" s="552"/>
      <c r="H327" s="546"/>
      <c r="I327" s="546"/>
      <c r="J327" s="549"/>
    </row>
    <row r="328" spans="1:23" ht="79.2" x14ac:dyDescent="0.25">
      <c r="A328" s="258"/>
      <c r="B328" s="175" t="s">
        <v>311</v>
      </c>
      <c r="C328" s="85" t="s">
        <v>0</v>
      </c>
      <c r="D328" s="172">
        <v>2</v>
      </c>
      <c r="E328" s="172" t="str">
        <f>DEC2HEX(((D328)*2^11),8)</f>
        <v>00001000</v>
      </c>
      <c r="F328" s="178" t="s">
        <v>307</v>
      </c>
      <c r="G328" s="552"/>
      <c r="H328" s="546"/>
      <c r="I328" s="546"/>
      <c r="J328" s="549"/>
    </row>
    <row r="329" spans="1:23" ht="79.2" x14ac:dyDescent="0.25">
      <c r="A329" s="258"/>
      <c r="B329" s="175" t="s">
        <v>312</v>
      </c>
      <c r="C329" s="85" t="s">
        <v>0</v>
      </c>
      <c r="D329" s="172">
        <v>0</v>
      </c>
      <c r="E329" s="172" t="str">
        <f>DEC2HEX(((D329)*2^9),8)</f>
        <v>00000000</v>
      </c>
      <c r="F329" s="178" t="s">
        <v>306</v>
      </c>
      <c r="G329" s="552"/>
      <c r="H329" s="546"/>
      <c r="I329" s="546"/>
      <c r="J329" s="549"/>
    </row>
    <row r="330" spans="1:23" ht="66" x14ac:dyDescent="0.25">
      <c r="A330" s="258"/>
      <c r="B330" s="175" t="s">
        <v>313</v>
      </c>
      <c r="C330" s="85" t="s">
        <v>0</v>
      </c>
      <c r="D330" s="172">
        <v>2</v>
      </c>
      <c r="E330" s="172" t="str">
        <f>DEC2HEX(((D330)*2^6),8)</f>
        <v>00000080</v>
      </c>
      <c r="F330" s="178" t="s">
        <v>305</v>
      </c>
      <c r="G330" s="552"/>
      <c r="H330" s="546"/>
      <c r="I330" s="546"/>
      <c r="J330" s="549"/>
    </row>
    <row r="331" spans="1:23" ht="66" x14ac:dyDescent="0.25">
      <c r="A331" s="258"/>
      <c r="B331" s="175" t="s">
        <v>314</v>
      </c>
      <c r="C331" s="85" t="s">
        <v>0</v>
      </c>
      <c r="D331" s="172">
        <v>0</v>
      </c>
      <c r="E331" s="172" t="str">
        <f>DEC2HEX(((D331)*2^5),8)</f>
        <v>00000000</v>
      </c>
      <c r="F331" s="178" t="s">
        <v>304</v>
      </c>
      <c r="G331" s="552"/>
      <c r="H331" s="546"/>
      <c r="I331" s="546"/>
      <c r="J331" s="549"/>
    </row>
    <row r="332" spans="1:23" ht="105.6" x14ac:dyDescent="0.25">
      <c r="A332" s="258"/>
      <c r="B332" s="175" t="s">
        <v>315</v>
      </c>
      <c r="C332" s="85" t="s">
        <v>0</v>
      </c>
      <c r="D332" s="172">
        <v>0</v>
      </c>
      <c r="E332" s="172" t="str">
        <f>DEC2HEX(((D332)*2^3),8)</f>
        <v>00000000</v>
      </c>
      <c r="F332" s="178" t="s">
        <v>303</v>
      </c>
      <c r="G332" s="552"/>
      <c r="H332" s="546"/>
      <c r="I332" s="546"/>
      <c r="J332" s="549"/>
    </row>
    <row r="333" spans="1:23" ht="52.8" x14ac:dyDescent="0.25">
      <c r="A333" s="258"/>
      <c r="B333" s="175" t="s">
        <v>316</v>
      </c>
      <c r="C333" s="85" t="s">
        <v>0</v>
      </c>
      <c r="D333" s="172">
        <v>0</v>
      </c>
      <c r="E333" s="172" t="str">
        <f>DEC2HEX(((D333)*2^2),8)</f>
        <v>00000000</v>
      </c>
      <c r="F333" s="178" t="s">
        <v>302</v>
      </c>
      <c r="G333" s="552"/>
      <c r="H333" s="546"/>
      <c r="I333" s="546"/>
      <c r="J333" s="549"/>
    </row>
    <row r="334" spans="1:23" ht="66.599999999999994" thickBot="1" x14ac:dyDescent="0.3">
      <c r="A334" s="258"/>
      <c r="B334" s="80" t="s">
        <v>317</v>
      </c>
      <c r="C334" s="84" t="s">
        <v>0</v>
      </c>
      <c r="D334" s="173">
        <v>0</v>
      </c>
      <c r="E334" s="173" t="str">
        <f>DEC2HEX(((D334)*2^0),8)</f>
        <v>00000000</v>
      </c>
      <c r="F334" s="83" t="s">
        <v>301</v>
      </c>
      <c r="G334" s="553"/>
      <c r="H334" s="547"/>
      <c r="I334" s="547"/>
      <c r="J334" s="550"/>
    </row>
    <row r="335" spans="1:23" ht="13.8" thickBot="1" x14ac:dyDescent="0.3">
      <c r="A335" s="258"/>
      <c r="B335" s="259"/>
      <c r="C335" s="260"/>
      <c r="D335" s="259"/>
      <c r="E335" s="259"/>
      <c r="F335" s="262"/>
      <c r="G335" s="260"/>
      <c r="H335" s="259"/>
      <c r="I335" s="259"/>
      <c r="J335" s="259"/>
      <c r="K335" s="8"/>
      <c r="W335"/>
    </row>
    <row r="336" spans="1:23" ht="132" x14ac:dyDescent="0.25">
      <c r="A336" s="258"/>
      <c r="B336" s="241" t="s">
        <v>1928</v>
      </c>
      <c r="C336" s="291" t="s">
        <v>0</v>
      </c>
      <c r="D336" s="446">
        <v>0</v>
      </c>
      <c r="E336" s="446" t="str">
        <f>DEC2HEX(((D336)*2^29),8)</f>
        <v>00000000</v>
      </c>
      <c r="F336" s="453" t="s">
        <v>1929</v>
      </c>
      <c r="G336" s="551" t="s">
        <v>1930</v>
      </c>
      <c r="H336" s="551" t="str">
        <f>"0x"&amp;DEC2HEX((HEX2DEC(C33)+4*8), 8)</f>
        <v>0x5C010020</v>
      </c>
      <c r="I336" s="551" t="str">
        <f>"0x"&amp;DEC2HEX((HEX2DEC(C34)+4*8), 8)</f>
        <v>0x5C110020</v>
      </c>
      <c r="J336" s="548" t="str">
        <f>"0x"&amp;DEC2HEX((HEX2DEC(E336)+HEX2DEC(E337)+HEX2DEC(E338)+HEX2DEC(E339)+HEX2DEC(E340)+HEX2DEC(E341)+HEX2DEC(E342)+HEX2DEC(E343)+HEX2DEC(E344)+HEX2DEC(E345)+HEX2DEC(E346)+HEX2DEC(E347)+HEX2DEC(E348)), 8)</f>
        <v>0x001900B1</v>
      </c>
      <c r="K336" s="8"/>
      <c r="W336"/>
    </row>
    <row r="337" spans="1:23" ht="105.6" x14ac:dyDescent="0.25">
      <c r="A337" s="258"/>
      <c r="B337" s="175" t="s">
        <v>1931</v>
      </c>
      <c r="C337" s="450" t="s">
        <v>0</v>
      </c>
      <c r="D337" s="442">
        <v>0</v>
      </c>
      <c r="E337" s="442" t="str">
        <f>DEC2HEX(((D337)*2^24),8)</f>
        <v>00000000</v>
      </c>
      <c r="F337" s="451" t="s">
        <v>1932</v>
      </c>
      <c r="G337" s="546"/>
      <c r="H337" s="546"/>
      <c r="I337" s="546"/>
      <c r="J337" s="549"/>
      <c r="K337" s="8"/>
      <c r="W337"/>
    </row>
    <row r="338" spans="1:23" ht="39.6" x14ac:dyDescent="0.25">
      <c r="A338" s="258"/>
      <c r="B338" s="175" t="s">
        <v>1933</v>
      </c>
      <c r="C338" s="450" t="s">
        <v>0</v>
      </c>
      <c r="D338" s="442">
        <v>0</v>
      </c>
      <c r="E338" s="442" t="str">
        <f>DEC2HEX(((D338)*2^23),8)</f>
        <v>00000000</v>
      </c>
      <c r="F338" s="451" t="s">
        <v>1934</v>
      </c>
      <c r="G338" s="546"/>
      <c r="H338" s="546"/>
      <c r="I338" s="546"/>
      <c r="J338" s="549"/>
      <c r="K338" s="8"/>
      <c r="W338"/>
    </row>
    <row r="339" spans="1:23" ht="39.6" x14ac:dyDescent="0.25">
      <c r="A339" s="258"/>
      <c r="B339" s="175" t="s">
        <v>1935</v>
      </c>
      <c r="C339" s="450" t="s">
        <v>0</v>
      </c>
      <c r="D339" s="442">
        <v>0</v>
      </c>
      <c r="E339" s="442" t="str">
        <f>DEC2HEX(((D339)*2^22),8)</f>
        <v>00000000</v>
      </c>
      <c r="F339" s="451" t="s">
        <v>1936</v>
      </c>
      <c r="G339" s="546"/>
      <c r="H339" s="546"/>
      <c r="I339" s="546"/>
      <c r="J339" s="549"/>
      <c r="K339" s="8"/>
      <c r="W339"/>
    </row>
    <row r="340" spans="1:23" ht="39.6" x14ac:dyDescent="0.25">
      <c r="A340" s="258"/>
      <c r="B340" s="175" t="s">
        <v>1937</v>
      </c>
      <c r="C340" s="450" t="s">
        <v>0</v>
      </c>
      <c r="D340" s="442">
        <v>0</v>
      </c>
      <c r="E340" s="442" t="str">
        <f>DEC2HEX(((D340)*2^21),8)</f>
        <v>00000000</v>
      </c>
      <c r="F340" s="451" t="s">
        <v>1938</v>
      </c>
      <c r="G340" s="546"/>
      <c r="H340" s="546"/>
      <c r="I340" s="546"/>
      <c r="J340" s="549"/>
      <c r="K340" s="8"/>
      <c r="W340"/>
    </row>
    <row r="341" spans="1:23" x14ac:dyDescent="0.25">
      <c r="A341" s="258"/>
      <c r="B341" s="175" t="s">
        <v>1939</v>
      </c>
      <c r="C341" s="450" t="s">
        <v>0</v>
      </c>
      <c r="D341" s="442">
        <v>1</v>
      </c>
      <c r="E341" s="442" t="str">
        <f>DEC2HEX(((D341)*2^20),8)</f>
        <v>00100000</v>
      </c>
      <c r="F341" s="452" t="s">
        <v>1940</v>
      </c>
      <c r="G341" s="546"/>
      <c r="H341" s="546"/>
      <c r="I341" s="546"/>
      <c r="J341" s="549"/>
      <c r="K341" s="8"/>
      <c r="W341"/>
    </row>
    <row r="342" spans="1:23" x14ac:dyDescent="0.25">
      <c r="A342" s="258"/>
      <c r="B342" s="175" t="s">
        <v>1941</v>
      </c>
      <c r="C342" s="450" t="s">
        <v>0</v>
      </c>
      <c r="D342" s="442">
        <v>1</v>
      </c>
      <c r="E342" s="442" t="str">
        <f>DEC2HEX(((D342)*2^19),8)</f>
        <v>00080000</v>
      </c>
      <c r="F342" s="452" t="s">
        <v>1940</v>
      </c>
      <c r="G342" s="546"/>
      <c r="H342" s="546"/>
      <c r="I342" s="546"/>
      <c r="J342" s="549"/>
      <c r="K342" s="8"/>
      <c r="W342"/>
    </row>
    <row r="343" spans="1:23" ht="118.8" x14ac:dyDescent="0.25">
      <c r="A343" s="258"/>
      <c r="B343" s="175" t="s">
        <v>585</v>
      </c>
      <c r="C343" s="450" t="s">
        <v>0</v>
      </c>
      <c r="D343" s="442">
        <v>0</v>
      </c>
      <c r="E343" s="442" t="str">
        <f>DEC2HEX(((D343)*2^18),8)</f>
        <v>00000000</v>
      </c>
      <c r="F343" s="451" t="s">
        <v>1942</v>
      </c>
      <c r="G343" s="546"/>
      <c r="H343" s="546"/>
      <c r="I343" s="546"/>
      <c r="J343" s="549"/>
      <c r="K343" s="8"/>
      <c r="W343"/>
    </row>
    <row r="344" spans="1:23" ht="52.8" x14ac:dyDescent="0.25">
      <c r="A344" s="258"/>
      <c r="B344" s="175" t="s">
        <v>1943</v>
      </c>
      <c r="C344" s="450" t="s">
        <v>0</v>
      </c>
      <c r="D344" s="442">
        <v>0</v>
      </c>
      <c r="E344" s="442" t="str">
        <f>DEC2HEX(((D344)*2^17),8)</f>
        <v>00000000</v>
      </c>
      <c r="F344" s="451" t="s">
        <v>1944</v>
      </c>
      <c r="G344" s="546"/>
      <c r="H344" s="546"/>
      <c r="I344" s="546"/>
      <c r="J344" s="549"/>
      <c r="K344" s="8"/>
      <c r="W344"/>
    </row>
    <row r="345" spans="1:23" ht="79.2" x14ac:dyDescent="0.25">
      <c r="A345" s="258"/>
      <c r="B345" s="175" t="s">
        <v>1945</v>
      </c>
      <c r="C345" s="450" t="s">
        <v>0</v>
      </c>
      <c r="D345" s="442">
        <v>256</v>
      </c>
      <c r="E345" s="442" t="str">
        <f>DEC2HEX(((D345)*2^8),8)</f>
        <v>00010000</v>
      </c>
      <c r="F345" s="451" t="s">
        <v>1946</v>
      </c>
      <c r="G345" s="546"/>
      <c r="H345" s="546"/>
      <c r="I345" s="546"/>
      <c r="J345" s="549"/>
      <c r="K345" s="8"/>
      <c r="W345"/>
    </row>
    <row r="346" spans="1:23" ht="303.60000000000002" x14ac:dyDescent="0.25">
      <c r="A346" s="258"/>
      <c r="B346" s="175" t="s">
        <v>479</v>
      </c>
      <c r="C346" s="450" t="s">
        <v>0</v>
      </c>
      <c r="D346" s="442">
        <v>11</v>
      </c>
      <c r="E346" s="442" t="str">
        <f>DEC2HEX(((D346)*2^4),8)</f>
        <v>000000B0</v>
      </c>
      <c r="F346" s="451" t="s">
        <v>1947</v>
      </c>
      <c r="G346" s="546"/>
      <c r="H346" s="546"/>
      <c r="I346" s="546"/>
      <c r="J346" s="549"/>
      <c r="K346" s="8"/>
      <c r="W346"/>
    </row>
    <row r="347" spans="1:23" ht="145.19999999999999" x14ac:dyDescent="0.25">
      <c r="A347" s="258"/>
      <c r="B347" s="175" t="s">
        <v>583</v>
      </c>
      <c r="C347" s="450" t="s">
        <v>0</v>
      </c>
      <c r="D347" s="442">
        <v>0</v>
      </c>
      <c r="E347" s="442" t="str">
        <f>DEC2HEX(((D347)*2^1),8)</f>
        <v>00000000</v>
      </c>
      <c r="F347" s="451" t="s">
        <v>1948</v>
      </c>
      <c r="G347" s="546"/>
      <c r="H347" s="546"/>
      <c r="I347" s="546"/>
      <c r="J347" s="549"/>
      <c r="K347" s="8"/>
      <c r="W347"/>
    </row>
    <row r="348" spans="1:23" ht="40.200000000000003" thickBot="1" x14ac:dyDescent="0.3">
      <c r="A348" s="258"/>
      <c r="B348" s="80" t="s">
        <v>584</v>
      </c>
      <c r="C348" s="293" t="s">
        <v>0</v>
      </c>
      <c r="D348" s="443">
        <v>1</v>
      </c>
      <c r="E348" s="443" t="str">
        <f>DEC2HEX(((D348)*2^0),8)</f>
        <v>00000001</v>
      </c>
      <c r="F348" s="454" t="s">
        <v>1949</v>
      </c>
      <c r="G348" s="547"/>
      <c r="H348" s="547"/>
      <c r="I348" s="547"/>
      <c r="J348" s="550"/>
      <c r="K348" s="8"/>
      <c r="W348"/>
    </row>
    <row r="349" spans="1:23" ht="13.8" thickBot="1" x14ac:dyDescent="0.3">
      <c r="A349" s="258"/>
      <c r="B349" s="259"/>
      <c r="C349" s="260"/>
      <c r="D349" s="259"/>
      <c r="E349" s="259"/>
      <c r="F349" s="262"/>
      <c r="G349" s="260"/>
      <c r="H349" s="259"/>
      <c r="I349" s="259"/>
      <c r="J349" s="500" t="s">
        <v>2190</v>
      </c>
      <c r="K349" s="509" t="s">
        <v>2176</v>
      </c>
    </row>
    <row r="350" spans="1:23" ht="45" customHeight="1" x14ac:dyDescent="0.25">
      <c r="A350" s="258"/>
      <c r="B350" s="174" t="s">
        <v>2179</v>
      </c>
      <c r="C350" s="528" t="s">
        <v>0</v>
      </c>
      <c r="D350" s="114">
        <f>ROUNDUP(C29/2, 0)</f>
        <v>800</v>
      </c>
      <c r="E350" s="496" t="str">
        <f>DEC2HEX(((D350)*2^21),8)</f>
        <v>64000000</v>
      </c>
      <c r="F350" s="530" t="s">
        <v>506</v>
      </c>
      <c r="G350" s="528" t="s">
        <v>318</v>
      </c>
      <c r="H350" s="535" t="str">
        <f>"0x"&amp;DEC2HEX((HEX2DEC(C33)+4*16), 8)</f>
        <v>0x5C010040</v>
      </c>
      <c r="I350" s="535" t="str">
        <f>"0x"&amp;DEC2HEX((HEX2DEC(C34)+4*16), 8)</f>
        <v>0x5C110040</v>
      </c>
      <c r="J350" s="535" t="str">
        <f>"0x"&amp;DEC2HEX((HEX2DEC(E350)+HEX2DEC(E352)+HEX2DEC(E354)), 8)</f>
        <v>0x64032010</v>
      </c>
      <c r="K350" s="542" t="str">
        <f>"0x"&amp;DEC2HEX((HEX2DEC(E351)+HEX2DEC(E353)+HEX2DEC(E355)), 8)</f>
        <v>0x03201901</v>
      </c>
    </row>
    <row r="351" spans="1:23" ht="36" customHeight="1" x14ac:dyDescent="0.25">
      <c r="A351" s="258"/>
      <c r="B351" s="177" t="s">
        <v>2180</v>
      </c>
      <c r="C351" s="529"/>
      <c r="D351" s="247">
        <f>ROUNDUP(C29/2/32, 0)</f>
        <v>25</v>
      </c>
      <c r="E351" s="497" t="str">
        <f>DEC2HEX(((D351)*2^21),8)</f>
        <v>03200000</v>
      </c>
      <c r="F351" s="531"/>
      <c r="G351" s="529"/>
      <c r="H351" s="536"/>
      <c r="I351" s="536"/>
      <c r="J351" s="536"/>
      <c r="K351" s="543"/>
    </row>
    <row r="352" spans="1:23" ht="25.5" customHeight="1" x14ac:dyDescent="0.25">
      <c r="A352" s="258"/>
      <c r="B352" s="177" t="s">
        <v>2181</v>
      </c>
      <c r="C352" s="529" t="s">
        <v>0</v>
      </c>
      <c r="D352" s="247">
        <f>ROUNDUP((4000*C29/1000/2),0)</f>
        <v>3200</v>
      </c>
      <c r="E352" s="497" t="str">
        <f>DEC2HEX(((D352)*2^6),8)</f>
        <v>00032000</v>
      </c>
      <c r="F352" s="531" t="s">
        <v>507</v>
      </c>
      <c r="G352" s="529"/>
      <c r="H352" s="536"/>
      <c r="I352" s="536"/>
      <c r="J352" s="536"/>
      <c r="K352" s="543"/>
    </row>
    <row r="353" spans="1:12" ht="29.25" customHeight="1" x14ac:dyDescent="0.25">
      <c r="A353" s="258"/>
      <c r="B353" s="177" t="s">
        <v>2182</v>
      </c>
      <c r="C353" s="529"/>
      <c r="D353" s="247">
        <f>ROUNDUP((4000*C29/1000/2/32),0)</f>
        <v>100</v>
      </c>
      <c r="E353" s="497" t="str">
        <f>DEC2HEX(((D353)*2^6),8)</f>
        <v>00001900</v>
      </c>
      <c r="F353" s="531"/>
      <c r="G353" s="529"/>
      <c r="H353" s="536"/>
      <c r="I353" s="536"/>
      <c r="J353" s="536"/>
      <c r="K353" s="543"/>
    </row>
    <row r="354" spans="1:12" ht="30" customHeight="1" x14ac:dyDescent="0.25">
      <c r="A354" s="258"/>
      <c r="B354" s="177" t="s">
        <v>2183</v>
      </c>
      <c r="C354" s="529" t="s">
        <v>0</v>
      </c>
      <c r="D354" s="497">
        <v>16</v>
      </c>
      <c r="E354" s="497" t="str">
        <f>DEC2HEX(((D354)*2^0),8)</f>
        <v>00000010</v>
      </c>
      <c r="F354" s="531" t="s">
        <v>508</v>
      </c>
      <c r="G354" s="529"/>
      <c r="H354" s="536"/>
      <c r="I354" s="536"/>
      <c r="J354" s="536"/>
      <c r="K354" s="543"/>
    </row>
    <row r="355" spans="1:12" ht="34.5" customHeight="1" thickBot="1" x14ac:dyDescent="0.3">
      <c r="A355" s="258"/>
      <c r="B355" s="90" t="s">
        <v>2184</v>
      </c>
      <c r="C355" s="540"/>
      <c r="D355" s="248">
        <f>ROUNDUP(D354/32, 0)</f>
        <v>1</v>
      </c>
      <c r="E355" s="498" t="str">
        <f>DEC2HEX(((D355)*2^0),8)</f>
        <v>00000001</v>
      </c>
      <c r="F355" s="541"/>
      <c r="G355" s="540"/>
      <c r="H355" s="537"/>
      <c r="I355" s="537"/>
      <c r="J355" s="537"/>
      <c r="K355" s="544"/>
    </row>
    <row r="356" spans="1:12" ht="13.8" thickBot="1" x14ac:dyDescent="0.3">
      <c r="A356" s="258"/>
      <c r="B356" s="259"/>
      <c r="C356" s="260"/>
      <c r="D356" s="259"/>
      <c r="E356" s="259"/>
      <c r="F356" s="262"/>
      <c r="G356" s="260"/>
      <c r="H356" s="259"/>
      <c r="I356" s="259"/>
      <c r="J356" s="500" t="s">
        <v>2190</v>
      </c>
      <c r="K356" s="509" t="s">
        <v>2176</v>
      </c>
    </row>
    <row r="357" spans="1:12" ht="44.25" customHeight="1" x14ac:dyDescent="0.25">
      <c r="A357" s="258"/>
      <c r="B357" s="174" t="s">
        <v>2185</v>
      </c>
      <c r="C357" s="528" t="s">
        <v>0</v>
      </c>
      <c r="D357" s="114">
        <f>ROUNDUP((25000/C30/2),0)</f>
        <v>20000</v>
      </c>
      <c r="E357" s="496" t="str">
        <f>DEC2HEX(((D357)*2^16),8)</f>
        <v>4E200000</v>
      </c>
      <c r="F357" s="530" t="s">
        <v>1825</v>
      </c>
      <c r="G357" s="528" t="s">
        <v>319</v>
      </c>
      <c r="H357" s="535" t="str">
        <f>"0x"&amp;DEC2HEX((HEX2DEC(C33)+4*17), 8)</f>
        <v>0x5C010044</v>
      </c>
      <c r="I357" s="535" t="str">
        <f>"0x"&amp;DEC2HEX((HEX2DEC(C34)+4*17), 8)</f>
        <v>0x5C110044</v>
      </c>
      <c r="J357" s="535" t="str">
        <f>"0x"&amp;DEC2HEX((HEX2DEC(E357)+HEX2DEC(E359)), 8)</f>
        <v>0x4E201C20</v>
      </c>
      <c r="K357" s="532" t="str">
        <f>"0x"&amp;DEC2HEX((HEX2DEC(E358)+HEX2DEC(E360)), 8)</f>
        <v>0x027100E1</v>
      </c>
    </row>
    <row r="358" spans="1:12" ht="39" customHeight="1" x14ac:dyDescent="0.25">
      <c r="A358" s="258"/>
      <c r="B358" s="177" t="s">
        <v>2186</v>
      </c>
      <c r="C358" s="529"/>
      <c r="D358" s="247">
        <f>ROUNDUP((25000/C30/2/32),0)</f>
        <v>625</v>
      </c>
      <c r="E358" s="497" t="str">
        <f>DEC2HEX(((D358)*2^16),8)</f>
        <v>02710000</v>
      </c>
      <c r="F358" s="531"/>
      <c r="G358" s="529"/>
      <c r="H358" s="536"/>
      <c r="I358" s="536"/>
      <c r="J358" s="536"/>
      <c r="K358" s="533"/>
    </row>
    <row r="359" spans="1:12" ht="48" customHeight="1" x14ac:dyDescent="0.25">
      <c r="A359" s="258"/>
      <c r="B359" s="177" t="s">
        <v>2187</v>
      </c>
      <c r="C359" s="529" t="s">
        <v>0</v>
      </c>
      <c r="D359" s="247">
        <f>ROUNDUP((9000/C30/2),0)</f>
        <v>7200</v>
      </c>
      <c r="E359" s="497" t="str">
        <f>DEC2HEX(((D359)*2^0),8)</f>
        <v>00001C20</v>
      </c>
      <c r="F359" s="531" t="s">
        <v>509</v>
      </c>
      <c r="G359" s="529"/>
      <c r="H359" s="536"/>
      <c r="I359" s="536"/>
      <c r="J359" s="536"/>
      <c r="K359" s="533"/>
    </row>
    <row r="360" spans="1:12" ht="38.25" customHeight="1" thickBot="1" x14ac:dyDescent="0.3">
      <c r="A360" s="258"/>
      <c r="B360" s="90" t="s">
        <v>2188</v>
      </c>
      <c r="C360" s="540"/>
      <c r="D360" s="248">
        <f>ROUNDUP((9000/C30/2/32),0)</f>
        <v>225</v>
      </c>
      <c r="E360" s="498" t="str">
        <f>DEC2HEX(((D360)*2^0),8)</f>
        <v>000000E1</v>
      </c>
      <c r="F360" s="541"/>
      <c r="G360" s="540"/>
      <c r="H360" s="537"/>
      <c r="I360" s="537"/>
      <c r="J360" s="537"/>
      <c r="K360" s="534"/>
    </row>
    <row r="361" spans="1:12" ht="13.8" thickBot="1" x14ac:dyDescent="0.3">
      <c r="A361" s="258"/>
      <c r="B361" s="259"/>
      <c r="C361" s="260"/>
      <c r="D361" s="259"/>
      <c r="E361" s="259"/>
      <c r="F361" s="262"/>
      <c r="G361" s="260"/>
      <c r="H361" s="259"/>
      <c r="I361" s="259"/>
      <c r="J361" s="500" t="s">
        <v>2177</v>
      </c>
      <c r="K361" s="508" t="s">
        <v>2178</v>
      </c>
      <c r="L361" s="509" t="s">
        <v>2176</v>
      </c>
    </row>
    <row r="362" spans="1:12" x14ac:dyDescent="0.25">
      <c r="A362" s="258"/>
      <c r="B362" s="174" t="s">
        <v>2110</v>
      </c>
      <c r="C362" s="545" t="s">
        <v>0</v>
      </c>
      <c r="D362" s="79">
        <v>1</v>
      </c>
      <c r="E362" s="483" t="str">
        <f>DEC2HEX(((D362)*2^31),8)</f>
        <v>80000000</v>
      </c>
      <c r="F362" s="713" t="s">
        <v>331</v>
      </c>
      <c r="G362" s="691" t="s">
        <v>346</v>
      </c>
      <c r="H362" s="535" t="str">
        <f>"0x"&amp;DEC2HEX((HEX2DEC(C33)+4*26), 8)</f>
        <v>0x5C010068</v>
      </c>
      <c r="I362" s="535" t="str">
        <f>"0x"&amp;DEC2HEX((HEX2DEC(C34)+4*26), 8)</f>
        <v>0x5C110068</v>
      </c>
      <c r="J362" s="548" t="str">
        <f>"0x"&amp;DEC2HEX((HEX2DEC(E362)+HEX2DEC(E364)+HEX2DEC(E365)+HEX2DEC(E367)+HEX2DEC(E368)+HEX2DEC(E369)+HEX2DEC(E370)+HEX2DEC(E371)+HEX2DEC(E372)+HEX2DEC(E373)+HEX2DEC(E374)+HEX2DEC(E375)), 8)</f>
        <v>0x801C0000</v>
      </c>
      <c r="K362" s="548" t="str">
        <f>"0x"&amp;DEC2HEX((HEX2DEC(E363)+HEX2DEC(E364)+HEX2DEC(E365)+HEX2DEC(E367)+HEX2DEC(E368)+HEX2DEC(E369)+HEX2DEC(E370)+HEX2DEC(E371)+HEX2DEC(E372)+HEX2DEC(E373)+HEX2DEC(E374)+HEX2DEC(E375)), 8)</f>
        <v>0x001C0000</v>
      </c>
      <c r="L362" s="548" t="str">
        <f>"0x"&amp;DEC2HEX((HEX2DEC(E362)+HEX2DEC(E364)+HEX2DEC(E366)+HEX2DEC(E367)+HEX2DEC(E368)+HEX2DEC(E369)+HEX2DEC(E370)+HEX2DEC(E371)+HEX2DEC(E372)+HEX2DEC(E373)+HEX2DEC(E374)+HEX2DEC(E375)), 8)</f>
        <v>0xA01C0000</v>
      </c>
    </row>
    <row r="363" spans="1:12" x14ac:dyDescent="0.25">
      <c r="A363" s="258"/>
      <c r="B363" s="489" t="s">
        <v>2111</v>
      </c>
      <c r="C363" s="539"/>
      <c r="D363" s="490">
        <v>0</v>
      </c>
      <c r="E363" s="485" t="str">
        <f>DEC2HEX(((D363)*2^31),8)</f>
        <v>00000000</v>
      </c>
      <c r="F363" s="708"/>
      <c r="G363" s="692"/>
      <c r="H363" s="696"/>
      <c r="I363" s="696"/>
      <c r="J363" s="549"/>
      <c r="K363" s="549"/>
      <c r="L363" s="549"/>
    </row>
    <row r="364" spans="1:12" ht="25.5" customHeight="1" x14ac:dyDescent="0.25">
      <c r="A364" s="258"/>
      <c r="B364" s="177" t="s">
        <v>329</v>
      </c>
      <c r="C364" s="499" t="s">
        <v>0</v>
      </c>
      <c r="D364" s="172">
        <v>0</v>
      </c>
      <c r="E364" s="172" t="str">
        <f>DEC2HEX(((D364)*2^30),8)</f>
        <v>00000000</v>
      </c>
      <c r="F364" s="501" t="s">
        <v>510</v>
      </c>
      <c r="G364" s="552"/>
      <c r="H364" s="536"/>
      <c r="I364" s="536"/>
      <c r="J364" s="549"/>
      <c r="K364" s="549"/>
      <c r="L364" s="549"/>
    </row>
    <row r="365" spans="1:12" ht="38.25" customHeight="1" x14ac:dyDescent="0.25">
      <c r="A365" s="258"/>
      <c r="B365" s="177" t="s">
        <v>2174</v>
      </c>
      <c r="C365" s="538" t="s">
        <v>0</v>
      </c>
      <c r="D365" s="172">
        <v>0</v>
      </c>
      <c r="E365" s="172" t="str">
        <f>DEC2HEX(((D365)*2^29),8)</f>
        <v>00000000</v>
      </c>
      <c r="F365" s="707" t="s">
        <v>511</v>
      </c>
      <c r="G365" s="552"/>
      <c r="H365" s="536"/>
      <c r="I365" s="536"/>
      <c r="J365" s="549"/>
      <c r="K365" s="549"/>
      <c r="L365" s="549"/>
    </row>
    <row r="366" spans="1:12" ht="37.5" customHeight="1" x14ac:dyDescent="0.25">
      <c r="A366" s="258"/>
      <c r="B366" s="177" t="s">
        <v>2175</v>
      </c>
      <c r="C366" s="539"/>
      <c r="D366" s="497">
        <v>1</v>
      </c>
      <c r="E366" s="497" t="str">
        <f>DEC2HEX(((D366)*2^29),8)</f>
        <v>20000000</v>
      </c>
      <c r="F366" s="708"/>
      <c r="G366" s="552"/>
      <c r="H366" s="536"/>
      <c r="I366" s="536"/>
      <c r="J366" s="549"/>
      <c r="K366" s="549"/>
      <c r="L366" s="549"/>
    </row>
    <row r="367" spans="1:12" ht="52.8" x14ac:dyDescent="0.25">
      <c r="A367" s="258"/>
      <c r="B367" s="177" t="s">
        <v>328</v>
      </c>
      <c r="C367" s="85" t="s">
        <v>0</v>
      </c>
      <c r="D367" s="172">
        <v>0</v>
      </c>
      <c r="E367" s="172" t="str">
        <f>DEC2HEX(((D367)*2^28),8)</f>
        <v>00000000</v>
      </c>
      <c r="F367" s="178" t="s">
        <v>330</v>
      </c>
      <c r="G367" s="552"/>
      <c r="H367" s="536"/>
      <c r="I367" s="536"/>
      <c r="J367" s="549"/>
      <c r="K367" s="549"/>
      <c r="L367" s="549"/>
    </row>
    <row r="368" spans="1:12" ht="184.8" x14ac:dyDescent="0.25">
      <c r="A368" s="258"/>
      <c r="B368" s="177" t="s">
        <v>327</v>
      </c>
      <c r="C368" s="85" t="s">
        <v>0</v>
      </c>
      <c r="D368" s="272">
        <f>IF(C29/2&lt;251,3,(IF(C29/2&lt;376,2,(IF(C29/2&lt;561,1,(IF(C29/2&gt;560,0,3)))))))</f>
        <v>0</v>
      </c>
      <c r="E368" s="172" t="str">
        <f>DEC2HEX(((D368)*2^24),8)</f>
        <v>00000000</v>
      </c>
      <c r="F368" s="178" t="s">
        <v>1230</v>
      </c>
      <c r="G368" s="552"/>
      <c r="H368" s="536"/>
      <c r="I368" s="536"/>
      <c r="J368" s="549"/>
      <c r="K368" s="549"/>
      <c r="L368" s="549"/>
    </row>
    <row r="369" spans="1:12" ht="26.4" x14ac:dyDescent="0.25">
      <c r="A369" s="258"/>
      <c r="B369" s="177" t="s">
        <v>326</v>
      </c>
      <c r="C369" s="85" t="s">
        <v>0</v>
      </c>
      <c r="D369" s="172">
        <v>0</v>
      </c>
      <c r="E369" s="172" t="str">
        <f>DEC2HEX(((D369)*2^23),8)</f>
        <v>00000000</v>
      </c>
      <c r="F369" s="178" t="s">
        <v>512</v>
      </c>
      <c r="G369" s="552"/>
      <c r="H369" s="536" t="str">
        <f>"0x"&amp;DEC2HEX((HEX2DEC(C33)+4*1521), 8)</f>
        <v>0x5C0117C4</v>
      </c>
      <c r="I369" s="536" t="str">
        <f>"0x"&amp;DEC2HEX((HEX2DEC(C34)+4*1521), 8)</f>
        <v>0x5C1117C4</v>
      </c>
      <c r="J369" s="549"/>
      <c r="K369" s="549"/>
      <c r="L369" s="549"/>
    </row>
    <row r="370" spans="1:12" ht="26.4" x14ac:dyDescent="0.25">
      <c r="A370" s="258"/>
      <c r="B370" s="177" t="s">
        <v>325</v>
      </c>
      <c r="C370" s="85" t="s">
        <v>0</v>
      </c>
      <c r="D370" s="360">
        <v>14</v>
      </c>
      <c r="E370" s="172" t="str">
        <f>DEC2HEX(((D370)*2^17),8)</f>
        <v>001C0000</v>
      </c>
      <c r="F370" s="178" t="s">
        <v>513</v>
      </c>
      <c r="G370" s="552"/>
      <c r="H370" s="536"/>
      <c r="I370" s="536"/>
      <c r="J370" s="549"/>
      <c r="K370" s="549"/>
      <c r="L370" s="549"/>
    </row>
    <row r="371" spans="1:12" ht="26.4" x14ac:dyDescent="0.25">
      <c r="A371" s="258"/>
      <c r="B371" s="177" t="s">
        <v>324</v>
      </c>
      <c r="C371" s="85" t="s">
        <v>0</v>
      </c>
      <c r="D371" s="172">
        <v>0</v>
      </c>
      <c r="E371" s="172" t="str">
        <f>DEC2HEX(((D371)*2^13),8)</f>
        <v>00000000</v>
      </c>
      <c r="F371" s="178" t="s">
        <v>514</v>
      </c>
      <c r="G371" s="552"/>
      <c r="H371" s="536"/>
      <c r="I371" s="536"/>
      <c r="J371" s="549"/>
      <c r="K371" s="549"/>
      <c r="L371" s="549"/>
    </row>
    <row r="372" spans="1:12" ht="26.4" x14ac:dyDescent="0.25">
      <c r="A372" s="258"/>
      <c r="B372" s="177" t="s">
        <v>323</v>
      </c>
      <c r="C372" s="85" t="s">
        <v>0</v>
      </c>
      <c r="D372" s="172">
        <v>0</v>
      </c>
      <c r="E372" s="172" t="str">
        <f>DEC2HEX(((D372)*2^12),8)</f>
        <v>00000000</v>
      </c>
      <c r="F372" s="178" t="s">
        <v>515</v>
      </c>
      <c r="G372" s="552"/>
      <c r="H372" s="536"/>
      <c r="I372" s="536"/>
      <c r="J372" s="549"/>
      <c r="K372" s="549"/>
      <c r="L372" s="549"/>
    </row>
    <row r="373" spans="1:12" ht="79.2" x14ac:dyDescent="0.25">
      <c r="A373" s="258"/>
      <c r="B373" s="177" t="s">
        <v>322</v>
      </c>
      <c r="C373" s="85" t="s">
        <v>0</v>
      </c>
      <c r="D373" s="172">
        <v>0</v>
      </c>
      <c r="E373" s="172" t="str">
        <f>DEC2HEX(((D373)*2^8),8)</f>
        <v>00000000</v>
      </c>
      <c r="F373" s="178" t="s">
        <v>516</v>
      </c>
      <c r="G373" s="552"/>
      <c r="H373" s="536"/>
      <c r="I373" s="536"/>
      <c r="J373" s="549"/>
      <c r="K373" s="549"/>
      <c r="L373" s="549"/>
    </row>
    <row r="374" spans="1:12" ht="26.4" x14ac:dyDescent="0.25">
      <c r="A374" s="258"/>
      <c r="B374" s="177" t="s">
        <v>321</v>
      </c>
      <c r="C374" s="85" t="s">
        <v>0</v>
      </c>
      <c r="D374" s="172">
        <v>0</v>
      </c>
      <c r="E374" s="172" t="str">
        <f>DEC2HEX(((D374)*2^4),8)</f>
        <v>00000000</v>
      </c>
      <c r="F374" s="178" t="s">
        <v>517</v>
      </c>
      <c r="G374" s="552"/>
      <c r="H374" s="536"/>
      <c r="I374" s="536"/>
      <c r="J374" s="549"/>
      <c r="K374" s="549"/>
      <c r="L374" s="549"/>
    </row>
    <row r="375" spans="1:12" ht="27" thickBot="1" x14ac:dyDescent="0.3">
      <c r="A375" s="258"/>
      <c r="B375" s="90" t="s">
        <v>320</v>
      </c>
      <c r="C375" s="84" t="s">
        <v>0</v>
      </c>
      <c r="D375" s="173">
        <v>0</v>
      </c>
      <c r="E375" s="173" t="str">
        <f>DEC2HEX(((D375)*2^0),8)</f>
        <v>00000000</v>
      </c>
      <c r="F375" s="83" t="s">
        <v>518</v>
      </c>
      <c r="G375" s="553"/>
      <c r="H375" s="537"/>
      <c r="I375" s="537"/>
      <c r="J375" s="550"/>
      <c r="K375" s="550"/>
      <c r="L375" s="550"/>
    </row>
    <row r="376" spans="1:12" ht="13.8" thickBot="1" x14ac:dyDescent="0.3">
      <c r="A376" s="258"/>
      <c r="B376" s="259"/>
      <c r="C376" s="260"/>
      <c r="D376" s="259"/>
      <c r="E376" s="259"/>
      <c r="F376" s="262"/>
      <c r="G376" s="260"/>
      <c r="H376" s="259"/>
      <c r="I376" s="259"/>
      <c r="J376" s="259"/>
    </row>
    <row r="377" spans="1:12" ht="26.4" x14ac:dyDescent="0.25">
      <c r="A377" s="258"/>
      <c r="B377" s="174" t="s">
        <v>345</v>
      </c>
      <c r="C377" s="82" t="s">
        <v>0</v>
      </c>
      <c r="D377" s="79">
        <v>0</v>
      </c>
      <c r="E377" s="79" t="str">
        <f>DEC2HEX(((D377)*2^25),8)</f>
        <v>00000000</v>
      </c>
      <c r="F377" s="176" t="s">
        <v>519</v>
      </c>
      <c r="G377" s="545" t="s">
        <v>332</v>
      </c>
      <c r="H377" s="551" t="str">
        <f>"0x"&amp;DEC2HEX((HEX2DEC(C33)+4*416), 8)</f>
        <v>0x5C010680</v>
      </c>
      <c r="I377" s="551" t="str">
        <f>"0x"&amp;DEC2HEX((HEX2DEC(C34)+4*416), 8)</f>
        <v>0x5C110680</v>
      </c>
      <c r="J377" s="548" t="str">
        <f>"0x"&amp;DEC2HEX((HEX2DEC(E377)+HEX2DEC(E378)+HEX2DEC(E379)+HEX2DEC(E380)+HEX2DEC(E381)+HEX2DEC(E382)+HEX2DEC(E383)+HEX2DEC(E384)+HEX2DEC(E385)+HEX2DEC(E386)+HEX2DEC(E387)+HEX2DEC(E388)), 8)</f>
        <v>0x008C2C58</v>
      </c>
    </row>
    <row r="378" spans="1:12" ht="52.8" x14ac:dyDescent="0.25">
      <c r="A378" s="258"/>
      <c r="B378" s="177" t="s">
        <v>344</v>
      </c>
      <c r="C378" s="85" t="s">
        <v>0</v>
      </c>
      <c r="D378" s="172">
        <v>17</v>
      </c>
      <c r="E378" s="172" t="str">
        <f>DEC2HEX(((D378)*2^19),8)</f>
        <v>00880000</v>
      </c>
      <c r="F378" s="178" t="s">
        <v>520</v>
      </c>
      <c r="G378" s="552"/>
      <c r="H378" s="546"/>
      <c r="I378" s="546"/>
      <c r="J378" s="549"/>
    </row>
    <row r="379" spans="1:12" ht="52.8" x14ac:dyDescent="0.25">
      <c r="A379" s="258"/>
      <c r="B379" s="177" t="s">
        <v>343</v>
      </c>
      <c r="C379" s="85" t="s">
        <v>0</v>
      </c>
      <c r="D379" s="272">
        <f>ROUNDUP(((40/C30)/2),0) + 1</f>
        <v>33</v>
      </c>
      <c r="E379" s="172" t="str">
        <f>DEC2HEX(((D379)*2^13),8)</f>
        <v>00042000</v>
      </c>
      <c r="F379" s="178" t="s">
        <v>521</v>
      </c>
      <c r="G379" s="552"/>
      <c r="H379" s="546"/>
      <c r="I379" s="546"/>
      <c r="J379" s="549"/>
    </row>
    <row r="380" spans="1:12" ht="26.4" x14ac:dyDescent="0.25">
      <c r="A380" s="258"/>
      <c r="B380" s="177" t="s">
        <v>342</v>
      </c>
      <c r="C380" s="85" t="s">
        <v>0</v>
      </c>
      <c r="D380" s="172">
        <v>0</v>
      </c>
      <c r="E380" s="172" t="str">
        <f>DEC2HEX(((D380)*2^12),8)</f>
        <v>00000000</v>
      </c>
      <c r="F380" s="178" t="s">
        <v>522</v>
      </c>
      <c r="G380" s="552"/>
      <c r="H380" s="546"/>
      <c r="I380" s="546"/>
      <c r="J380" s="549"/>
    </row>
    <row r="381" spans="1:12" x14ac:dyDescent="0.25">
      <c r="A381" s="258"/>
      <c r="B381" s="177" t="s">
        <v>341</v>
      </c>
      <c r="C381" s="85" t="s">
        <v>0</v>
      </c>
      <c r="D381" s="172">
        <v>1</v>
      </c>
      <c r="E381" s="172" t="str">
        <f>DEC2HEX(((D381)*2^11),8)</f>
        <v>00000800</v>
      </c>
      <c r="F381" s="178" t="s">
        <v>523</v>
      </c>
      <c r="G381" s="552"/>
      <c r="H381" s="546"/>
      <c r="I381" s="546"/>
      <c r="J381" s="549"/>
    </row>
    <row r="382" spans="1:12" ht="132" x14ac:dyDescent="0.25">
      <c r="A382" s="258"/>
      <c r="B382" s="177" t="s">
        <v>340</v>
      </c>
      <c r="C382" s="85" t="s">
        <v>0</v>
      </c>
      <c r="D382" s="172">
        <v>2</v>
      </c>
      <c r="E382" s="172" t="str">
        <f>DEC2HEX(((D382)*2^9),8)</f>
        <v>00000400</v>
      </c>
      <c r="F382" s="178" t="s">
        <v>524</v>
      </c>
      <c r="G382" s="552"/>
      <c r="H382" s="546"/>
      <c r="I382" s="546"/>
      <c r="J382" s="549"/>
    </row>
    <row r="383" spans="1:12" ht="52.8" x14ac:dyDescent="0.25">
      <c r="A383" s="258"/>
      <c r="B383" s="177" t="s">
        <v>339</v>
      </c>
      <c r="C383" s="85" t="s">
        <v>0</v>
      </c>
      <c r="D383" s="172">
        <v>0</v>
      </c>
      <c r="E383" s="172" t="str">
        <f>DEC2HEX(((D383)*2^8),8)</f>
        <v>00000000</v>
      </c>
      <c r="F383" s="178" t="s">
        <v>525</v>
      </c>
      <c r="G383" s="552"/>
      <c r="H383" s="546"/>
      <c r="I383" s="546"/>
      <c r="J383" s="549"/>
    </row>
    <row r="384" spans="1:12" ht="52.8" x14ac:dyDescent="0.25">
      <c r="A384" s="258"/>
      <c r="B384" s="177" t="s">
        <v>338</v>
      </c>
      <c r="C384" s="85" t="s">
        <v>0</v>
      </c>
      <c r="D384" s="172">
        <v>2</v>
      </c>
      <c r="E384" s="172" t="str">
        <f>DEC2HEX(((D384)*2^5),8)</f>
        <v>00000040</v>
      </c>
      <c r="F384" s="178" t="s">
        <v>526</v>
      </c>
      <c r="G384" s="552"/>
      <c r="H384" s="546"/>
      <c r="I384" s="546"/>
      <c r="J384" s="549"/>
    </row>
    <row r="385" spans="1:10" x14ac:dyDescent="0.25">
      <c r="A385" s="258"/>
      <c r="B385" s="177" t="s">
        <v>337</v>
      </c>
      <c r="C385" s="85" t="s">
        <v>0</v>
      </c>
      <c r="D385" s="172">
        <v>1</v>
      </c>
      <c r="E385" s="172" t="str">
        <f>DEC2HEX(((D385)*2^4),8)</f>
        <v>00000010</v>
      </c>
      <c r="F385" s="178" t="s">
        <v>527</v>
      </c>
      <c r="G385" s="552"/>
      <c r="H385" s="546"/>
      <c r="I385" s="546"/>
      <c r="J385" s="549"/>
    </row>
    <row r="386" spans="1:10" ht="79.2" x14ac:dyDescent="0.25">
      <c r="A386" s="258"/>
      <c r="B386" s="177" t="s">
        <v>336</v>
      </c>
      <c r="C386" s="85" t="s">
        <v>0</v>
      </c>
      <c r="D386" s="172">
        <v>2</v>
      </c>
      <c r="E386" s="172" t="str">
        <f>DEC2HEX(((D386)*2^2),8)</f>
        <v>00000008</v>
      </c>
      <c r="F386" s="178" t="s">
        <v>528</v>
      </c>
      <c r="G386" s="552"/>
      <c r="H386" s="546"/>
      <c r="I386" s="546"/>
      <c r="J386" s="549"/>
    </row>
    <row r="387" spans="1:10" ht="66" x14ac:dyDescent="0.25">
      <c r="A387" s="258"/>
      <c r="B387" s="177" t="s">
        <v>335</v>
      </c>
      <c r="C387" s="85" t="s">
        <v>0</v>
      </c>
      <c r="D387" s="172">
        <v>0</v>
      </c>
      <c r="E387" s="172" t="str">
        <f>DEC2HEX(((D387)*2^1),8)</f>
        <v>00000000</v>
      </c>
      <c r="F387" s="178" t="s">
        <v>529</v>
      </c>
      <c r="G387" s="552"/>
      <c r="H387" s="546"/>
      <c r="I387" s="546"/>
      <c r="J387" s="549"/>
    </row>
    <row r="388" spans="1:10" ht="13.8" thickBot="1" x14ac:dyDescent="0.3">
      <c r="A388" s="258"/>
      <c r="B388" s="90" t="s">
        <v>333</v>
      </c>
      <c r="C388" s="84" t="s">
        <v>0</v>
      </c>
      <c r="D388" s="173">
        <v>0</v>
      </c>
      <c r="E388" s="173" t="str">
        <f>DEC2HEX(((D388)*2^0),8)</f>
        <v>00000000</v>
      </c>
      <c r="F388" s="83" t="s">
        <v>334</v>
      </c>
      <c r="G388" s="553"/>
      <c r="H388" s="547"/>
      <c r="I388" s="547"/>
      <c r="J388" s="550"/>
    </row>
    <row r="389" spans="1:10" ht="9" customHeight="1" thickBot="1" x14ac:dyDescent="0.3">
      <c r="A389" s="258"/>
      <c r="B389" s="260"/>
      <c r="C389" s="260"/>
      <c r="D389" s="259"/>
      <c r="E389" s="259"/>
      <c r="F389" s="262"/>
      <c r="G389" s="260"/>
      <c r="H389" s="259"/>
      <c r="I389" s="259"/>
      <c r="J389" s="259"/>
    </row>
    <row r="390" spans="1:10" ht="13.8" thickBot="1" x14ac:dyDescent="0.3">
      <c r="A390" s="258"/>
      <c r="B390" s="697" t="s">
        <v>365</v>
      </c>
      <c r="C390" s="698"/>
      <c r="D390" s="698"/>
      <c r="E390" s="698"/>
      <c r="F390" s="698"/>
      <c r="G390" s="698"/>
      <c r="H390" s="698"/>
      <c r="I390" s="698"/>
      <c r="J390" s="699"/>
    </row>
    <row r="391" spans="1:10" ht="14.4" x14ac:dyDescent="0.25">
      <c r="A391" s="258"/>
      <c r="B391" s="174" t="s">
        <v>347</v>
      </c>
      <c r="C391" s="82" t="s">
        <v>0</v>
      </c>
      <c r="D391" s="244">
        <f>D186</f>
        <v>0</v>
      </c>
      <c r="E391" s="79" t="str">
        <f>DEC2HEX(((D391)*2^7),8)</f>
        <v>00000000</v>
      </c>
      <c r="F391" s="176" t="s">
        <v>354</v>
      </c>
      <c r="G391" s="545" t="s">
        <v>355</v>
      </c>
      <c r="H391" s="551" t="str">
        <f>"0x"&amp;DEC2HEX((HEX2DEC(C33)+4*97), 8)</f>
        <v>0x5C010184</v>
      </c>
      <c r="I391" s="551" t="str">
        <f>"0x"&amp;DEC2HEX((HEX2DEC(C34)+4*97), 8)</f>
        <v>0x5C110184</v>
      </c>
      <c r="J391" s="548" t="str">
        <f>"0x"&amp;DEC2HEX((HEX2DEC(E391)+HEX2DEC(E392)+HEX2DEC(E393)+HEX2DEC(E394)+HEX2DEC(E395)), 2)</f>
        <v>0x54</v>
      </c>
    </row>
    <row r="392" spans="1:10" ht="118.8" x14ac:dyDescent="0.25">
      <c r="A392" s="258"/>
      <c r="B392" s="177" t="s">
        <v>348</v>
      </c>
      <c r="C392" s="85" t="s">
        <v>0</v>
      </c>
      <c r="D392" s="138">
        <f>D187</f>
        <v>5</v>
      </c>
      <c r="E392" s="172" t="str">
        <f>DEC2HEX(((D392)*2^4),8)</f>
        <v>00000050</v>
      </c>
      <c r="F392" s="178" t="s">
        <v>353</v>
      </c>
      <c r="G392" s="552"/>
      <c r="H392" s="546"/>
      <c r="I392" s="546"/>
      <c r="J392" s="549"/>
    </row>
    <row r="393" spans="1:10" ht="39.6" x14ac:dyDescent="0.25">
      <c r="A393" s="258"/>
      <c r="B393" s="177" t="s">
        <v>349</v>
      </c>
      <c r="C393" s="85" t="s">
        <v>0</v>
      </c>
      <c r="D393" s="138">
        <f>D188</f>
        <v>0</v>
      </c>
      <c r="E393" s="172" t="str">
        <f>DEC2HEX(((D393)*2^3),8)</f>
        <v>00000000</v>
      </c>
      <c r="F393" s="178" t="s">
        <v>352</v>
      </c>
      <c r="G393" s="552"/>
      <c r="H393" s="546"/>
      <c r="I393" s="546"/>
      <c r="J393" s="549"/>
    </row>
    <row r="394" spans="1:10" ht="105.6" x14ac:dyDescent="0.25">
      <c r="A394" s="258"/>
      <c r="B394" s="177" t="s">
        <v>222</v>
      </c>
      <c r="C394" s="85" t="s">
        <v>0</v>
      </c>
      <c r="D394" s="138">
        <f>D189</f>
        <v>1</v>
      </c>
      <c r="E394" s="172" t="str">
        <f>DEC2HEX(((D394)*2^2),8)</f>
        <v>00000004</v>
      </c>
      <c r="F394" s="178" t="s">
        <v>530</v>
      </c>
      <c r="G394" s="552"/>
      <c r="H394" s="546"/>
      <c r="I394" s="546"/>
      <c r="J394" s="549"/>
    </row>
    <row r="395" spans="1:10" ht="66.599999999999994" thickBot="1" x14ac:dyDescent="0.3">
      <c r="A395" s="258"/>
      <c r="B395" s="90" t="s">
        <v>350</v>
      </c>
      <c r="C395" s="84" t="s">
        <v>0</v>
      </c>
      <c r="D395" s="139">
        <f>D190</f>
        <v>0</v>
      </c>
      <c r="E395" s="173" t="str">
        <f>DEC2HEX(((D395)*2^0),8)</f>
        <v>00000000</v>
      </c>
      <c r="F395" s="83" t="s">
        <v>351</v>
      </c>
      <c r="G395" s="553"/>
      <c r="H395" s="547"/>
      <c r="I395" s="547"/>
      <c r="J395" s="550"/>
    </row>
    <row r="396" spans="1:10" ht="8.25" customHeight="1" thickBot="1" x14ac:dyDescent="0.3">
      <c r="A396" s="258"/>
      <c r="B396" s="260"/>
      <c r="C396" s="260"/>
      <c r="D396" s="259"/>
      <c r="E396" s="259"/>
      <c r="F396" s="262"/>
      <c r="G396" s="260"/>
      <c r="H396" s="259"/>
      <c r="I396" s="259"/>
      <c r="J396" s="259"/>
    </row>
    <row r="397" spans="1:10" ht="13.8" thickBot="1" x14ac:dyDescent="0.3">
      <c r="A397" s="258"/>
      <c r="B397" s="697" t="s">
        <v>366</v>
      </c>
      <c r="C397" s="698"/>
      <c r="D397" s="698"/>
      <c r="E397" s="698"/>
      <c r="F397" s="698"/>
      <c r="G397" s="698"/>
      <c r="H397" s="698"/>
      <c r="I397" s="698"/>
      <c r="J397" s="699"/>
    </row>
    <row r="398" spans="1:10" ht="39.6" x14ac:dyDescent="0.25">
      <c r="A398" s="258"/>
      <c r="B398" s="174" t="s">
        <v>357</v>
      </c>
      <c r="C398" s="245" t="s">
        <v>0</v>
      </c>
      <c r="D398" s="244">
        <f>D191</f>
        <v>0</v>
      </c>
      <c r="E398" s="79" t="str">
        <f>DEC2HEX(((D398)*2^7),8)</f>
        <v>00000000</v>
      </c>
      <c r="F398" s="239" t="s">
        <v>364</v>
      </c>
      <c r="G398" s="545" t="s">
        <v>356</v>
      </c>
      <c r="H398" s="551" t="str">
        <f>"0x"&amp;DEC2HEX((HEX2DEC(C33)+4*98), 8)</f>
        <v>0x5C010188</v>
      </c>
      <c r="I398" s="551" t="str">
        <f>"0x"&amp;DEC2HEX((HEX2DEC(C34)+4*98), 8)</f>
        <v>0x5C110188</v>
      </c>
      <c r="J398" s="548" t="str">
        <f>"0x"&amp;DEC2HEX((HEX2DEC(E398)+HEX2DEC(E398)+HEX2DEC(E400)+HEX2DEC(E401)), 2)</f>
        <v>0x2D</v>
      </c>
    </row>
    <row r="399" spans="1:10" ht="39.6" x14ac:dyDescent="0.25">
      <c r="A399" s="258"/>
      <c r="B399" s="177" t="s">
        <v>358</v>
      </c>
      <c r="C399" s="243" t="s">
        <v>0</v>
      </c>
      <c r="D399" s="138">
        <f>D192</f>
        <v>0</v>
      </c>
      <c r="E399" s="172" t="str">
        <f>DEC2HEX(((D399)*2^6),8)</f>
        <v>00000000</v>
      </c>
      <c r="F399" s="178" t="s">
        <v>363</v>
      </c>
      <c r="G399" s="552"/>
      <c r="H399" s="546"/>
      <c r="I399" s="546"/>
      <c r="J399" s="549"/>
    </row>
    <row r="400" spans="1:10" ht="237.6" x14ac:dyDescent="0.25">
      <c r="A400" s="258"/>
      <c r="B400" s="177" t="s">
        <v>359</v>
      </c>
      <c r="C400" s="243" t="s">
        <v>0</v>
      </c>
      <c r="D400" s="138">
        <f>D193</f>
        <v>5</v>
      </c>
      <c r="E400" s="172" t="str">
        <f>DEC2HEX(((D400)*2^3),8)</f>
        <v>00000028</v>
      </c>
      <c r="F400" s="178" t="s">
        <v>362</v>
      </c>
      <c r="G400" s="552"/>
      <c r="H400" s="546"/>
      <c r="I400" s="546"/>
      <c r="J400" s="549"/>
    </row>
    <row r="401" spans="1:23" ht="238.2" thickBot="1" x14ac:dyDescent="0.3">
      <c r="A401" s="258"/>
      <c r="B401" s="90" t="s">
        <v>360</v>
      </c>
      <c r="C401" s="246" t="s">
        <v>0</v>
      </c>
      <c r="D401" s="139">
        <f>D194</f>
        <v>5</v>
      </c>
      <c r="E401" s="173" t="str">
        <f>DEC2HEX(((D401)*2^0),8)</f>
        <v>00000005</v>
      </c>
      <c r="F401" s="83" t="s">
        <v>361</v>
      </c>
      <c r="G401" s="553"/>
      <c r="H401" s="547"/>
      <c r="I401" s="547"/>
      <c r="J401" s="550"/>
    </row>
    <row r="402" spans="1:23" ht="13.8" thickBot="1" x14ac:dyDescent="0.3">
      <c r="A402" s="258"/>
      <c r="B402" s="260"/>
      <c r="C402" s="260"/>
      <c r="D402" s="259"/>
      <c r="E402" s="259"/>
      <c r="F402" s="262"/>
      <c r="G402" s="260"/>
      <c r="H402" s="259"/>
      <c r="I402" s="259"/>
      <c r="J402" s="259"/>
    </row>
    <row r="403" spans="1:23" ht="13.8" thickBot="1" x14ac:dyDescent="0.3">
      <c r="A403" s="258"/>
      <c r="B403" s="554" t="s">
        <v>377</v>
      </c>
      <c r="C403" s="555"/>
      <c r="D403" s="555"/>
      <c r="E403" s="555"/>
      <c r="F403" s="555"/>
      <c r="G403" s="555"/>
      <c r="H403" s="555"/>
      <c r="I403" s="555"/>
      <c r="J403" s="556"/>
    </row>
    <row r="404" spans="1:23" ht="39.6" x14ac:dyDescent="0.25">
      <c r="A404" s="258"/>
      <c r="B404" s="174" t="s">
        <v>368</v>
      </c>
      <c r="C404" s="245" t="s">
        <v>0</v>
      </c>
      <c r="D404" s="114">
        <f>D198</f>
        <v>1</v>
      </c>
      <c r="E404" s="79" t="str">
        <f>DEC2HEX(((D404)*2^7),8)</f>
        <v>00000080</v>
      </c>
      <c r="F404" s="176" t="s">
        <v>376</v>
      </c>
      <c r="G404" s="545" t="s">
        <v>367</v>
      </c>
      <c r="H404" s="551" t="str">
        <f>"0x"&amp;DEC2HEX((HEX2DEC(C33)+4*99), 8)</f>
        <v>0x5C01018C</v>
      </c>
      <c r="I404" s="551" t="str">
        <f>"0x"&amp;DEC2HEX((HEX2DEC(C34)+4*99), 8)</f>
        <v>0x5C11018C</v>
      </c>
      <c r="J404" s="548" t="str">
        <f>"0x"&amp;DEC2HEX((HEX2DEC(E404)+HEX2DEC(E405)+HEX2DEC(E406)+HEX2DEC(E407)+HEX2DEC(E408)), 2)</f>
        <v>0xF1</v>
      </c>
    </row>
    <row r="405" spans="1:23" ht="39.6" x14ac:dyDescent="0.25">
      <c r="A405" s="258"/>
      <c r="B405" s="177" t="s">
        <v>369</v>
      </c>
      <c r="C405" s="243" t="s">
        <v>0</v>
      </c>
      <c r="D405" s="247">
        <f t="shared" ref="D405:D406" si="0">D199</f>
        <v>1</v>
      </c>
      <c r="E405" s="172" t="str">
        <f>DEC2HEX(((D405)*2^6),8)</f>
        <v>00000040</v>
      </c>
      <c r="F405" s="178" t="s">
        <v>375</v>
      </c>
      <c r="G405" s="552"/>
      <c r="H405" s="546"/>
      <c r="I405" s="546"/>
      <c r="J405" s="549"/>
    </row>
    <row r="406" spans="1:23" ht="118.8" x14ac:dyDescent="0.25">
      <c r="A406" s="258"/>
      <c r="B406" s="177" t="s">
        <v>370</v>
      </c>
      <c r="C406" s="243" t="s">
        <v>0</v>
      </c>
      <c r="D406" s="247">
        <f t="shared" si="0"/>
        <v>6</v>
      </c>
      <c r="E406" s="172" t="str">
        <f>DEC2HEX(((D406)*2^3),8)</f>
        <v>00000030</v>
      </c>
      <c r="F406" s="178" t="s">
        <v>374</v>
      </c>
      <c r="G406" s="552"/>
      <c r="H406" s="546"/>
      <c r="I406" s="546"/>
      <c r="J406" s="549"/>
    </row>
    <row r="407" spans="1:23" ht="105.6" x14ac:dyDescent="0.25">
      <c r="A407" s="258"/>
      <c r="B407" s="177" t="s">
        <v>371</v>
      </c>
      <c r="C407" s="243" t="s">
        <v>0</v>
      </c>
      <c r="D407" s="247">
        <f>D202</f>
        <v>0</v>
      </c>
      <c r="E407" s="172" t="str">
        <f>DEC2HEX(((D407)*2^1),8)</f>
        <v>00000000</v>
      </c>
      <c r="F407" s="178" t="s">
        <v>531</v>
      </c>
      <c r="G407" s="552"/>
      <c r="H407" s="546"/>
      <c r="I407" s="546"/>
      <c r="J407" s="549"/>
    </row>
    <row r="408" spans="1:23" ht="40.200000000000003" thickBot="1" x14ac:dyDescent="0.3">
      <c r="A408" s="258"/>
      <c r="B408" s="90" t="s">
        <v>372</v>
      </c>
      <c r="C408" s="246" t="s">
        <v>0</v>
      </c>
      <c r="D408" s="248">
        <f>D203</f>
        <v>1</v>
      </c>
      <c r="E408" s="173" t="str">
        <f>DEC2HEX(((D408)*2^0),8)</f>
        <v>00000001</v>
      </c>
      <c r="F408" s="83" t="s">
        <v>373</v>
      </c>
      <c r="G408" s="553"/>
      <c r="H408" s="547"/>
      <c r="I408" s="547"/>
      <c r="J408" s="550"/>
    </row>
    <row r="409" spans="1:23" ht="15" thickBot="1" x14ac:dyDescent="0.3">
      <c r="A409" s="258"/>
      <c r="B409" s="260"/>
      <c r="C409" s="265"/>
      <c r="D409" s="287"/>
      <c r="E409" s="259"/>
      <c r="F409" s="262"/>
      <c r="G409" s="260"/>
      <c r="H409" s="259"/>
      <c r="I409" s="259"/>
      <c r="J409" s="259"/>
      <c r="L409"/>
      <c r="M409"/>
      <c r="N409"/>
      <c r="O409"/>
      <c r="P409"/>
      <c r="Q409"/>
      <c r="R409"/>
      <c r="S409"/>
      <c r="T409"/>
      <c r="U409"/>
      <c r="V409"/>
      <c r="W409"/>
    </row>
    <row r="410" spans="1:23" ht="105.6" x14ac:dyDescent="0.25">
      <c r="A410" s="258"/>
      <c r="B410" s="290" t="s">
        <v>658</v>
      </c>
      <c r="C410" s="291" t="s">
        <v>0</v>
      </c>
      <c r="D410" s="289">
        <v>5</v>
      </c>
      <c r="E410" s="303" t="str">
        <f>DEC2HEX(((D410)*2^4),8)</f>
        <v>00000050</v>
      </c>
      <c r="F410" s="274" t="s">
        <v>659</v>
      </c>
      <c r="G410" s="575" t="s">
        <v>656</v>
      </c>
      <c r="H410" s="575" t="str">
        <f>"0x"&amp;DEC2HEX((HEX2DEC(C33)+4*107), 8)</f>
        <v>0x5C0101AC</v>
      </c>
      <c r="I410" s="706" t="str">
        <f>"0x"&amp;DEC2HEX((HEX2DEC(C34)+4*107), 8)</f>
        <v>0x5C1101AC</v>
      </c>
      <c r="J410" s="700" t="str">
        <f>"0x"&amp;DEC2HEX((HEX2DEC(E410)+HEX2DEC(E411)), 2)</f>
        <v>0x54</v>
      </c>
      <c r="K410" s="391" t="s">
        <v>1226</v>
      </c>
    </row>
    <row r="411" spans="1:23" ht="106.2" thickBot="1" x14ac:dyDescent="0.3">
      <c r="A411" s="258"/>
      <c r="B411" s="292" t="s">
        <v>657</v>
      </c>
      <c r="C411" s="293" t="s">
        <v>0</v>
      </c>
      <c r="D411" s="208">
        <v>4</v>
      </c>
      <c r="E411" s="305" t="str">
        <f>DEC2HEX(((D411)*2^0),8)</f>
        <v>00000004</v>
      </c>
      <c r="F411" s="286" t="s">
        <v>659</v>
      </c>
      <c r="G411" s="701"/>
      <c r="H411" s="576"/>
      <c r="I411" s="576"/>
      <c r="J411" s="658"/>
      <c r="L411"/>
      <c r="M411"/>
      <c r="N411"/>
      <c r="O411"/>
      <c r="P411"/>
      <c r="Q411"/>
      <c r="R411"/>
      <c r="S411"/>
      <c r="T411"/>
      <c r="U411"/>
      <c r="V411"/>
      <c r="W411"/>
    </row>
    <row r="412" spans="1:23" ht="15" thickBot="1" x14ac:dyDescent="0.3">
      <c r="A412" s="258"/>
      <c r="B412" s="502"/>
      <c r="C412" s="503"/>
      <c r="D412" s="504"/>
      <c r="E412" s="505"/>
      <c r="F412" s="506"/>
      <c r="G412" s="260"/>
      <c r="H412" s="259"/>
      <c r="I412" s="259"/>
      <c r="J412" s="259"/>
      <c r="L412"/>
      <c r="M412"/>
      <c r="N412"/>
      <c r="O412"/>
      <c r="P412"/>
      <c r="Q412"/>
      <c r="R412"/>
      <c r="S412"/>
      <c r="T412"/>
      <c r="U412"/>
      <c r="V412"/>
      <c r="W412"/>
    </row>
    <row r="413" spans="1:23" ht="13.8" thickBot="1" x14ac:dyDescent="0.3">
      <c r="A413" s="258"/>
      <c r="B413" s="716" t="s">
        <v>2169</v>
      </c>
      <c r="C413" s="717"/>
      <c r="D413" s="717"/>
      <c r="E413" s="717"/>
      <c r="F413" s="717"/>
      <c r="G413" s="717"/>
      <c r="H413" s="717"/>
      <c r="I413" s="717"/>
      <c r="J413" s="718"/>
      <c r="L413"/>
      <c r="M413"/>
      <c r="N413"/>
      <c r="O413"/>
      <c r="P413"/>
      <c r="Q413"/>
      <c r="R413"/>
      <c r="S413"/>
      <c r="T413"/>
      <c r="U413"/>
      <c r="V413"/>
      <c r="W413"/>
    </row>
    <row r="414" spans="1:23" s="8" customFormat="1" ht="52.8" x14ac:dyDescent="0.25">
      <c r="A414" s="258"/>
      <c r="B414" s="215" t="s">
        <v>2066</v>
      </c>
      <c r="C414" s="185" t="s">
        <v>0</v>
      </c>
      <c r="D414" s="218">
        <v>0</v>
      </c>
      <c r="E414" s="92" t="str">
        <f>DEC2HEX(((D414)*2^7),8)</f>
        <v>00000000</v>
      </c>
      <c r="F414" s="210" t="s">
        <v>234</v>
      </c>
      <c r="G414" s="577" t="s">
        <v>2063</v>
      </c>
      <c r="H414" s="566" t="s">
        <v>2064</v>
      </c>
      <c r="I414" s="566" t="s">
        <v>2065</v>
      </c>
      <c r="J414" s="570" t="str">
        <f>"0x"&amp;DEC2HEX((HEX2DEC(E414)+HEX2DEC(E415)+HEX2DEC(E416)+HEX2DEC(E417)+HEX2DEC(E418)+HEX2DEC(E419)+HEX2DEC(E420)+HEX2DEC(E421)), 2)</f>
        <v>0x40</v>
      </c>
    </row>
    <row r="415" spans="1:23" s="8" customFormat="1" ht="52.8" x14ac:dyDescent="0.25">
      <c r="A415" s="258"/>
      <c r="B415" s="216" t="s">
        <v>2067</v>
      </c>
      <c r="C415" s="107" t="s">
        <v>0</v>
      </c>
      <c r="D415" s="219">
        <v>1</v>
      </c>
      <c r="E415" s="480" t="str">
        <f>DEC2HEX(((D415)*2^6),8)</f>
        <v>00000040</v>
      </c>
      <c r="F415" s="112" t="s">
        <v>235</v>
      </c>
      <c r="G415" s="578"/>
      <c r="H415" s="567"/>
      <c r="I415" s="567"/>
      <c r="J415" s="571"/>
    </row>
    <row r="416" spans="1:23" s="8" customFormat="1" ht="52.8" x14ac:dyDescent="0.25">
      <c r="A416" s="258"/>
      <c r="B416" s="216" t="s">
        <v>2068</v>
      </c>
      <c r="C416" s="107" t="s">
        <v>0</v>
      </c>
      <c r="D416" s="108">
        <v>0</v>
      </c>
      <c r="E416" s="480" t="str">
        <f>DEC2HEX(((D416)*2^5),8)</f>
        <v>00000000</v>
      </c>
      <c r="F416" s="112" t="s">
        <v>236</v>
      </c>
      <c r="G416" s="578"/>
      <c r="H416" s="567"/>
      <c r="I416" s="567"/>
      <c r="J416" s="571"/>
    </row>
    <row r="417" spans="1:23" s="8" customFormat="1" ht="52.8" x14ac:dyDescent="0.25">
      <c r="A417" s="258"/>
      <c r="B417" s="216" t="s">
        <v>2069</v>
      </c>
      <c r="C417" s="107" t="s">
        <v>0</v>
      </c>
      <c r="D417" s="219">
        <v>0</v>
      </c>
      <c r="E417" s="480" t="str">
        <f>DEC2HEX(((D417)*2^4),8)</f>
        <v>00000000</v>
      </c>
      <c r="F417" s="112" t="s">
        <v>237</v>
      </c>
      <c r="G417" s="578"/>
      <c r="H417" s="567"/>
      <c r="I417" s="567"/>
      <c r="J417" s="571"/>
    </row>
    <row r="418" spans="1:23" s="8" customFormat="1" ht="52.8" x14ac:dyDescent="0.25">
      <c r="A418" s="258"/>
      <c r="B418" s="216" t="s">
        <v>2070</v>
      </c>
      <c r="C418" s="107" t="s">
        <v>0</v>
      </c>
      <c r="D418" s="219">
        <v>0</v>
      </c>
      <c r="E418" s="480" t="str">
        <f>DEC2HEX(((D418)*2^3),8)</f>
        <v>00000000</v>
      </c>
      <c r="F418" s="112" t="s">
        <v>238</v>
      </c>
      <c r="G418" s="578"/>
      <c r="H418" s="567"/>
      <c r="I418" s="567"/>
      <c r="J418" s="571"/>
    </row>
    <row r="419" spans="1:23" s="8" customFormat="1" ht="52.8" x14ac:dyDescent="0.25">
      <c r="A419" s="258"/>
      <c r="B419" s="216" t="s">
        <v>2071</v>
      </c>
      <c r="C419" s="107" t="s">
        <v>0</v>
      </c>
      <c r="D419" s="219">
        <v>0</v>
      </c>
      <c r="E419" s="480" t="str">
        <f>DEC2HEX(((D419)*2^2),8)</f>
        <v>00000000</v>
      </c>
      <c r="F419" s="112" t="s">
        <v>239</v>
      </c>
      <c r="G419" s="578"/>
      <c r="H419" s="567"/>
      <c r="I419" s="567"/>
      <c r="J419" s="571"/>
    </row>
    <row r="420" spans="1:23" s="8" customFormat="1" ht="52.8" x14ac:dyDescent="0.25">
      <c r="A420" s="258"/>
      <c r="B420" s="216" t="s">
        <v>2072</v>
      </c>
      <c r="C420" s="107" t="s">
        <v>0</v>
      </c>
      <c r="D420" s="219">
        <v>0</v>
      </c>
      <c r="E420" s="480" t="str">
        <f>DEC2HEX(((D420)*2^1),8)</f>
        <v>00000000</v>
      </c>
      <c r="F420" s="112" t="s">
        <v>240</v>
      </c>
      <c r="G420" s="578"/>
      <c r="H420" s="567"/>
      <c r="I420" s="567"/>
      <c r="J420" s="571"/>
    </row>
    <row r="421" spans="1:23" s="8" customFormat="1" ht="53.4" thickBot="1" x14ac:dyDescent="0.3">
      <c r="A421" s="258"/>
      <c r="B421" s="217" t="s">
        <v>2073</v>
      </c>
      <c r="C421" s="109" t="s">
        <v>0</v>
      </c>
      <c r="D421" s="220">
        <v>0</v>
      </c>
      <c r="E421" s="481" t="str">
        <f>DEC2HEX(((D421)*2^0),8)</f>
        <v>00000000</v>
      </c>
      <c r="F421" s="212" t="s">
        <v>241</v>
      </c>
      <c r="G421" s="579"/>
      <c r="H421" s="568"/>
      <c r="I421" s="568"/>
      <c r="J421" s="572"/>
    </row>
    <row r="422" spans="1:23" ht="15" thickBot="1" x14ac:dyDescent="0.3">
      <c r="A422" s="258"/>
      <c r="B422" s="260"/>
      <c r="C422" s="265"/>
      <c r="D422" s="287"/>
      <c r="E422" s="259"/>
      <c r="F422" s="262"/>
      <c r="G422" s="260"/>
      <c r="H422" s="259"/>
      <c r="I422" s="259"/>
      <c r="J422" s="259"/>
      <c r="L422"/>
      <c r="M422"/>
      <c r="N422"/>
      <c r="O422"/>
      <c r="P422"/>
      <c r="Q422"/>
      <c r="R422"/>
      <c r="S422"/>
      <c r="T422"/>
      <c r="U422"/>
      <c r="V422"/>
      <c r="W422"/>
    </row>
    <row r="423" spans="1:23" ht="39.6" x14ac:dyDescent="0.25">
      <c r="A423" s="258"/>
      <c r="B423" s="174" t="s">
        <v>648</v>
      </c>
      <c r="C423" s="245" t="s">
        <v>0</v>
      </c>
      <c r="D423" s="296">
        <v>0</v>
      </c>
      <c r="E423" s="429" t="str">
        <f>DEC2HEX(((D423)*2^5),8)</f>
        <v>00000000</v>
      </c>
      <c r="F423" s="294" t="s">
        <v>654</v>
      </c>
      <c r="G423" s="545" t="s">
        <v>655</v>
      </c>
      <c r="H423" s="551" t="str">
        <f>"0x"&amp;DEC2HEX((HEX2DEC(C33)+4*118), 8)</f>
        <v>0x5C0101D8</v>
      </c>
      <c r="I423" s="551" t="str">
        <f>"0x"&amp;DEC2HEX((HEX2DEC(C34)+4*118), 8)</f>
        <v>0x5C1101D8</v>
      </c>
      <c r="J423" s="548" t="str">
        <f>"0x"&amp;DEC2HEX((HEX2DEC(E423)+HEX2DEC(E424)+HEX2DEC(E425)+HEX2DEC(E426)), 2)</f>
        <v>0x16</v>
      </c>
      <c r="L423"/>
      <c r="M423"/>
      <c r="N423"/>
      <c r="O423"/>
      <c r="P423"/>
      <c r="Q423"/>
      <c r="R423"/>
      <c r="S423"/>
      <c r="T423"/>
      <c r="U423"/>
      <c r="V423"/>
      <c r="W423"/>
    </row>
    <row r="424" spans="1:23" ht="39.6" x14ac:dyDescent="0.25">
      <c r="A424" s="258"/>
      <c r="B424" s="177" t="s">
        <v>649</v>
      </c>
      <c r="C424" s="243" t="s">
        <v>0</v>
      </c>
      <c r="D424" s="209">
        <v>1</v>
      </c>
      <c r="E424" s="427" t="str">
        <f>DEC2HEX(((D424)*2^4),8)</f>
        <v>00000010</v>
      </c>
      <c r="F424" s="178" t="s">
        <v>653</v>
      </c>
      <c r="G424" s="552"/>
      <c r="H424" s="546"/>
      <c r="I424" s="546"/>
      <c r="J424" s="549"/>
      <c r="L424"/>
      <c r="M424"/>
      <c r="N424"/>
      <c r="O424"/>
      <c r="P424"/>
      <c r="Q424"/>
      <c r="R424"/>
      <c r="S424"/>
      <c r="T424"/>
      <c r="U424"/>
      <c r="V424"/>
      <c r="W424"/>
    </row>
    <row r="425" spans="1:23" ht="39.6" x14ac:dyDescent="0.25">
      <c r="A425" s="258"/>
      <c r="B425" s="177" t="s">
        <v>650</v>
      </c>
      <c r="C425" s="243" t="s">
        <v>0</v>
      </c>
      <c r="D425" s="295">
        <v>0</v>
      </c>
      <c r="E425" s="427" t="str">
        <f>DEC2HEX(((D425)*2^3),8)</f>
        <v>00000000</v>
      </c>
      <c r="F425" s="178" t="s">
        <v>652</v>
      </c>
      <c r="G425" s="552"/>
      <c r="H425" s="546"/>
      <c r="I425" s="546"/>
      <c r="J425" s="549"/>
      <c r="L425"/>
      <c r="M425"/>
      <c r="N425"/>
      <c r="O425"/>
      <c r="P425"/>
      <c r="Q425"/>
      <c r="R425"/>
      <c r="S425"/>
      <c r="T425"/>
      <c r="U425"/>
      <c r="V425"/>
      <c r="W425"/>
    </row>
    <row r="426" spans="1:23" ht="132.6" thickBot="1" x14ac:dyDescent="0.3">
      <c r="A426" s="258"/>
      <c r="B426" s="90" t="s">
        <v>651</v>
      </c>
      <c r="C426" s="246" t="s">
        <v>0</v>
      </c>
      <c r="D426" s="512">
        <v>6</v>
      </c>
      <c r="E426" s="428" t="str">
        <f>DEC2HEX(((D426)*2^0),8)</f>
        <v>00000006</v>
      </c>
      <c r="F426" s="83" t="s">
        <v>2204</v>
      </c>
      <c r="G426" s="553"/>
      <c r="H426" s="547"/>
      <c r="I426" s="547"/>
      <c r="J426" s="550"/>
      <c r="L426"/>
      <c r="M426"/>
      <c r="N426"/>
      <c r="O426"/>
      <c r="P426"/>
      <c r="Q426"/>
      <c r="R426"/>
      <c r="S426"/>
      <c r="T426"/>
      <c r="U426"/>
      <c r="V426"/>
      <c r="W426"/>
    </row>
    <row r="427" spans="1:23" ht="13.8" thickBot="1" x14ac:dyDescent="0.3">
      <c r="A427" s="258"/>
      <c r="B427" s="260"/>
      <c r="C427" s="260"/>
      <c r="D427" s="259"/>
      <c r="E427" s="259"/>
      <c r="F427" s="258"/>
      <c r="G427" s="260"/>
      <c r="H427" s="259"/>
      <c r="I427" s="259"/>
      <c r="J427" s="259"/>
      <c r="L427"/>
      <c r="M427"/>
      <c r="N427"/>
      <c r="O427"/>
      <c r="P427"/>
      <c r="Q427"/>
      <c r="R427"/>
      <c r="S427"/>
      <c r="T427"/>
      <c r="U427"/>
      <c r="V427"/>
      <c r="W427"/>
    </row>
    <row r="428" spans="1:23" ht="13.8" thickBot="1" x14ac:dyDescent="0.3">
      <c r="A428" s="258"/>
      <c r="B428" s="554" t="s">
        <v>642</v>
      </c>
      <c r="C428" s="555"/>
      <c r="D428" s="555"/>
      <c r="E428" s="555"/>
      <c r="F428" s="555"/>
      <c r="G428" s="555"/>
      <c r="H428" s="555"/>
      <c r="I428" s="555"/>
      <c r="J428" s="556"/>
      <c r="L428"/>
      <c r="M428"/>
      <c r="N428"/>
      <c r="O428"/>
      <c r="P428"/>
      <c r="Q428"/>
      <c r="R428"/>
      <c r="S428"/>
      <c r="T428"/>
      <c r="U428"/>
      <c r="V428"/>
      <c r="W428"/>
    </row>
    <row r="429" spans="1:23" ht="14.4" x14ac:dyDescent="0.25">
      <c r="A429" s="258"/>
      <c r="B429" s="174" t="s">
        <v>378</v>
      </c>
      <c r="C429" s="335" t="s">
        <v>0</v>
      </c>
      <c r="D429" s="336">
        <f>ROUNDUP((C130), 0)</f>
        <v>16</v>
      </c>
      <c r="E429" s="446" t="str">
        <f>DEC2HEX(((D429)*2^24),8)</f>
        <v>10000000</v>
      </c>
      <c r="F429" s="176" t="s">
        <v>532</v>
      </c>
      <c r="G429" s="545" t="s">
        <v>383</v>
      </c>
      <c r="H429" s="551" t="str">
        <f>"0x"&amp;DEC2HEX((HEX2DEC(C33)+4*68), 8)</f>
        <v>0x5C010110</v>
      </c>
      <c r="I429" s="551" t="str">
        <f>"0x"&amp;DEC2HEX((HEX2DEC(C34)+4*68), 8)</f>
        <v>0x5C110110</v>
      </c>
      <c r="J429" s="548" t="str">
        <f>"0x"&amp;DEC2HEX((HEX2DEC(E429)+HEX2DEC(E430)+HEX2DEC(E431)+HEX2DEC(E432)), 8)</f>
        <v>0x1044220C</v>
      </c>
      <c r="K429" s="455"/>
      <c r="L429"/>
      <c r="M429"/>
      <c r="N429"/>
      <c r="O429"/>
      <c r="P429"/>
      <c r="Q429"/>
      <c r="R429"/>
      <c r="S429"/>
      <c r="T429"/>
      <c r="U429"/>
      <c r="V429"/>
      <c r="W429"/>
    </row>
    <row r="430" spans="1:23" ht="14.4" x14ac:dyDescent="0.25">
      <c r="A430" s="258"/>
      <c r="B430" s="177" t="s">
        <v>379</v>
      </c>
      <c r="C430" s="243" t="s">
        <v>0</v>
      </c>
      <c r="D430" s="247">
        <f>ROUNDUP((C111), 0)</f>
        <v>68</v>
      </c>
      <c r="E430" s="442" t="str">
        <f>DEC2HEX(((D430)*2^16),8)</f>
        <v>00440000</v>
      </c>
      <c r="F430" s="178" t="s">
        <v>382</v>
      </c>
      <c r="G430" s="552"/>
      <c r="H430" s="546"/>
      <c r="I430" s="546"/>
      <c r="J430" s="549"/>
      <c r="L430"/>
      <c r="M430"/>
      <c r="N430"/>
      <c r="O430"/>
      <c r="P430"/>
      <c r="Q430"/>
      <c r="R430"/>
      <c r="S430"/>
      <c r="T430"/>
      <c r="U430"/>
      <c r="V430"/>
      <c r="W430"/>
    </row>
    <row r="431" spans="1:23" ht="66" x14ac:dyDescent="0.25">
      <c r="A431" s="258"/>
      <c r="B431" s="177" t="s">
        <v>380</v>
      </c>
      <c r="C431" s="419" t="s">
        <v>0</v>
      </c>
      <c r="D431" s="247">
        <f>ROUNDUP((C115),0)</f>
        <v>34</v>
      </c>
      <c r="E431" s="442" t="str">
        <f>DEC2HEX(((D431)*2^8),8)</f>
        <v>00002200</v>
      </c>
      <c r="F431" s="237" t="s">
        <v>745</v>
      </c>
      <c r="G431" s="552"/>
      <c r="H431" s="546"/>
      <c r="I431" s="546"/>
      <c r="J431" s="549"/>
      <c r="L431"/>
      <c r="M431"/>
      <c r="N431"/>
      <c r="O431"/>
      <c r="P431"/>
      <c r="Q431"/>
      <c r="R431"/>
      <c r="S431"/>
      <c r="T431"/>
      <c r="U431"/>
      <c r="V431"/>
      <c r="W431"/>
    </row>
    <row r="432" spans="1:23" ht="79.8" thickBot="1" x14ac:dyDescent="0.3">
      <c r="A432" s="258"/>
      <c r="B432" s="90" t="s">
        <v>381</v>
      </c>
      <c r="C432" s="337" t="s">
        <v>0</v>
      </c>
      <c r="D432" s="338">
        <f>ROUNDUP((C114), 0)</f>
        <v>12</v>
      </c>
      <c r="E432" s="443" t="str">
        <f>DEC2HEX(((D432)*2^0),8)</f>
        <v>0000000C</v>
      </c>
      <c r="F432" s="83" t="s">
        <v>533</v>
      </c>
      <c r="G432" s="553"/>
      <c r="H432" s="547"/>
      <c r="I432" s="547"/>
      <c r="J432" s="550"/>
      <c r="L432"/>
      <c r="M432"/>
      <c r="N432"/>
      <c r="O432"/>
      <c r="P432"/>
      <c r="Q432"/>
      <c r="R432"/>
      <c r="S432"/>
      <c r="T432"/>
      <c r="U432"/>
      <c r="V432"/>
      <c r="W432"/>
    </row>
    <row r="433" spans="1:23" ht="13.8" thickBot="1" x14ac:dyDescent="0.3">
      <c r="A433" s="258"/>
      <c r="B433" s="260"/>
      <c r="C433" s="260"/>
      <c r="D433" s="259"/>
      <c r="E433" s="259"/>
      <c r="F433" s="262"/>
      <c r="G433" s="260"/>
      <c r="H433" s="259"/>
      <c r="I433" s="259"/>
      <c r="J433" s="259"/>
      <c r="L433"/>
      <c r="M433"/>
      <c r="N433"/>
      <c r="O433"/>
      <c r="P433"/>
      <c r="Q433"/>
      <c r="R433"/>
      <c r="S433"/>
      <c r="T433"/>
      <c r="U433"/>
      <c r="V433"/>
      <c r="W433"/>
    </row>
    <row r="434" spans="1:23" ht="13.8" thickBot="1" x14ac:dyDescent="0.3">
      <c r="A434" s="258"/>
      <c r="B434" s="554" t="s">
        <v>384</v>
      </c>
      <c r="C434" s="555"/>
      <c r="D434" s="555"/>
      <c r="E434" s="555"/>
      <c r="F434" s="555"/>
      <c r="G434" s="555"/>
      <c r="H434" s="555"/>
      <c r="I434" s="555"/>
      <c r="J434" s="556"/>
      <c r="L434"/>
      <c r="M434"/>
      <c r="N434"/>
      <c r="O434"/>
      <c r="P434"/>
      <c r="Q434"/>
      <c r="R434"/>
      <c r="S434"/>
      <c r="T434"/>
      <c r="U434"/>
      <c r="V434"/>
      <c r="W434"/>
    </row>
    <row r="435" spans="1:23" ht="26.4" x14ac:dyDescent="0.25">
      <c r="A435" s="258"/>
      <c r="B435" s="174" t="s">
        <v>386</v>
      </c>
      <c r="C435" s="245" t="s">
        <v>0</v>
      </c>
      <c r="D435" s="251">
        <v>40</v>
      </c>
      <c r="E435" s="446" t="str">
        <f>DEC2HEX(((D435)*2^24),8)</f>
        <v>28000000</v>
      </c>
      <c r="F435" s="176" t="s">
        <v>534</v>
      </c>
      <c r="G435" s="545" t="s">
        <v>385</v>
      </c>
      <c r="H435" s="551" t="str">
        <f>"0x"&amp;DEC2HEX((HEX2DEC(C33)+4*69), 8)</f>
        <v>0x5C010114</v>
      </c>
      <c r="I435" s="551" t="str">
        <f>"0x"&amp;DEC2HEX((HEX2DEC(C34)+4*69), 8)</f>
        <v>0x5C110114</v>
      </c>
      <c r="J435" s="548" t="str">
        <f>"0x"&amp;DEC2HEX((HEX2DEC(E435)+HEX2DEC(E436)+HEX2DEC(E437)+HEX2DEC(E438)), 8)</f>
        <v>0x28400417</v>
      </c>
      <c r="L435"/>
      <c r="M435"/>
      <c r="N435"/>
      <c r="O435"/>
      <c r="P435"/>
      <c r="Q435"/>
      <c r="R435"/>
      <c r="S435"/>
      <c r="T435"/>
      <c r="U435"/>
      <c r="V435"/>
      <c r="W435"/>
    </row>
    <row r="436" spans="1:23" ht="26.4" x14ac:dyDescent="0.25">
      <c r="A436" s="258"/>
      <c r="B436" s="177" t="s">
        <v>387</v>
      </c>
      <c r="C436" s="243" t="s">
        <v>0</v>
      </c>
      <c r="D436" s="138">
        <f>ROUNDUP((C109*C29)/1000, 0)</f>
        <v>64</v>
      </c>
      <c r="E436" s="442" t="str">
        <f>DEC2HEX(((D436)*2^16),8)</f>
        <v>00400000</v>
      </c>
      <c r="F436" s="178" t="s">
        <v>535</v>
      </c>
      <c r="G436" s="552"/>
      <c r="H436" s="546"/>
      <c r="I436" s="546"/>
      <c r="J436" s="549"/>
      <c r="K436" s="456"/>
      <c r="L436"/>
      <c r="M436"/>
      <c r="N436"/>
      <c r="O436"/>
      <c r="P436"/>
      <c r="Q436"/>
      <c r="R436"/>
      <c r="S436"/>
      <c r="T436"/>
      <c r="U436"/>
      <c r="V436"/>
      <c r="W436"/>
    </row>
    <row r="437" spans="1:23" ht="264" x14ac:dyDescent="0.25">
      <c r="A437" s="258"/>
      <c r="B437" s="177" t="s">
        <v>388</v>
      </c>
      <c r="C437" s="243" t="s">
        <v>0</v>
      </c>
      <c r="D437" s="351">
        <v>4</v>
      </c>
      <c r="E437" s="442" t="str">
        <f>DEC2HEX(((D437)*2^8),8)</f>
        <v>00000400</v>
      </c>
      <c r="F437" s="237" t="s">
        <v>630</v>
      </c>
      <c r="G437" s="552"/>
      <c r="H437" s="546"/>
      <c r="I437" s="546"/>
      <c r="J437" s="549"/>
      <c r="K437" s="252"/>
      <c r="L437"/>
      <c r="M437"/>
      <c r="N437"/>
      <c r="O437"/>
      <c r="P437"/>
      <c r="Q437"/>
      <c r="R437"/>
      <c r="S437"/>
      <c r="T437"/>
      <c r="U437"/>
      <c r="V437"/>
      <c r="W437"/>
    </row>
    <row r="438" spans="1:23" ht="93" thickBot="1" x14ac:dyDescent="0.3">
      <c r="A438" s="258"/>
      <c r="B438" s="90" t="s">
        <v>389</v>
      </c>
      <c r="C438" s="246" t="s">
        <v>0</v>
      </c>
      <c r="D438" s="338">
        <f>ROUNDUP((C125), 0)</f>
        <v>23</v>
      </c>
      <c r="E438" s="443" t="str">
        <f>DEC2HEX(((D438)*2^0),8)</f>
        <v>00000017</v>
      </c>
      <c r="F438" s="83" t="s">
        <v>536</v>
      </c>
      <c r="G438" s="553"/>
      <c r="H438" s="547"/>
      <c r="I438" s="547"/>
      <c r="J438" s="550"/>
      <c r="L438"/>
      <c r="M438"/>
      <c r="N438"/>
      <c r="O438"/>
      <c r="P438"/>
      <c r="Q438"/>
      <c r="R438"/>
      <c r="S438"/>
      <c r="T438"/>
      <c r="U438"/>
      <c r="V438"/>
      <c r="W438"/>
    </row>
    <row r="439" spans="1:23" ht="13.8" thickBot="1" x14ac:dyDescent="0.3">
      <c r="A439" s="258"/>
      <c r="B439" s="260"/>
      <c r="C439" s="260"/>
      <c r="D439" s="259"/>
      <c r="E439" s="259"/>
      <c r="F439" s="262"/>
      <c r="G439" s="260"/>
      <c r="H439" s="259"/>
      <c r="I439" s="259"/>
      <c r="J439" s="259"/>
      <c r="L439"/>
      <c r="M439"/>
      <c r="N439"/>
      <c r="O439"/>
      <c r="P439"/>
      <c r="Q439"/>
      <c r="R439"/>
      <c r="S439"/>
      <c r="T439"/>
      <c r="U439"/>
      <c r="V439"/>
      <c r="W439"/>
    </row>
    <row r="440" spans="1:23" ht="79.2" x14ac:dyDescent="0.25">
      <c r="A440" s="258"/>
      <c r="B440" s="174" t="s">
        <v>395</v>
      </c>
      <c r="C440" s="245" t="s">
        <v>0</v>
      </c>
      <c r="D440" s="254">
        <v>0</v>
      </c>
      <c r="E440" s="446" t="str">
        <f>DEC2HEX(((D440)*2^28),8)</f>
        <v>00000000</v>
      </c>
      <c r="F440" s="176" t="s">
        <v>537</v>
      </c>
      <c r="G440" s="545" t="s">
        <v>396</v>
      </c>
      <c r="H440" s="551" t="str">
        <f>"0x"&amp;DEC2HEX((HEX2DEC(C33)+4*70), 8)</f>
        <v>0x5C010118</v>
      </c>
      <c r="I440" s="551" t="str">
        <f>"0x"&amp;DEC2HEX((HEX2DEC(C34)+4*70), 8)</f>
        <v>0x5C110118</v>
      </c>
      <c r="J440" s="548" t="str">
        <f>"0x"&amp;DEC2HEX((HEX2DEC(E440)+HEX2DEC(E441)+HEX2DEC(E442)+HEX2DEC(E443)+HEX2DEC(E444)+HEX2DEC(E445)), 8)</f>
        <v>0x006CA1CC</v>
      </c>
      <c r="L440"/>
      <c r="M440"/>
      <c r="N440"/>
      <c r="O440"/>
      <c r="P440"/>
      <c r="Q440"/>
      <c r="R440"/>
      <c r="S440"/>
      <c r="T440"/>
      <c r="U440"/>
      <c r="V440"/>
      <c r="W440"/>
    </row>
    <row r="441" spans="1:23" ht="105.6" x14ac:dyDescent="0.25">
      <c r="A441" s="258"/>
      <c r="B441" s="177" t="s">
        <v>394</v>
      </c>
      <c r="C441" s="243" t="s">
        <v>0</v>
      </c>
      <c r="D441" s="442">
        <v>0</v>
      </c>
      <c r="E441" s="442" t="str">
        <f>DEC2HEX(((D441)*2^24),8)</f>
        <v>00000000</v>
      </c>
      <c r="F441" s="178" t="s">
        <v>538</v>
      </c>
      <c r="G441" s="552"/>
      <c r="H441" s="546"/>
      <c r="I441" s="546"/>
      <c r="J441" s="549"/>
      <c r="L441"/>
      <c r="M441"/>
      <c r="N441"/>
      <c r="O441"/>
      <c r="P441"/>
      <c r="Q441"/>
      <c r="R441"/>
      <c r="S441"/>
      <c r="T441"/>
      <c r="U441"/>
      <c r="V441"/>
      <c r="W441"/>
    </row>
    <row r="442" spans="1:23" ht="66" x14ac:dyDescent="0.25">
      <c r="A442" s="258"/>
      <c r="B442" s="177" t="s">
        <v>393</v>
      </c>
      <c r="C442" s="243">
        <v>3</v>
      </c>
      <c r="D442" s="138">
        <f>(C442+3)</f>
        <v>6</v>
      </c>
      <c r="E442" s="442" t="str">
        <f>DEC2HEX(((D442)*2^20),8)</f>
        <v>00600000</v>
      </c>
      <c r="F442" s="178" t="s">
        <v>539</v>
      </c>
      <c r="G442" s="552"/>
      <c r="H442" s="546"/>
      <c r="I442" s="546"/>
      <c r="J442" s="549"/>
      <c r="K442" s="252"/>
      <c r="L442"/>
      <c r="M442"/>
      <c r="N442"/>
      <c r="O442"/>
      <c r="P442"/>
      <c r="Q442"/>
      <c r="R442"/>
      <c r="S442"/>
      <c r="T442"/>
      <c r="U442"/>
      <c r="V442"/>
      <c r="W442"/>
    </row>
    <row r="443" spans="1:23" ht="79.2" x14ac:dyDescent="0.25">
      <c r="A443" s="258"/>
      <c r="B443" s="177" t="s">
        <v>392</v>
      </c>
      <c r="C443" s="243" t="s">
        <v>0</v>
      </c>
      <c r="D443" s="138">
        <f>D136</f>
        <v>12</v>
      </c>
      <c r="E443" s="442" t="str">
        <f>DEC2HEX(((D443)*2^16),8)</f>
        <v>000C0000</v>
      </c>
      <c r="F443" s="178" t="s">
        <v>540</v>
      </c>
      <c r="G443" s="552"/>
      <c r="H443" s="546"/>
      <c r="I443" s="546"/>
      <c r="J443" s="549"/>
      <c r="K443" s="455"/>
    </row>
    <row r="444" spans="1:23" ht="224.4" x14ac:dyDescent="0.25">
      <c r="A444" s="258"/>
      <c r="B444" s="177" t="s">
        <v>391</v>
      </c>
      <c r="C444" s="339">
        <v>200</v>
      </c>
      <c r="D444" s="138">
        <f>ROUNDDOWN(((C444/C30 +3)/64), 0)</f>
        <v>5</v>
      </c>
      <c r="E444" s="442" t="str">
        <f>DEC2HEX(((D444)*2^13),8)</f>
        <v>0000A000</v>
      </c>
      <c r="F444" s="178" t="s">
        <v>746</v>
      </c>
      <c r="G444" s="552"/>
      <c r="H444" s="546"/>
      <c r="I444" s="546"/>
      <c r="J444" s="549"/>
      <c r="K444" s="457"/>
    </row>
    <row r="445" spans="1:23" ht="93" thickBot="1" x14ac:dyDescent="0.3">
      <c r="A445" s="258"/>
      <c r="B445" s="90" t="s">
        <v>390</v>
      </c>
      <c r="C445" s="246" t="s">
        <v>0</v>
      </c>
      <c r="D445" s="139">
        <f>D155*2</f>
        <v>460</v>
      </c>
      <c r="E445" s="443" t="str">
        <f>DEC2HEX(((D445)*2^0),8)</f>
        <v>000001CC</v>
      </c>
      <c r="F445" s="83" t="s">
        <v>541</v>
      </c>
      <c r="G445" s="553"/>
      <c r="H445" s="547"/>
      <c r="I445" s="547"/>
      <c r="J445" s="550"/>
      <c r="K445" s="455"/>
    </row>
    <row r="446" spans="1:23" ht="13.8" thickBot="1" x14ac:dyDescent="0.3">
      <c r="A446" s="258"/>
      <c r="B446" s="260"/>
      <c r="C446" s="260"/>
      <c r="D446" s="259"/>
      <c r="E446" s="259"/>
      <c r="F446" s="262"/>
      <c r="G446" s="260"/>
      <c r="H446" s="259"/>
      <c r="I446" s="259"/>
      <c r="J446" s="259"/>
    </row>
    <row r="447" spans="1:23" ht="158.4" x14ac:dyDescent="0.25">
      <c r="A447" s="258"/>
      <c r="B447" s="174" t="s">
        <v>398</v>
      </c>
      <c r="C447" s="245" t="s">
        <v>0</v>
      </c>
      <c r="D447" s="303">
        <v>0</v>
      </c>
      <c r="E447" s="303" t="str">
        <f>DEC2HEX(((D447)*2^29),8)</f>
        <v>00000000</v>
      </c>
      <c r="F447" s="176" t="s">
        <v>542</v>
      </c>
      <c r="G447" s="545" t="s">
        <v>397</v>
      </c>
      <c r="H447" s="551" t="str">
        <f>"0x"&amp;DEC2HEX((HEX2DEC(C33)+4*71), 8)</f>
        <v>0x5C01011C</v>
      </c>
      <c r="I447" s="551" t="str">
        <f>"0x"&amp;DEC2HEX((HEX2DEC(C34)+4*71), 8)</f>
        <v>0x5C11011C</v>
      </c>
      <c r="J447" s="548" t="str">
        <f>"0x"&amp;DEC2HEX((HEX2DEC(E447)+HEX2DEC(E448)+HEX2DEC(E449)+HEX2DEC(E450)+HEX2DEC(E451)), 8)</f>
        <v>0x01800602</v>
      </c>
    </row>
    <row r="448" spans="1:23" ht="79.2" x14ac:dyDescent="0.25">
      <c r="A448" s="258"/>
      <c r="B448" s="177" t="s">
        <v>399</v>
      </c>
      <c r="C448" s="243" t="s">
        <v>0</v>
      </c>
      <c r="D448" s="304">
        <v>0</v>
      </c>
      <c r="E448" s="304" t="str">
        <f>DEC2HEX(((D448)*2^26),8)</f>
        <v>00000000</v>
      </c>
      <c r="F448" s="178" t="s">
        <v>543</v>
      </c>
      <c r="G448" s="552"/>
      <c r="H448" s="546"/>
      <c r="I448" s="546"/>
      <c r="J448" s="549"/>
    </row>
    <row r="449" spans="1:23" ht="52.8" x14ac:dyDescent="0.25">
      <c r="A449" s="258"/>
      <c r="B449" s="177" t="s">
        <v>400</v>
      </c>
      <c r="C449" s="243" t="s">
        <v>0</v>
      </c>
      <c r="D449" s="304">
        <v>384</v>
      </c>
      <c r="E449" s="304" t="str">
        <f>DEC2HEX(((D449)*2^16),8)</f>
        <v>01800000</v>
      </c>
      <c r="F449" s="178" t="s">
        <v>747</v>
      </c>
      <c r="G449" s="552"/>
      <c r="H449" s="546"/>
      <c r="I449" s="546"/>
      <c r="J449" s="549"/>
    </row>
    <row r="450" spans="1:23" ht="66" x14ac:dyDescent="0.25">
      <c r="A450" s="258"/>
      <c r="B450" s="177" t="s">
        <v>401</v>
      </c>
      <c r="C450" s="243">
        <v>3.5</v>
      </c>
      <c r="D450" s="138">
        <f>ROUNDUP((C450/C30), 0)</f>
        <v>6</v>
      </c>
      <c r="E450" s="304" t="str">
        <f>DEC2HEX(((D450)*2^8),8)</f>
        <v>00000600</v>
      </c>
      <c r="F450" s="178" t="s">
        <v>544</v>
      </c>
      <c r="G450" s="552"/>
      <c r="H450" s="546"/>
      <c r="I450" s="546"/>
      <c r="J450" s="549"/>
    </row>
    <row r="451" spans="1:23" ht="132.6" thickBot="1" x14ac:dyDescent="0.3">
      <c r="A451" s="258"/>
      <c r="B451" s="90" t="s">
        <v>402</v>
      </c>
      <c r="C451" s="246" t="s">
        <v>0</v>
      </c>
      <c r="D451" s="139">
        <f>ROUNDUP((1.5*C29/1000)/2, 0)</f>
        <v>2</v>
      </c>
      <c r="E451" s="305" t="str">
        <f>DEC2HEX(((D451)*2^0),8)</f>
        <v>00000002</v>
      </c>
      <c r="F451" s="83" t="s">
        <v>545</v>
      </c>
      <c r="G451" s="553"/>
      <c r="H451" s="547"/>
      <c r="I451" s="547"/>
      <c r="J451" s="550"/>
    </row>
    <row r="452" spans="1:23" ht="13.8" thickBot="1" x14ac:dyDescent="0.3">
      <c r="A452" s="258"/>
      <c r="B452" s="260"/>
      <c r="C452" s="260"/>
      <c r="D452" s="259"/>
      <c r="E452" s="259"/>
      <c r="F452" s="262"/>
      <c r="G452" s="260"/>
      <c r="H452" s="259"/>
      <c r="I452" s="259"/>
      <c r="J452" s="259"/>
    </row>
    <row r="453" spans="1:23" ht="79.2" x14ac:dyDescent="0.25">
      <c r="A453" s="258"/>
      <c r="B453" s="174" t="s">
        <v>407</v>
      </c>
      <c r="C453" s="245" t="s">
        <v>0</v>
      </c>
      <c r="D453" s="446">
        <v>0</v>
      </c>
      <c r="E453" s="446" t="str">
        <f>DEC2HEX(((D453)*2^28),8)</f>
        <v>00000000</v>
      </c>
      <c r="F453" s="176" t="s">
        <v>408</v>
      </c>
      <c r="G453" s="545" t="s">
        <v>403</v>
      </c>
      <c r="H453" s="551" t="str">
        <f>"0x"&amp;DEC2HEX((HEX2DEC(C33)+4*72), 8)</f>
        <v>0x5C010120</v>
      </c>
      <c r="I453" s="551" t="str">
        <f>"0x"&amp;DEC2HEX((HEX2DEC(C34)+4*72), 8)</f>
        <v>0x5C110120</v>
      </c>
      <c r="J453" s="548" t="str">
        <f>"0x"&amp;DEC2HEX((HEX2DEC(E453)+HEX2DEC(E454)+HEX2DEC(E455)+HEX2DEC(E456)), 8)</f>
        <v>0x01C02B0F</v>
      </c>
    </row>
    <row r="454" spans="1:23" ht="92.4" x14ac:dyDescent="0.25">
      <c r="A454" s="258"/>
      <c r="B454" s="177" t="s">
        <v>406</v>
      </c>
      <c r="C454" s="243" t="s">
        <v>0</v>
      </c>
      <c r="D454" s="138">
        <f>ROUNDUP((C92*C29/1000),0)</f>
        <v>448</v>
      </c>
      <c r="E454" s="442" t="str">
        <f>DEC2HEX(((D454)*2^16),8)</f>
        <v>01C00000</v>
      </c>
      <c r="F454" s="178" t="s">
        <v>546</v>
      </c>
      <c r="G454" s="552"/>
      <c r="H454" s="546"/>
      <c r="I454" s="546"/>
      <c r="J454" s="549"/>
      <c r="K454" s="455"/>
      <c r="L454"/>
      <c r="M454"/>
      <c r="N454"/>
      <c r="O454"/>
      <c r="P454"/>
      <c r="Q454"/>
      <c r="R454"/>
      <c r="S454"/>
      <c r="T454"/>
      <c r="U454"/>
      <c r="V454"/>
      <c r="W454"/>
    </row>
    <row r="455" spans="1:23" ht="66" x14ac:dyDescent="0.25">
      <c r="A455" s="258"/>
      <c r="B455" s="177" t="s">
        <v>405</v>
      </c>
      <c r="C455" s="243" t="s">
        <v>0</v>
      </c>
      <c r="D455" s="442">
        <v>43</v>
      </c>
      <c r="E455" s="442" t="str">
        <f>DEC2HEX(((D455)*2^8),8)</f>
        <v>00002B00</v>
      </c>
      <c r="F455" s="178" t="s">
        <v>631</v>
      </c>
      <c r="G455" s="552"/>
      <c r="H455" s="546"/>
      <c r="I455" s="546"/>
      <c r="J455" s="549"/>
      <c r="K455" s="341"/>
      <c r="L455"/>
      <c r="M455"/>
      <c r="N455"/>
      <c r="O455"/>
      <c r="P455"/>
      <c r="Q455"/>
      <c r="R455"/>
      <c r="S455"/>
      <c r="T455"/>
      <c r="U455"/>
      <c r="V455"/>
      <c r="W455"/>
    </row>
    <row r="456" spans="1:23" ht="145.80000000000001" thickBot="1" x14ac:dyDescent="0.3">
      <c r="A456" s="258"/>
      <c r="B456" s="90" t="s">
        <v>404</v>
      </c>
      <c r="C456" s="246" t="s">
        <v>0</v>
      </c>
      <c r="D456" s="139">
        <f>ROUNDUP((C113) + 3,0)</f>
        <v>15</v>
      </c>
      <c r="E456" s="443" t="str">
        <f>DEC2HEX(((D456)*2^0),8)</f>
        <v>0000000F</v>
      </c>
      <c r="F456" s="83" t="s">
        <v>547</v>
      </c>
      <c r="G456" s="553"/>
      <c r="H456" s="547"/>
      <c r="I456" s="547"/>
      <c r="J456" s="550"/>
      <c r="K456" s="455"/>
      <c r="L456"/>
      <c r="M456"/>
      <c r="N456"/>
      <c r="O456"/>
      <c r="P456"/>
      <c r="Q456"/>
      <c r="R456"/>
      <c r="S456"/>
      <c r="T456"/>
      <c r="U456"/>
      <c r="V456"/>
      <c r="W456"/>
    </row>
    <row r="457" spans="1:23" ht="13.8" thickBot="1" x14ac:dyDescent="0.3">
      <c r="A457" s="258"/>
      <c r="B457" s="260"/>
      <c r="C457" s="260"/>
      <c r="D457" s="259"/>
      <c r="E457" s="259"/>
      <c r="F457" s="262"/>
      <c r="G457" s="260"/>
      <c r="H457" s="259"/>
      <c r="I457" s="259"/>
      <c r="J457" s="259"/>
      <c r="L457"/>
      <c r="M457"/>
      <c r="N457"/>
      <c r="O457"/>
      <c r="P457"/>
      <c r="Q457"/>
      <c r="R457"/>
      <c r="S457"/>
      <c r="T457"/>
      <c r="U457"/>
      <c r="V457"/>
      <c r="W457"/>
    </row>
    <row r="458" spans="1:23" ht="39.6" x14ac:dyDescent="0.25">
      <c r="A458" s="258"/>
      <c r="B458" s="174" t="s">
        <v>410</v>
      </c>
      <c r="C458" s="245">
        <v>20</v>
      </c>
      <c r="D458" s="244">
        <f>ROUNDDOWN((C458/C30 + 1),0)</f>
        <v>33</v>
      </c>
      <c r="E458" s="310" t="str">
        <f>DEC2HEX(((D458)*2^24),8)</f>
        <v>21000000</v>
      </c>
      <c r="F458" s="176" t="s">
        <v>548</v>
      </c>
      <c r="G458" s="545" t="s">
        <v>409</v>
      </c>
      <c r="H458" s="551" t="str">
        <f>"0x"&amp;DEC2HEX((HEX2DEC(C33)+4*73), 8)</f>
        <v>0x5C010124</v>
      </c>
      <c r="I458" s="551" t="str">
        <f>"0x"&amp;DEC2HEX((HEX2DEC(C34)+4*73), 8)</f>
        <v>0x5C110124</v>
      </c>
      <c r="J458" s="548" t="str">
        <f>"0x"&amp;DEC2HEX((HEX2DEC(E458)+HEX2DEC(E459)+HEX2DEC(E460)+HEX2DEC(E461)), 8)</f>
        <v>0x21651D11</v>
      </c>
      <c r="L458"/>
      <c r="M458"/>
      <c r="N458"/>
      <c r="O458"/>
      <c r="P458"/>
      <c r="Q458"/>
      <c r="R458"/>
      <c r="S458"/>
      <c r="T458"/>
      <c r="U458"/>
      <c r="V458"/>
      <c r="W458"/>
    </row>
    <row r="459" spans="1:23" ht="52.8" x14ac:dyDescent="0.25">
      <c r="A459" s="258"/>
      <c r="B459" s="177" t="s">
        <v>411</v>
      </c>
      <c r="C459" s="243" t="s">
        <v>0</v>
      </c>
      <c r="D459" s="138">
        <f>ROUNDUP(((C115+C111)),0)</f>
        <v>101</v>
      </c>
      <c r="E459" s="311" t="str">
        <f>DEC2HEX(((D459)*2^16),8)</f>
        <v>00650000</v>
      </c>
      <c r="F459" s="178" t="s">
        <v>643</v>
      </c>
      <c r="G459" s="552"/>
      <c r="H459" s="546"/>
      <c r="I459" s="546"/>
      <c r="J459" s="549"/>
      <c r="L459"/>
      <c r="M459"/>
      <c r="N459"/>
      <c r="O459"/>
      <c r="P459"/>
      <c r="Q459"/>
      <c r="R459"/>
      <c r="S459"/>
      <c r="T459"/>
      <c r="U459"/>
      <c r="V459"/>
      <c r="W459"/>
    </row>
    <row r="460" spans="1:23" ht="66" x14ac:dyDescent="0.25">
      <c r="A460" s="258"/>
      <c r="B460" s="177" t="s">
        <v>412</v>
      </c>
      <c r="C460" s="243" t="s">
        <v>0</v>
      </c>
      <c r="D460" s="138">
        <f>ROUNDUP((C128),0)</f>
        <v>29</v>
      </c>
      <c r="E460" s="311" t="str">
        <f>DEC2HEX(((D460)*2^8),8)</f>
        <v>00001D00</v>
      </c>
      <c r="F460" s="178" t="s">
        <v>549</v>
      </c>
      <c r="G460" s="552"/>
      <c r="H460" s="546"/>
      <c r="I460" s="546"/>
      <c r="J460" s="549"/>
      <c r="L460"/>
      <c r="M460"/>
      <c r="N460"/>
      <c r="O460"/>
      <c r="P460"/>
      <c r="Q460"/>
      <c r="R460"/>
      <c r="S460"/>
      <c r="T460"/>
      <c r="U460"/>
      <c r="V460"/>
      <c r="W460"/>
    </row>
    <row r="461" spans="1:23" ht="93" thickBot="1" x14ac:dyDescent="0.3">
      <c r="A461" s="258"/>
      <c r="B461" s="90" t="s">
        <v>413</v>
      </c>
      <c r="C461" s="246" t="s">
        <v>0</v>
      </c>
      <c r="D461" s="139">
        <f>ROUNDUP((C122)+1,0)</f>
        <v>17</v>
      </c>
      <c r="E461" s="312" t="str">
        <f>DEC2HEX(((D461)*2^0),8)</f>
        <v>00000011</v>
      </c>
      <c r="F461" s="83" t="s">
        <v>700</v>
      </c>
      <c r="G461" s="553"/>
      <c r="H461" s="547"/>
      <c r="I461" s="547"/>
      <c r="J461" s="550"/>
      <c r="L461"/>
      <c r="M461"/>
      <c r="N461"/>
      <c r="O461"/>
      <c r="P461"/>
      <c r="Q461"/>
      <c r="R461"/>
      <c r="S461"/>
      <c r="T461"/>
      <c r="U461"/>
      <c r="V461"/>
      <c r="W461"/>
    </row>
    <row r="462" spans="1:23" ht="13.8" thickBot="1" x14ac:dyDescent="0.3">
      <c r="A462" s="258"/>
      <c r="B462" s="260"/>
      <c r="C462" s="260"/>
      <c r="D462" s="259"/>
      <c r="E462" s="259"/>
      <c r="F462" s="262"/>
      <c r="G462" s="260"/>
      <c r="H462" s="259"/>
      <c r="I462" s="259"/>
      <c r="J462" s="259"/>
      <c r="K462" s="8"/>
      <c r="W462"/>
    </row>
    <row r="463" spans="1:23" ht="66" x14ac:dyDescent="0.25">
      <c r="A463" s="258"/>
      <c r="B463" s="458" t="s">
        <v>1950</v>
      </c>
      <c r="C463" s="285"/>
      <c r="D463" s="459">
        <v>20</v>
      </c>
      <c r="E463" s="446" t="str">
        <f>DEC2HEX(((D463)*2^15),8)</f>
        <v>000A0000</v>
      </c>
      <c r="F463" s="274" t="s">
        <v>1951</v>
      </c>
      <c r="G463" s="569" t="s">
        <v>1952</v>
      </c>
      <c r="H463" s="566" t="str">
        <f>"0x"&amp;DEC2HEX((HEX2DEC(C33)+4*18), 8)</f>
        <v>0x5C010048</v>
      </c>
      <c r="I463" s="566" t="str">
        <f>"0x"&amp;DEC2HEX((HEX2DEC(C34)+4*18), 8)</f>
        <v>0x5C110048</v>
      </c>
      <c r="J463" s="570" t="str">
        <f>"0x"&amp;DEC2HEX((HEX2DEC(E463)+HEX2DEC(E464)+HEX2DEC(E465)+HEX2DEC(E466)), 8)</f>
        <v>0x000A3DEF</v>
      </c>
      <c r="K463" s="8"/>
      <c r="W463"/>
    </row>
    <row r="464" spans="1:23" ht="52.8" x14ac:dyDescent="0.25">
      <c r="A464" s="258"/>
      <c r="B464" s="374" t="s">
        <v>1953</v>
      </c>
      <c r="C464" s="377"/>
      <c r="D464" s="460">
        <v>15</v>
      </c>
      <c r="E464" s="442" t="str">
        <f>DEC2HEX(((D464)*2^10),8)</f>
        <v>00003C00</v>
      </c>
      <c r="F464" s="461" t="s">
        <v>1954</v>
      </c>
      <c r="G464" s="662"/>
      <c r="H464" s="567"/>
      <c r="I464" s="567"/>
      <c r="J464" s="571"/>
      <c r="K464" s="8"/>
      <c r="W464"/>
    </row>
    <row r="465" spans="1:23" ht="52.8" x14ac:dyDescent="0.25">
      <c r="A465" s="258"/>
      <c r="B465" s="374" t="s">
        <v>1955</v>
      </c>
      <c r="C465" s="377"/>
      <c r="D465" s="460">
        <v>15</v>
      </c>
      <c r="E465" s="442" t="str">
        <f>DEC2HEX(((D465)*2^5),8)</f>
        <v>000001E0</v>
      </c>
      <c r="F465" s="461" t="s">
        <v>1956</v>
      </c>
      <c r="G465" s="662"/>
      <c r="H465" s="567"/>
      <c r="I465" s="567"/>
      <c r="J465" s="571"/>
      <c r="K465" s="8"/>
      <c r="W465"/>
    </row>
    <row r="466" spans="1:23" ht="40.200000000000003" thickBot="1" x14ac:dyDescent="0.3">
      <c r="A466" s="258"/>
      <c r="B466" s="375" t="s">
        <v>1957</v>
      </c>
      <c r="C466" s="378"/>
      <c r="D466" s="462">
        <v>15</v>
      </c>
      <c r="E466" s="443" t="str">
        <f>DEC2HEX(((D466)*2^0),8)</f>
        <v>0000000F</v>
      </c>
      <c r="F466" s="286" t="s">
        <v>1958</v>
      </c>
      <c r="G466" s="663"/>
      <c r="H466" s="568"/>
      <c r="I466" s="568"/>
      <c r="J466" s="572"/>
      <c r="K466" s="8"/>
      <c r="W466"/>
    </row>
    <row r="467" spans="1:23" ht="13.8" thickBot="1" x14ac:dyDescent="0.3">
      <c r="A467" s="258"/>
      <c r="B467" s="260"/>
      <c r="C467" s="260"/>
      <c r="D467" s="259"/>
      <c r="E467" s="259"/>
      <c r="F467" s="262"/>
      <c r="G467" s="260"/>
      <c r="H467" s="259"/>
      <c r="I467" s="259"/>
      <c r="J467" s="43" t="s">
        <v>2177</v>
      </c>
      <c r="K467" s="509" t="s">
        <v>2178</v>
      </c>
      <c r="L467"/>
      <c r="M467"/>
      <c r="N467"/>
      <c r="O467"/>
      <c r="P467"/>
      <c r="Q467"/>
      <c r="R467"/>
      <c r="S467"/>
      <c r="T467"/>
      <c r="U467"/>
      <c r="V467"/>
      <c r="W467"/>
    </row>
    <row r="468" spans="1:23" ht="61.5" customHeight="1" x14ac:dyDescent="0.25">
      <c r="A468" s="258"/>
      <c r="B468" s="174" t="s">
        <v>2112</v>
      </c>
      <c r="C468" s="528">
        <v>2000000</v>
      </c>
      <c r="D468" s="114">
        <f>ROUNDUP((C468*C29/1000/32),0)</f>
        <v>100000</v>
      </c>
      <c r="E468" s="484" t="str">
        <f>DEC2HEX(((D468)*2^0),8)</f>
        <v>000186A0</v>
      </c>
      <c r="F468" s="704" t="s">
        <v>550</v>
      </c>
      <c r="G468" s="528" t="s">
        <v>414</v>
      </c>
      <c r="H468" s="535" t="str">
        <f>"0x"&amp;DEC2HEX((HEX2DEC(C33)+4*19), 8)</f>
        <v>0x5C01004C</v>
      </c>
      <c r="I468" s="535" t="str">
        <f>"0x"&amp;DEC2HEX((HEX2DEC(C34)+4*19), 8)</f>
        <v>0x5C11004C</v>
      </c>
      <c r="J468" s="542" t="str">
        <f>"0x"&amp;DEC2HEX((HEX2DEC(E468)), 8)</f>
        <v>0x000186A0</v>
      </c>
      <c r="K468" s="723" t="str">
        <f>"0x"&amp;DEC2HEX((HEX2DEC(E469)), 8)</f>
        <v>0x0030D400</v>
      </c>
      <c r="L468"/>
      <c r="M468"/>
      <c r="N468"/>
      <c r="O468"/>
      <c r="P468"/>
      <c r="Q468"/>
      <c r="R468"/>
      <c r="S468"/>
      <c r="T468"/>
      <c r="U468"/>
      <c r="V468"/>
      <c r="W468"/>
    </row>
    <row r="469" spans="1:23" ht="43.5" customHeight="1" thickBot="1" x14ac:dyDescent="0.3">
      <c r="A469" s="258"/>
      <c r="B469" s="90" t="s">
        <v>2113</v>
      </c>
      <c r="C469" s="540"/>
      <c r="D469" s="248">
        <f>ROUNDUP((C468*C29/1000),0)</f>
        <v>3200000</v>
      </c>
      <c r="E469" s="486" t="str">
        <f>DEC2HEX(((D469)*2^0),8)</f>
        <v>0030D400</v>
      </c>
      <c r="F469" s="705"/>
      <c r="G469" s="540"/>
      <c r="H469" s="537"/>
      <c r="I469" s="537"/>
      <c r="J469" s="544"/>
      <c r="K469" s="724"/>
      <c r="L469"/>
      <c r="M469"/>
      <c r="N469"/>
      <c r="O469"/>
      <c r="P469"/>
      <c r="Q469"/>
      <c r="R469"/>
      <c r="S469"/>
      <c r="T469"/>
      <c r="U469"/>
      <c r="V469"/>
      <c r="W469"/>
    </row>
    <row r="470" spans="1:23" ht="13.8" thickBot="1" x14ac:dyDescent="0.3">
      <c r="A470" s="258"/>
      <c r="B470" s="260"/>
      <c r="C470" s="260"/>
      <c r="D470" s="259"/>
      <c r="E470" s="259"/>
      <c r="F470" s="262"/>
      <c r="G470" s="263"/>
      <c r="H470" s="259"/>
      <c r="I470" s="259"/>
      <c r="J470" s="43" t="s">
        <v>2177</v>
      </c>
      <c r="K470" s="509" t="s">
        <v>2178</v>
      </c>
      <c r="L470"/>
      <c r="M470"/>
      <c r="N470"/>
      <c r="O470"/>
      <c r="P470"/>
      <c r="Q470"/>
      <c r="R470"/>
      <c r="S470"/>
      <c r="T470"/>
      <c r="U470"/>
      <c r="V470"/>
      <c r="W470"/>
    </row>
    <row r="471" spans="1:23" ht="57.75" customHeight="1" x14ac:dyDescent="0.25">
      <c r="A471" s="258"/>
      <c r="B471" s="174" t="s">
        <v>2114</v>
      </c>
      <c r="C471" s="528">
        <v>2000</v>
      </c>
      <c r="D471" s="114">
        <f>ROUNDUP((C471*C29/1000/32),0)</f>
        <v>100</v>
      </c>
      <c r="E471" s="484" t="str">
        <f>DEC2HEX(((D471)*2^0),8)</f>
        <v>00000064</v>
      </c>
      <c r="F471" s="704" t="s">
        <v>551</v>
      </c>
      <c r="G471" s="528" t="s">
        <v>415</v>
      </c>
      <c r="H471" s="535" t="str">
        <f>"0x"&amp;DEC2HEX((HEX2DEC(C33)+4*20), 8)</f>
        <v>0x5C010050</v>
      </c>
      <c r="I471" s="535" t="str">
        <f>"0x"&amp;DEC2HEX((HEX2DEC(C34)+4*20), 8)</f>
        <v>0x5C110050</v>
      </c>
      <c r="J471" s="542" t="str">
        <f>"0x"&amp;DEC2HEX((HEX2DEC(E471)), 8)</f>
        <v>0x00000064</v>
      </c>
      <c r="K471" s="542" t="str">
        <f>"0x"&amp;DEC2HEX((HEX2DEC(E472)), 8)</f>
        <v>0x00000C80</v>
      </c>
      <c r="L471"/>
      <c r="M471"/>
      <c r="N471"/>
      <c r="O471"/>
      <c r="P471"/>
      <c r="Q471"/>
      <c r="R471"/>
      <c r="S471"/>
      <c r="T471"/>
      <c r="U471"/>
      <c r="V471"/>
      <c r="W471"/>
    </row>
    <row r="472" spans="1:23" ht="46.5" customHeight="1" thickBot="1" x14ac:dyDescent="0.3">
      <c r="A472" s="258"/>
      <c r="B472" s="90" t="s">
        <v>2118</v>
      </c>
      <c r="C472" s="540"/>
      <c r="D472" s="248">
        <f>ROUNDUP((C471*C29/1000),0)</f>
        <v>3200</v>
      </c>
      <c r="E472" s="486" t="str">
        <f>DEC2HEX(((D472)*2^0),8)</f>
        <v>00000C80</v>
      </c>
      <c r="F472" s="705"/>
      <c r="G472" s="540"/>
      <c r="H472" s="537"/>
      <c r="I472" s="537"/>
      <c r="J472" s="544"/>
      <c r="K472" s="544"/>
      <c r="L472"/>
      <c r="M472"/>
      <c r="N472"/>
      <c r="O472"/>
      <c r="P472"/>
      <c r="Q472"/>
      <c r="R472"/>
      <c r="S472"/>
      <c r="T472"/>
      <c r="U472"/>
      <c r="V472"/>
      <c r="W472"/>
    </row>
    <row r="473" spans="1:23" ht="13.8" thickBot="1" x14ac:dyDescent="0.3">
      <c r="A473" s="258"/>
      <c r="B473" s="260"/>
      <c r="C473" s="260"/>
      <c r="D473" s="259"/>
      <c r="E473" s="259"/>
      <c r="F473" s="262"/>
      <c r="G473" s="260"/>
      <c r="H473" s="259"/>
      <c r="I473" s="259"/>
      <c r="J473" s="43" t="s">
        <v>2177</v>
      </c>
      <c r="K473" s="509" t="s">
        <v>2178</v>
      </c>
      <c r="L473"/>
      <c r="M473"/>
      <c r="N473"/>
      <c r="O473"/>
      <c r="P473"/>
      <c r="Q473"/>
      <c r="R473"/>
      <c r="S473"/>
      <c r="T473"/>
      <c r="U473"/>
      <c r="V473"/>
      <c r="W473"/>
    </row>
    <row r="474" spans="1:23" ht="50.25" customHeight="1" x14ac:dyDescent="0.25">
      <c r="A474" s="258"/>
      <c r="B474" s="174" t="s">
        <v>2115</v>
      </c>
      <c r="C474" s="528">
        <v>200000</v>
      </c>
      <c r="D474" s="114">
        <f>ROUNDUP((C474*C29/1000/32),0)</f>
        <v>10000</v>
      </c>
      <c r="E474" s="484" t="str">
        <f>DEC2HEX(((D474)*2^0),8)</f>
        <v>00002710</v>
      </c>
      <c r="F474" s="704" t="s">
        <v>491</v>
      </c>
      <c r="G474" s="528" t="s">
        <v>416</v>
      </c>
      <c r="H474" s="535" t="str">
        <f>"0x"&amp;DEC2HEX((HEX2DEC(C33)+4*21), 8)</f>
        <v>0x5C010054</v>
      </c>
      <c r="I474" s="535" t="str">
        <f>"0x"&amp;DEC2HEX((HEX2DEC(C34)+4*21), 8)</f>
        <v>0x5C110054</v>
      </c>
      <c r="J474" s="542" t="str">
        <f>"0x"&amp;DEC2HEX((HEX2DEC(E474)), 8)</f>
        <v>0x00002710</v>
      </c>
      <c r="K474" s="702" t="str">
        <f>"0x"&amp;DEC2HEX((HEX2DEC(E475)), 8)</f>
        <v>0x0004E200</v>
      </c>
      <c r="L474"/>
      <c r="M474"/>
      <c r="N474"/>
      <c r="O474"/>
      <c r="P474"/>
      <c r="Q474"/>
      <c r="R474"/>
      <c r="S474"/>
      <c r="T474"/>
      <c r="U474"/>
      <c r="V474"/>
      <c r="W474"/>
    </row>
    <row r="475" spans="1:23" ht="40.5" customHeight="1" thickBot="1" x14ac:dyDescent="0.3">
      <c r="A475" s="258"/>
      <c r="B475" s="90" t="s">
        <v>2119</v>
      </c>
      <c r="C475" s="540"/>
      <c r="D475" s="248">
        <f>ROUNDUP((C474*C29/1000),0)</f>
        <v>320000</v>
      </c>
      <c r="E475" s="486" t="str">
        <f>DEC2HEX(((D475)*2^0),8)</f>
        <v>0004E200</v>
      </c>
      <c r="F475" s="705"/>
      <c r="G475" s="540"/>
      <c r="H475" s="537"/>
      <c r="I475" s="537"/>
      <c r="J475" s="544"/>
      <c r="K475" s="703"/>
      <c r="L475"/>
      <c r="M475"/>
      <c r="N475"/>
      <c r="O475"/>
      <c r="P475"/>
      <c r="Q475"/>
      <c r="R475"/>
      <c r="S475"/>
      <c r="T475"/>
      <c r="U475"/>
      <c r="V475"/>
      <c r="W475"/>
    </row>
    <row r="476" spans="1:23" ht="13.8" thickBot="1" x14ac:dyDescent="0.3">
      <c r="A476" s="258"/>
      <c r="B476" s="260"/>
      <c r="C476" s="260"/>
      <c r="D476" s="259"/>
      <c r="E476" s="259"/>
      <c r="F476" s="262"/>
      <c r="G476" s="260"/>
      <c r="H476" s="259"/>
      <c r="I476" s="259"/>
      <c r="J476" s="43" t="s">
        <v>2177</v>
      </c>
      <c r="K476" s="509" t="s">
        <v>2178</v>
      </c>
      <c r="L476"/>
      <c r="M476"/>
      <c r="N476"/>
      <c r="O476"/>
      <c r="P476"/>
      <c r="Q476"/>
      <c r="R476"/>
      <c r="S476"/>
      <c r="T476"/>
      <c r="U476"/>
      <c r="V476"/>
      <c r="W476"/>
    </row>
    <row r="477" spans="1:23" ht="65.25" customHeight="1" x14ac:dyDescent="0.25">
      <c r="A477" s="258"/>
      <c r="B477" s="174" t="s">
        <v>2116</v>
      </c>
      <c r="C477" s="114">
        <f>MAX(30/C30/32, 8)</f>
        <v>8</v>
      </c>
      <c r="D477" s="114">
        <f>ROUNDUP((C477),0) + 3</f>
        <v>11</v>
      </c>
      <c r="E477" s="484" t="str">
        <f>DEC2HEX(((D477)*2^20),8)</f>
        <v>00B00000</v>
      </c>
      <c r="F477" s="704" t="s">
        <v>552</v>
      </c>
      <c r="G477" s="691" t="s">
        <v>417</v>
      </c>
      <c r="H477" s="551" t="str">
        <f>"0x"&amp;DEC2HEX((HEX2DEC(C33)+4*22), 8)</f>
        <v>0x5C010058</v>
      </c>
      <c r="I477" s="551" t="str">
        <f>"0x"&amp;DEC2HEX((HEX2DEC(C34)+4*22), 8)</f>
        <v>0x5C110058</v>
      </c>
      <c r="J477" s="548" t="str">
        <f>"0x"&amp;DEC2HEX((HEX2DEC(E477)+HEX2DEC(E479)), 8)</f>
        <v>0x00B00032</v>
      </c>
      <c r="K477" s="726" t="str">
        <f>"0x"&amp;DEC2HEX((HEX2DEC(E478)+HEX2DEC(E480)), 8)</f>
        <v>0x03300640</v>
      </c>
      <c r="L477"/>
      <c r="M477"/>
      <c r="N477"/>
      <c r="O477"/>
      <c r="P477"/>
      <c r="Q477"/>
      <c r="R477"/>
      <c r="S477"/>
      <c r="T477"/>
      <c r="U477"/>
      <c r="V477"/>
      <c r="W477"/>
    </row>
    <row r="478" spans="1:23" ht="41.25" customHeight="1" x14ac:dyDescent="0.25">
      <c r="A478" s="258"/>
      <c r="B478" s="177" t="s">
        <v>2120</v>
      </c>
      <c r="C478" s="247">
        <f>MAX(30/C30, 8)</f>
        <v>48</v>
      </c>
      <c r="D478" s="247">
        <f>ROUNDUP((C478),0) + 3</f>
        <v>51</v>
      </c>
      <c r="E478" s="485" t="str">
        <f>DEC2HEX(((D478)*2^20),8)</f>
        <v>03300000</v>
      </c>
      <c r="F478" s="722"/>
      <c r="G478" s="692"/>
      <c r="H478" s="546"/>
      <c r="I478" s="546"/>
      <c r="J478" s="549"/>
      <c r="K478" s="727"/>
      <c r="L478"/>
      <c r="M478"/>
      <c r="N478"/>
      <c r="O478"/>
      <c r="P478"/>
      <c r="Q478"/>
      <c r="R478"/>
      <c r="S478"/>
      <c r="T478"/>
      <c r="U478"/>
      <c r="V478"/>
      <c r="W478"/>
    </row>
    <row r="479" spans="1:23" ht="45" customHeight="1" x14ac:dyDescent="0.25">
      <c r="A479" s="258"/>
      <c r="B479" s="177" t="s">
        <v>2117</v>
      </c>
      <c r="C479" s="538">
        <v>1000</v>
      </c>
      <c r="D479" s="247">
        <f>ROUNDUP((C479*C29/1000/32),0)</f>
        <v>50</v>
      </c>
      <c r="E479" s="485" t="str">
        <f>DEC2HEX(((D479)*2^0),8)</f>
        <v>00000032</v>
      </c>
      <c r="F479" s="722" t="s">
        <v>553</v>
      </c>
      <c r="G479" s="692"/>
      <c r="H479" s="546"/>
      <c r="I479" s="546"/>
      <c r="J479" s="549"/>
      <c r="K479" s="727"/>
      <c r="L479"/>
      <c r="M479"/>
      <c r="N479"/>
      <c r="O479"/>
      <c r="P479"/>
      <c r="Q479"/>
      <c r="R479"/>
      <c r="S479"/>
      <c r="T479"/>
      <c r="U479"/>
      <c r="V479"/>
      <c r="W479"/>
    </row>
    <row r="480" spans="1:23" ht="54" customHeight="1" thickBot="1" x14ac:dyDescent="0.3">
      <c r="A480" s="258"/>
      <c r="B480" s="90" t="s">
        <v>2121</v>
      </c>
      <c r="C480" s="553"/>
      <c r="D480" s="248">
        <f>ROUNDUP((C479*C29/1000),0)</f>
        <v>1600</v>
      </c>
      <c r="E480" s="486" t="str">
        <f>DEC2HEX(((D480)*2^0),8)</f>
        <v>00000640</v>
      </c>
      <c r="F480" s="705"/>
      <c r="G480" s="725"/>
      <c r="H480" s="547"/>
      <c r="I480" s="547"/>
      <c r="J480" s="550"/>
      <c r="K480" s="728"/>
      <c r="L480"/>
      <c r="M480"/>
      <c r="N480"/>
      <c r="O480"/>
      <c r="P480"/>
      <c r="Q480"/>
      <c r="R480"/>
      <c r="S480"/>
      <c r="T480"/>
      <c r="U480"/>
      <c r="V480"/>
      <c r="W480"/>
    </row>
    <row r="481" spans="1:23" ht="13.8" thickBot="1" x14ac:dyDescent="0.3">
      <c r="A481" s="258"/>
      <c r="B481" s="260"/>
      <c r="C481" s="260"/>
      <c r="D481" s="259"/>
      <c r="E481" s="259"/>
      <c r="F481" s="262"/>
      <c r="G481" s="260"/>
      <c r="H481" s="259"/>
      <c r="I481" s="259"/>
      <c r="J481" s="43" t="s">
        <v>2177</v>
      </c>
      <c r="K481" s="509" t="s">
        <v>2178</v>
      </c>
      <c r="L481"/>
      <c r="M481"/>
      <c r="N481"/>
      <c r="O481"/>
      <c r="P481"/>
      <c r="Q481"/>
      <c r="R481"/>
      <c r="S481"/>
      <c r="T481"/>
      <c r="U481"/>
      <c r="V481"/>
      <c r="W481"/>
    </row>
    <row r="482" spans="1:23" ht="26.4" x14ac:dyDescent="0.25">
      <c r="A482" s="258"/>
      <c r="B482" s="174" t="s">
        <v>418</v>
      </c>
      <c r="C482" s="245" t="s">
        <v>0</v>
      </c>
      <c r="D482" s="484">
        <v>0</v>
      </c>
      <c r="E482" s="484" t="str">
        <f>DEC2HEX(((D482)*2^30),8)</f>
        <v>00000000</v>
      </c>
      <c r="F482" s="176" t="s">
        <v>554</v>
      </c>
      <c r="G482" s="528" t="s">
        <v>427</v>
      </c>
      <c r="H482" s="535" t="str">
        <f>"0x"&amp;DEC2HEX((HEX2DEC(C33)+4*320), 8)</f>
        <v>0x5C010500</v>
      </c>
      <c r="I482" s="535" t="str">
        <f>"0x"&amp;DEC2HEX((HEX2DEC(C34)+4*320), 8)</f>
        <v>0x5C110500</v>
      </c>
      <c r="J482" s="542" t="str">
        <f>"0x"&amp;DEC2HEX((HEX2DEC(E482)+HEX2DEC(E483)+HEX2DEC(E484)+HEX2DEC(E485)+HEX2DEC(E486)+HEX2DEC(E487)+HEX2DEC(E488)+HEX2DEC(E489)+HEX2DEC(E490)+HEX2DEC(E491)), 8)</f>
        <v>0x30070801</v>
      </c>
      <c r="K482" s="542" t="str">
        <f>"0x"&amp;DEC2HEX((HEX2DEC(E482)+HEX2DEC(E483)+HEX2DEC(E484)+HEX2DEC(E485)+HEX2DEC(E486)+HEX2DEC(E487)+HEX2DEC(E488)+HEX2DEC(E489)+HEX2DEC(E490)+HEX2DEC(E492)), 8)</f>
        <v>0x30070800</v>
      </c>
      <c r="L482"/>
      <c r="M482"/>
      <c r="N482"/>
      <c r="O482"/>
      <c r="P482"/>
      <c r="Q482"/>
      <c r="R482"/>
      <c r="S482"/>
      <c r="T482"/>
      <c r="U482"/>
      <c r="V482"/>
      <c r="W482"/>
    </row>
    <row r="483" spans="1:23" ht="26.4" x14ac:dyDescent="0.25">
      <c r="A483" s="258"/>
      <c r="B483" s="177" t="s">
        <v>419</v>
      </c>
      <c r="C483" s="243" t="s">
        <v>0</v>
      </c>
      <c r="D483" s="485">
        <v>1</v>
      </c>
      <c r="E483" s="485" t="str">
        <f>DEC2HEX(((D483)*2^29),8)</f>
        <v>20000000</v>
      </c>
      <c r="F483" s="178" t="s">
        <v>555</v>
      </c>
      <c r="G483" s="529"/>
      <c r="H483" s="536"/>
      <c r="I483" s="536"/>
      <c r="J483" s="543"/>
      <c r="K483" s="543"/>
      <c r="L483"/>
      <c r="M483"/>
      <c r="N483"/>
      <c r="O483"/>
      <c r="P483"/>
      <c r="Q483"/>
      <c r="R483"/>
      <c r="S483"/>
      <c r="T483"/>
      <c r="U483"/>
      <c r="V483"/>
      <c r="W483"/>
    </row>
    <row r="484" spans="1:23" ht="26.4" x14ac:dyDescent="0.25">
      <c r="A484" s="258"/>
      <c r="B484" s="177" t="s">
        <v>420</v>
      </c>
      <c r="C484" s="243" t="s">
        <v>0</v>
      </c>
      <c r="D484" s="485">
        <v>1</v>
      </c>
      <c r="E484" s="485" t="str">
        <f>DEC2HEX(((D484)*2^28),8)</f>
        <v>10000000</v>
      </c>
      <c r="F484" s="178" t="s">
        <v>556</v>
      </c>
      <c r="G484" s="529"/>
      <c r="H484" s="536"/>
      <c r="I484" s="536"/>
      <c r="J484" s="543"/>
      <c r="K484" s="543"/>
      <c r="L484"/>
      <c r="M484"/>
      <c r="N484"/>
      <c r="O484"/>
      <c r="P484"/>
      <c r="Q484"/>
      <c r="R484"/>
      <c r="S484"/>
      <c r="T484"/>
      <c r="U484"/>
      <c r="V484"/>
      <c r="W484"/>
    </row>
    <row r="485" spans="1:23" ht="26.4" x14ac:dyDescent="0.25">
      <c r="A485" s="258"/>
      <c r="B485" s="177" t="s">
        <v>421</v>
      </c>
      <c r="C485" s="243" t="s">
        <v>0</v>
      </c>
      <c r="D485" s="485">
        <v>0</v>
      </c>
      <c r="E485" s="485" t="str">
        <f>DEC2HEX(((D485)*2^26),8)</f>
        <v>00000000</v>
      </c>
      <c r="F485" s="178" t="s">
        <v>557</v>
      </c>
      <c r="G485" s="529"/>
      <c r="H485" s="536"/>
      <c r="I485" s="536"/>
      <c r="J485" s="543"/>
      <c r="K485" s="543"/>
      <c r="L485"/>
      <c r="M485"/>
      <c r="N485"/>
      <c r="O485"/>
      <c r="P485"/>
      <c r="Q485"/>
      <c r="R485"/>
      <c r="S485"/>
      <c r="T485"/>
      <c r="U485"/>
      <c r="V485"/>
      <c r="W485"/>
    </row>
    <row r="486" spans="1:23" ht="26.4" x14ac:dyDescent="0.25">
      <c r="A486" s="258"/>
      <c r="B486" s="177" t="s">
        <v>422</v>
      </c>
      <c r="C486" s="243" t="s">
        <v>0</v>
      </c>
      <c r="D486" s="485">
        <v>7</v>
      </c>
      <c r="E486" s="485" t="str">
        <f>DEC2HEX(((D486)*2^16),8)</f>
        <v>00070000</v>
      </c>
      <c r="F486" s="178" t="s">
        <v>428</v>
      </c>
      <c r="G486" s="529"/>
      <c r="H486" s="536"/>
      <c r="I486" s="536"/>
      <c r="J486" s="543"/>
      <c r="K486" s="543"/>
      <c r="L486"/>
      <c r="M486"/>
      <c r="N486"/>
      <c r="O486"/>
      <c r="P486"/>
      <c r="Q486"/>
      <c r="R486"/>
      <c r="S486"/>
      <c r="T486"/>
      <c r="U486"/>
      <c r="V486"/>
      <c r="W486"/>
    </row>
    <row r="487" spans="1:23" ht="66" x14ac:dyDescent="0.25">
      <c r="A487" s="258"/>
      <c r="B487" s="177" t="s">
        <v>423</v>
      </c>
      <c r="C487" s="243" t="s">
        <v>0</v>
      </c>
      <c r="D487" s="485">
        <v>2</v>
      </c>
      <c r="E487" s="485" t="str">
        <f>DEC2HEX(((D487)*2^10),8)</f>
        <v>00000800</v>
      </c>
      <c r="F487" s="178" t="s">
        <v>490</v>
      </c>
      <c r="G487" s="529"/>
      <c r="H487" s="536"/>
      <c r="I487" s="536"/>
      <c r="J487" s="543"/>
      <c r="K487" s="543"/>
      <c r="L487"/>
      <c r="M487"/>
      <c r="N487"/>
      <c r="O487"/>
      <c r="P487"/>
      <c r="Q487"/>
      <c r="R487"/>
      <c r="S487"/>
      <c r="T487"/>
      <c r="U487"/>
      <c r="V487"/>
      <c r="W487"/>
    </row>
    <row r="488" spans="1:23" x14ac:dyDescent="0.25">
      <c r="A488" s="258"/>
      <c r="B488" s="177" t="s">
        <v>424</v>
      </c>
      <c r="C488" s="243" t="s">
        <v>0</v>
      </c>
      <c r="D488" s="485">
        <v>0</v>
      </c>
      <c r="E488" s="485" t="str">
        <f>DEC2HEX(((D488)*2^6),8)</f>
        <v>00000000</v>
      </c>
      <c r="F488" s="178" t="s">
        <v>429</v>
      </c>
      <c r="G488" s="529"/>
      <c r="H488" s="536"/>
      <c r="I488" s="536"/>
      <c r="J488" s="543"/>
      <c r="K488" s="543"/>
      <c r="L488"/>
      <c r="M488"/>
      <c r="N488"/>
      <c r="O488"/>
      <c r="P488"/>
      <c r="Q488"/>
      <c r="R488"/>
      <c r="S488"/>
      <c r="T488"/>
      <c r="U488"/>
      <c r="V488"/>
      <c r="W488"/>
    </row>
    <row r="489" spans="1:23" ht="66" x14ac:dyDescent="0.25">
      <c r="A489" s="258"/>
      <c r="B489" s="177" t="s">
        <v>425</v>
      </c>
      <c r="C489" s="243" t="s">
        <v>0</v>
      </c>
      <c r="D489" s="485">
        <v>0</v>
      </c>
      <c r="E489" s="485" t="str">
        <f>DEC2HEX(((D489)*2^4),8)</f>
        <v>00000000</v>
      </c>
      <c r="F489" s="178" t="s">
        <v>430</v>
      </c>
      <c r="G489" s="529"/>
      <c r="H489" s="536"/>
      <c r="I489" s="536"/>
      <c r="J489" s="543"/>
      <c r="K489" s="543"/>
      <c r="L489"/>
      <c r="M489"/>
      <c r="N489"/>
      <c r="O489"/>
      <c r="P489"/>
      <c r="Q489"/>
      <c r="R489"/>
      <c r="S489"/>
      <c r="T489"/>
      <c r="U489"/>
      <c r="V489"/>
      <c r="W489"/>
    </row>
    <row r="490" spans="1:23" ht="66" x14ac:dyDescent="0.25">
      <c r="A490" s="258"/>
      <c r="B490" s="177" t="s">
        <v>426</v>
      </c>
      <c r="C490" s="243" t="s">
        <v>0</v>
      </c>
      <c r="D490" s="485">
        <v>0</v>
      </c>
      <c r="E490" s="485" t="str">
        <f>DEC2HEX(((D490)*2^2),8)</f>
        <v>00000000</v>
      </c>
      <c r="F490" s="178" t="s">
        <v>431</v>
      </c>
      <c r="G490" s="529"/>
      <c r="H490" s="536"/>
      <c r="I490" s="536"/>
      <c r="J490" s="543"/>
      <c r="K490" s="543"/>
      <c r="L490"/>
      <c r="M490"/>
      <c r="N490"/>
      <c r="O490"/>
      <c r="P490"/>
      <c r="Q490"/>
      <c r="R490"/>
      <c r="S490"/>
      <c r="T490"/>
      <c r="U490"/>
      <c r="V490"/>
      <c r="W490"/>
    </row>
    <row r="491" spans="1:23" ht="30.75" customHeight="1" x14ac:dyDescent="0.25">
      <c r="A491" s="258"/>
      <c r="B491" s="177" t="s">
        <v>2122</v>
      </c>
      <c r="C491" s="720" t="s">
        <v>0</v>
      </c>
      <c r="D491" s="485">
        <v>1</v>
      </c>
      <c r="E491" s="485" t="str">
        <f>DEC2HEX(((D491)*2^0),8)</f>
        <v>00000001</v>
      </c>
      <c r="F491" s="722" t="s">
        <v>558</v>
      </c>
      <c r="G491" s="529"/>
      <c r="H491" s="536"/>
      <c r="I491" s="536"/>
      <c r="J491" s="543"/>
      <c r="K491" s="543"/>
      <c r="L491"/>
      <c r="M491"/>
      <c r="N491"/>
      <c r="O491"/>
      <c r="P491"/>
      <c r="Q491"/>
      <c r="R491"/>
      <c r="S491"/>
      <c r="T491"/>
      <c r="U491"/>
      <c r="V491"/>
      <c r="W491"/>
    </row>
    <row r="492" spans="1:23" ht="28.5" customHeight="1" thickBot="1" x14ac:dyDescent="0.3">
      <c r="A492" s="258"/>
      <c r="B492" s="90" t="s">
        <v>2123</v>
      </c>
      <c r="C492" s="721"/>
      <c r="D492" s="486">
        <v>0</v>
      </c>
      <c r="E492" s="486" t="str">
        <f>DEC2HEX(((D492)*2^0),8)</f>
        <v>00000000</v>
      </c>
      <c r="F492" s="705"/>
      <c r="G492" s="540"/>
      <c r="H492" s="537"/>
      <c r="I492" s="537"/>
      <c r="J492" s="544"/>
      <c r="K492" s="544"/>
      <c r="L492"/>
      <c r="M492"/>
      <c r="N492"/>
      <c r="O492"/>
      <c r="P492"/>
      <c r="Q492"/>
      <c r="R492"/>
      <c r="S492"/>
      <c r="T492"/>
      <c r="U492"/>
      <c r="V492"/>
      <c r="W492"/>
    </row>
    <row r="493" spans="1:23" ht="13.8" thickBot="1" x14ac:dyDescent="0.3">
      <c r="A493" s="258"/>
      <c r="B493" s="258"/>
      <c r="C493" s="260"/>
      <c r="D493" s="259"/>
      <c r="E493" s="259"/>
      <c r="F493" s="262"/>
      <c r="G493" s="260"/>
      <c r="H493" s="259"/>
      <c r="I493" s="259"/>
      <c r="J493" s="259"/>
      <c r="L493"/>
      <c r="M493"/>
      <c r="N493"/>
      <c r="O493"/>
      <c r="P493"/>
      <c r="Q493"/>
      <c r="R493"/>
      <c r="S493"/>
      <c r="T493"/>
      <c r="U493"/>
      <c r="V493"/>
      <c r="W493"/>
    </row>
    <row r="494" spans="1:23" ht="118.8" x14ac:dyDescent="0.25">
      <c r="A494" s="258"/>
      <c r="B494" s="174" t="s">
        <v>432</v>
      </c>
      <c r="C494" s="245" t="s">
        <v>0</v>
      </c>
      <c r="D494" s="171">
        <v>4</v>
      </c>
      <c r="E494" s="79" t="str">
        <f>DEC2HEX(((D494)*2^25),8)</f>
        <v>08000000</v>
      </c>
      <c r="F494" s="176" t="s">
        <v>439</v>
      </c>
      <c r="G494" s="545" t="s">
        <v>440</v>
      </c>
      <c r="H494" s="551" t="str">
        <f>"0x"&amp;DEC2HEX((HEX2DEC(C33)+4*325), 8)</f>
        <v>0x5C010514</v>
      </c>
      <c r="I494" s="551" t="str">
        <f>"0x"&amp;DEC2HEX((HEX2DEC(C34)+4*325), 8)</f>
        <v>0x5C110514</v>
      </c>
      <c r="J494" s="548" t="str">
        <f>"0x"&amp;DEC2HEX((HEX2DEC(E494)+HEX2DEC(E495)+HEX2DEC(E496)+HEX2DEC(E497)), 8)</f>
        <v>0x09000000</v>
      </c>
      <c r="L494"/>
      <c r="M494"/>
      <c r="N494"/>
      <c r="O494"/>
      <c r="P494"/>
      <c r="Q494"/>
      <c r="R494"/>
      <c r="S494"/>
      <c r="T494"/>
      <c r="U494"/>
      <c r="V494"/>
      <c r="W494"/>
    </row>
    <row r="495" spans="1:23" ht="118.8" x14ac:dyDescent="0.25">
      <c r="A495" s="258"/>
      <c r="B495" s="177" t="s">
        <v>433</v>
      </c>
      <c r="C495" s="243" t="s">
        <v>0</v>
      </c>
      <c r="D495" s="250">
        <v>4</v>
      </c>
      <c r="E495" s="172" t="str">
        <f>DEC2HEX(((D495)*2^22),8)</f>
        <v>01000000</v>
      </c>
      <c r="F495" s="178" t="s">
        <v>438</v>
      </c>
      <c r="G495" s="552"/>
      <c r="H495" s="546"/>
      <c r="I495" s="546"/>
      <c r="J495" s="549"/>
      <c r="L495"/>
      <c r="M495"/>
      <c r="N495"/>
      <c r="O495"/>
      <c r="P495"/>
      <c r="Q495"/>
      <c r="R495"/>
      <c r="S495"/>
      <c r="T495"/>
      <c r="U495"/>
      <c r="V495"/>
      <c r="W495"/>
    </row>
    <row r="496" spans="1:23" ht="14.4" x14ac:dyDescent="0.25">
      <c r="A496" s="258"/>
      <c r="B496" s="177" t="s">
        <v>434</v>
      </c>
      <c r="C496" s="243" t="s">
        <v>0</v>
      </c>
      <c r="D496" s="250">
        <v>0</v>
      </c>
      <c r="E496" s="172" t="str">
        <f>DEC2HEX(((D496)*2^11),8)</f>
        <v>00000000</v>
      </c>
      <c r="F496" s="178" t="s">
        <v>437</v>
      </c>
      <c r="G496" s="552"/>
      <c r="H496" s="546"/>
      <c r="I496" s="546"/>
      <c r="J496" s="549"/>
      <c r="L496"/>
      <c r="M496"/>
      <c r="N496"/>
      <c r="O496"/>
      <c r="P496"/>
      <c r="Q496"/>
      <c r="R496"/>
      <c r="S496"/>
      <c r="T496"/>
      <c r="U496"/>
      <c r="V496"/>
      <c r="W496"/>
    </row>
    <row r="497" spans="1:23" ht="27" thickBot="1" x14ac:dyDescent="0.3">
      <c r="A497" s="258"/>
      <c r="B497" s="90" t="s">
        <v>435</v>
      </c>
      <c r="C497" s="246" t="s">
        <v>0</v>
      </c>
      <c r="D497" s="255">
        <v>0</v>
      </c>
      <c r="E497" s="173" t="str">
        <f>DEC2HEX(((D497)*2^0),8)</f>
        <v>00000000</v>
      </c>
      <c r="F497" s="83" t="s">
        <v>436</v>
      </c>
      <c r="G497" s="553"/>
      <c r="H497" s="547"/>
      <c r="I497" s="547"/>
      <c r="J497" s="550"/>
      <c r="L497"/>
      <c r="M497"/>
      <c r="N497"/>
      <c r="O497"/>
      <c r="P497"/>
      <c r="Q497"/>
      <c r="R497"/>
      <c r="S497"/>
      <c r="T497"/>
      <c r="U497"/>
      <c r="V497"/>
      <c r="W497"/>
    </row>
    <row r="498" spans="1:23" ht="15" thickBot="1" x14ac:dyDescent="0.3">
      <c r="A498" s="258"/>
      <c r="B498" s="260"/>
      <c r="C498" s="265"/>
      <c r="D498" s="297"/>
      <c r="E498" s="259"/>
      <c r="F498" s="262"/>
      <c r="G498" s="260"/>
      <c r="H498" s="259"/>
      <c r="I498" s="259"/>
      <c r="J498" s="259"/>
      <c r="L498"/>
      <c r="M498"/>
      <c r="N498"/>
      <c r="O498"/>
      <c r="P498"/>
      <c r="Q498"/>
      <c r="R498"/>
      <c r="S498"/>
      <c r="T498"/>
      <c r="U498"/>
      <c r="V498"/>
      <c r="W498"/>
    </row>
    <row r="499" spans="1:23" ht="94.8" x14ac:dyDescent="0.25">
      <c r="A499" s="258"/>
      <c r="B499" s="557" t="s">
        <v>661</v>
      </c>
      <c r="C499" s="245" t="s">
        <v>0</v>
      </c>
      <c r="D499" s="288">
        <v>1</v>
      </c>
      <c r="E499" s="310" t="str">
        <f>DEC2HEX(((D499)*2^30),8)</f>
        <v>40000000</v>
      </c>
      <c r="F499" s="176" t="s">
        <v>677</v>
      </c>
      <c r="G499" s="528" t="s">
        <v>660</v>
      </c>
      <c r="H499" s="535" t="str">
        <f>"0x"&amp;DEC2HEX((HEX2DEC(C33)+4*321), 8)</f>
        <v>0x5C010504</v>
      </c>
      <c r="I499" s="535" t="str">
        <f>"0x"&amp;DEC2HEX((HEX2DEC(C34)+4*321), 8)</f>
        <v>0x5C110504</v>
      </c>
      <c r="J499" s="542" t="str">
        <f>"0x"&amp;DEC2HEX((HEX2DEC(E499)+HEX2DEC(E500)+HEX2DEC(E501)+HEX2DEC(E502)+HEX2DEC(E503)+HEX2DEC(E504)+HEX2DEC(E505)+HEX2DEC(E506)+HEX2DEC(E507)+HEX2DEC(E508)+HEX2DEC(E509)+HEX2DEC(E510)+HEX2DEC(E511)+HEX2DEC(E512)+HEX2DEC(E513)+HEX2DEC(E514)), 8)</f>
        <v>0x44000000</v>
      </c>
      <c r="K499" s="340" t="s">
        <v>678</v>
      </c>
      <c r="L499"/>
      <c r="M499"/>
      <c r="N499"/>
      <c r="O499"/>
      <c r="P499"/>
      <c r="Q499"/>
      <c r="R499"/>
      <c r="S499"/>
      <c r="T499"/>
      <c r="U499"/>
      <c r="V499"/>
      <c r="W499"/>
    </row>
    <row r="500" spans="1:23" ht="14.4" x14ac:dyDescent="0.25">
      <c r="A500" s="258"/>
      <c r="B500" s="558"/>
      <c r="C500" s="243" t="s">
        <v>0</v>
      </c>
      <c r="D500" s="295">
        <v>0</v>
      </c>
      <c r="E500" s="311" t="str">
        <f>DEC2HEX(((D500)*2^28),8)</f>
        <v>00000000</v>
      </c>
      <c r="F500" s="178" t="s">
        <v>662</v>
      </c>
      <c r="G500" s="529"/>
      <c r="H500" s="536"/>
      <c r="I500" s="536"/>
      <c r="J500" s="543"/>
      <c r="L500"/>
      <c r="M500"/>
      <c r="N500"/>
      <c r="O500"/>
      <c r="P500"/>
      <c r="Q500"/>
      <c r="R500"/>
      <c r="S500"/>
      <c r="T500"/>
      <c r="U500"/>
      <c r="V500"/>
      <c r="W500"/>
    </row>
    <row r="501" spans="1:23" ht="79.2" x14ac:dyDescent="0.25">
      <c r="A501" s="258"/>
      <c r="B501" s="558"/>
      <c r="C501" s="243" t="s">
        <v>0</v>
      </c>
      <c r="D501" s="295">
        <v>1</v>
      </c>
      <c r="E501" s="311" t="str">
        <f>DEC2HEX(((D501)*2^26),8)</f>
        <v>04000000</v>
      </c>
      <c r="F501" s="178" t="s">
        <v>663</v>
      </c>
      <c r="G501" s="529"/>
      <c r="H501" s="536"/>
      <c r="I501" s="536"/>
      <c r="J501" s="543"/>
      <c r="K501" s="340" t="s">
        <v>678</v>
      </c>
      <c r="L501"/>
      <c r="M501"/>
      <c r="N501"/>
      <c r="O501"/>
      <c r="P501"/>
      <c r="Q501"/>
      <c r="R501"/>
      <c r="S501"/>
      <c r="T501"/>
      <c r="U501"/>
      <c r="V501"/>
      <c r="W501"/>
    </row>
    <row r="502" spans="1:23" ht="14.4" x14ac:dyDescent="0.25">
      <c r="A502" s="258"/>
      <c r="B502" s="558"/>
      <c r="C502" s="243" t="s">
        <v>0</v>
      </c>
      <c r="D502" s="295">
        <v>0</v>
      </c>
      <c r="E502" s="311" t="str">
        <f>DEC2HEX(((D502)*2^24),8)</f>
        <v>00000000</v>
      </c>
      <c r="F502" s="178" t="s">
        <v>664</v>
      </c>
      <c r="G502" s="529"/>
      <c r="H502" s="536"/>
      <c r="I502" s="536"/>
      <c r="J502" s="543"/>
      <c r="L502"/>
      <c r="M502"/>
      <c r="N502"/>
      <c r="O502"/>
      <c r="P502"/>
      <c r="Q502"/>
      <c r="R502"/>
      <c r="S502"/>
      <c r="T502"/>
      <c r="U502"/>
      <c r="V502"/>
      <c r="W502"/>
    </row>
    <row r="503" spans="1:23" ht="14.4" x14ac:dyDescent="0.25">
      <c r="A503" s="258"/>
      <c r="B503" s="558"/>
      <c r="C503" s="243" t="s">
        <v>0</v>
      </c>
      <c r="D503" s="295">
        <v>0</v>
      </c>
      <c r="E503" s="311" t="str">
        <f>DEC2HEX(((D503)*2^22),8)</f>
        <v>00000000</v>
      </c>
      <c r="F503" s="178" t="s">
        <v>665</v>
      </c>
      <c r="G503" s="529"/>
      <c r="H503" s="536"/>
      <c r="I503" s="536"/>
      <c r="J503" s="543"/>
      <c r="L503"/>
      <c r="M503"/>
      <c r="N503"/>
      <c r="O503"/>
      <c r="P503"/>
      <c r="Q503"/>
      <c r="R503"/>
      <c r="S503"/>
      <c r="T503"/>
      <c r="U503"/>
      <c r="V503"/>
      <c r="W503"/>
    </row>
    <row r="504" spans="1:23" ht="14.4" x14ac:dyDescent="0.25">
      <c r="A504" s="258"/>
      <c r="B504" s="558"/>
      <c r="C504" s="243" t="s">
        <v>0</v>
      </c>
      <c r="D504" s="295">
        <v>0</v>
      </c>
      <c r="E504" s="311" t="str">
        <f>DEC2HEX(((D504)*2^20),8)</f>
        <v>00000000</v>
      </c>
      <c r="F504" s="178" t="s">
        <v>666</v>
      </c>
      <c r="G504" s="529"/>
      <c r="H504" s="536"/>
      <c r="I504" s="536"/>
      <c r="J504" s="543"/>
      <c r="L504"/>
      <c r="M504"/>
      <c r="N504"/>
      <c r="O504"/>
      <c r="P504"/>
      <c r="Q504"/>
      <c r="R504"/>
      <c r="S504"/>
      <c r="T504"/>
      <c r="U504"/>
      <c r="V504"/>
      <c r="W504"/>
    </row>
    <row r="505" spans="1:23" ht="14.4" x14ac:dyDescent="0.25">
      <c r="A505" s="258"/>
      <c r="B505" s="558"/>
      <c r="C505" s="243" t="s">
        <v>0</v>
      </c>
      <c r="D505" s="295">
        <v>0</v>
      </c>
      <c r="E505" s="311" t="str">
        <f>DEC2HEX(((D505)*2^18),8)</f>
        <v>00000000</v>
      </c>
      <c r="F505" s="178" t="s">
        <v>667</v>
      </c>
      <c r="G505" s="529"/>
      <c r="H505" s="536"/>
      <c r="I505" s="536"/>
      <c r="J505" s="543"/>
      <c r="L505"/>
      <c r="M505"/>
      <c r="N505"/>
      <c r="O505"/>
      <c r="P505"/>
      <c r="Q505"/>
      <c r="R505"/>
      <c r="S505"/>
      <c r="T505"/>
      <c r="U505"/>
      <c r="V505"/>
      <c r="W505"/>
    </row>
    <row r="506" spans="1:23" ht="14.4" x14ac:dyDescent="0.25">
      <c r="A506" s="258"/>
      <c r="B506" s="558"/>
      <c r="C506" s="243" t="s">
        <v>0</v>
      </c>
      <c r="D506" s="295">
        <v>0</v>
      </c>
      <c r="E506" s="311" t="str">
        <f>DEC2HEX(((D506)*2^16),8)</f>
        <v>00000000</v>
      </c>
      <c r="F506" s="178" t="s">
        <v>668</v>
      </c>
      <c r="G506" s="529"/>
      <c r="H506" s="536"/>
      <c r="I506" s="536"/>
      <c r="J506" s="543"/>
      <c r="L506"/>
      <c r="M506"/>
      <c r="N506"/>
      <c r="O506"/>
      <c r="P506"/>
      <c r="Q506"/>
      <c r="R506"/>
      <c r="S506"/>
      <c r="T506"/>
      <c r="U506"/>
      <c r="V506"/>
      <c r="W506"/>
    </row>
    <row r="507" spans="1:23" ht="14.4" x14ac:dyDescent="0.25">
      <c r="A507" s="258"/>
      <c r="B507" s="558"/>
      <c r="C507" s="243" t="s">
        <v>0</v>
      </c>
      <c r="D507" s="295">
        <v>0</v>
      </c>
      <c r="E507" s="311" t="str">
        <f>DEC2HEX(((D507)*2^14),8)</f>
        <v>00000000</v>
      </c>
      <c r="F507" s="178" t="s">
        <v>669</v>
      </c>
      <c r="G507" s="529"/>
      <c r="H507" s="536"/>
      <c r="I507" s="536"/>
      <c r="J507" s="543"/>
      <c r="L507"/>
      <c r="M507"/>
      <c r="N507"/>
      <c r="O507"/>
      <c r="P507"/>
      <c r="Q507"/>
      <c r="R507"/>
      <c r="S507"/>
      <c r="T507"/>
      <c r="U507"/>
      <c r="V507"/>
      <c r="W507"/>
    </row>
    <row r="508" spans="1:23" ht="14.4" x14ac:dyDescent="0.25">
      <c r="A508" s="258"/>
      <c r="B508" s="558"/>
      <c r="C508" s="243" t="s">
        <v>0</v>
      </c>
      <c r="D508" s="295">
        <v>0</v>
      </c>
      <c r="E508" s="311" t="str">
        <f>DEC2HEX(((D508)*2^12),8)</f>
        <v>00000000</v>
      </c>
      <c r="F508" s="178" t="s">
        <v>670</v>
      </c>
      <c r="G508" s="529"/>
      <c r="H508" s="536"/>
      <c r="I508" s="536"/>
      <c r="J508" s="543"/>
      <c r="L508"/>
      <c r="M508"/>
      <c r="N508"/>
      <c r="O508"/>
      <c r="P508"/>
      <c r="Q508"/>
      <c r="R508"/>
      <c r="S508"/>
      <c r="T508"/>
      <c r="U508"/>
      <c r="V508"/>
      <c r="W508"/>
    </row>
    <row r="509" spans="1:23" ht="14.4" x14ac:dyDescent="0.25">
      <c r="A509" s="258"/>
      <c r="B509" s="558"/>
      <c r="C509" s="243" t="s">
        <v>0</v>
      </c>
      <c r="D509" s="295">
        <v>0</v>
      </c>
      <c r="E509" s="311" t="str">
        <f>DEC2HEX(((D509)*2^10),8)</f>
        <v>00000000</v>
      </c>
      <c r="F509" s="178" t="s">
        <v>671</v>
      </c>
      <c r="G509" s="529"/>
      <c r="H509" s="536"/>
      <c r="I509" s="536"/>
      <c r="J509" s="543"/>
      <c r="L509"/>
      <c r="M509"/>
      <c r="N509"/>
      <c r="O509"/>
      <c r="P509"/>
      <c r="Q509"/>
      <c r="R509"/>
      <c r="S509"/>
      <c r="T509"/>
      <c r="U509"/>
      <c r="V509"/>
      <c r="W509"/>
    </row>
    <row r="510" spans="1:23" ht="14.4" x14ac:dyDescent="0.25">
      <c r="A510" s="258"/>
      <c r="B510" s="558"/>
      <c r="C510" s="243" t="s">
        <v>0</v>
      </c>
      <c r="D510" s="295">
        <v>0</v>
      </c>
      <c r="E510" s="311" t="str">
        <f>DEC2HEX(((D510)*2^8),8)</f>
        <v>00000000</v>
      </c>
      <c r="F510" s="178" t="s">
        <v>672</v>
      </c>
      <c r="G510" s="529"/>
      <c r="H510" s="536"/>
      <c r="I510" s="536"/>
      <c r="J510" s="543"/>
      <c r="L510"/>
      <c r="M510"/>
      <c r="N510"/>
      <c r="O510"/>
      <c r="P510"/>
      <c r="Q510"/>
      <c r="R510"/>
      <c r="S510"/>
      <c r="T510"/>
      <c r="U510"/>
      <c r="V510"/>
      <c r="W510"/>
    </row>
    <row r="511" spans="1:23" ht="14.4" x14ac:dyDescent="0.25">
      <c r="A511" s="258"/>
      <c r="B511" s="558"/>
      <c r="C511" s="243" t="s">
        <v>0</v>
      </c>
      <c r="D511" s="295">
        <v>0</v>
      </c>
      <c r="E511" s="311" t="str">
        <f>DEC2HEX(((D511)*2^6),8)</f>
        <v>00000000</v>
      </c>
      <c r="F511" s="178" t="s">
        <v>673</v>
      </c>
      <c r="G511" s="529"/>
      <c r="H511" s="536"/>
      <c r="I511" s="536"/>
      <c r="J511" s="543"/>
      <c r="L511"/>
      <c r="M511"/>
      <c r="N511"/>
      <c r="O511"/>
      <c r="P511"/>
      <c r="Q511"/>
      <c r="R511"/>
      <c r="S511"/>
      <c r="T511"/>
      <c r="U511"/>
      <c r="V511"/>
      <c r="W511"/>
    </row>
    <row r="512" spans="1:23" ht="14.4" x14ac:dyDescent="0.25">
      <c r="A512" s="258"/>
      <c r="B512" s="558"/>
      <c r="C512" s="243" t="s">
        <v>0</v>
      </c>
      <c r="D512" s="295">
        <v>0</v>
      </c>
      <c r="E512" s="311" t="str">
        <f>DEC2HEX(((D512)*2^4),8)</f>
        <v>00000000</v>
      </c>
      <c r="F512" s="178" t="s">
        <v>674</v>
      </c>
      <c r="G512" s="529"/>
      <c r="H512" s="536"/>
      <c r="I512" s="536"/>
      <c r="J512" s="543"/>
      <c r="L512"/>
      <c r="M512"/>
      <c r="N512"/>
      <c r="O512"/>
      <c r="P512"/>
      <c r="Q512"/>
      <c r="R512"/>
      <c r="S512"/>
      <c r="T512"/>
      <c r="U512"/>
      <c r="V512"/>
      <c r="W512"/>
    </row>
    <row r="513" spans="1:23" ht="14.4" x14ac:dyDescent="0.25">
      <c r="A513" s="258"/>
      <c r="B513" s="558"/>
      <c r="C513" s="243" t="s">
        <v>0</v>
      </c>
      <c r="D513" s="295">
        <v>0</v>
      </c>
      <c r="E513" s="311" t="str">
        <f>DEC2HEX(((D513)*2^2),8)</f>
        <v>00000000</v>
      </c>
      <c r="F513" s="178" t="s">
        <v>675</v>
      </c>
      <c r="G513" s="529"/>
      <c r="H513" s="536"/>
      <c r="I513" s="536"/>
      <c r="J513" s="543"/>
      <c r="L513"/>
      <c r="M513"/>
      <c r="N513"/>
      <c r="O513"/>
      <c r="P513"/>
      <c r="Q513"/>
      <c r="R513"/>
      <c r="S513"/>
      <c r="T513"/>
      <c r="U513"/>
      <c r="V513"/>
      <c r="W513"/>
    </row>
    <row r="514" spans="1:23" ht="15" thickBot="1" x14ac:dyDescent="0.3">
      <c r="A514" s="258"/>
      <c r="B514" s="559"/>
      <c r="C514" s="246" t="s">
        <v>0</v>
      </c>
      <c r="D514" s="115">
        <v>0</v>
      </c>
      <c r="E514" s="312" t="str">
        <f>DEC2HEX(((D514)*2^0),8)</f>
        <v>00000000</v>
      </c>
      <c r="F514" s="83" t="s">
        <v>676</v>
      </c>
      <c r="G514" s="540"/>
      <c r="H514" s="537"/>
      <c r="I514" s="537"/>
      <c r="J514" s="544"/>
      <c r="L514"/>
      <c r="M514"/>
      <c r="N514"/>
      <c r="O514"/>
      <c r="P514"/>
      <c r="Q514"/>
      <c r="R514"/>
      <c r="S514"/>
      <c r="T514"/>
      <c r="U514"/>
      <c r="V514"/>
      <c r="W514"/>
    </row>
    <row r="515" spans="1:23" ht="13.8" thickBot="1" x14ac:dyDescent="0.3">
      <c r="A515" s="258"/>
      <c r="B515" s="258"/>
      <c r="C515" s="260"/>
      <c r="D515" s="259"/>
      <c r="E515" s="259"/>
      <c r="F515" s="262"/>
      <c r="G515" s="260"/>
      <c r="H515" s="259"/>
      <c r="I515" s="259"/>
      <c r="J515" s="259"/>
      <c r="L515"/>
      <c r="M515"/>
      <c r="N515"/>
      <c r="O515"/>
      <c r="P515"/>
      <c r="Q515"/>
      <c r="R515"/>
      <c r="S515"/>
      <c r="T515"/>
      <c r="U515"/>
      <c r="V515"/>
      <c r="W515"/>
    </row>
    <row r="516" spans="1:23" ht="184.8" x14ac:dyDescent="0.25">
      <c r="A516" s="258"/>
      <c r="B516" s="241" t="s">
        <v>449</v>
      </c>
      <c r="C516" s="245" t="s">
        <v>0</v>
      </c>
      <c r="D516" s="79">
        <v>7</v>
      </c>
      <c r="E516" s="79" t="str">
        <f>DEC2HEX(((D516)*2^29),8)</f>
        <v>E0000000</v>
      </c>
      <c r="F516" s="176" t="s">
        <v>559</v>
      </c>
      <c r="G516" s="545" t="s">
        <v>441</v>
      </c>
      <c r="H516" s="551" t="str">
        <f>"0x"&amp;DEC2HEX((HEX2DEC(C33)+4*330), 8)</f>
        <v>0x5C010528</v>
      </c>
      <c r="I516" s="551" t="str">
        <f>"0x"&amp;DEC2HEX((HEX2DEC(C34)+4*330), 8)</f>
        <v>0x5C110528</v>
      </c>
      <c r="J516" s="548" t="str">
        <f>"0x"&amp;DEC2HEX((HEX2DEC(E516)+HEX2DEC(E517)+HEX2DEC(E518)+HEX2DEC(E519)+HEX2DEC(E520)+HEX2DEC(E521)+HEX2DEC(E522)+HEX2DEC(E523)), 8)</f>
        <v>0xF0032008</v>
      </c>
      <c r="L516"/>
      <c r="M516"/>
      <c r="N516"/>
      <c r="O516"/>
      <c r="P516"/>
      <c r="Q516"/>
      <c r="R516"/>
      <c r="S516"/>
      <c r="T516"/>
      <c r="U516"/>
      <c r="V516"/>
      <c r="W516"/>
    </row>
    <row r="517" spans="1:23" ht="26.4" x14ac:dyDescent="0.25">
      <c r="A517" s="258"/>
      <c r="B517" s="175" t="s">
        <v>448</v>
      </c>
      <c r="C517" s="243" t="s">
        <v>0</v>
      </c>
      <c r="D517" s="172">
        <v>1</v>
      </c>
      <c r="E517" s="172" t="str">
        <f>DEC2HEX(((D517)*2^28),8)</f>
        <v>10000000</v>
      </c>
      <c r="F517" s="178" t="s">
        <v>450</v>
      </c>
      <c r="G517" s="552"/>
      <c r="H517" s="546"/>
      <c r="I517" s="546"/>
      <c r="J517" s="549"/>
      <c r="L517"/>
      <c r="M517"/>
      <c r="N517"/>
      <c r="O517"/>
      <c r="P517"/>
      <c r="Q517"/>
      <c r="R517"/>
      <c r="S517"/>
      <c r="T517"/>
      <c r="U517"/>
      <c r="V517"/>
      <c r="W517"/>
    </row>
    <row r="518" spans="1:23" ht="39.6" x14ac:dyDescent="0.25">
      <c r="A518" s="258"/>
      <c r="B518" s="177" t="s">
        <v>447</v>
      </c>
      <c r="C518" s="243" t="s">
        <v>0</v>
      </c>
      <c r="D518" s="172">
        <v>0</v>
      </c>
      <c r="E518" s="172" t="str">
        <f>DEC2HEX(((D518)*2^27),8)</f>
        <v>00000000</v>
      </c>
      <c r="F518" s="178" t="s">
        <v>451</v>
      </c>
      <c r="G518" s="552"/>
      <c r="H518" s="546"/>
      <c r="I518" s="546"/>
      <c r="J518" s="549"/>
      <c r="L518"/>
      <c r="M518"/>
      <c r="N518"/>
      <c r="O518"/>
      <c r="P518"/>
      <c r="Q518"/>
      <c r="R518"/>
      <c r="S518"/>
      <c r="T518"/>
      <c r="U518"/>
      <c r="V518"/>
      <c r="W518"/>
    </row>
    <row r="519" spans="1:23" ht="39.6" x14ac:dyDescent="0.25">
      <c r="A519" s="258"/>
      <c r="B519" s="175" t="s">
        <v>446</v>
      </c>
      <c r="C519" s="243" t="s">
        <v>0</v>
      </c>
      <c r="D519" s="172">
        <v>0</v>
      </c>
      <c r="E519" s="172" t="str">
        <f>DEC2HEX(((D519)*2^22),8)</f>
        <v>00000000</v>
      </c>
      <c r="F519" s="178" t="s">
        <v>456</v>
      </c>
      <c r="G519" s="552"/>
      <c r="H519" s="546"/>
      <c r="I519" s="546"/>
      <c r="J519" s="549"/>
      <c r="L519"/>
      <c r="M519"/>
      <c r="N519"/>
      <c r="O519"/>
      <c r="P519"/>
      <c r="Q519"/>
      <c r="R519"/>
      <c r="S519"/>
      <c r="T519"/>
      <c r="U519"/>
      <c r="V519"/>
      <c r="W519"/>
    </row>
    <row r="520" spans="1:23" ht="39.6" x14ac:dyDescent="0.25">
      <c r="A520" s="258"/>
      <c r="B520" s="175" t="s">
        <v>445</v>
      </c>
      <c r="C520" s="243" t="s">
        <v>0</v>
      </c>
      <c r="D520" s="172">
        <v>0</v>
      </c>
      <c r="E520" s="172" t="str">
        <f>DEC2HEX(((D520)*2^18),8)</f>
        <v>00000000</v>
      </c>
      <c r="F520" s="178" t="s">
        <v>452</v>
      </c>
      <c r="G520" s="552"/>
      <c r="H520" s="546"/>
      <c r="I520" s="546"/>
      <c r="J520" s="549"/>
      <c r="L520"/>
      <c r="M520"/>
      <c r="N520"/>
      <c r="O520"/>
      <c r="P520"/>
      <c r="Q520"/>
      <c r="R520"/>
      <c r="S520"/>
      <c r="T520"/>
      <c r="U520"/>
      <c r="V520"/>
      <c r="W520"/>
    </row>
    <row r="521" spans="1:23" x14ac:dyDescent="0.25">
      <c r="A521" s="258"/>
      <c r="B521" s="177" t="s">
        <v>444</v>
      </c>
      <c r="C521" s="243" t="s">
        <v>0</v>
      </c>
      <c r="D521" s="172">
        <v>50</v>
      </c>
      <c r="E521" s="172" t="str">
        <f>DEC2HEX(((D521)*2^12),8)</f>
        <v>00032000</v>
      </c>
      <c r="F521" s="178" t="s">
        <v>453</v>
      </c>
      <c r="G521" s="552"/>
      <c r="H521" s="546"/>
      <c r="I521" s="546"/>
      <c r="J521" s="549"/>
      <c r="L521"/>
      <c r="M521"/>
      <c r="N521"/>
      <c r="O521"/>
      <c r="P521"/>
      <c r="Q521"/>
      <c r="R521"/>
      <c r="S521"/>
      <c r="T521"/>
      <c r="U521"/>
      <c r="V521"/>
      <c r="W521"/>
    </row>
    <row r="522" spans="1:23" x14ac:dyDescent="0.25">
      <c r="A522" s="258"/>
      <c r="B522" s="175" t="s">
        <v>443</v>
      </c>
      <c r="C522" s="243" t="s">
        <v>0</v>
      </c>
      <c r="D522" s="172">
        <v>0</v>
      </c>
      <c r="E522" s="172" t="str">
        <f>DEC2HEX(((D522)*2^6),8)</f>
        <v>00000000</v>
      </c>
      <c r="F522" s="178" t="s">
        <v>454</v>
      </c>
      <c r="G522" s="552"/>
      <c r="H522" s="546"/>
      <c r="I522" s="546"/>
      <c r="J522" s="549"/>
      <c r="L522"/>
      <c r="M522"/>
      <c r="N522"/>
      <c r="O522"/>
      <c r="P522"/>
      <c r="Q522"/>
      <c r="R522"/>
      <c r="S522"/>
      <c r="T522"/>
      <c r="U522"/>
      <c r="V522"/>
      <c r="W522"/>
    </row>
    <row r="523" spans="1:23" ht="13.8" thickBot="1" x14ac:dyDescent="0.3">
      <c r="A523" s="258"/>
      <c r="B523" s="80" t="s">
        <v>442</v>
      </c>
      <c r="C523" s="246" t="s">
        <v>0</v>
      </c>
      <c r="D523" s="173">
        <v>8</v>
      </c>
      <c r="E523" s="173" t="str">
        <f>DEC2HEX(((D523)*2^0),8)</f>
        <v>00000008</v>
      </c>
      <c r="F523" s="83" t="s">
        <v>455</v>
      </c>
      <c r="G523" s="553"/>
      <c r="H523" s="547"/>
      <c r="I523" s="547"/>
      <c r="J523" s="550"/>
      <c r="L523"/>
      <c r="M523"/>
      <c r="N523"/>
      <c r="O523"/>
      <c r="P523"/>
      <c r="Q523"/>
      <c r="R523"/>
      <c r="S523"/>
      <c r="T523"/>
      <c r="U523"/>
      <c r="V523"/>
      <c r="W523"/>
    </row>
    <row r="524" spans="1:23" ht="13.8" thickBot="1" x14ac:dyDescent="0.3">
      <c r="A524" s="258"/>
      <c r="B524" s="258"/>
      <c r="C524" s="260"/>
      <c r="D524" s="259"/>
      <c r="E524" s="259"/>
      <c r="F524" s="262"/>
      <c r="G524" s="260"/>
      <c r="H524" s="259"/>
      <c r="I524" s="259"/>
      <c r="J524" s="259"/>
      <c r="L524"/>
      <c r="M524"/>
      <c r="N524"/>
      <c r="O524"/>
      <c r="P524"/>
      <c r="Q524"/>
      <c r="R524"/>
      <c r="S524"/>
      <c r="T524"/>
      <c r="U524"/>
      <c r="V524"/>
      <c r="W524"/>
    </row>
    <row r="525" spans="1:23" ht="26.4" x14ac:dyDescent="0.25">
      <c r="A525" s="258"/>
      <c r="B525" s="174" t="s">
        <v>467</v>
      </c>
      <c r="C525" s="245" t="s">
        <v>0</v>
      </c>
      <c r="D525" s="79">
        <v>0</v>
      </c>
      <c r="E525" s="79" t="str">
        <f>DEC2HEX(((D525)*2^28),8)</f>
        <v>00000000</v>
      </c>
      <c r="F525" s="176" t="s">
        <v>560</v>
      </c>
      <c r="G525" s="545" t="s">
        <v>457</v>
      </c>
      <c r="H525" s="551" t="str">
        <f>"0x"&amp;DEC2HEX((HEX2DEC(C33)+4*331), 8)</f>
        <v>0x5C01052C</v>
      </c>
      <c r="I525" s="551" t="str">
        <f>"0x"&amp;DEC2HEX((HEX2DEC(C34)+4*331), 8)</f>
        <v>0x5C11052C</v>
      </c>
      <c r="J525" s="548" t="str">
        <f>"0x"&amp;DEC2HEX((HEX2DEC(E525)+HEX2DEC(E526)+HEX2DEC(E527)+HEX2DEC(E528)+HEX2DEC(E529)+HEX2DEC(E530)+HEX2DEC(E531)+HEX2DEC(E532)+HEX2DEC(E533)+HEX2DEC(E534)), 8)</f>
        <v>0x07F001AB</v>
      </c>
      <c r="L525"/>
      <c r="M525"/>
      <c r="N525"/>
      <c r="O525"/>
      <c r="P525"/>
      <c r="Q525"/>
      <c r="R525"/>
      <c r="S525"/>
      <c r="T525"/>
      <c r="U525"/>
      <c r="V525"/>
      <c r="W525"/>
    </row>
    <row r="526" spans="1:23" x14ac:dyDescent="0.25">
      <c r="A526" s="258"/>
      <c r="B526" s="175" t="s">
        <v>466</v>
      </c>
      <c r="C526" s="243" t="s">
        <v>0</v>
      </c>
      <c r="D526" s="172">
        <v>127</v>
      </c>
      <c r="E526" s="172" t="str">
        <f>DEC2HEX(((D526)*2^20),8)</f>
        <v>07F00000</v>
      </c>
      <c r="F526" s="178" t="s">
        <v>468</v>
      </c>
      <c r="G526" s="552"/>
      <c r="H526" s="546"/>
      <c r="I526" s="546"/>
      <c r="J526" s="549"/>
      <c r="L526"/>
      <c r="M526"/>
      <c r="N526"/>
      <c r="O526"/>
      <c r="P526"/>
      <c r="Q526"/>
      <c r="R526"/>
      <c r="S526"/>
      <c r="T526"/>
      <c r="U526"/>
      <c r="V526"/>
      <c r="W526"/>
    </row>
    <row r="527" spans="1:23" x14ac:dyDescent="0.25">
      <c r="A527" s="258"/>
      <c r="B527" s="175" t="s">
        <v>465</v>
      </c>
      <c r="C527" s="243" t="s">
        <v>0</v>
      </c>
      <c r="D527" s="172">
        <v>0</v>
      </c>
      <c r="E527" s="172" t="str">
        <f>DEC2HEX(((D527)*2^12),8)</f>
        <v>00000000</v>
      </c>
      <c r="F527" s="178" t="s">
        <v>469</v>
      </c>
      <c r="G527" s="552"/>
      <c r="H527" s="546"/>
      <c r="I527" s="546"/>
      <c r="J527" s="549"/>
      <c r="L527"/>
      <c r="M527"/>
      <c r="N527"/>
      <c r="O527"/>
      <c r="P527"/>
      <c r="Q527"/>
      <c r="R527"/>
      <c r="S527"/>
      <c r="T527"/>
      <c r="U527"/>
      <c r="V527"/>
      <c r="W527"/>
    </row>
    <row r="528" spans="1:23" ht="26.4" x14ac:dyDescent="0.25">
      <c r="A528" s="258"/>
      <c r="B528" s="175" t="s">
        <v>464</v>
      </c>
      <c r="C528" s="243" t="s">
        <v>0</v>
      </c>
      <c r="D528" s="172">
        <v>0</v>
      </c>
      <c r="E528" s="172" t="str">
        <f>DEC2HEX(((D528)*2^9),8)</f>
        <v>00000000</v>
      </c>
      <c r="F528" s="178" t="s">
        <v>561</v>
      </c>
      <c r="G528" s="552"/>
      <c r="H528" s="546"/>
      <c r="I528" s="546"/>
      <c r="J528" s="549"/>
      <c r="L528"/>
      <c r="M528"/>
      <c r="N528"/>
      <c r="O528"/>
      <c r="P528"/>
      <c r="Q528"/>
      <c r="R528"/>
      <c r="S528"/>
      <c r="T528"/>
      <c r="U528"/>
      <c r="V528"/>
      <c r="W528"/>
    </row>
    <row r="529" spans="1:23" ht="92.4" x14ac:dyDescent="0.25">
      <c r="A529" s="258"/>
      <c r="B529" s="175" t="s">
        <v>463</v>
      </c>
      <c r="C529" s="243" t="s">
        <v>0</v>
      </c>
      <c r="D529" s="172">
        <v>1</v>
      </c>
      <c r="E529" s="172" t="str">
        <f>DEC2HEX(((D529)*2^8),8)</f>
        <v>00000100</v>
      </c>
      <c r="F529" s="178" t="s">
        <v>470</v>
      </c>
      <c r="G529" s="552"/>
      <c r="H529" s="546"/>
      <c r="I529" s="546"/>
      <c r="J529" s="549"/>
      <c r="L529"/>
      <c r="M529"/>
      <c r="N529"/>
      <c r="O529"/>
      <c r="P529"/>
      <c r="Q529"/>
      <c r="R529"/>
      <c r="S529"/>
      <c r="T529"/>
      <c r="U529"/>
      <c r="V529"/>
      <c r="W529"/>
    </row>
    <row r="530" spans="1:23" ht="158.4" x14ac:dyDescent="0.25">
      <c r="A530" s="258"/>
      <c r="B530" s="175" t="s">
        <v>462</v>
      </c>
      <c r="C530" s="243" t="s">
        <v>0</v>
      </c>
      <c r="D530" s="272">
        <f>IF(C29=1600, 5, IF(C29=1200, 4, 3))</f>
        <v>5</v>
      </c>
      <c r="E530" s="172" t="str">
        <f>DEC2HEX(((D530)*2^5),8)</f>
        <v>000000A0</v>
      </c>
      <c r="F530" s="178" t="s">
        <v>471</v>
      </c>
      <c r="G530" s="552"/>
      <c r="H530" s="546"/>
      <c r="I530" s="546"/>
      <c r="J530" s="549"/>
      <c r="L530"/>
      <c r="M530"/>
      <c r="N530"/>
      <c r="O530"/>
      <c r="P530"/>
      <c r="Q530"/>
      <c r="R530"/>
      <c r="S530"/>
      <c r="T530"/>
      <c r="U530"/>
      <c r="V530"/>
      <c r="W530"/>
    </row>
    <row r="531" spans="1:23" ht="171.6" x14ac:dyDescent="0.25">
      <c r="A531" s="258"/>
      <c r="B531" s="177" t="s">
        <v>461</v>
      </c>
      <c r="C531" s="243" t="s">
        <v>0</v>
      </c>
      <c r="D531" s="172">
        <v>1</v>
      </c>
      <c r="E531" s="172" t="str">
        <f>DEC2HEX(((D531)*2^3),8)</f>
        <v>00000008</v>
      </c>
      <c r="F531" s="178" t="s">
        <v>472</v>
      </c>
      <c r="G531" s="552"/>
      <c r="H531" s="546"/>
      <c r="I531" s="546"/>
      <c r="J531" s="549"/>
      <c r="L531"/>
      <c r="M531"/>
      <c r="N531"/>
      <c r="O531"/>
      <c r="P531"/>
      <c r="Q531"/>
      <c r="R531"/>
      <c r="S531"/>
      <c r="T531"/>
      <c r="U531"/>
      <c r="V531"/>
      <c r="W531"/>
    </row>
    <row r="532" spans="1:23" ht="171.6" x14ac:dyDescent="0.25">
      <c r="A532" s="258"/>
      <c r="B532" s="175" t="s">
        <v>460</v>
      </c>
      <c r="C532" s="243" t="s">
        <v>0</v>
      </c>
      <c r="D532" s="172">
        <v>0</v>
      </c>
      <c r="E532" s="172" t="str">
        <f>DEC2HEX(((D532)*2^2),8)</f>
        <v>00000000</v>
      </c>
      <c r="F532" s="178" t="s">
        <v>563</v>
      </c>
      <c r="G532" s="552"/>
      <c r="H532" s="546"/>
      <c r="I532" s="546"/>
      <c r="J532" s="549"/>
      <c r="L532"/>
      <c r="M532"/>
      <c r="N532"/>
      <c r="O532"/>
      <c r="P532"/>
      <c r="Q532"/>
      <c r="R532"/>
      <c r="S532"/>
      <c r="T532"/>
      <c r="U532"/>
      <c r="V532"/>
      <c r="W532"/>
    </row>
    <row r="533" spans="1:23" ht="26.4" x14ac:dyDescent="0.25">
      <c r="A533" s="258"/>
      <c r="B533" s="175" t="s">
        <v>459</v>
      </c>
      <c r="C533" s="243" t="s">
        <v>0</v>
      </c>
      <c r="D533" s="172">
        <v>1</v>
      </c>
      <c r="E533" s="172" t="str">
        <f>DEC2HEX(((D533)*2^1),8)</f>
        <v>00000002</v>
      </c>
      <c r="F533" s="178" t="s">
        <v>562</v>
      </c>
      <c r="G533" s="552"/>
      <c r="H533" s="546"/>
      <c r="I533" s="546"/>
      <c r="J533" s="549"/>
      <c r="L533"/>
      <c r="M533"/>
      <c r="N533"/>
      <c r="O533"/>
      <c r="P533"/>
      <c r="Q533"/>
      <c r="R533"/>
      <c r="S533"/>
      <c r="T533"/>
      <c r="U533"/>
      <c r="V533"/>
      <c r="W533"/>
    </row>
    <row r="534" spans="1:23" ht="119.4" thickBot="1" x14ac:dyDescent="0.3">
      <c r="A534" s="258"/>
      <c r="B534" s="80" t="s">
        <v>458</v>
      </c>
      <c r="C534" s="246" t="s">
        <v>0</v>
      </c>
      <c r="D534" s="173">
        <v>1</v>
      </c>
      <c r="E534" s="173" t="str">
        <f>DEC2HEX(((D534)*2^0),8)</f>
        <v>00000001</v>
      </c>
      <c r="F534" s="83" t="s">
        <v>473</v>
      </c>
      <c r="G534" s="553"/>
      <c r="H534" s="547"/>
      <c r="I534" s="547"/>
      <c r="J534" s="550"/>
      <c r="L534"/>
      <c r="M534"/>
      <c r="N534"/>
      <c r="O534"/>
      <c r="P534"/>
      <c r="Q534"/>
      <c r="R534"/>
      <c r="S534"/>
      <c r="T534"/>
      <c r="U534"/>
      <c r="V534"/>
      <c r="W534"/>
    </row>
    <row r="535" spans="1:23" ht="13.8" thickBot="1" x14ac:dyDescent="0.3">
      <c r="A535" s="258"/>
      <c r="B535" s="258"/>
      <c r="C535" s="260"/>
      <c r="D535" s="259"/>
      <c r="E535" s="259"/>
      <c r="F535" s="262"/>
      <c r="G535" s="260"/>
      <c r="H535" s="259"/>
      <c r="I535" s="259"/>
      <c r="J535" s="259"/>
      <c r="L535"/>
      <c r="M535"/>
      <c r="N535"/>
      <c r="O535"/>
      <c r="P535"/>
      <c r="Q535"/>
      <c r="R535"/>
      <c r="S535"/>
      <c r="T535"/>
      <c r="U535"/>
      <c r="V535"/>
      <c r="W535"/>
    </row>
    <row r="536" spans="1:23" ht="92.4" x14ac:dyDescent="0.25">
      <c r="A536" s="258"/>
      <c r="B536" s="241" t="s">
        <v>475</v>
      </c>
      <c r="C536" s="245" t="s">
        <v>0</v>
      </c>
      <c r="D536" s="79">
        <v>0</v>
      </c>
      <c r="E536" s="79" t="str">
        <f>DEC2HEX(((D536)*2^23),8)</f>
        <v>00000000</v>
      </c>
      <c r="F536" s="176" t="s">
        <v>568</v>
      </c>
      <c r="G536" s="545" t="s">
        <v>474</v>
      </c>
      <c r="H536" s="551" t="str">
        <f>"0x"&amp;DEC2HEX((HEX2DEC(C33)+4*1531), 8)</f>
        <v>0x5C0117EC</v>
      </c>
      <c r="I536" s="551" t="str">
        <f>"0x"&amp;DEC2HEX((HEX2DEC(C34)+4*1531), 8)</f>
        <v>0x5C1117EC</v>
      </c>
      <c r="J536" s="548" t="str">
        <f>"0x"&amp;DEC2HEX((HEX2DEC(E536)+HEX2DEC(E537)+HEX2DEC(E538)+HEX2DEC(E539)+HEX2DEC(E540)+HEX2DEC(E541)+HEX2DEC(E542)+HEX2DEC(E543)+HEX2DEC(E544)+HEX2DEC(E545)+HEX2DEC(E546)+HEX2DEC(E547)), 8)</f>
        <v>0x001C1600</v>
      </c>
      <c r="L536"/>
      <c r="M536"/>
      <c r="N536"/>
      <c r="O536"/>
      <c r="P536"/>
      <c r="Q536"/>
      <c r="R536"/>
      <c r="S536"/>
      <c r="T536"/>
      <c r="U536"/>
      <c r="V536"/>
      <c r="W536"/>
    </row>
    <row r="537" spans="1:23" ht="198" x14ac:dyDescent="0.25">
      <c r="A537" s="258"/>
      <c r="B537" s="175" t="s">
        <v>476</v>
      </c>
      <c r="C537" s="243" t="s">
        <v>0</v>
      </c>
      <c r="D537" s="172">
        <v>1</v>
      </c>
      <c r="E537" s="172" t="str">
        <f>DEC2HEX(((D537)*2^20),8)</f>
        <v>00100000</v>
      </c>
      <c r="F537" s="178" t="s">
        <v>567</v>
      </c>
      <c r="G537" s="552"/>
      <c r="H537" s="546"/>
      <c r="I537" s="546"/>
      <c r="J537" s="549"/>
      <c r="L537"/>
      <c r="M537"/>
      <c r="N537"/>
      <c r="O537"/>
      <c r="P537"/>
      <c r="Q537"/>
      <c r="R537"/>
      <c r="S537"/>
      <c r="T537"/>
      <c r="U537"/>
      <c r="V537"/>
      <c r="W537"/>
    </row>
    <row r="538" spans="1:23" ht="158.4" x14ac:dyDescent="0.25">
      <c r="A538" s="258"/>
      <c r="B538" s="175" t="s">
        <v>477</v>
      </c>
      <c r="C538" s="243" t="s">
        <v>0</v>
      </c>
      <c r="D538" s="172">
        <v>3</v>
      </c>
      <c r="E538" s="172" t="str">
        <f>DEC2HEX(((D538)*2^18),8)</f>
        <v>000C0000</v>
      </c>
      <c r="F538" s="178" t="s">
        <v>566</v>
      </c>
      <c r="G538" s="552"/>
      <c r="H538" s="546"/>
      <c r="I538" s="546"/>
      <c r="J538" s="549"/>
      <c r="L538"/>
      <c r="M538"/>
      <c r="N538"/>
      <c r="O538"/>
      <c r="P538"/>
      <c r="Q538"/>
      <c r="R538"/>
      <c r="S538"/>
      <c r="T538"/>
      <c r="U538"/>
      <c r="V538"/>
      <c r="W538"/>
    </row>
    <row r="539" spans="1:23" ht="92.4" x14ac:dyDescent="0.25">
      <c r="A539" s="258"/>
      <c r="B539" s="175" t="s">
        <v>478</v>
      </c>
      <c r="C539" s="243" t="s">
        <v>0</v>
      </c>
      <c r="D539" s="172">
        <v>0</v>
      </c>
      <c r="E539" s="172" t="str">
        <f>DEC2HEX(((D539)*2^16),8)</f>
        <v>00000000</v>
      </c>
      <c r="F539" s="178" t="s">
        <v>565</v>
      </c>
      <c r="G539" s="552"/>
      <c r="H539" s="546"/>
      <c r="I539" s="546"/>
      <c r="J539" s="549"/>
      <c r="L539"/>
      <c r="M539"/>
      <c r="N539"/>
      <c r="O539"/>
      <c r="P539"/>
      <c r="Q539"/>
      <c r="R539"/>
      <c r="S539"/>
      <c r="T539"/>
      <c r="U539"/>
      <c r="V539"/>
      <c r="W539"/>
    </row>
    <row r="540" spans="1:23" ht="75" customHeight="1" x14ac:dyDescent="0.25">
      <c r="A540" s="258"/>
      <c r="B540" s="175" t="s">
        <v>314</v>
      </c>
      <c r="C540" s="243" t="s">
        <v>0</v>
      </c>
      <c r="D540" s="172">
        <v>0</v>
      </c>
      <c r="E540" s="172" t="str">
        <f>DEC2HEX(((D540)*2^15),8)</f>
        <v>00000000</v>
      </c>
      <c r="F540" s="178" t="s">
        <v>564</v>
      </c>
      <c r="G540" s="552"/>
      <c r="H540" s="546"/>
      <c r="I540" s="546"/>
      <c r="J540" s="549"/>
      <c r="L540"/>
      <c r="M540"/>
      <c r="N540"/>
      <c r="O540"/>
      <c r="P540"/>
      <c r="Q540"/>
      <c r="R540"/>
      <c r="S540"/>
      <c r="T540"/>
      <c r="U540"/>
      <c r="V540"/>
      <c r="W540"/>
    </row>
    <row r="541" spans="1:23" ht="330.75" customHeight="1" x14ac:dyDescent="0.25">
      <c r="A541" s="258"/>
      <c r="B541" s="177" t="s">
        <v>479</v>
      </c>
      <c r="C541" s="243" t="s">
        <v>0</v>
      </c>
      <c r="D541" s="172">
        <v>11</v>
      </c>
      <c r="E541" s="172" t="str">
        <f>DEC2HEX(((D541)*2^9),8)</f>
        <v>00001600</v>
      </c>
      <c r="F541" s="257" t="s">
        <v>644</v>
      </c>
      <c r="G541" s="552"/>
      <c r="H541" s="546"/>
      <c r="I541" s="546"/>
      <c r="J541" s="549"/>
      <c r="L541"/>
      <c r="M541"/>
      <c r="N541"/>
      <c r="O541"/>
      <c r="P541"/>
      <c r="Q541"/>
      <c r="R541"/>
      <c r="S541"/>
      <c r="T541"/>
      <c r="U541"/>
      <c r="V541"/>
      <c r="W541"/>
    </row>
    <row r="542" spans="1:23" ht="92.4" x14ac:dyDescent="0.25">
      <c r="A542" s="258"/>
      <c r="B542" s="175" t="s">
        <v>480</v>
      </c>
      <c r="C542" s="243" t="s">
        <v>0</v>
      </c>
      <c r="D542" s="172">
        <v>0</v>
      </c>
      <c r="E542" s="172" t="str">
        <f>DEC2HEX(((D542)*2^8),8)</f>
        <v>00000000</v>
      </c>
      <c r="F542" s="178" t="s">
        <v>489</v>
      </c>
      <c r="G542" s="552"/>
      <c r="H542" s="546"/>
      <c r="I542" s="546"/>
      <c r="J542" s="549"/>
      <c r="L542"/>
      <c r="M542"/>
      <c r="N542"/>
      <c r="O542"/>
      <c r="P542"/>
      <c r="Q542"/>
      <c r="R542"/>
      <c r="S542"/>
      <c r="T542"/>
      <c r="U542"/>
      <c r="V542"/>
      <c r="W542"/>
    </row>
    <row r="543" spans="1:23" ht="79.2" x14ac:dyDescent="0.25">
      <c r="A543" s="258"/>
      <c r="B543" s="177" t="s">
        <v>481</v>
      </c>
      <c r="C543" s="243" t="s">
        <v>0</v>
      </c>
      <c r="D543" s="172">
        <v>0</v>
      </c>
      <c r="E543" s="172" t="str">
        <f>DEC2HEX(((D543)*2^7),8)</f>
        <v>00000000</v>
      </c>
      <c r="F543" s="178" t="s">
        <v>488</v>
      </c>
      <c r="G543" s="552"/>
      <c r="H543" s="546"/>
      <c r="I543" s="546"/>
      <c r="J543" s="549"/>
      <c r="L543"/>
      <c r="M543"/>
      <c r="N543"/>
      <c r="O543"/>
      <c r="P543"/>
      <c r="Q543"/>
      <c r="R543"/>
      <c r="S543"/>
      <c r="T543"/>
      <c r="U543"/>
      <c r="V543"/>
      <c r="W543"/>
    </row>
    <row r="544" spans="1:23" ht="92.4" x14ac:dyDescent="0.25">
      <c r="A544" s="258"/>
      <c r="B544" s="175" t="s">
        <v>482</v>
      </c>
      <c r="C544" s="243" t="s">
        <v>0</v>
      </c>
      <c r="D544" s="172">
        <v>0</v>
      </c>
      <c r="E544" s="172" t="str">
        <f>DEC2HEX(((D544)*2^6),8)</f>
        <v>00000000</v>
      </c>
      <c r="F544" s="178" t="s">
        <v>487</v>
      </c>
      <c r="G544" s="552"/>
      <c r="H544" s="546"/>
      <c r="I544" s="546"/>
      <c r="J544" s="549"/>
      <c r="L544"/>
      <c r="M544"/>
      <c r="N544"/>
      <c r="O544"/>
      <c r="P544"/>
      <c r="Q544"/>
      <c r="R544"/>
      <c r="S544"/>
      <c r="T544"/>
      <c r="U544"/>
      <c r="V544"/>
      <c r="W544"/>
    </row>
    <row r="545" spans="1:23" ht="171.6" x14ac:dyDescent="0.25">
      <c r="A545" s="258"/>
      <c r="B545" s="175" t="s">
        <v>315</v>
      </c>
      <c r="C545" s="243" t="s">
        <v>0</v>
      </c>
      <c r="D545" s="172">
        <v>0</v>
      </c>
      <c r="E545" s="172" t="str">
        <f>DEC2HEX(((D545)*2^4),8)</f>
        <v>00000000</v>
      </c>
      <c r="F545" s="178" t="s">
        <v>486</v>
      </c>
      <c r="G545" s="552"/>
      <c r="H545" s="546"/>
      <c r="I545" s="546"/>
      <c r="J545" s="549"/>
      <c r="L545"/>
      <c r="M545"/>
      <c r="N545"/>
      <c r="O545"/>
      <c r="P545"/>
      <c r="Q545"/>
      <c r="R545"/>
      <c r="S545"/>
      <c r="T545"/>
      <c r="U545"/>
      <c r="V545"/>
      <c r="W545"/>
    </row>
    <row r="546" spans="1:23" ht="79.2" x14ac:dyDescent="0.25">
      <c r="A546" s="258"/>
      <c r="B546" s="177" t="s">
        <v>316</v>
      </c>
      <c r="C546" s="243" t="s">
        <v>0</v>
      </c>
      <c r="D546" s="172">
        <v>0</v>
      </c>
      <c r="E546" s="172" t="str">
        <f>DEC2HEX(((D546)*2^3),8)</f>
        <v>00000000</v>
      </c>
      <c r="F546" s="178" t="s">
        <v>485</v>
      </c>
      <c r="G546" s="552"/>
      <c r="H546" s="546"/>
      <c r="I546" s="546"/>
      <c r="J546" s="549"/>
      <c r="L546"/>
      <c r="M546"/>
      <c r="N546"/>
      <c r="O546"/>
      <c r="P546"/>
      <c r="Q546"/>
      <c r="R546"/>
      <c r="S546"/>
      <c r="T546"/>
      <c r="U546"/>
      <c r="V546"/>
      <c r="W546"/>
    </row>
    <row r="547" spans="1:23" ht="251.4" thickBot="1" x14ac:dyDescent="0.3">
      <c r="A547" s="258"/>
      <c r="B547" s="90" t="s">
        <v>483</v>
      </c>
      <c r="C547" s="246" t="s">
        <v>0</v>
      </c>
      <c r="D547" s="173">
        <v>0</v>
      </c>
      <c r="E547" s="173" t="str">
        <f>DEC2HEX(((D547)*2^1),8)</f>
        <v>00000000</v>
      </c>
      <c r="F547" s="83" t="s">
        <v>484</v>
      </c>
      <c r="G547" s="553"/>
      <c r="H547" s="547"/>
      <c r="I547" s="547"/>
      <c r="J547" s="550"/>
      <c r="L547"/>
      <c r="M547"/>
      <c r="N547"/>
      <c r="O547"/>
      <c r="P547"/>
      <c r="Q547"/>
      <c r="R547"/>
      <c r="S547"/>
      <c r="T547"/>
      <c r="U547"/>
      <c r="V547"/>
      <c r="W547"/>
    </row>
    <row r="548" spans="1:23" ht="13.8" thickBot="1" x14ac:dyDescent="0.3">
      <c r="A548" s="258"/>
      <c r="B548" s="258"/>
      <c r="C548" s="260"/>
      <c r="D548" s="259"/>
      <c r="E548" s="259"/>
      <c r="F548" s="262"/>
      <c r="G548" s="260"/>
      <c r="H548" s="259"/>
      <c r="I548" s="259"/>
      <c r="J548" s="259"/>
      <c r="L548"/>
      <c r="M548"/>
      <c r="N548"/>
      <c r="O548"/>
      <c r="P548"/>
      <c r="Q548"/>
      <c r="R548"/>
      <c r="S548"/>
      <c r="T548"/>
      <c r="U548"/>
      <c r="V548"/>
      <c r="W548"/>
    </row>
    <row r="549" spans="1:23" x14ac:dyDescent="0.25">
      <c r="A549" s="258"/>
      <c r="B549" s="174" t="s">
        <v>570</v>
      </c>
      <c r="C549" s="245" t="s">
        <v>0</v>
      </c>
      <c r="D549" s="79">
        <v>7</v>
      </c>
      <c r="E549" s="79" t="str">
        <f>DEC2HEX(((D549)*2^28),8)</f>
        <v>70000000</v>
      </c>
      <c r="F549" s="176" t="s">
        <v>579</v>
      </c>
      <c r="G549" s="545" t="s">
        <v>569</v>
      </c>
      <c r="H549" s="551" t="str">
        <f>"0x"&amp;DEC2HEX((HEX2DEC(C33)+4*1532), 8)</f>
        <v>0x5C0117F0</v>
      </c>
      <c r="I549" s="551" t="str">
        <f>"0x"&amp;DEC2HEX((HEX2DEC(C34)+4*1532), 8)</f>
        <v>0x5C1117F0</v>
      </c>
      <c r="J549" s="548" t="str">
        <f>"0x"&amp;DEC2HEX((HEX2DEC(E549)+HEX2DEC(E550)+HEX2DEC(E551)+HEX2DEC(E552)+HEX2DEC(E553)), 8)</f>
        <v>0x79000000</v>
      </c>
      <c r="L549"/>
      <c r="M549"/>
      <c r="N549"/>
      <c r="O549"/>
      <c r="P549"/>
      <c r="Q549"/>
      <c r="R549"/>
      <c r="S549"/>
      <c r="T549"/>
      <c r="U549"/>
      <c r="V549"/>
      <c r="W549"/>
    </row>
    <row r="550" spans="1:23" ht="118.8" x14ac:dyDescent="0.25">
      <c r="A550" s="258"/>
      <c r="B550" s="175" t="s">
        <v>571</v>
      </c>
      <c r="C550" s="243" t="s">
        <v>0</v>
      </c>
      <c r="D550" s="172">
        <v>4</v>
      </c>
      <c r="E550" s="172" t="str">
        <f>DEC2HEX(((D550)*2^25),8)</f>
        <v>08000000</v>
      </c>
      <c r="F550" s="178" t="s">
        <v>578</v>
      </c>
      <c r="G550" s="552"/>
      <c r="H550" s="546"/>
      <c r="I550" s="546"/>
      <c r="J550" s="549"/>
      <c r="L550"/>
      <c r="M550"/>
      <c r="N550"/>
      <c r="O550"/>
      <c r="P550"/>
      <c r="Q550"/>
      <c r="R550"/>
      <c r="S550"/>
      <c r="T550"/>
      <c r="U550"/>
      <c r="V550"/>
      <c r="W550"/>
    </row>
    <row r="551" spans="1:23" ht="118.8" x14ac:dyDescent="0.25">
      <c r="A551" s="258"/>
      <c r="B551" s="175" t="s">
        <v>572</v>
      </c>
      <c r="C551" s="243" t="s">
        <v>0</v>
      </c>
      <c r="D551" s="172">
        <v>4</v>
      </c>
      <c r="E551" s="172" t="str">
        <f>DEC2HEX(((D551)*2^22),8)</f>
        <v>01000000</v>
      </c>
      <c r="F551" s="178" t="s">
        <v>577</v>
      </c>
      <c r="G551" s="552"/>
      <c r="H551" s="546"/>
      <c r="I551" s="546"/>
      <c r="J551" s="549"/>
      <c r="L551"/>
      <c r="M551"/>
      <c r="N551"/>
      <c r="O551"/>
      <c r="P551"/>
      <c r="Q551"/>
      <c r="R551"/>
      <c r="S551"/>
      <c r="T551"/>
      <c r="U551"/>
      <c r="V551"/>
      <c r="W551"/>
    </row>
    <row r="552" spans="1:23" x14ac:dyDescent="0.25">
      <c r="A552" s="258"/>
      <c r="B552" s="177" t="s">
        <v>573</v>
      </c>
      <c r="C552" s="243" t="s">
        <v>0</v>
      </c>
      <c r="D552" s="172">
        <v>0</v>
      </c>
      <c r="E552" s="172" t="str">
        <f>DEC2HEX(((D552)*2^11),8)</f>
        <v>00000000</v>
      </c>
      <c r="F552" s="178" t="s">
        <v>576</v>
      </c>
      <c r="G552" s="552"/>
      <c r="H552" s="546"/>
      <c r="I552" s="546"/>
      <c r="J552" s="549"/>
      <c r="L552"/>
      <c r="M552"/>
      <c r="N552"/>
      <c r="O552"/>
      <c r="P552"/>
      <c r="Q552"/>
      <c r="R552"/>
      <c r="S552"/>
      <c r="T552"/>
      <c r="U552"/>
      <c r="V552"/>
      <c r="W552"/>
    </row>
    <row r="553" spans="1:23" ht="13.8" thickBot="1" x14ac:dyDescent="0.3">
      <c r="A553" s="258"/>
      <c r="B553" s="80" t="s">
        <v>574</v>
      </c>
      <c r="C553" s="246" t="s">
        <v>0</v>
      </c>
      <c r="D553" s="173">
        <v>0</v>
      </c>
      <c r="E553" s="173" t="str">
        <f>DEC2HEX(((D553)*2^0),8)</f>
        <v>00000000</v>
      </c>
      <c r="F553" s="83" t="s">
        <v>575</v>
      </c>
      <c r="G553" s="553"/>
      <c r="H553" s="547"/>
      <c r="I553" s="547"/>
      <c r="J553" s="550"/>
      <c r="L553"/>
      <c r="M553"/>
      <c r="N553"/>
      <c r="O553"/>
      <c r="P553"/>
      <c r="Q553"/>
      <c r="R553"/>
      <c r="S553"/>
      <c r="T553"/>
      <c r="U553"/>
      <c r="V553"/>
      <c r="W553"/>
    </row>
    <row r="554" spans="1:23" ht="13.8" thickBot="1" x14ac:dyDescent="0.3">
      <c r="A554" s="258"/>
      <c r="B554" s="267"/>
      <c r="C554" s="260"/>
      <c r="D554" s="259"/>
      <c r="E554" s="259"/>
      <c r="F554" s="262"/>
      <c r="G554" s="260"/>
      <c r="H554" s="259"/>
      <c r="I554" s="259"/>
      <c r="J554" s="259"/>
      <c r="L554"/>
      <c r="M554"/>
      <c r="N554"/>
      <c r="O554"/>
      <c r="P554"/>
      <c r="Q554"/>
      <c r="R554"/>
      <c r="S554"/>
      <c r="T554"/>
      <c r="U554"/>
      <c r="V554"/>
      <c r="W554"/>
    </row>
    <row r="555" spans="1:23" x14ac:dyDescent="0.25">
      <c r="A555" s="258"/>
      <c r="B555" s="273" t="s">
        <v>646</v>
      </c>
      <c r="C555" s="285" t="s">
        <v>0</v>
      </c>
      <c r="D555" s="518">
        <v>1</v>
      </c>
      <c r="E555" s="515" t="str">
        <f>DEC2HEX(((D555)*2^24),8)</f>
        <v>01000000</v>
      </c>
      <c r="F555" s="274" t="s">
        <v>647</v>
      </c>
      <c r="G555" s="580" t="s">
        <v>580</v>
      </c>
      <c r="H555" s="535" t="str">
        <f>"0x"&amp;DEC2HEX((HEX2DEC(C33)+4*1527), 8)</f>
        <v>0x5C0117DC</v>
      </c>
      <c r="I555" s="535" t="str">
        <f>"0x"&amp;DEC2HEX((HEX2DEC(C34)+4*1527), 8)</f>
        <v>0x5C1117DC</v>
      </c>
      <c r="J555" s="542" t="str">
        <f>"0x"&amp;DEC2HEX((HEX2DEC(E565)+HEX2DEC(E564)+HEX2DEC(E563)+HEX2DEC(E562)+HEX2DEC(E561)+HEX2DEC(E560)+HEX2DEC(E559)+HEX2DEC(E558)+HEX2DEC(E557)+HEX2DEC(E556)+HEX2DEC(E555)), 8)</f>
        <v>0x012240B3</v>
      </c>
      <c r="K555" s="542" t="str">
        <f>"0x"&amp;DEC2HEX((HEX2DEC(E563)+HEX2DEC(E562)+HEX2DEC(E561)+HEX2DEC(E560)+HEX2DEC(E559)+HEX2DEC(E558)+HEX2DEC(E557)+HEX2DEC(E556)+HEX2DEC(E555)), 8)</f>
        <v>0x01224000</v>
      </c>
      <c r="L555"/>
      <c r="M555"/>
      <c r="N555"/>
      <c r="O555"/>
      <c r="P555"/>
      <c r="Q555"/>
      <c r="R555"/>
      <c r="S555"/>
      <c r="T555"/>
      <c r="U555"/>
      <c r="V555"/>
      <c r="W555"/>
    </row>
    <row r="556" spans="1:23" x14ac:dyDescent="0.25">
      <c r="A556" s="258"/>
      <c r="B556" s="281" t="s">
        <v>645</v>
      </c>
      <c r="C556" s="282" t="s">
        <v>0</v>
      </c>
      <c r="D556" s="283">
        <v>1</v>
      </c>
      <c r="E556" s="516" t="str">
        <f>DEC2HEX(((D556)*2^21),8)</f>
        <v>00200000</v>
      </c>
      <c r="F556" s="284" t="s">
        <v>647</v>
      </c>
      <c r="G556" s="581"/>
      <c r="H556" s="536"/>
      <c r="I556" s="536"/>
      <c r="J556" s="543"/>
      <c r="K556" s="543"/>
      <c r="L556"/>
      <c r="M556"/>
      <c r="N556"/>
      <c r="O556"/>
      <c r="P556"/>
      <c r="Q556"/>
      <c r="R556"/>
      <c r="S556"/>
      <c r="T556"/>
      <c r="U556"/>
      <c r="V556"/>
      <c r="W556"/>
    </row>
    <row r="557" spans="1:23" ht="145.19999999999999" x14ac:dyDescent="0.25">
      <c r="A557" s="258"/>
      <c r="B557" s="175" t="s">
        <v>581</v>
      </c>
      <c r="C557" s="513" t="s">
        <v>0</v>
      </c>
      <c r="D557" s="516">
        <v>0</v>
      </c>
      <c r="E557" s="516" t="str">
        <f>DEC2HEX(((D557)*2^19),8)</f>
        <v>00000000</v>
      </c>
      <c r="F557" s="279" t="s">
        <v>582</v>
      </c>
      <c r="G557" s="581"/>
      <c r="H557" s="536"/>
      <c r="I557" s="536"/>
      <c r="J557" s="543"/>
      <c r="K557" s="543"/>
      <c r="L557"/>
      <c r="M557"/>
      <c r="N557"/>
      <c r="O557"/>
      <c r="P557"/>
      <c r="Q557"/>
      <c r="R557"/>
      <c r="S557"/>
      <c r="T557"/>
      <c r="U557"/>
      <c r="V557"/>
      <c r="W557"/>
    </row>
    <row r="558" spans="1:23" ht="118.8" x14ac:dyDescent="0.25">
      <c r="A558" s="258"/>
      <c r="B558" s="175" t="s">
        <v>583</v>
      </c>
      <c r="C558" s="513" t="s">
        <v>0</v>
      </c>
      <c r="D558" s="516">
        <v>0</v>
      </c>
      <c r="E558" s="516" t="str">
        <f>DEC2HEX(((D558)*2^18),8)</f>
        <v>00000000</v>
      </c>
      <c r="F558" s="279" t="s">
        <v>586</v>
      </c>
      <c r="G558" s="581"/>
      <c r="H558" s="536"/>
      <c r="I558" s="536"/>
      <c r="J558" s="543"/>
      <c r="K558" s="543"/>
      <c r="L558"/>
      <c r="M558"/>
      <c r="N558"/>
      <c r="O558"/>
      <c r="P558"/>
      <c r="Q558"/>
      <c r="R558"/>
      <c r="S558"/>
      <c r="T558"/>
      <c r="U558"/>
      <c r="V558"/>
      <c r="W558"/>
    </row>
    <row r="559" spans="1:23" ht="26.4" x14ac:dyDescent="0.25">
      <c r="A559" s="258"/>
      <c r="B559" s="175" t="s">
        <v>584</v>
      </c>
      <c r="C559" s="513" t="s">
        <v>0</v>
      </c>
      <c r="D559" s="516">
        <v>1</v>
      </c>
      <c r="E559" s="516" t="str">
        <f>DEC2HEX(((D559)*2^17),8)</f>
        <v>00020000</v>
      </c>
      <c r="F559" s="279" t="s">
        <v>587</v>
      </c>
      <c r="G559" s="581"/>
      <c r="H559" s="536"/>
      <c r="I559" s="536"/>
      <c r="J559" s="543"/>
      <c r="K559" s="543"/>
      <c r="L559"/>
      <c r="M559"/>
      <c r="N559"/>
      <c r="O559"/>
      <c r="P559"/>
      <c r="Q559"/>
      <c r="R559"/>
      <c r="S559"/>
      <c r="T559"/>
      <c r="U559"/>
      <c r="V559"/>
      <c r="W559"/>
    </row>
    <row r="560" spans="1:23" ht="79.2" x14ac:dyDescent="0.25">
      <c r="A560" s="258"/>
      <c r="B560" s="177" t="s">
        <v>585</v>
      </c>
      <c r="C560" s="513" t="s">
        <v>0</v>
      </c>
      <c r="D560" s="516">
        <v>0</v>
      </c>
      <c r="E560" s="516" t="str">
        <f>DEC2HEX(((D560)*2^15),8)</f>
        <v>00000000</v>
      </c>
      <c r="F560" s="279" t="s">
        <v>588</v>
      </c>
      <c r="G560" s="581"/>
      <c r="H560" s="536"/>
      <c r="I560" s="536"/>
      <c r="J560" s="543"/>
      <c r="K560" s="543"/>
      <c r="L560"/>
      <c r="M560"/>
      <c r="N560"/>
      <c r="O560"/>
      <c r="P560"/>
      <c r="Q560"/>
      <c r="R560"/>
      <c r="S560"/>
      <c r="T560"/>
      <c r="U560"/>
      <c r="V560"/>
      <c r="W560"/>
    </row>
    <row r="561" spans="1:23" ht="39.6" x14ac:dyDescent="0.25">
      <c r="A561" s="258"/>
      <c r="B561" s="175" t="s">
        <v>591</v>
      </c>
      <c r="C561" s="513" t="s">
        <v>0</v>
      </c>
      <c r="D561" s="516">
        <v>1</v>
      </c>
      <c r="E561" s="516" t="str">
        <f>DEC2HEX(((D561)*2^14),8)</f>
        <v>00004000</v>
      </c>
      <c r="F561" s="279" t="s">
        <v>589</v>
      </c>
      <c r="G561" s="581"/>
      <c r="H561" s="536"/>
      <c r="I561" s="536"/>
      <c r="J561" s="543"/>
      <c r="K561" s="543"/>
      <c r="L561"/>
      <c r="M561"/>
      <c r="N561"/>
      <c r="O561"/>
      <c r="P561"/>
      <c r="Q561"/>
      <c r="R561"/>
      <c r="S561"/>
      <c r="T561"/>
      <c r="U561"/>
      <c r="V561"/>
      <c r="W561"/>
    </row>
    <row r="562" spans="1:23" ht="39.6" x14ac:dyDescent="0.25">
      <c r="A562" s="258"/>
      <c r="B562" s="177" t="s">
        <v>592</v>
      </c>
      <c r="C562" s="513" t="s">
        <v>0</v>
      </c>
      <c r="D562" s="516">
        <v>0</v>
      </c>
      <c r="E562" s="516" t="str">
        <f>DEC2HEX(((D562)*2^13),8)</f>
        <v>00000000</v>
      </c>
      <c r="F562" s="279" t="s">
        <v>590</v>
      </c>
      <c r="G562" s="581"/>
      <c r="H562" s="536"/>
      <c r="I562" s="536"/>
      <c r="J562" s="543"/>
      <c r="K562" s="543"/>
      <c r="L562"/>
      <c r="M562"/>
      <c r="N562"/>
      <c r="O562"/>
      <c r="P562"/>
      <c r="Q562"/>
      <c r="R562"/>
      <c r="S562"/>
      <c r="T562"/>
      <c r="U562"/>
      <c r="V562"/>
      <c r="W562"/>
    </row>
    <row r="563" spans="1:23" ht="26.4" x14ac:dyDescent="0.25">
      <c r="A563" s="258"/>
      <c r="B563" s="177" t="s">
        <v>593</v>
      </c>
      <c r="C563" s="513" t="s">
        <v>0</v>
      </c>
      <c r="D563" s="516">
        <v>0</v>
      </c>
      <c r="E563" s="516" t="str">
        <f>DEC2HEX(((D563)*2^8),8)</f>
        <v>00000000</v>
      </c>
      <c r="F563" s="279" t="s">
        <v>594</v>
      </c>
      <c r="G563" s="581"/>
      <c r="H563" s="536"/>
      <c r="I563" s="536"/>
      <c r="J563" s="543"/>
      <c r="K563" s="543"/>
      <c r="L563"/>
      <c r="M563"/>
      <c r="N563"/>
      <c r="O563"/>
      <c r="P563"/>
      <c r="Q563"/>
      <c r="R563"/>
      <c r="S563"/>
      <c r="T563"/>
      <c r="U563"/>
      <c r="V563"/>
      <c r="W563"/>
    </row>
    <row r="564" spans="1:23" ht="352.5" customHeight="1" x14ac:dyDescent="0.25">
      <c r="A564" s="258"/>
      <c r="B564" s="175" t="s">
        <v>595</v>
      </c>
      <c r="C564" s="513" t="s">
        <v>0</v>
      </c>
      <c r="D564" s="138">
        <f>IF(C29=1600, 11, 15)</f>
        <v>11</v>
      </c>
      <c r="E564" s="516" t="str">
        <f>DEC2HEX(((D564)*2^4),8)</f>
        <v>000000B0</v>
      </c>
      <c r="F564" s="279" t="s">
        <v>2212</v>
      </c>
      <c r="G564" s="581"/>
      <c r="H564" s="536"/>
      <c r="I564" s="536"/>
      <c r="J564" s="543"/>
      <c r="K564" s="543"/>
      <c r="L564"/>
      <c r="M564"/>
      <c r="N564"/>
      <c r="O564"/>
      <c r="P564"/>
      <c r="Q564"/>
      <c r="R564"/>
      <c r="S564"/>
      <c r="T564"/>
      <c r="U564"/>
      <c r="V564"/>
      <c r="W564"/>
    </row>
    <row r="565" spans="1:23" ht="383.4" thickBot="1" x14ac:dyDescent="0.3">
      <c r="A565" s="258"/>
      <c r="B565" s="80" t="s">
        <v>596</v>
      </c>
      <c r="C565" s="514" t="s">
        <v>0</v>
      </c>
      <c r="D565" s="139">
        <f>IF(C29=1600, 3, 7)</f>
        <v>3</v>
      </c>
      <c r="E565" s="517" t="str">
        <f>DEC2HEX(((D565)*2^0),8)</f>
        <v>00000003</v>
      </c>
      <c r="F565" s="280" t="s">
        <v>2213</v>
      </c>
      <c r="G565" s="582"/>
      <c r="H565" s="537"/>
      <c r="I565" s="537"/>
      <c r="J565" s="544"/>
      <c r="K565" s="544"/>
      <c r="L565"/>
      <c r="M565"/>
      <c r="N565"/>
      <c r="O565"/>
      <c r="P565"/>
      <c r="Q565"/>
      <c r="R565"/>
      <c r="S565"/>
      <c r="T565"/>
      <c r="U565"/>
      <c r="V565"/>
      <c r="W565"/>
    </row>
    <row r="566" spans="1:23" ht="13.8" thickBot="1" x14ac:dyDescent="0.3">
      <c r="A566" s="258"/>
      <c r="B566" s="259"/>
      <c r="C566" s="265"/>
      <c r="D566" s="259"/>
      <c r="E566" s="259"/>
      <c r="F566" s="262"/>
      <c r="G566" s="266"/>
      <c r="H566" s="259"/>
      <c r="I566" s="259"/>
      <c r="J566" s="259"/>
      <c r="K566" s="264"/>
      <c r="L566"/>
      <c r="M566"/>
      <c r="N566"/>
      <c r="O566"/>
      <c r="P566"/>
      <c r="Q566"/>
      <c r="R566"/>
      <c r="S566"/>
      <c r="T566"/>
      <c r="U566"/>
      <c r="V566"/>
      <c r="W566"/>
    </row>
    <row r="567" spans="1:23" ht="79.2" x14ac:dyDescent="0.25">
      <c r="A567" s="258"/>
      <c r="B567" s="373" t="s">
        <v>701</v>
      </c>
      <c r="C567" s="245" t="s">
        <v>0</v>
      </c>
      <c r="D567" s="244">
        <f>IF(C22=1, 1, 3)</f>
        <v>3</v>
      </c>
      <c r="E567" s="355" t="str">
        <f>DEC2HEX(((D567)*2^16),8)</f>
        <v>00030000</v>
      </c>
      <c r="F567" s="239" t="s">
        <v>708</v>
      </c>
      <c r="G567" s="545" t="s">
        <v>715</v>
      </c>
      <c r="H567" s="551" t="str">
        <f>"0x"&amp;DEC2HEX((HEX2DEC(C33)+516), 8)</f>
        <v>0x5C010204</v>
      </c>
      <c r="I567" s="551" t="str">
        <f>"0x"&amp;DEC2HEX((HEX2DEC(C34)+516), 8)</f>
        <v>0x5C110204</v>
      </c>
      <c r="J567" s="548" t="str">
        <f>"0x"&amp;DEC2HEX((HEX2DEC(E567)+HEX2DEC(E568)+HEX2DEC(E569)+HEX2DEC(E570)+HEX2DEC(E571)+HEX2DEC(E572)+HEX2DEC(E573)), 8)</f>
        <v>0x00030236</v>
      </c>
      <c r="L567"/>
      <c r="M567"/>
      <c r="N567"/>
      <c r="O567"/>
      <c r="P567"/>
      <c r="Q567"/>
      <c r="R567"/>
      <c r="S567"/>
      <c r="T567"/>
      <c r="U567"/>
      <c r="V567"/>
      <c r="W567"/>
    </row>
    <row r="568" spans="1:23" ht="26.4" x14ac:dyDescent="0.25">
      <c r="A568" s="258"/>
      <c r="B568" s="374" t="s">
        <v>702</v>
      </c>
      <c r="C568" s="243" t="s">
        <v>0</v>
      </c>
      <c r="D568" s="356">
        <v>0</v>
      </c>
      <c r="E568" s="356" t="str">
        <f>DEC2HEX(((D568)*2^12),8)</f>
        <v>00000000</v>
      </c>
      <c r="F568" s="237" t="s">
        <v>709</v>
      </c>
      <c r="G568" s="546"/>
      <c r="H568" s="546"/>
      <c r="I568" s="546"/>
      <c r="J568" s="549"/>
      <c r="L568"/>
      <c r="M568"/>
      <c r="N568"/>
      <c r="O568"/>
      <c r="P568"/>
      <c r="Q568"/>
      <c r="R568"/>
      <c r="S568"/>
      <c r="T568"/>
      <c r="U568"/>
      <c r="V568"/>
      <c r="W568"/>
    </row>
    <row r="569" spans="1:23" ht="145.19999999999999" x14ac:dyDescent="0.25">
      <c r="A569" s="258"/>
      <c r="B569" s="374" t="s">
        <v>703</v>
      </c>
      <c r="C569" s="243" t="s">
        <v>0</v>
      </c>
      <c r="D569" s="356">
        <v>2</v>
      </c>
      <c r="E569" s="356" t="str">
        <f>DEC2HEX(((D569)*2^8),8)</f>
        <v>00000200</v>
      </c>
      <c r="F569" s="237" t="s">
        <v>710</v>
      </c>
      <c r="G569" s="546"/>
      <c r="H569" s="546"/>
      <c r="I569" s="546"/>
      <c r="J569" s="549"/>
      <c r="L569"/>
      <c r="M569"/>
      <c r="N569"/>
      <c r="O569"/>
      <c r="P569"/>
      <c r="Q569"/>
      <c r="R569"/>
      <c r="S569"/>
      <c r="T569"/>
      <c r="U569"/>
      <c r="V569"/>
      <c r="W569"/>
    </row>
    <row r="570" spans="1:23" ht="145.19999999999999" x14ac:dyDescent="0.25">
      <c r="A570" s="258"/>
      <c r="B570" s="374" t="s">
        <v>704</v>
      </c>
      <c r="C570" s="243" t="s">
        <v>0</v>
      </c>
      <c r="D570" s="356">
        <v>3</v>
      </c>
      <c r="E570" s="356" t="str">
        <f>DEC2HEX(((D570)*2^4),8)</f>
        <v>00000030</v>
      </c>
      <c r="F570" s="237" t="s">
        <v>711</v>
      </c>
      <c r="G570" s="546"/>
      <c r="H570" s="546"/>
      <c r="I570" s="546"/>
      <c r="J570" s="549"/>
      <c r="L570"/>
      <c r="M570"/>
      <c r="N570"/>
      <c r="O570"/>
      <c r="P570"/>
      <c r="Q570"/>
      <c r="R570"/>
      <c r="S570"/>
      <c r="T570"/>
      <c r="U570"/>
      <c r="V570"/>
      <c r="W570"/>
    </row>
    <row r="571" spans="1:23" ht="26.4" x14ac:dyDescent="0.25">
      <c r="A571" s="258"/>
      <c r="B571" s="374" t="s">
        <v>705</v>
      </c>
      <c r="C571" s="243" t="s">
        <v>0</v>
      </c>
      <c r="D571" s="356">
        <v>1</v>
      </c>
      <c r="E571" s="356" t="str">
        <f>DEC2HEX(((D571)*2^2),8)</f>
        <v>00000004</v>
      </c>
      <c r="F571" s="237" t="s">
        <v>712</v>
      </c>
      <c r="G571" s="546"/>
      <c r="H571" s="546"/>
      <c r="I571" s="546"/>
      <c r="J571" s="549"/>
      <c r="L571"/>
      <c r="M571"/>
      <c r="N571"/>
      <c r="O571"/>
      <c r="P571"/>
      <c r="Q571"/>
      <c r="R571"/>
      <c r="S571"/>
      <c r="T571"/>
      <c r="U571"/>
      <c r="V571"/>
      <c r="W571"/>
    </row>
    <row r="572" spans="1:23" ht="79.2" x14ac:dyDescent="0.25">
      <c r="A572" s="258"/>
      <c r="B572" s="374" t="s">
        <v>706</v>
      </c>
      <c r="C572" s="243" t="s">
        <v>0</v>
      </c>
      <c r="D572" s="356">
        <v>1</v>
      </c>
      <c r="E572" s="356" t="str">
        <f>DEC2HEX(((D572)*2^1),8)</f>
        <v>00000002</v>
      </c>
      <c r="F572" s="237" t="s">
        <v>713</v>
      </c>
      <c r="G572" s="546"/>
      <c r="H572" s="546"/>
      <c r="I572" s="546"/>
      <c r="J572" s="549"/>
      <c r="L572"/>
      <c r="M572"/>
      <c r="N572"/>
      <c r="O572"/>
      <c r="P572"/>
      <c r="Q572"/>
      <c r="R572"/>
      <c r="S572"/>
      <c r="T572"/>
      <c r="U572"/>
      <c r="V572"/>
      <c r="W572"/>
    </row>
    <row r="573" spans="1:23" ht="40.200000000000003" thickBot="1" x14ac:dyDescent="0.3">
      <c r="A573" s="258"/>
      <c r="B573" s="375" t="s">
        <v>707</v>
      </c>
      <c r="C573" s="246" t="s">
        <v>0</v>
      </c>
      <c r="D573" s="357">
        <v>0</v>
      </c>
      <c r="E573" s="357" t="str">
        <f>DEC2HEX(((D573)*2^0),8)</f>
        <v>00000000</v>
      </c>
      <c r="F573" s="376" t="s">
        <v>714</v>
      </c>
      <c r="G573" s="547"/>
      <c r="H573" s="547"/>
      <c r="I573" s="547"/>
      <c r="J573" s="550"/>
      <c r="L573"/>
      <c r="M573"/>
      <c r="N573"/>
      <c r="O573"/>
      <c r="P573"/>
      <c r="Q573"/>
      <c r="R573"/>
      <c r="S573"/>
      <c r="T573"/>
      <c r="U573"/>
      <c r="V573"/>
      <c r="W573"/>
    </row>
    <row r="574" spans="1:23" ht="13.8" thickBot="1" x14ac:dyDescent="0.3">
      <c r="A574" s="258"/>
      <c r="B574" s="258"/>
      <c r="C574" s="258"/>
      <c r="D574" s="258"/>
      <c r="E574" s="263"/>
      <c r="F574" s="507"/>
      <c r="G574" s="263"/>
      <c r="H574" s="263"/>
      <c r="I574" s="263"/>
      <c r="J574" s="263"/>
      <c r="L574"/>
      <c r="M574"/>
      <c r="N574"/>
      <c r="O574"/>
      <c r="P574"/>
      <c r="Q574"/>
      <c r="R574"/>
      <c r="S574"/>
      <c r="T574"/>
      <c r="U574"/>
      <c r="V574"/>
      <c r="W574"/>
    </row>
    <row r="575" spans="1:23" ht="79.2" x14ac:dyDescent="0.25">
      <c r="A575" s="258"/>
      <c r="B575" s="241" t="s">
        <v>1203</v>
      </c>
      <c r="C575" s="285" t="s">
        <v>0</v>
      </c>
      <c r="D575" s="359">
        <v>0</v>
      </c>
      <c r="E575" s="359" t="str">
        <f>DEC2HEX(((D575)*2^28),8)</f>
        <v>00000000</v>
      </c>
      <c r="F575" s="239" t="s">
        <v>1205</v>
      </c>
      <c r="G575" s="528" t="s">
        <v>1204</v>
      </c>
      <c r="H575" s="535" t="str">
        <f>"0x"&amp;DEC2HEX((HEX2DEC(C33)+512), 8)</f>
        <v>0x5C010200</v>
      </c>
      <c r="I575" s="535" t="str">
        <f>"0x"&amp;DEC2HEX((HEX2DEC(C34)+512), 8)</f>
        <v>0x5C110200</v>
      </c>
      <c r="J575" s="542" t="str">
        <f>"0x"&amp;DEC2HEX((HEX2DEC(E575)+HEX2DEC(E576)+HEX2DEC(E577)+HEX2DEC(E578)+HEX2DEC(E579)+HEX2DEC(E580)+HEX2DEC(E581)+HEX2DEC(E582)+HEX2DEC(E583)+HEX2DEC(E584)+HEX2DEC(E585)+HEX2DEC(E586)+HEX2DEC(E587)+HEX2DEC(E588)+HEX2DEC(E589)), 8)</f>
        <v>0x000031C7</v>
      </c>
      <c r="L575"/>
      <c r="M575"/>
      <c r="N575"/>
      <c r="O575"/>
      <c r="P575"/>
      <c r="Q575"/>
      <c r="R575"/>
      <c r="S575"/>
      <c r="T575"/>
      <c r="U575"/>
      <c r="V575"/>
      <c r="W575"/>
    </row>
    <row r="576" spans="1:23" ht="26.4" x14ac:dyDescent="0.25">
      <c r="A576" s="258"/>
      <c r="B576" s="175" t="s">
        <v>1202</v>
      </c>
      <c r="C576" s="377" t="s">
        <v>0</v>
      </c>
      <c r="D576" s="360">
        <v>0</v>
      </c>
      <c r="E576" s="360" t="str">
        <f>DEC2HEX(((D576)*2^24),8)</f>
        <v>00000000</v>
      </c>
      <c r="F576" s="237" t="s">
        <v>1206</v>
      </c>
      <c r="G576" s="536"/>
      <c r="H576" s="536"/>
      <c r="I576" s="536"/>
      <c r="J576" s="543"/>
      <c r="L576"/>
      <c r="M576"/>
      <c r="N576"/>
      <c r="O576"/>
      <c r="P576"/>
      <c r="Q576"/>
      <c r="R576"/>
      <c r="S576"/>
      <c r="T576"/>
      <c r="U576"/>
      <c r="V576"/>
      <c r="W576"/>
    </row>
    <row r="577" spans="1:23" ht="52.8" x14ac:dyDescent="0.25">
      <c r="A577" s="258"/>
      <c r="B577" s="175" t="s">
        <v>1201</v>
      </c>
      <c r="C577" s="377" t="s">
        <v>0</v>
      </c>
      <c r="D577" s="360">
        <v>0</v>
      </c>
      <c r="E577" s="360" t="str">
        <f>DEC2HEX(((D577)*2^23),8)</f>
        <v>00000000</v>
      </c>
      <c r="F577" s="237" t="s">
        <v>1207</v>
      </c>
      <c r="G577" s="536"/>
      <c r="H577" s="536"/>
      <c r="I577" s="536"/>
      <c r="J577" s="543"/>
      <c r="L577"/>
      <c r="M577"/>
      <c r="N577"/>
      <c r="O577"/>
      <c r="P577"/>
      <c r="Q577"/>
      <c r="R577"/>
      <c r="S577"/>
      <c r="T577"/>
      <c r="U577"/>
      <c r="V577"/>
      <c r="W577"/>
    </row>
    <row r="578" spans="1:23" ht="79.2" x14ac:dyDescent="0.25">
      <c r="A578" s="258"/>
      <c r="B578" s="175" t="s">
        <v>1200</v>
      </c>
      <c r="C578" s="377" t="s">
        <v>0</v>
      </c>
      <c r="D578" s="360">
        <v>0</v>
      </c>
      <c r="E578" s="360" t="str">
        <f>DEC2HEX(((D578)*2^22),8)</f>
        <v>00000000</v>
      </c>
      <c r="F578" s="237" t="s">
        <v>1208</v>
      </c>
      <c r="G578" s="536"/>
      <c r="H578" s="536"/>
      <c r="I578" s="536"/>
      <c r="J578" s="543"/>
      <c r="L578"/>
      <c r="M578"/>
      <c r="N578"/>
      <c r="O578"/>
      <c r="P578"/>
      <c r="Q578"/>
      <c r="R578"/>
      <c r="S578"/>
      <c r="T578"/>
      <c r="U578"/>
      <c r="V578"/>
      <c r="W578"/>
    </row>
    <row r="579" spans="1:23" ht="39.6" x14ac:dyDescent="0.25">
      <c r="A579" s="258"/>
      <c r="B579" s="175" t="s">
        <v>1199</v>
      </c>
      <c r="C579" s="377" t="s">
        <v>0</v>
      </c>
      <c r="D579" s="360">
        <v>0</v>
      </c>
      <c r="E579" s="360" t="str">
        <f>DEC2HEX(((D579)*2^21),8)</f>
        <v>00000000</v>
      </c>
      <c r="F579" s="237" t="s">
        <v>1209</v>
      </c>
      <c r="G579" s="536"/>
      <c r="H579" s="536"/>
      <c r="I579" s="536"/>
      <c r="J579" s="543"/>
      <c r="L579"/>
      <c r="M579"/>
      <c r="N579"/>
      <c r="O579"/>
      <c r="P579"/>
      <c r="Q579"/>
      <c r="R579"/>
      <c r="S579"/>
      <c r="T579"/>
      <c r="U579"/>
      <c r="V579"/>
      <c r="W579"/>
    </row>
    <row r="580" spans="1:23" ht="39.6" x14ac:dyDescent="0.25">
      <c r="A580" s="258"/>
      <c r="B580" s="175" t="s">
        <v>1198</v>
      </c>
      <c r="C580" s="377" t="s">
        <v>0</v>
      </c>
      <c r="D580" s="360">
        <v>0</v>
      </c>
      <c r="E580" s="360" t="str">
        <f>DEC2HEX(((D580)*2^20),8)</f>
        <v>00000000</v>
      </c>
      <c r="F580" s="237" t="s">
        <v>1210</v>
      </c>
      <c r="G580" s="536"/>
      <c r="H580" s="536"/>
      <c r="I580" s="536"/>
      <c r="J580" s="543"/>
      <c r="L580"/>
      <c r="M580"/>
      <c r="N580"/>
      <c r="O580"/>
      <c r="P580"/>
      <c r="Q580"/>
      <c r="R580"/>
      <c r="S580"/>
      <c r="T580"/>
      <c r="U580"/>
      <c r="V580"/>
      <c r="W580"/>
    </row>
    <row r="581" spans="1:23" ht="26.4" x14ac:dyDescent="0.25">
      <c r="A581" s="258"/>
      <c r="B581" s="175" t="s">
        <v>1197</v>
      </c>
      <c r="C581" s="377" t="s">
        <v>0</v>
      </c>
      <c r="D581" s="360">
        <v>0</v>
      </c>
      <c r="E581" s="360" t="str">
        <f>DEC2HEX(((D581)*2^16),8)</f>
        <v>00000000</v>
      </c>
      <c r="F581" s="237" t="s">
        <v>1211</v>
      </c>
      <c r="G581" s="536"/>
      <c r="H581" s="536"/>
      <c r="I581" s="536"/>
      <c r="J581" s="543"/>
      <c r="L581"/>
      <c r="M581"/>
      <c r="N581"/>
      <c r="O581"/>
      <c r="P581"/>
      <c r="Q581"/>
      <c r="R581"/>
      <c r="S581"/>
      <c r="T581"/>
      <c r="U581"/>
      <c r="V581"/>
      <c r="W581"/>
    </row>
    <row r="582" spans="1:23" ht="171.6" x14ac:dyDescent="0.25">
      <c r="A582" s="258"/>
      <c r="B582" s="175" t="s">
        <v>1196</v>
      </c>
      <c r="C582" s="377" t="s">
        <v>0</v>
      </c>
      <c r="D582" s="138">
        <f>IF(L31 ="enable", 0, 1)</f>
        <v>0</v>
      </c>
      <c r="E582" s="360" t="str">
        <f>DEC2HEX(((D582)*2^14),8)</f>
        <v>00000000</v>
      </c>
      <c r="F582" s="237" t="s">
        <v>1212</v>
      </c>
      <c r="G582" s="536"/>
      <c r="H582" s="536"/>
      <c r="I582" s="536"/>
      <c r="J582" s="543"/>
      <c r="L582"/>
      <c r="M582"/>
      <c r="N582"/>
      <c r="O582"/>
      <c r="P582"/>
      <c r="Q582"/>
      <c r="R582"/>
      <c r="S582"/>
      <c r="T582"/>
      <c r="U582"/>
      <c r="V582"/>
      <c r="W582"/>
    </row>
    <row r="583" spans="1:23" ht="26.4" x14ac:dyDescent="0.25">
      <c r="A583" s="258"/>
      <c r="B583" s="175" t="s">
        <v>1195</v>
      </c>
      <c r="C583" s="377" t="s">
        <v>0</v>
      </c>
      <c r="D583" s="360">
        <v>1</v>
      </c>
      <c r="E583" s="360" t="str">
        <f>DEC2HEX(((D583)*2^13),8)</f>
        <v>00002000</v>
      </c>
      <c r="F583" s="237" t="s">
        <v>1213</v>
      </c>
      <c r="G583" s="536"/>
      <c r="H583" s="536"/>
      <c r="I583" s="536"/>
      <c r="J583" s="543"/>
      <c r="L583"/>
      <c r="M583"/>
      <c r="N583"/>
      <c r="O583"/>
      <c r="P583"/>
      <c r="Q583"/>
      <c r="R583"/>
      <c r="S583"/>
      <c r="T583"/>
      <c r="U583"/>
      <c r="V583"/>
      <c r="W583"/>
    </row>
    <row r="584" spans="1:23" ht="26.4" x14ac:dyDescent="0.25">
      <c r="A584" s="258"/>
      <c r="B584" s="175" t="s">
        <v>1194</v>
      </c>
      <c r="C584" s="377" t="s">
        <v>0</v>
      </c>
      <c r="D584" s="360">
        <v>1</v>
      </c>
      <c r="E584" s="360" t="str">
        <f>DEC2HEX(((D584)*2^12),8)</f>
        <v>00001000</v>
      </c>
      <c r="F584" s="237" t="s">
        <v>1214</v>
      </c>
      <c r="G584" s="536"/>
      <c r="H584" s="536"/>
      <c r="I584" s="536"/>
      <c r="J584" s="543"/>
      <c r="L584"/>
      <c r="M584"/>
      <c r="N584"/>
      <c r="O584"/>
      <c r="P584"/>
      <c r="Q584"/>
      <c r="R584"/>
      <c r="S584"/>
      <c r="T584"/>
      <c r="U584"/>
      <c r="V584"/>
      <c r="W584"/>
    </row>
    <row r="585" spans="1:23" x14ac:dyDescent="0.25">
      <c r="A585" s="258"/>
      <c r="B585" s="175" t="s">
        <v>1193</v>
      </c>
      <c r="C585" s="377" t="s">
        <v>0</v>
      </c>
      <c r="D585" s="360">
        <v>1</v>
      </c>
      <c r="E585" s="360" t="str">
        <f>DEC2HEX(((D585)*2^8),8)</f>
        <v>00000100</v>
      </c>
      <c r="F585" s="132" t="s">
        <v>1215</v>
      </c>
      <c r="G585" s="536"/>
      <c r="H585" s="536"/>
      <c r="I585" s="536"/>
      <c r="J585" s="543"/>
      <c r="L585"/>
      <c r="M585"/>
      <c r="N585"/>
      <c r="O585"/>
      <c r="P585"/>
      <c r="Q585"/>
      <c r="R585"/>
      <c r="S585"/>
      <c r="T585"/>
      <c r="U585"/>
      <c r="V585"/>
      <c r="W585"/>
    </row>
    <row r="586" spans="1:23" ht="52.8" x14ac:dyDescent="0.25">
      <c r="A586" s="258"/>
      <c r="B586" s="175" t="s">
        <v>1192</v>
      </c>
      <c r="C586" s="377" t="s">
        <v>0</v>
      </c>
      <c r="D586" s="360">
        <v>1</v>
      </c>
      <c r="E586" s="360" t="str">
        <f>DEC2HEX(((D586)*2^7),8)</f>
        <v>00000080</v>
      </c>
      <c r="F586" s="237" t="s">
        <v>1216</v>
      </c>
      <c r="G586" s="536"/>
      <c r="H586" s="536"/>
      <c r="I586" s="536"/>
      <c r="J586" s="543"/>
      <c r="L586"/>
      <c r="M586"/>
      <c r="N586"/>
      <c r="O586"/>
      <c r="P586"/>
      <c r="Q586"/>
      <c r="R586"/>
      <c r="S586"/>
      <c r="T586"/>
      <c r="U586"/>
      <c r="V586"/>
      <c r="W586"/>
    </row>
    <row r="587" spans="1:23" ht="171.6" x14ac:dyDescent="0.25">
      <c r="A587" s="258"/>
      <c r="B587" s="175" t="s">
        <v>1191</v>
      </c>
      <c r="C587" s="377" t="s">
        <v>0</v>
      </c>
      <c r="D587" s="360">
        <v>1</v>
      </c>
      <c r="E587" s="360" t="str">
        <f>DEC2HEX(((D587)*2^6),8)</f>
        <v>00000040</v>
      </c>
      <c r="F587" s="237" t="s">
        <v>1217</v>
      </c>
      <c r="G587" s="536"/>
      <c r="H587" s="536"/>
      <c r="I587" s="536"/>
      <c r="J587" s="543"/>
      <c r="L587"/>
      <c r="M587"/>
      <c r="N587"/>
      <c r="O587"/>
      <c r="P587"/>
      <c r="Q587"/>
      <c r="R587"/>
      <c r="S587"/>
      <c r="T587"/>
      <c r="U587"/>
      <c r="V587"/>
      <c r="W587"/>
    </row>
    <row r="588" spans="1:23" ht="118.8" x14ac:dyDescent="0.25">
      <c r="A588" s="258"/>
      <c r="B588" s="175" t="s">
        <v>1190</v>
      </c>
      <c r="C588" s="377" t="s">
        <v>0</v>
      </c>
      <c r="D588" s="360">
        <v>0</v>
      </c>
      <c r="E588" s="360" t="str">
        <f>DEC2HEX(((D588)*2^4),8)</f>
        <v>00000000</v>
      </c>
      <c r="F588" s="237" t="s">
        <v>1218</v>
      </c>
      <c r="G588" s="536"/>
      <c r="H588" s="536"/>
      <c r="I588" s="536"/>
      <c r="J588" s="543"/>
      <c r="L588"/>
      <c r="M588"/>
      <c r="N588"/>
      <c r="O588"/>
      <c r="P588"/>
      <c r="Q588"/>
      <c r="R588"/>
      <c r="S588"/>
      <c r="T588"/>
      <c r="U588"/>
      <c r="V588"/>
      <c r="W588"/>
    </row>
    <row r="589" spans="1:23" ht="40.200000000000003" thickBot="1" x14ac:dyDescent="0.3">
      <c r="A589" s="258"/>
      <c r="B589" s="80" t="s">
        <v>1189</v>
      </c>
      <c r="C589" s="378" t="s">
        <v>0</v>
      </c>
      <c r="D589" s="361">
        <v>7</v>
      </c>
      <c r="E589" s="361" t="str">
        <f>DEC2HEX(((D589)*2^0),8)</f>
        <v>00000007</v>
      </c>
      <c r="F589" s="376" t="s">
        <v>1219</v>
      </c>
      <c r="G589" s="537"/>
      <c r="H589" s="537"/>
      <c r="I589" s="537"/>
      <c r="J589" s="544"/>
      <c r="L589"/>
      <c r="M589"/>
      <c r="N589"/>
      <c r="O589"/>
      <c r="P589"/>
      <c r="Q589"/>
      <c r="R589"/>
      <c r="S589"/>
      <c r="T589"/>
      <c r="U589"/>
      <c r="V589"/>
      <c r="W589"/>
    </row>
    <row r="590" spans="1:23" ht="13.8" thickBot="1" x14ac:dyDescent="0.3">
      <c r="A590" s="258"/>
      <c r="B590" s="258"/>
      <c r="C590" s="258"/>
      <c r="D590" s="258"/>
      <c r="E590" s="263"/>
      <c r="F590" s="258"/>
      <c r="G590" s="263"/>
      <c r="H590" s="263"/>
      <c r="I590" s="263"/>
      <c r="J590" s="263"/>
      <c r="L590"/>
      <c r="M590"/>
      <c r="N590"/>
      <c r="O590"/>
      <c r="P590"/>
      <c r="Q590"/>
      <c r="R590"/>
      <c r="S590"/>
      <c r="T590"/>
      <c r="U590"/>
      <c r="V590"/>
      <c r="W590"/>
    </row>
    <row r="591" spans="1:23" ht="40.200000000000003" thickBot="1" x14ac:dyDescent="0.3">
      <c r="A591" s="258"/>
      <c r="B591" s="2" t="s">
        <v>199</v>
      </c>
      <c r="C591" s="2" t="s">
        <v>1886</v>
      </c>
      <c r="D591" s="2" t="s">
        <v>7</v>
      </c>
      <c r="E591" s="2" t="s">
        <v>6</v>
      </c>
      <c r="F591" s="4" t="s">
        <v>1</v>
      </c>
      <c r="G591" s="45" t="s">
        <v>3</v>
      </c>
      <c r="H591" s="5" t="s">
        <v>628</v>
      </c>
      <c r="I591" s="5" t="s">
        <v>629</v>
      </c>
      <c r="J591" s="5" t="s">
        <v>4</v>
      </c>
      <c r="L591"/>
      <c r="M591"/>
      <c r="N591"/>
      <c r="O591"/>
      <c r="P591"/>
      <c r="Q591"/>
      <c r="R591"/>
      <c r="S591"/>
      <c r="T591"/>
      <c r="U591"/>
      <c r="V591"/>
      <c r="W591"/>
    </row>
    <row r="592" spans="1:23" ht="39.6" x14ac:dyDescent="0.25">
      <c r="A592" s="258"/>
      <c r="B592" s="175" t="s">
        <v>1878</v>
      </c>
      <c r="C592" s="377" t="s">
        <v>0</v>
      </c>
      <c r="D592" s="427">
        <v>1</v>
      </c>
      <c r="E592" s="427" t="str">
        <f>DEC2HEX(((D592)*2^16),8)</f>
        <v>00010000</v>
      </c>
      <c r="F592" s="237" t="s">
        <v>1883</v>
      </c>
      <c r="G592" s="688" t="s">
        <v>1887</v>
      </c>
      <c r="H592" s="551" t="str">
        <f>"0x"&amp;DEC2HEX((HEX2DEC(C33)+4*417), 8)</f>
        <v>0x5C010684</v>
      </c>
      <c r="I592" s="551" t="str">
        <f>"0x"&amp;DEC2HEX((HEX2DEC(C34)+4*417), 8)</f>
        <v>0x5C110684</v>
      </c>
      <c r="J592" s="548" t="str">
        <f>"0x"&amp;DEC2HEX((HEX2DEC(E592)+HEX2DEC(E593)+HEX2DEC(E594)+HEX2DEC(E595)+HEX2DEC(E596)), 8)</f>
        <v>0x0001B9BB</v>
      </c>
      <c r="L592"/>
      <c r="M592"/>
      <c r="N592"/>
      <c r="O592"/>
      <c r="P592"/>
      <c r="Q592"/>
      <c r="R592"/>
      <c r="S592"/>
      <c r="T592"/>
      <c r="U592"/>
      <c r="V592"/>
      <c r="W592"/>
    </row>
    <row r="593" spans="1:23" ht="52.8" x14ac:dyDescent="0.25">
      <c r="A593" s="258"/>
      <c r="B593" s="175" t="s">
        <v>1879</v>
      </c>
      <c r="C593" s="339">
        <v>40</v>
      </c>
      <c r="D593" s="81">
        <f>IF(C593=60, 7, IF(C593=48, 9, IF(C593=40, 11, 13)))</f>
        <v>11</v>
      </c>
      <c r="E593" s="427" t="str">
        <f>DEC2HEX(((D593)*2^12),8)</f>
        <v>0000B000</v>
      </c>
      <c r="F593" s="237" t="s">
        <v>1884</v>
      </c>
      <c r="G593" s="689"/>
      <c r="H593" s="546"/>
      <c r="I593" s="546"/>
      <c r="J593" s="549"/>
      <c r="L593"/>
      <c r="M593"/>
      <c r="N593"/>
      <c r="O593"/>
      <c r="P593"/>
      <c r="Q593"/>
      <c r="R593"/>
      <c r="S593"/>
      <c r="T593"/>
      <c r="U593"/>
      <c r="V593"/>
      <c r="W593"/>
    </row>
    <row r="594" spans="1:23" ht="118.8" x14ac:dyDescent="0.25">
      <c r="A594" s="258"/>
      <c r="B594" s="175" t="s">
        <v>1880</v>
      </c>
      <c r="C594" s="434" t="s">
        <v>0</v>
      </c>
      <c r="D594" s="427">
        <v>9</v>
      </c>
      <c r="E594" s="427" t="str">
        <f>DEC2HEX(((D594)*2^8),8)</f>
        <v>00000900</v>
      </c>
      <c r="F594" s="237" t="s">
        <v>1896</v>
      </c>
      <c r="G594" s="689"/>
      <c r="H594" s="546"/>
      <c r="I594" s="546"/>
      <c r="J594" s="549"/>
      <c r="L594"/>
      <c r="M594"/>
      <c r="N594"/>
      <c r="O594"/>
      <c r="P594"/>
      <c r="Q594"/>
      <c r="R594"/>
      <c r="S594"/>
      <c r="T594"/>
      <c r="U594"/>
      <c r="V594"/>
      <c r="W594"/>
    </row>
    <row r="595" spans="1:23" ht="79.2" x14ac:dyDescent="0.25">
      <c r="A595" s="258"/>
      <c r="B595" s="175" t="s">
        <v>1881</v>
      </c>
      <c r="C595" s="339">
        <v>40</v>
      </c>
      <c r="D595" s="427">
        <f>IF(C595=60, 7, IF(C595=48, 9, IF(C595=40, 11, 13)))</f>
        <v>11</v>
      </c>
      <c r="E595" s="427" t="str">
        <f>DEC2HEX(((D595)*2^4),8)</f>
        <v>000000B0</v>
      </c>
      <c r="F595" s="237" t="s">
        <v>1888</v>
      </c>
      <c r="G595" s="689"/>
      <c r="H595" s="546"/>
      <c r="I595" s="546"/>
      <c r="J595" s="549"/>
      <c r="L595"/>
      <c r="M595"/>
      <c r="N595"/>
      <c r="O595"/>
      <c r="P595"/>
      <c r="Q595"/>
      <c r="R595"/>
      <c r="S595"/>
      <c r="T595"/>
      <c r="U595"/>
      <c r="V595"/>
      <c r="W595"/>
    </row>
    <row r="596" spans="1:23" ht="93" thickBot="1" x14ac:dyDescent="0.3">
      <c r="A596" s="258"/>
      <c r="B596" s="80" t="s">
        <v>1882</v>
      </c>
      <c r="C596" s="433" t="s">
        <v>0</v>
      </c>
      <c r="D596" s="428">
        <v>11</v>
      </c>
      <c r="E596" s="428" t="str">
        <f>DEC2HEX(((D596)*2^0),8)</f>
        <v>0000000B</v>
      </c>
      <c r="F596" s="376" t="s">
        <v>1885</v>
      </c>
      <c r="G596" s="690"/>
      <c r="H596" s="547"/>
      <c r="I596" s="547"/>
      <c r="J596" s="550"/>
      <c r="L596"/>
      <c r="M596"/>
      <c r="N596"/>
      <c r="O596"/>
      <c r="P596"/>
      <c r="Q596"/>
      <c r="R596"/>
      <c r="S596"/>
      <c r="T596"/>
      <c r="U596"/>
      <c r="V596"/>
      <c r="W596"/>
    </row>
    <row r="597" spans="1:23" ht="13.8" thickBot="1" x14ac:dyDescent="0.3">
      <c r="A597" s="258"/>
      <c r="B597" s="258"/>
      <c r="C597" s="258"/>
      <c r="D597" s="258"/>
      <c r="E597" s="263"/>
      <c r="F597" s="258"/>
      <c r="G597" s="263"/>
      <c r="H597" s="263"/>
      <c r="I597" s="263"/>
      <c r="J597" s="263"/>
      <c r="L597"/>
      <c r="M597"/>
      <c r="N597"/>
      <c r="O597"/>
      <c r="P597"/>
      <c r="Q597"/>
      <c r="R597"/>
      <c r="S597"/>
      <c r="T597"/>
      <c r="U597"/>
      <c r="V597"/>
      <c r="W597"/>
    </row>
    <row r="598" spans="1:23" ht="40.200000000000003" thickBot="1" x14ac:dyDescent="0.3">
      <c r="A598" s="258"/>
      <c r="B598" s="2" t="s">
        <v>199</v>
      </c>
      <c r="C598" s="2" t="s">
        <v>1886</v>
      </c>
      <c r="D598" s="2" t="s">
        <v>7</v>
      </c>
      <c r="E598" s="2" t="s">
        <v>6</v>
      </c>
      <c r="F598" s="4" t="s">
        <v>1</v>
      </c>
      <c r="G598" s="45" t="s">
        <v>3</v>
      </c>
      <c r="H598" s="5" t="s">
        <v>628</v>
      </c>
      <c r="I598" s="5" t="s">
        <v>629</v>
      </c>
      <c r="J598" s="5" t="s">
        <v>4</v>
      </c>
      <c r="L598"/>
      <c r="M598"/>
      <c r="N598"/>
      <c r="O598"/>
      <c r="P598"/>
      <c r="Q598"/>
      <c r="R598"/>
      <c r="S598"/>
      <c r="T598"/>
      <c r="U598"/>
      <c r="V598"/>
      <c r="W598"/>
    </row>
    <row r="599" spans="1:23" ht="39.6" x14ac:dyDescent="0.25">
      <c r="A599" s="258"/>
      <c r="B599" s="175" t="s">
        <v>1878</v>
      </c>
      <c r="C599" s="377" t="s">
        <v>0</v>
      </c>
      <c r="D599" s="427">
        <v>1</v>
      </c>
      <c r="E599" s="427" t="str">
        <f>DEC2HEX(((D599)*2^16),8)</f>
        <v>00010000</v>
      </c>
      <c r="F599" s="237" t="s">
        <v>1883</v>
      </c>
      <c r="G599" s="688" t="s">
        <v>1889</v>
      </c>
      <c r="H599" s="551" t="str">
        <f>"0x"&amp;DEC2HEX((HEX2DEC(C33)+4*425), 8)</f>
        <v>0x5C0106A4</v>
      </c>
      <c r="I599" s="551" t="str">
        <f>"0x"&amp;DEC2HEX((HEX2DEC(C34)+4*425), 8)</f>
        <v>0x5C1106A4</v>
      </c>
      <c r="J599" s="548" t="str">
        <f>"0x"&amp;DEC2HEX((HEX2DEC(E599)+HEX2DEC(E600)+HEX2DEC(E601)+HEX2DEC(E602)+HEX2DEC(E603)), 8)</f>
        <v>0x0001B9BB</v>
      </c>
      <c r="L599"/>
      <c r="M599"/>
      <c r="N599"/>
      <c r="O599"/>
      <c r="P599"/>
      <c r="Q599"/>
      <c r="R599"/>
      <c r="S599"/>
      <c r="T599"/>
      <c r="U599"/>
      <c r="V599"/>
      <c r="W599"/>
    </row>
    <row r="600" spans="1:23" ht="52.8" x14ac:dyDescent="0.25">
      <c r="A600" s="258"/>
      <c r="B600" s="175" t="s">
        <v>1879</v>
      </c>
      <c r="C600" s="339">
        <v>40</v>
      </c>
      <c r="D600" s="81">
        <f>IF(C600=60, 7, IF(C600=48, 9, IF(C600=40, 11, 13)))</f>
        <v>11</v>
      </c>
      <c r="E600" s="427" t="str">
        <f>DEC2HEX(((D600)*2^12),8)</f>
        <v>0000B000</v>
      </c>
      <c r="F600" s="237" t="s">
        <v>1884</v>
      </c>
      <c r="G600" s="689"/>
      <c r="H600" s="546"/>
      <c r="I600" s="546"/>
      <c r="J600" s="549"/>
      <c r="L600"/>
      <c r="M600"/>
      <c r="N600"/>
      <c r="O600"/>
      <c r="P600"/>
      <c r="Q600"/>
      <c r="R600"/>
      <c r="S600"/>
      <c r="T600"/>
      <c r="U600"/>
      <c r="V600"/>
      <c r="W600"/>
    </row>
    <row r="601" spans="1:23" ht="105.6" x14ac:dyDescent="0.25">
      <c r="A601" s="258"/>
      <c r="B601" s="175" t="s">
        <v>1880</v>
      </c>
      <c r="C601" s="339">
        <v>48</v>
      </c>
      <c r="D601" s="427">
        <f>IF(C601=60, 7, IF(C601=48, 9, IF(C601=40, 11, 13)))</f>
        <v>9</v>
      </c>
      <c r="E601" s="427" t="str">
        <f>DEC2HEX(((D601)*2^8),8)</f>
        <v>00000900</v>
      </c>
      <c r="F601" s="237" t="s">
        <v>2214</v>
      </c>
      <c r="G601" s="689"/>
      <c r="H601" s="546"/>
      <c r="I601" s="546"/>
      <c r="J601" s="549"/>
      <c r="L601"/>
      <c r="M601"/>
      <c r="N601"/>
      <c r="O601"/>
      <c r="P601"/>
      <c r="Q601"/>
      <c r="R601"/>
      <c r="S601"/>
      <c r="T601"/>
      <c r="U601"/>
      <c r="V601"/>
      <c r="W601"/>
    </row>
    <row r="602" spans="1:23" ht="79.2" x14ac:dyDescent="0.25">
      <c r="A602" s="258"/>
      <c r="B602" s="175" t="s">
        <v>1881</v>
      </c>
      <c r="C602" s="339">
        <v>40</v>
      </c>
      <c r="D602" s="427">
        <f>IF(C602=60, 7, IF(C602=48, 9, IF(C602=40, 11, 13)))</f>
        <v>11</v>
      </c>
      <c r="E602" s="427" t="str">
        <f>DEC2HEX(((D602)*2^4),8)</f>
        <v>000000B0</v>
      </c>
      <c r="F602" s="237" t="s">
        <v>1888</v>
      </c>
      <c r="G602" s="689"/>
      <c r="H602" s="546"/>
      <c r="I602" s="546"/>
      <c r="J602" s="549"/>
      <c r="L602"/>
      <c r="M602"/>
      <c r="N602"/>
      <c r="O602"/>
      <c r="P602"/>
      <c r="Q602"/>
      <c r="R602"/>
      <c r="S602"/>
      <c r="T602"/>
      <c r="U602"/>
      <c r="V602"/>
      <c r="W602"/>
    </row>
    <row r="603" spans="1:23" ht="93" thickBot="1" x14ac:dyDescent="0.3">
      <c r="A603" s="258"/>
      <c r="B603" s="80" t="s">
        <v>1882</v>
      </c>
      <c r="C603" s="433" t="s">
        <v>0</v>
      </c>
      <c r="D603" s="428">
        <v>11</v>
      </c>
      <c r="E603" s="428" t="str">
        <f>DEC2HEX(((D603)*2^0),8)</f>
        <v>0000000B</v>
      </c>
      <c r="F603" s="376" t="s">
        <v>1885</v>
      </c>
      <c r="G603" s="690"/>
      <c r="H603" s="547"/>
      <c r="I603" s="547"/>
      <c r="J603" s="550"/>
      <c r="L603"/>
      <c r="M603"/>
      <c r="N603"/>
      <c r="O603"/>
      <c r="P603"/>
      <c r="Q603"/>
      <c r="R603"/>
      <c r="S603"/>
      <c r="T603"/>
      <c r="U603"/>
      <c r="V603"/>
      <c r="W603"/>
    </row>
    <row r="604" spans="1:23" x14ac:dyDescent="0.25">
      <c r="A604" s="258"/>
      <c r="B604" s="258"/>
      <c r="C604" s="258"/>
      <c r="D604" s="258"/>
      <c r="E604" s="263"/>
      <c r="F604" s="258"/>
      <c r="G604" s="263"/>
      <c r="H604" s="263"/>
      <c r="I604" s="263"/>
      <c r="J604" s="263"/>
      <c r="L604"/>
      <c r="M604"/>
      <c r="N604"/>
      <c r="O604"/>
      <c r="P604"/>
      <c r="Q604"/>
      <c r="R604"/>
      <c r="S604"/>
      <c r="T604"/>
      <c r="U604"/>
      <c r="V604"/>
      <c r="W604"/>
    </row>
    <row r="605" spans="1:23" x14ac:dyDescent="0.25">
      <c r="A605" s="258"/>
      <c r="L605"/>
      <c r="M605"/>
      <c r="N605"/>
      <c r="O605"/>
      <c r="P605"/>
      <c r="Q605"/>
      <c r="R605"/>
      <c r="S605"/>
      <c r="T605"/>
      <c r="U605"/>
      <c r="V605"/>
      <c r="W605"/>
    </row>
  </sheetData>
  <mergeCells count="426">
    <mergeCell ref="C491:C492"/>
    <mergeCell ref="F491:F492"/>
    <mergeCell ref="G482:G492"/>
    <mergeCell ref="H482:H492"/>
    <mergeCell ref="I482:I492"/>
    <mergeCell ref="J482:J492"/>
    <mergeCell ref="K482:K492"/>
    <mergeCell ref="F468:F469"/>
    <mergeCell ref="G468:G469"/>
    <mergeCell ref="H468:H469"/>
    <mergeCell ref="I468:I469"/>
    <mergeCell ref="J468:J469"/>
    <mergeCell ref="K468:K469"/>
    <mergeCell ref="F479:F480"/>
    <mergeCell ref="F477:F478"/>
    <mergeCell ref="G477:G480"/>
    <mergeCell ref="H477:H480"/>
    <mergeCell ref="I477:I480"/>
    <mergeCell ref="J477:J480"/>
    <mergeCell ref="C479:C480"/>
    <mergeCell ref="K477:K480"/>
    <mergeCell ref="C471:C472"/>
    <mergeCell ref="C474:C475"/>
    <mergeCell ref="J471:J472"/>
    <mergeCell ref="K198:K213"/>
    <mergeCell ref="F206:F207"/>
    <mergeCell ref="C206:C207"/>
    <mergeCell ref="C362:C363"/>
    <mergeCell ref="F362:F363"/>
    <mergeCell ref="K362:K375"/>
    <mergeCell ref="C468:C469"/>
    <mergeCell ref="L29:O30"/>
    <mergeCell ref="L31:O31"/>
    <mergeCell ref="H429:H432"/>
    <mergeCell ref="I410:I411"/>
    <mergeCell ref="J398:J401"/>
    <mergeCell ref="G423:G426"/>
    <mergeCell ref="J423:J426"/>
    <mergeCell ref="H414:H421"/>
    <mergeCell ref="I414:I421"/>
    <mergeCell ref="J414:J421"/>
    <mergeCell ref="B413:J413"/>
    <mergeCell ref="I309:I314"/>
    <mergeCell ref="H309:H314"/>
    <mergeCell ref="G309:G314"/>
    <mergeCell ref="G440:G445"/>
    <mergeCell ref="H198:H213"/>
    <mergeCell ref="C204:C205"/>
    <mergeCell ref="K471:K472"/>
    <mergeCell ref="K474:K475"/>
    <mergeCell ref="F474:F475"/>
    <mergeCell ref="G279:G284"/>
    <mergeCell ref="H279:H284"/>
    <mergeCell ref="J279:J284"/>
    <mergeCell ref="I279:I284"/>
    <mergeCell ref="G288:G289"/>
    <mergeCell ref="H288:H289"/>
    <mergeCell ref="J288:J289"/>
    <mergeCell ref="G291:G292"/>
    <mergeCell ref="H291:H292"/>
    <mergeCell ref="J291:J292"/>
    <mergeCell ref="I288:I289"/>
    <mergeCell ref="I291:I292"/>
    <mergeCell ref="I336:I348"/>
    <mergeCell ref="F359:F360"/>
    <mergeCell ref="F365:F366"/>
    <mergeCell ref="F471:F472"/>
    <mergeCell ref="B294:J294"/>
    <mergeCell ref="J309:J314"/>
    <mergeCell ref="G453:G456"/>
    <mergeCell ref="H453:H456"/>
    <mergeCell ref="J453:J456"/>
    <mergeCell ref="G592:G596"/>
    <mergeCell ref="H592:H596"/>
    <mergeCell ref="I592:I596"/>
    <mergeCell ref="J592:J596"/>
    <mergeCell ref="I297:I307"/>
    <mergeCell ref="I362:I368"/>
    <mergeCell ref="I369:I375"/>
    <mergeCell ref="I377:I388"/>
    <mergeCell ref="I391:I395"/>
    <mergeCell ref="I398:I401"/>
    <mergeCell ref="B390:J390"/>
    <mergeCell ref="B397:J397"/>
    <mergeCell ref="H362:H368"/>
    <mergeCell ref="H369:H375"/>
    <mergeCell ref="G377:G388"/>
    <mergeCell ref="B434:J434"/>
    <mergeCell ref="G463:G466"/>
    <mergeCell ref="H463:H466"/>
    <mergeCell ref="J463:J466"/>
    <mergeCell ref="I463:I466"/>
    <mergeCell ref="J410:J411"/>
    <mergeCell ref="G410:G411"/>
    <mergeCell ref="G404:G408"/>
    <mergeCell ref="I499:I514"/>
    <mergeCell ref="F204:F205"/>
    <mergeCell ref="G599:G603"/>
    <mergeCell ref="H599:H603"/>
    <mergeCell ref="I599:I603"/>
    <mergeCell ref="J599:J603"/>
    <mergeCell ref="I435:I438"/>
    <mergeCell ref="G362:G375"/>
    <mergeCell ref="J362:J375"/>
    <mergeCell ref="G429:G432"/>
    <mergeCell ref="J429:J432"/>
    <mergeCell ref="G435:G438"/>
    <mergeCell ref="J435:J438"/>
    <mergeCell ref="H377:H388"/>
    <mergeCell ref="J377:J388"/>
    <mergeCell ref="G391:G395"/>
    <mergeCell ref="H423:H426"/>
    <mergeCell ref="I423:I426"/>
    <mergeCell ref="H404:H408"/>
    <mergeCell ref="I429:I432"/>
    <mergeCell ref="I458:I461"/>
    <mergeCell ref="J404:J408"/>
    <mergeCell ref="G398:G401"/>
    <mergeCell ref="B216:J216"/>
    <mergeCell ref="G198:G213"/>
    <mergeCell ref="H151:H153"/>
    <mergeCell ref="B181:J181"/>
    <mergeCell ref="G175:G178"/>
    <mergeCell ref="B183:D183"/>
    <mergeCell ref="G128:G131"/>
    <mergeCell ref="H128:H131"/>
    <mergeCell ref="J128:J131"/>
    <mergeCell ref="G151:G153"/>
    <mergeCell ref="B138:J138"/>
    <mergeCell ref="G133:G136"/>
    <mergeCell ref="H133:H136"/>
    <mergeCell ref="J151:J153"/>
    <mergeCell ref="J139:J141"/>
    <mergeCell ref="H175:H178"/>
    <mergeCell ref="B164:J164"/>
    <mergeCell ref="I151:I153"/>
    <mergeCell ref="J175:J178"/>
    <mergeCell ref="I99:I100"/>
    <mergeCell ref="B103:J103"/>
    <mergeCell ref="G99:G100"/>
    <mergeCell ref="J76:J81"/>
    <mergeCell ref="G91:G92"/>
    <mergeCell ref="I71:I74"/>
    <mergeCell ref="G71:G74"/>
    <mergeCell ref="G76:G81"/>
    <mergeCell ref="G95:G97"/>
    <mergeCell ref="I91:I92"/>
    <mergeCell ref="H91:H92"/>
    <mergeCell ref="I95:I97"/>
    <mergeCell ref="I86:I89"/>
    <mergeCell ref="H86:H89"/>
    <mergeCell ref="K86:K89"/>
    <mergeCell ref="G186:G194"/>
    <mergeCell ref="H186:H194"/>
    <mergeCell ref="I186:I194"/>
    <mergeCell ref="J186:J194"/>
    <mergeCell ref="H95:H97"/>
    <mergeCell ref="J95:J97"/>
    <mergeCell ref="H104:H106"/>
    <mergeCell ref="I113:I115"/>
    <mergeCell ref="I119:I122"/>
    <mergeCell ref="G119:G122"/>
    <mergeCell ref="G124:G126"/>
    <mergeCell ref="H119:H122"/>
    <mergeCell ref="J124:J126"/>
    <mergeCell ref="K118:L118"/>
    <mergeCell ref="L119:L122"/>
    <mergeCell ref="L168:L171"/>
    <mergeCell ref="K167:L167"/>
    <mergeCell ref="J99:J100"/>
    <mergeCell ref="J168:J171"/>
    <mergeCell ref="I168:I171"/>
    <mergeCell ref="H168:H171"/>
    <mergeCell ref="G168:G171"/>
    <mergeCell ref="J113:J115"/>
    <mergeCell ref="J63:J66"/>
    <mergeCell ref="I63:I66"/>
    <mergeCell ref="J249:J251"/>
    <mergeCell ref="G249:G251"/>
    <mergeCell ref="H249:H251"/>
    <mergeCell ref="I249:I251"/>
    <mergeCell ref="H139:H141"/>
    <mergeCell ref="I175:I178"/>
    <mergeCell ref="J165:J166"/>
    <mergeCell ref="H165:H166"/>
    <mergeCell ref="G165:G166"/>
    <mergeCell ref="I157:I162"/>
    <mergeCell ref="I165:I166"/>
    <mergeCell ref="H99:H100"/>
    <mergeCell ref="H108:H111"/>
    <mergeCell ref="J133:J136"/>
    <mergeCell ref="J68:J69"/>
    <mergeCell ref="I68:I69"/>
    <mergeCell ref="I219:I224"/>
    <mergeCell ref="I226:I230"/>
    <mergeCell ref="G219:G224"/>
    <mergeCell ref="H219:H224"/>
    <mergeCell ref="H68:H69"/>
    <mergeCell ref="G68:G69"/>
    <mergeCell ref="I59:I61"/>
    <mergeCell ref="K175:K178"/>
    <mergeCell ref="C22:D22"/>
    <mergeCell ref="C31:D31"/>
    <mergeCell ref="J56:J57"/>
    <mergeCell ref="G56:G57"/>
    <mergeCell ref="H56:H57"/>
    <mergeCell ref="G59:G61"/>
    <mergeCell ref="J59:J61"/>
    <mergeCell ref="C33:D33"/>
    <mergeCell ref="B37:D37"/>
    <mergeCell ref="C23:D23"/>
    <mergeCell ref="C32:D32"/>
    <mergeCell ref="C34:D34"/>
    <mergeCell ref="B36:D36"/>
    <mergeCell ref="H59:H61"/>
    <mergeCell ref="C30:D30"/>
    <mergeCell ref="C25:D25"/>
    <mergeCell ref="C27:D27"/>
    <mergeCell ref="B38:D38"/>
    <mergeCell ref="G17:K27"/>
    <mergeCell ref="G28:K28"/>
    <mergeCell ref="G63:G66"/>
    <mergeCell ref="H63:H66"/>
    <mergeCell ref="B5:K5"/>
    <mergeCell ref="C29:D29"/>
    <mergeCell ref="C20:D20"/>
    <mergeCell ref="B35:D35"/>
    <mergeCell ref="I41:I53"/>
    <mergeCell ref="I56:I57"/>
    <mergeCell ref="C21:D21"/>
    <mergeCell ref="F7:F8"/>
    <mergeCell ref="F13:F14"/>
    <mergeCell ref="F9:F10"/>
    <mergeCell ref="G7:G8"/>
    <mergeCell ref="G9:G10"/>
    <mergeCell ref="G13:G14"/>
    <mergeCell ref="B7:E14"/>
    <mergeCell ref="C19:D19"/>
    <mergeCell ref="C17:D17"/>
    <mergeCell ref="C18:D18"/>
    <mergeCell ref="C24:D24"/>
    <mergeCell ref="C28:D28"/>
    <mergeCell ref="C26:D26"/>
    <mergeCell ref="F17:F18"/>
    <mergeCell ref="I104:I106"/>
    <mergeCell ref="I108:I111"/>
    <mergeCell ref="G104:G106"/>
    <mergeCell ref="G147:G149"/>
    <mergeCell ref="H147:H149"/>
    <mergeCell ref="J147:J149"/>
    <mergeCell ref="G113:G115"/>
    <mergeCell ref="I144:I145"/>
    <mergeCell ref="H113:H115"/>
    <mergeCell ref="G139:G141"/>
    <mergeCell ref="G144:G145"/>
    <mergeCell ref="I147:I149"/>
    <mergeCell ref="H144:H145"/>
    <mergeCell ref="I139:I141"/>
    <mergeCell ref="I124:I126"/>
    <mergeCell ref="I128:I131"/>
    <mergeCell ref="I133:I136"/>
    <mergeCell ref="J144:J145"/>
    <mergeCell ref="B143:J143"/>
    <mergeCell ref="I198:I213"/>
    <mergeCell ref="J104:J106"/>
    <mergeCell ref="J198:J213"/>
    <mergeCell ref="C4:F4"/>
    <mergeCell ref="G4:K4"/>
    <mergeCell ref="B94:J94"/>
    <mergeCell ref="J108:J111"/>
    <mergeCell ref="B55:J55"/>
    <mergeCell ref="J157:J162"/>
    <mergeCell ref="H157:H162"/>
    <mergeCell ref="G157:G162"/>
    <mergeCell ref="J91:J92"/>
    <mergeCell ref="J119:J122"/>
    <mergeCell ref="H71:H74"/>
    <mergeCell ref="J71:J74"/>
    <mergeCell ref="H76:H81"/>
    <mergeCell ref="G41:G53"/>
    <mergeCell ref="H41:H53"/>
    <mergeCell ref="J41:J53"/>
    <mergeCell ref="G108:G111"/>
    <mergeCell ref="H124:H126"/>
    <mergeCell ref="G86:G89"/>
    <mergeCell ref="J86:J89"/>
    <mergeCell ref="I76:I81"/>
    <mergeCell ref="J239:J242"/>
    <mergeCell ref="I239:I242"/>
    <mergeCell ref="I244:I245"/>
    <mergeCell ref="G253:G261"/>
    <mergeCell ref="H253:H261"/>
    <mergeCell ref="J253:J261"/>
    <mergeCell ref="I253:I261"/>
    <mergeCell ref="H244:H245"/>
    <mergeCell ref="J244:J245"/>
    <mergeCell ref="K555:K565"/>
    <mergeCell ref="H499:H514"/>
    <mergeCell ref="G525:G534"/>
    <mergeCell ref="H525:H534"/>
    <mergeCell ref="J525:J534"/>
    <mergeCell ref="G536:G547"/>
    <mergeCell ref="H536:H547"/>
    <mergeCell ref="J536:J547"/>
    <mergeCell ref="G549:G553"/>
    <mergeCell ref="H549:H553"/>
    <mergeCell ref="J549:J553"/>
    <mergeCell ref="G516:G523"/>
    <mergeCell ref="H516:H523"/>
    <mergeCell ref="J516:J523"/>
    <mergeCell ref="G555:G565"/>
    <mergeCell ref="J555:J565"/>
    <mergeCell ref="I555:I565"/>
    <mergeCell ref="H555:H565"/>
    <mergeCell ref="I536:I547"/>
    <mergeCell ref="I549:I553"/>
    <mergeCell ref="I525:I534"/>
    <mergeCell ref="I516:I523"/>
    <mergeCell ref="K97:L97"/>
    <mergeCell ref="K99:L99"/>
    <mergeCell ref="L235:L237"/>
    <mergeCell ref="G458:G461"/>
    <mergeCell ref="H458:H461"/>
    <mergeCell ref="J458:J461"/>
    <mergeCell ref="L362:L375"/>
    <mergeCell ref="G336:G348"/>
    <mergeCell ref="H336:H348"/>
    <mergeCell ref="J336:J348"/>
    <mergeCell ref="G357:G360"/>
    <mergeCell ref="I404:I408"/>
    <mergeCell ref="H410:H411"/>
    <mergeCell ref="G414:G421"/>
    <mergeCell ref="I440:I445"/>
    <mergeCell ref="I447:I451"/>
    <mergeCell ref="H267:H273"/>
    <mergeCell ref="J267:J273"/>
    <mergeCell ref="I267:I273"/>
    <mergeCell ref="G275:G277"/>
    <mergeCell ref="H275:H277"/>
    <mergeCell ref="J275:J277"/>
    <mergeCell ref="I275:I277"/>
    <mergeCell ref="G239:G242"/>
    <mergeCell ref="I494:I497"/>
    <mergeCell ref="I474:I475"/>
    <mergeCell ref="H474:H475"/>
    <mergeCell ref="G474:G475"/>
    <mergeCell ref="H440:H445"/>
    <mergeCell ref="J440:J445"/>
    <mergeCell ref="G447:G451"/>
    <mergeCell ref="H447:H451"/>
    <mergeCell ref="J447:J451"/>
    <mergeCell ref="I453:I456"/>
    <mergeCell ref="G494:G497"/>
    <mergeCell ref="H494:H497"/>
    <mergeCell ref="J494:J497"/>
    <mergeCell ref="J474:J475"/>
    <mergeCell ref="I471:I472"/>
    <mergeCell ref="H471:H472"/>
    <mergeCell ref="G471:G472"/>
    <mergeCell ref="K235:K237"/>
    <mergeCell ref="G297:G307"/>
    <mergeCell ref="H297:H307"/>
    <mergeCell ref="J297:J307"/>
    <mergeCell ref="G316:G323"/>
    <mergeCell ref="J219:J224"/>
    <mergeCell ref="J235:J237"/>
    <mergeCell ref="G226:G230"/>
    <mergeCell ref="H226:H230"/>
    <mergeCell ref="I232:I233"/>
    <mergeCell ref="G232:G233"/>
    <mergeCell ref="H232:H233"/>
    <mergeCell ref="J232:J233"/>
    <mergeCell ref="G267:G273"/>
    <mergeCell ref="G235:G237"/>
    <mergeCell ref="H235:H237"/>
    <mergeCell ref="I235:I237"/>
    <mergeCell ref="J226:J230"/>
    <mergeCell ref="G263:G265"/>
    <mergeCell ref="H263:H265"/>
    <mergeCell ref="I263:I265"/>
    <mergeCell ref="J263:J265"/>
    <mergeCell ref="G244:G245"/>
    <mergeCell ref="H239:H242"/>
    <mergeCell ref="J575:J589"/>
    <mergeCell ref="I575:I589"/>
    <mergeCell ref="H575:H589"/>
    <mergeCell ref="G575:G589"/>
    <mergeCell ref="G567:G573"/>
    <mergeCell ref="J567:J573"/>
    <mergeCell ref="H567:H573"/>
    <mergeCell ref="I567:I573"/>
    <mergeCell ref="H316:H323"/>
    <mergeCell ref="J316:J323"/>
    <mergeCell ref="G325:G334"/>
    <mergeCell ref="H325:H334"/>
    <mergeCell ref="J325:J334"/>
    <mergeCell ref="I316:I323"/>
    <mergeCell ref="I325:I334"/>
    <mergeCell ref="H391:H395"/>
    <mergeCell ref="J391:J395"/>
    <mergeCell ref="B403:J403"/>
    <mergeCell ref="B428:J428"/>
    <mergeCell ref="H435:H438"/>
    <mergeCell ref="H398:H401"/>
    <mergeCell ref="B499:B514"/>
    <mergeCell ref="G499:G514"/>
    <mergeCell ref="J499:J514"/>
    <mergeCell ref="C357:C358"/>
    <mergeCell ref="F357:F358"/>
    <mergeCell ref="K357:K360"/>
    <mergeCell ref="J357:J360"/>
    <mergeCell ref="I357:I360"/>
    <mergeCell ref="H357:H360"/>
    <mergeCell ref="C365:C366"/>
    <mergeCell ref="C359:C360"/>
    <mergeCell ref="C350:C351"/>
    <mergeCell ref="C352:C353"/>
    <mergeCell ref="C354:C355"/>
    <mergeCell ref="F350:F351"/>
    <mergeCell ref="F352:F353"/>
    <mergeCell ref="F354:F355"/>
    <mergeCell ref="K350:K355"/>
    <mergeCell ref="J350:J355"/>
    <mergeCell ref="I350:I355"/>
    <mergeCell ref="H350:H355"/>
    <mergeCell ref="G350:G355"/>
  </mergeCells>
  <phoneticPr fontId="2" type="noConversion"/>
  <dataValidations xWindow="581" yWindow="799" count="14">
    <dataValidation type="list" allowBlank="1" showErrorMessage="1" promptTitle="Bus width select" prompt="QM " sqref="C28:D28" xr:uid="{00000000-0002-0000-0200-000001000000}">
      <formula1>"32,16"</formula1>
    </dataValidation>
    <dataValidation allowBlank="1" showErrorMessage="1" promptTitle="DDR type selection" prompt="Select the DDR type " sqref="C17:D17" xr:uid="{00000000-0002-0000-0200-000002000000}"/>
    <dataValidation type="list" allowBlank="1" showInputMessage="1" showErrorMessage="1" sqref="C22:D22" xr:uid="{00000000-0002-0000-0200-000003000000}">
      <formula1>$AF$4:$AF$5</formula1>
    </dataValidation>
    <dataValidation type="list" allowBlank="1" showInputMessage="1" showErrorMessage="1" promptTitle="Impedance value" sqref="C595 C602 C593 C600" xr:uid="{00000000-0002-0000-0200-000005000000}">
      <formula1>$AH$4:$AH$7</formula1>
    </dataValidation>
    <dataValidation type="list" allowBlank="1" showInputMessage="1" showErrorMessage="1" promptTitle="Impedance value" sqref="C601" xr:uid="{00000000-0002-0000-0200-000006000000}">
      <formula1>$AH$3:$AH$6</formula1>
    </dataValidation>
    <dataValidation allowBlank="1" showInputMessage="1" showErrorMessage="1" promptTitle="Impedance value" sqref="C594 C596 C603" xr:uid="{00000000-0002-0000-0200-000007000000}"/>
    <dataValidation type="list" allowBlank="1" showErrorMessage="1" sqref="F30" xr:uid="{00000000-0002-0000-0200-000008000000}">
      <formula1>$Z$4:$Z$5</formula1>
    </dataValidation>
    <dataValidation type="list" allowBlank="1" showInputMessage="1" showErrorMessage="1" sqref="F19" xr:uid="{36910275-41E8-4DCA-9665-7CC094502762}">
      <formula1>"1, 2"</formula1>
    </dataValidation>
    <dataValidation type="list" allowBlank="1" showInputMessage="1" showErrorMessage="1" promptTitle="DRAM Frequency" prompt="Select the desired DRAM frequency (note, only two frequency set points are supported, 800 and 1600MHz)." sqref="C29:D29" xr:uid="{00000000-0002-0000-0200-000004000000}">
      <formula1>"800, 1200, 1600"</formula1>
    </dataValidation>
    <dataValidation type="list" allowBlank="1" showInputMessage="1" showErrorMessage="1" sqref="G28:K28" xr:uid="{5D6F215F-0594-4F23-A696-1AC823EBED14}">
      <formula1>"Apply MR4 manual de-rate workaround, Do not apply any de-rate workaround, Apply maximum de-rate timings"</formula1>
    </dataValidation>
    <dataValidation type="list" allowBlank="1" showInputMessage="1" showErrorMessage="1" sqref="L31:O31" xr:uid="{CD78A3C0-E0C1-4CC7-A485-09E03E3E936D}">
      <formula1>"enable, disable"</formula1>
    </dataValidation>
    <dataValidation type="list" allowBlank="1" showInputMessage="1" showErrorMessage="1" prompt="Number of supported row addresses: 14, 15, 16" sqref="C24:D24" xr:uid="{0117BA0F-CB0B-4717-B1B9-4E0FE1BC6458}">
      <formula1>"14,15,16"</formula1>
    </dataValidation>
    <dataValidation type="whole" operator="equal" allowBlank="1" showInputMessage="1" showErrorMessage="1" error="Only 10 column addresses are supported as per JEDEC" prompt="Number of supported column addresses: 10" sqref="C25:D25" xr:uid="{DBBE39A7-C2BE-443E-8E2D-989077CEBBDC}">
      <formula1>10</formula1>
    </dataValidation>
    <dataValidation type="whole" operator="equal" allowBlank="1" showInputMessage="1" showErrorMessage="1" error="Only 3 bank addresses are supported as per JEDEC" prompt="Number of supported bank addresses: 3" sqref="C26:D26" xr:uid="{D0E83799-4F17-4BC9-8EF7-A989CE353F42}">
      <formula1>3</formula1>
    </dataValidation>
  </dataValidations>
  <pageMargins left="0.75" right="0.75" top="1" bottom="1" header="0.5" footer="0.5"/>
  <pageSetup scale="81" orientation="landscape" r:id="rId1"/>
  <headerFooter alignWithMargins="0"/>
  <ignoredErrors>
    <ignoredError sqref="D12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I59"/>
  <sheetViews>
    <sheetView topLeftCell="A34" workbookViewId="0">
      <selection activeCell="D64" sqref="D64"/>
    </sheetView>
  </sheetViews>
  <sheetFormatPr defaultRowHeight="13.2" x14ac:dyDescent="0.25"/>
  <cols>
    <col min="2" max="2" width="29.109375" customWidth="1"/>
    <col min="3" max="34" width="4.6640625" style="341" customWidth="1"/>
    <col min="35" max="35" width="9.109375" style="341"/>
  </cols>
  <sheetData>
    <row r="1" spans="2:34" x14ac:dyDescent="0.25">
      <c r="B1" t="s">
        <v>748</v>
      </c>
    </row>
    <row r="2" spans="2:34" x14ac:dyDescent="0.25">
      <c r="B2" t="s">
        <v>749</v>
      </c>
    </row>
    <row r="3" spans="2:34" x14ac:dyDescent="0.25">
      <c r="B3" t="s">
        <v>750</v>
      </c>
    </row>
    <row r="4" spans="2:34" x14ac:dyDescent="0.25">
      <c r="B4" t="s">
        <v>751</v>
      </c>
    </row>
    <row r="6" spans="2:34" ht="15" thickBot="1" x14ac:dyDescent="0.35">
      <c r="C6" s="731" t="s">
        <v>752</v>
      </c>
      <c r="D6" s="731"/>
      <c r="E6" s="731"/>
      <c r="F6" s="731"/>
      <c r="G6" s="731"/>
      <c r="H6" s="731"/>
      <c r="I6" s="731"/>
      <c r="J6" s="731"/>
      <c r="K6" s="731"/>
      <c r="L6" s="731"/>
      <c r="M6" s="731"/>
      <c r="N6" s="731"/>
      <c r="O6" s="731"/>
      <c r="P6" s="731"/>
      <c r="Q6" s="731"/>
      <c r="R6" s="731"/>
      <c r="S6" s="731"/>
      <c r="T6" s="731"/>
      <c r="U6" s="731"/>
      <c r="V6" s="731"/>
      <c r="W6" s="731"/>
      <c r="X6" s="731"/>
      <c r="Y6" s="731"/>
      <c r="Z6" s="731"/>
      <c r="AA6" s="731"/>
      <c r="AB6" s="731"/>
      <c r="AC6" s="731"/>
      <c r="AD6" s="731"/>
      <c r="AE6" s="731"/>
      <c r="AF6" s="731"/>
      <c r="AG6" s="731"/>
      <c r="AH6" s="731"/>
    </row>
    <row r="7" spans="2:34" ht="13.8" thickBot="1" x14ac:dyDescent="0.3">
      <c r="B7" t="s">
        <v>2230</v>
      </c>
      <c r="C7" s="732" t="s">
        <v>753</v>
      </c>
      <c r="D7" s="733"/>
      <c r="E7" s="733"/>
      <c r="F7" s="733"/>
      <c r="G7" s="733"/>
      <c r="H7" s="733"/>
      <c r="I7" s="733"/>
      <c r="J7" s="733"/>
      <c r="K7" s="733"/>
      <c r="L7" s="733"/>
      <c r="M7" s="733"/>
      <c r="N7" s="733"/>
      <c r="O7" s="733"/>
      <c r="P7" s="733"/>
      <c r="Q7" s="733"/>
      <c r="R7" s="733"/>
      <c r="S7" s="672" t="s">
        <v>754</v>
      </c>
      <c r="T7" s="734"/>
      <c r="U7" s="734"/>
      <c r="V7" s="734"/>
      <c r="W7" s="734"/>
      <c r="X7" s="734"/>
      <c r="Y7" s="734"/>
      <c r="Z7" s="734"/>
      <c r="AA7" s="734"/>
      <c r="AB7" s="734"/>
      <c r="AC7" s="734"/>
      <c r="AD7" s="734"/>
      <c r="AE7" s="734"/>
      <c r="AF7" s="734"/>
      <c r="AG7" s="734"/>
      <c r="AH7" s="673"/>
    </row>
    <row r="8" spans="2:34" x14ac:dyDescent="0.25">
      <c r="B8" t="s">
        <v>755</v>
      </c>
      <c r="C8" s="342">
        <v>15</v>
      </c>
      <c r="D8" s="343">
        <v>14</v>
      </c>
      <c r="E8" s="343">
        <v>13</v>
      </c>
      <c r="F8" s="343">
        <v>12</v>
      </c>
      <c r="G8" s="343">
        <v>11</v>
      </c>
      <c r="H8" s="343">
        <v>10</v>
      </c>
      <c r="I8" s="343">
        <v>9</v>
      </c>
      <c r="J8" s="383">
        <v>8</v>
      </c>
      <c r="K8" s="342">
        <v>7</v>
      </c>
      <c r="L8" s="343">
        <v>6</v>
      </c>
      <c r="M8" s="343">
        <v>5</v>
      </c>
      <c r="N8" s="343">
        <v>4</v>
      </c>
      <c r="O8" s="343">
        <v>3</v>
      </c>
      <c r="P8" s="343">
        <v>2</v>
      </c>
      <c r="Q8" s="343">
        <v>1</v>
      </c>
      <c r="R8" s="344">
        <v>0</v>
      </c>
      <c r="S8" s="342">
        <v>15</v>
      </c>
      <c r="T8" s="343">
        <v>14</v>
      </c>
      <c r="U8" s="343">
        <v>13</v>
      </c>
      <c r="V8" s="343">
        <v>12</v>
      </c>
      <c r="W8" s="343">
        <v>11</v>
      </c>
      <c r="X8" s="343">
        <v>10</v>
      </c>
      <c r="Y8" s="343">
        <v>9</v>
      </c>
      <c r="Z8" s="344">
        <v>8</v>
      </c>
      <c r="AA8" s="386">
        <v>7</v>
      </c>
      <c r="AB8" s="343">
        <v>6</v>
      </c>
      <c r="AC8" s="343">
        <v>5</v>
      </c>
      <c r="AD8" s="343">
        <v>4</v>
      </c>
      <c r="AE8" s="343">
        <v>3</v>
      </c>
      <c r="AF8" s="343">
        <v>2</v>
      </c>
      <c r="AG8" s="343">
        <v>1</v>
      </c>
      <c r="AH8" s="344">
        <v>0</v>
      </c>
    </row>
    <row r="9" spans="2:34" ht="14.4" x14ac:dyDescent="0.3">
      <c r="B9" s="379" t="s">
        <v>756</v>
      </c>
      <c r="C9" s="380">
        <v>27</v>
      </c>
      <c r="D9" s="381">
        <v>30</v>
      </c>
      <c r="E9" s="381">
        <v>24</v>
      </c>
      <c r="F9" s="381">
        <v>25</v>
      </c>
      <c r="G9" s="381">
        <v>26</v>
      </c>
      <c r="H9" s="381">
        <v>29</v>
      </c>
      <c r="I9" s="381">
        <v>31</v>
      </c>
      <c r="J9" s="384">
        <v>28</v>
      </c>
      <c r="K9" s="380">
        <v>16</v>
      </c>
      <c r="L9" s="381">
        <v>17</v>
      </c>
      <c r="M9" s="381">
        <v>21</v>
      </c>
      <c r="N9" s="381">
        <v>22</v>
      </c>
      <c r="O9" s="381">
        <v>20</v>
      </c>
      <c r="P9" s="381">
        <v>23</v>
      </c>
      <c r="Q9" s="381">
        <v>19</v>
      </c>
      <c r="R9" s="382">
        <v>18</v>
      </c>
      <c r="S9" s="380">
        <v>2</v>
      </c>
      <c r="T9" s="381">
        <v>7</v>
      </c>
      <c r="U9" s="381">
        <v>1</v>
      </c>
      <c r="V9" s="381">
        <v>0</v>
      </c>
      <c r="W9" s="381">
        <v>3</v>
      </c>
      <c r="X9" s="381">
        <v>4</v>
      </c>
      <c r="Y9" s="381">
        <v>6</v>
      </c>
      <c r="Z9" s="382">
        <v>5</v>
      </c>
      <c r="AA9" s="387">
        <v>9</v>
      </c>
      <c r="AB9" s="381">
        <v>8</v>
      </c>
      <c r="AC9" s="381">
        <v>12</v>
      </c>
      <c r="AD9" s="381">
        <v>15</v>
      </c>
      <c r="AE9" s="381">
        <v>13</v>
      </c>
      <c r="AF9" s="381">
        <v>14</v>
      </c>
      <c r="AG9" s="381">
        <v>11</v>
      </c>
      <c r="AH9" s="382">
        <v>10</v>
      </c>
    </row>
    <row r="10" spans="2:34" x14ac:dyDescent="0.25">
      <c r="B10" t="s">
        <v>757</v>
      </c>
      <c r="C10" s="735">
        <f>IF(J9&lt;8, 0, IF(J9&lt;16, 1, IF(J9&lt;24, 2, 3)))</f>
        <v>3</v>
      </c>
      <c r="D10" s="736"/>
      <c r="E10" s="736"/>
      <c r="F10" s="736"/>
      <c r="G10" s="736"/>
      <c r="H10" s="736"/>
      <c r="I10" s="736"/>
      <c r="J10" s="736"/>
      <c r="K10" s="735">
        <f>IF(R9&lt;8, 0, IF(R9&lt;16, 1, IF(R9&lt;24, 2, 3)))</f>
        <v>2</v>
      </c>
      <c r="L10" s="736"/>
      <c r="M10" s="736"/>
      <c r="N10" s="736"/>
      <c r="O10" s="736"/>
      <c r="P10" s="736"/>
      <c r="Q10" s="736"/>
      <c r="R10" s="737"/>
      <c r="S10" s="735">
        <f>IF(Z9&lt;8, 0, IF(Z9&lt;16, 1, IF(Z9&lt;24, 2, 3)))</f>
        <v>0</v>
      </c>
      <c r="T10" s="736"/>
      <c r="U10" s="736"/>
      <c r="V10" s="736"/>
      <c r="W10" s="736"/>
      <c r="X10" s="736"/>
      <c r="Y10" s="736"/>
      <c r="Z10" s="737"/>
      <c r="AA10" s="736">
        <f>IF(AH9&lt;8, 0, IF(AH9&lt;16, 1, IF(AH9&lt;24, 2, 3)))</f>
        <v>1</v>
      </c>
      <c r="AB10" s="736"/>
      <c r="AC10" s="736"/>
      <c r="AD10" s="736"/>
      <c r="AE10" s="736"/>
      <c r="AF10" s="736"/>
      <c r="AG10" s="736"/>
      <c r="AH10" s="737"/>
    </row>
    <row r="11" spans="2:34" ht="13.8" thickBot="1" x14ac:dyDescent="0.3">
      <c r="B11" t="s">
        <v>758</v>
      </c>
      <c r="C11" s="345">
        <f>(C9-C10*8)</f>
        <v>3</v>
      </c>
      <c r="D11" s="346">
        <f>(D9-C10*8)</f>
        <v>6</v>
      </c>
      <c r="E11" s="346">
        <f>(E9-C10*8)</f>
        <v>0</v>
      </c>
      <c r="F11" s="346">
        <f>(F9-C10*8)</f>
        <v>1</v>
      </c>
      <c r="G11" s="346">
        <f>(G9-C10*8)</f>
        <v>2</v>
      </c>
      <c r="H11" s="346">
        <f>(H9-C10*8)</f>
        <v>5</v>
      </c>
      <c r="I11" s="346">
        <f>(I9-C10*8)</f>
        <v>7</v>
      </c>
      <c r="J11" s="385">
        <f>(J9-C10*8)</f>
        <v>4</v>
      </c>
      <c r="K11" s="345">
        <f>(K9-K10*8)</f>
        <v>0</v>
      </c>
      <c r="L11" s="346">
        <f>(L9-K10*8)</f>
        <v>1</v>
      </c>
      <c r="M11" s="346">
        <f>(M9-K10*8)</f>
        <v>5</v>
      </c>
      <c r="N11" s="346">
        <f>(N9-K10*8)</f>
        <v>6</v>
      </c>
      <c r="O11" s="346">
        <f>(O9-K10*8)</f>
        <v>4</v>
      </c>
      <c r="P11" s="346">
        <f>(P9-K10*8)</f>
        <v>7</v>
      </c>
      <c r="Q11" s="346">
        <f>(Q9-K10*8)</f>
        <v>3</v>
      </c>
      <c r="R11" s="347">
        <f>(R9-K10*8)</f>
        <v>2</v>
      </c>
      <c r="S11" s="345">
        <f>(S9-S10*8)</f>
        <v>2</v>
      </c>
      <c r="T11" s="346">
        <f>(T9-S10*8)</f>
        <v>7</v>
      </c>
      <c r="U11" s="346">
        <f>(U9-S10*8)</f>
        <v>1</v>
      </c>
      <c r="V11" s="346">
        <f>(V9-S10*8)</f>
        <v>0</v>
      </c>
      <c r="W11" s="346">
        <f>(W9-S10*8)</f>
        <v>3</v>
      </c>
      <c r="X11" s="346">
        <f>(X9-S10*8)</f>
        <v>4</v>
      </c>
      <c r="Y11" s="346">
        <f>(Y9-S10*8)</f>
        <v>6</v>
      </c>
      <c r="Z11" s="347">
        <f>(Z9-S10*8)</f>
        <v>5</v>
      </c>
      <c r="AA11" s="388">
        <f>(AA9-AA10*8)</f>
        <v>1</v>
      </c>
      <c r="AB11" s="346">
        <f>(AB9-AA10*8)</f>
        <v>0</v>
      </c>
      <c r="AC11" s="346">
        <f>(AC9-AA10*8)</f>
        <v>4</v>
      </c>
      <c r="AD11" s="346">
        <f>(AD9-AA10*8)</f>
        <v>7</v>
      </c>
      <c r="AE11" s="346">
        <f>(AE9-AA10*8)</f>
        <v>5</v>
      </c>
      <c r="AF11" s="346">
        <f>(AF9-AA10*8)</f>
        <v>6</v>
      </c>
      <c r="AG11" s="346">
        <f>(AG9-AA10*8)</f>
        <v>3</v>
      </c>
      <c r="AH11" s="347">
        <f>(AH9-AA10*8)</f>
        <v>2</v>
      </c>
    </row>
    <row r="13" spans="2:34" x14ac:dyDescent="0.25">
      <c r="B13" s="739" t="s">
        <v>759</v>
      </c>
      <c r="C13" s="739"/>
      <c r="D13" s="739"/>
      <c r="E13" s="739"/>
      <c r="I13" s="740" t="s">
        <v>760</v>
      </c>
      <c r="J13" s="740"/>
      <c r="K13" s="740"/>
      <c r="L13" s="740"/>
      <c r="M13" s="740"/>
      <c r="N13" s="740"/>
      <c r="O13" s="740"/>
      <c r="P13" s="740"/>
      <c r="Q13" s="740"/>
      <c r="R13" s="740"/>
      <c r="S13" s="740"/>
      <c r="T13" s="740"/>
      <c r="U13" s="740"/>
      <c r="V13" s="740"/>
      <c r="W13" s="740"/>
      <c r="X13" s="740"/>
    </row>
    <row r="14" spans="2:34" ht="14.4" x14ac:dyDescent="0.3">
      <c r="B14" s="131" t="str">
        <f>"DDR_PHY_DX"&amp;AA10&amp;"DQMAP0_0"</f>
        <v>DDR_PHY_DX1DQMAP0_0</v>
      </c>
      <c r="C14" s="738" t="str">
        <f>"0x"&amp;DEC2HEX( ( HEX2DEC( DEC2HEX(((AH11)*2^0),8)) + HEX2DEC(DEC2HEX(((AG11)*2^4),8)) + HEX2DEC(DEC2HEX(((AF11)*2^8),8)) + HEX2DEC(DEC2HEX(((AE11)*2^12),8)) + HEX2DEC(DEC2HEX(((AD11)*2^16),8)) ), 8)</f>
        <v>0x00075632</v>
      </c>
      <c r="D14" s="738"/>
      <c r="E14" s="738"/>
      <c r="I14" s="341" t="s">
        <v>761</v>
      </c>
      <c r="K14" s="341" t="str">
        <f>"DX"&amp;S10&amp;"GSR6"</f>
        <v>DX0GSR6</v>
      </c>
    </row>
    <row r="15" spans="2:34" ht="14.4" x14ac:dyDescent="0.3">
      <c r="B15" s="131" t="str">
        <f>"DDR_PHY_DX"&amp;AA10&amp;"DQMAP1_0"</f>
        <v>DDR_PHY_DX1DQMAP1_0</v>
      </c>
      <c r="C15" s="738" t="str">
        <f>"0x"&amp;DEC2HEX( ( HEX2DEC(DEC2HEX(((AC11)*2^0),8)) + HEX2DEC(DEC2HEX(((AB11)*2^4),8)) + HEX2DEC(DEC2HEX(((AA11)*2^8),8)) + HEX2DEC(DEC2HEX(((8)*2^12),8)) ), 8)</f>
        <v>0x00008104</v>
      </c>
      <c r="D15" s="738"/>
      <c r="E15" s="738"/>
      <c r="I15" s="341" t="s">
        <v>762</v>
      </c>
      <c r="K15" s="341" t="str">
        <f>"DX"&amp;C10&amp;"GSR6"</f>
        <v>DX3GSR6</v>
      </c>
    </row>
    <row r="16" spans="2:34" ht="14.4" x14ac:dyDescent="0.3">
      <c r="B16" s="131" t="str">
        <f>"DDR_PHY_DX"&amp;S10&amp;"DQMAP0_0"</f>
        <v>DDR_PHY_DX0DQMAP0_0</v>
      </c>
      <c r="C16" s="738" t="str">
        <f>"0x"&amp;DEC2HEX((( HEX2DEC(DEC2HEX(((Z11)*2^0),8)) + HEX2DEC(DEC2HEX(((Y11)*2^4),8)) + HEX2DEC(DEC2HEX(((X11)*2^8),8)) + HEX2DEC(DEC2HEX(((W11)*2^12),8)) + HEX2DEC(DEC2HEX(((V11)*2^16),8)) ) ),8)</f>
        <v>0x00003465</v>
      </c>
      <c r="D16" s="738"/>
      <c r="E16" s="738"/>
    </row>
    <row r="17" spans="2:34" ht="14.4" x14ac:dyDescent="0.3">
      <c r="B17" s="131" t="str">
        <f>"DDR_PHY_DX"&amp;S10&amp;"DQMAP1_0"</f>
        <v>DDR_PHY_DX0DQMAP1_0</v>
      </c>
      <c r="C17" s="738" t="str">
        <f>"0x"&amp;DEC2HEX( (HEX2DEC(DEC2HEX(((U11)*2^0),8)) + HEX2DEC(DEC2HEX(((T11)*2^4),8)) + HEX2DEC(DEC2HEX(((S11)*2^8),8)) + HEX2DEC(DEC2HEX(((8)*2^12),8)) ), 8)</f>
        <v>0x00008271</v>
      </c>
      <c r="D17" s="738"/>
      <c r="E17" s="738"/>
    </row>
    <row r="18" spans="2:34" ht="14.4" x14ac:dyDescent="0.3">
      <c r="B18" s="131" t="str">
        <f>"DDR_PHY_DX"&amp;K10&amp;"DQMAP0_0"</f>
        <v>DDR_PHY_DX2DQMAP0_0</v>
      </c>
      <c r="C18" s="738" t="str">
        <f>"0x"&amp;DEC2HEX( (HEX2DEC(DEC2HEX(((R11)*2^0),8)) + HEX2DEC(DEC2HEX(((Q11)*2^4),8)) + HEX2DEC(DEC2HEX(((P11)*2^8),8)) + HEX2DEC(DEC2HEX(((O11)*2^12),8)) + HEX2DEC(DEC2HEX(((N11)*2^16),8)) ), 8)</f>
        <v>0x00064732</v>
      </c>
      <c r="D18" s="738"/>
      <c r="E18" s="738"/>
    </row>
    <row r="19" spans="2:34" ht="14.4" x14ac:dyDescent="0.3">
      <c r="B19" s="131" t="str">
        <f>"DDR_PHY_DX"&amp;K10&amp;"DQMAP1_0"</f>
        <v>DDR_PHY_DX2DQMAP1_0</v>
      </c>
      <c r="C19" s="738" t="str">
        <f>"0x"&amp;DEC2HEX( (HEX2DEC(DEC2HEX(((M11)*2^0),8)) + HEX2DEC(DEC2HEX(((L11)*2^4),8)) + HEX2DEC(DEC2HEX(((K11)*2^8),8)) + HEX2DEC(DEC2HEX(((8)*2^12),8)) ), 8)</f>
        <v>0x00008015</v>
      </c>
      <c r="D19" s="738"/>
      <c r="E19" s="738"/>
    </row>
    <row r="20" spans="2:34" ht="14.4" x14ac:dyDescent="0.3">
      <c r="B20" s="131" t="str">
        <f>"DDR_PHY_DX"&amp;C10&amp;"DQMAP0_0"</f>
        <v>DDR_PHY_DX3DQMAP0_0</v>
      </c>
      <c r="C20" s="738" t="str">
        <f>"0x"&amp;DEC2HEX( (HEX2DEC(DEC2HEX(((J11)*2^0),8)) + HEX2DEC(DEC2HEX(((I11)*2^4),8)) + HEX2DEC(DEC2HEX(((H11)*2^8),8)) + HEX2DEC(DEC2HEX(((G11)*2^12),8)) + HEX2DEC(DEC2HEX(((F11)*2^16),8)) ), 8)</f>
        <v>0x00012574</v>
      </c>
      <c r="D20" s="738"/>
      <c r="E20" s="738"/>
    </row>
    <row r="21" spans="2:34" ht="14.4" x14ac:dyDescent="0.3">
      <c r="B21" s="131" t="str">
        <f>"DDR_PHY_DX"&amp;C10&amp;"DQMAP1_0"</f>
        <v>DDR_PHY_DX3DQMAP1_0</v>
      </c>
      <c r="C21" s="738" t="str">
        <f>"0x"&amp;DEC2HEX( (HEX2DEC(DEC2HEX(((E11)*2^0),8)) + HEX2DEC(DEC2HEX(((D11)*2^4),8)) + HEX2DEC(DEC2HEX(((C11)*2^8),8)) + HEX2DEC(DEC2HEX(((8)*2^12),8)) ),8 )</f>
        <v>0x00008360</v>
      </c>
      <c r="D21" s="738"/>
      <c r="E21" s="738"/>
    </row>
    <row r="22" spans="2:34" x14ac:dyDescent="0.25">
      <c r="B22" s="341"/>
      <c r="C22" s="348"/>
      <c r="D22" s="348"/>
      <c r="E22" s="348"/>
    </row>
    <row r="23" spans="2:34" x14ac:dyDescent="0.25">
      <c r="B23" s="741" t="s">
        <v>763</v>
      </c>
      <c r="C23" s="742"/>
      <c r="D23" s="742"/>
      <c r="E23" s="743"/>
    </row>
    <row r="24" spans="2:34" ht="14.4" x14ac:dyDescent="0.3">
      <c r="B24" s="131" t="s">
        <v>1220</v>
      </c>
      <c r="C24" s="738" t="str">
        <f>"0x"&amp;DEC2HEX( (HEX2DEC(DEC2HEX(((20)*2^16),8)) + HEX2DEC(DEC2HEX(((16)*2^8),8)) + IF((C10&gt;1), HEX2DEC(DEC2HEX(((K10)*2^0),8)), HEX2DEC(DEC2HEX(((AA10)*2^0),8)))  +   IF((C10&gt;1), HEX2DEC(DEC2HEX(((C10)*2^4),8)),HEX2DEC(DEC2HEX(((S10)*2^4),8)))), 8)</f>
        <v>0x00141032</v>
      </c>
      <c r="D24" s="738"/>
      <c r="E24" s="738"/>
    </row>
    <row r="25" spans="2:34" ht="14.4" x14ac:dyDescent="0.3">
      <c r="B25" s="131" t="s">
        <v>1221</v>
      </c>
      <c r="C25" s="738" t="str">
        <f>"0x"&amp;DEC2HEX(( IF((C10&lt;2), HEX2DEC(DEC2HEX(((K10)*2^20),8)), HEX2DEC(DEC2HEX(((AA10)*2^20),8))) +  IF((C10&lt;2), HEX2DEC(DEC2HEX(((C10)*2^24),8)), HEX2DEC(DEC2HEX(((S10)*2^24),8)))  + HEX2DEC(DEC2HEX((3*2^16),8)) + HEX2DEC(DEC2HEX((10*2^12),8)) + HEX2DEC(DEC2HEX((10*2^8),8)) + HEX2DEC(DEC2HEX((10*2^4),8)) + HEX2DEC(DEC2HEX((10*2^0),8)) ),8)</f>
        <v>0x0013AAAA</v>
      </c>
      <c r="D25" s="738"/>
      <c r="E25" s="738"/>
    </row>
    <row r="26" spans="2:34" ht="14.4" x14ac:dyDescent="0.3">
      <c r="B26" s="341"/>
      <c r="C26" s="349"/>
      <c r="D26" s="349"/>
      <c r="E26" s="349"/>
    </row>
    <row r="27" spans="2:34" x14ac:dyDescent="0.25">
      <c r="B27" s="741" t="s">
        <v>764</v>
      </c>
      <c r="C27" s="742"/>
      <c r="D27" s="742"/>
      <c r="E27" s="743"/>
    </row>
    <row r="28" spans="2:34" ht="14.4" x14ac:dyDescent="0.3">
      <c r="B28" s="350" t="s">
        <v>1222</v>
      </c>
      <c r="C28" s="738" t="str">
        <f>"0x"&amp;DEC2HEX( (HEX2DEC(DEC2HEX(((15)*2^16),8)) + HEX2DEC(DEC2HEX((0*2^AA10),8)) + HEX2DEC(DEC2HEX((1*2^S10),8)) + HEX2DEC(DEC2HEX((0*2^K10),8)) + HEX2DEC(DEC2HEX((1*2^C10),8)) ), 8)</f>
        <v>0x000F0009</v>
      </c>
      <c r="D28" s="738"/>
      <c r="E28" s="738"/>
    </row>
    <row r="30" spans="2:34" ht="15" thickBot="1" x14ac:dyDescent="0.35">
      <c r="C30" s="731" t="s">
        <v>765</v>
      </c>
      <c r="D30" s="731"/>
      <c r="E30" s="731"/>
      <c r="F30" s="731"/>
      <c r="G30" s="731"/>
      <c r="H30" s="731"/>
      <c r="I30" s="731"/>
      <c r="J30" s="731"/>
      <c r="K30" s="731"/>
      <c r="L30" s="731"/>
      <c r="M30" s="731"/>
      <c r="N30" s="731"/>
      <c r="O30" s="731"/>
      <c r="P30" s="731"/>
      <c r="Q30" s="731"/>
      <c r="R30" s="731"/>
      <c r="S30" s="731"/>
      <c r="T30" s="731"/>
      <c r="U30" s="731"/>
      <c r="V30" s="731"/>
      <c r="W30" s="731"/>
      <c r="X30" s="731"/>
      <c r="Y30" s="731"/>
      <c r="Z30" s="731"/>
      <c r="AA30" s="731"/>
      <c r="AB30" s="731"/>
      <c r="AC30" s="731"/>
      <c r="AD30" s="731"/>
      <c r="AE30" s="731"/>
      <c r="AF30" s="731"/>
      <c r="AG30" s="731"/>
      <c r="AH30" s="731"/>
    </row>
    <row r="31" spans="2:34" ht="13.8" thickBot="1" x14ac:dyDescent="0.3">
      <c r="B31" t="s">
        <v>2230</v>
      </c>
      <c r="C31" s="732" t="s">
        <v>753</v>
      </c>
      <c r="D31" s="733"/>
      <c r="E31" s="733"/>
      <c r="F31" s="733"/>
      <c r="G31" s="733"/>
      <c r="H31" s="733"/>
      <c r="I31" s="733"/>
      <c r="J31" s="733"/>
      <c r="K31" s="733"/>
      <c r="L31" s="733"/>
      <c r="M31" s="733"/>
      <c r="N31" s="733"/>
      <c r="O31" s="733"/>
      <c r="P31" s="733"/>
      <c r="Q31" s="733"/>
      <c r="R31" s="733"/>
      <c r="S31" s="672" t="s">
        <v>754</v>
      </c>
      <c r="T31" s="734"/>
      <c r="U31" s="734"/>
      <c r="V31" s="734"/>
      <c r="W31" s="734"/>
      <c r="X31" s="734"/>
      <c r="Y31" s="734"/>
      <c r="Z31" s="734"/>
      <c r="AA31" s="734"/>
      <c r="AB31" s="734"/>
      <c r="AC31" s="734"/>
      <c r="AD31" s="734"/>
      <c r="AE31" s="734"/>
      <c r="AF31" s="734"/>
      <c r="AG31" s="734"/>
      <c r="AH31" s="673"/>
    </row>
    <row r="32" spans="2:34" x14ac:dyDescent="0.25">
      <c r="B32" t="s">
        <v>755</v>
      </c>
      <c r="C32" s="342">
        <v>15</v>
      </c>
      <c r="D32" s="343">
        <v>14</v>
      </c>
      <c r="E32" s="343">
        <v>13</v>
      </c>
      <c r="F32" s="343">
        <v>12</v>
      </c>
      <c r="G32" s="343">
        <v>11</v>
      </c>
      <c r="H32" s="343">
        <v>10</v>
      </c>
      <c r="I32" s="343">
        <v>9</v>
      </c>
      <c r="J32" s="383">
        <v>8</v>
      </c>
      <c r="K32" s="342">
        <v>7</v>
      </c>
      <c r="L32" s="343">
        <v>6</v>
      </c>
      <c r="M32" s="343">
        <v>5</v>
      </c>
      <c r="N32" s="343">
        <v>4</v>
      </c>
      <c r="O32" s="343">
        <v>3</v>
      </c>
      <c r="P32" s="343">
        <v>2</v>
      </c>
      <c r="Q32" s="343">
        <v>1</v>
      </c>
      <c r="R32" s="344">
        <v>0</v>
      </c>
      <c r="S32" s="342">
        <v>15</v>
      </c>
      <c r="T32" s="343">
        <v>14</v>
      </c>
      <c r="U32" s="343">
        <v>13</v>
      </c>
      <c r="V32" s="343">
        <v>12</v>
      </c>
      <c r="W32" s="343">
        <v>11</v>
      </c>
      <c r="X32" s="343">
        <v>10</v>
      </c>
      <c r="Y32" s="343">
        <v>9</v>
      </c>
      <c r="Z32" s="344">
        <v>8</v>
      </c>
      <c r="AA32" s="386">
        <v>7</v>
      </c>
      <c r="AB32" s="343">
        <v>6</v>
      </c>
      <c r="AC32" s="343">
        <v>5</v>
      </c>
      <c r="AD32" s="343">
        <v>4</v>
      </c>
      <c r="AE32" s="343">
        <v>3</v>
      </c>
      <c r="AF32" s="343">
        <v>2</v>
      </c>
      <c r="AG32" s="343">
        <v>1</v>
      </c>
      <c r="AH32" s="344">
        <v>0</v>
      </c>
    </row>
    <row r="33" spans="2:34" ht="14.4" x14ac:dyDescent="0.3">
      <c r="B33" s="379" t="s">
        <v>756</v>
      </c>
      <c r="C33" s="380">
        <v>27</v>
      </c>
      <c r="D33" s="381">
        <v>30</v>
      </c>
      <c r="E33" s="381">
        <v>24</v>
      </c>
      <c r="F33" s="381">
        <v>25</v>
      </c>
      <c r="G33" s="381">
        <v>26</v>
      </c>
      <c r="H33" s="381">
        <v>29</v>
      </c>
      <c r="I33" s="381">
        <v>31</v>
      </c>
      <c r="J33" s="384">
        <v>28</v>
      </c>
      <c r="K33" s="380">
        <v>16</v>
      </c>
      <c r="L33" s="381">
        <v>17</v>
      </c>
      <c r="M33" s="381">
        <v>21</v>
      </c>
      <c r="N33" s="381">
        <v>22</v>
      </c>
      <c r="O33" s="381">
        <v>20</v>
      </c>
      <c r="P33" s="381">
        <v>23</v>
      </c>
      <c r="Q33" s="381">
        <v>19</v>
      </c>
      <c r="R33" s="382">
        <v>18</v>
      </c>
      <c r="S33" s="380">
        <v>2</v>
      </c>
      <c r="T33" s="381">
        <v>7</v>
      </c>
      <c r="U33" s="381">
        <v>1</v>
      </c>
      <c r="V33" s="381">
        <v>0</v>
      </c>
      <c r="W33" s="381">
        <v>3</v>
      </c>
      <c r="X33" s="381">
        <v>4</v>
      </c>
      <c r="Y33" s="381">
        <v>6</v>
      </c>
      <c r="Z33" s="382">
        <v>5</v>
      </c>
      <c r="AA33" s="387">
        <v>9</v>
      </c>
      <c r="AB33" s="381">
        <v>8</v>
      </c>
      <c r="AC33" s="381">
        <v>12</v>
      </c>
      <c r="AD33" s="381">
        <v>15</v>
      </c>
      <c r="AE33" s="381">
        <v>13</v>
      </c>
      <c r="AF33" s="381">
        <v>14</v>
      </c>
      <c r="AG33" s="381">
        <v>11</v>
      </c>
      <c r="AH33" s="382">
        <v>10</v>
      </c>
    </row>
    <row r="34" spans="2:34" x14ac:dyDescent="0.25">
      <c r="B34" t="s">
        <v>757</v>
      </c>
      <c r="C34" s="735">
        <f>IF(J33&lt;8, 0, IF(J33&lt;16, 1, IF(J33&lt;24, 2, 3)))</f>
        <v>3</v>
      </c>
      <c r="D34" s="736"/>
      <c r="E34" s="736"/>
      <c r="F34" s="736"/>
      <c r="G34" s="736"/>
      <c r="H34" s="736"/>
      <c r="I34" s="736"/>
      <c r="J34" s="736"/>
      <c r="K34" s="735">
        <f>IF(R33&lt;8, 0, IF(R33&lt;16, 1, IF(R33&lt;24, 2, 3)))</f>
        <v>2</v>
      </c>
      <c r="L34" s="736"/>
      <c r="M34" s="736"/>
      <c r="N34" s="736"/>
      <c r="O34" s="736"/>
      <c r="P34" s="736"/>
      <c r="Q34" s="736"/>
      <c r="R34" s="737"/>
      <c r="S34" s="735">
        <f>IF(Z33&lt;8, 0, IF(Z33&lt;16, 1, IF(Z33&lt;24, 2, 3)))</f>
        <v>0</v>
      </c>
      <c r="T34" s="736"/>
      <c r="U34" s="736"/>
      <c r="V34" s="736"/>
      <c r="W34" s="736"/>
      <c r="X34" s="736"/>
      <c r="Y34" s="736"/>
      <c r="Z34" s="737"/>
      <c r="AA34" s="736">
        <f>IF(AH33&lt;8, 0, IF(AH33&lt;16, 1, IF(AH33&lt;24, 2, 3)))</f>
        <v>1</v>
      </c>
      <c r="AB34" s="736"/>
      <c r="AC34" s="736"/>
      <c r="AD34" s="736"/>
      <c r="AE34" s="736"/>
      <c r="AF34" s="736"/>
      <c r="AG34" s="736"/>
      <c r="AH34" s="737"/>
    </row>
    <row r="35" spans="2:34" ht="13.8" thickBot="1" x14ac:dyDescent="0.3">
      <c r="B35" t="s">
        <v>758</v>
      </c>
      <c r="C35" s="345">
        <f>(C33-C34*8)</f>
        <v>3</v>
      </c>
      <c r="D35" s="346">
        <f>(D33-C34*8)</f>
        <v>6</v>
      </c>
      <c r="E35" s="346">
        <f>(E33-C34*8)</f>
        <v>0</v>
      </c>
      <c r="F35" s="346">
        <f>(F33-C34*8)</f>
        <v>1</v>
      </c>
      <c r="G35" s="346">
        <f>(G33-C34*8)</f>
        <v>2</v>
      </c>
      <c r="H35" s="346">
        <f>(H33-C34*8)</f>
        <v>5</v>
      </c>
      <c r="I35" s="346">
        <f>(I33-C34*8)</f>
        <v>7</v>
      </c>
      <c r="J35" s="385">
        <f>(J33-C34*8)</f>
        <v>4</v>
      </c>
      <c r="K35" s="345">
        <f>(K33-K34*8)</f>
        <v>0</v>
      </c>
      <c r="L35" s="346">
        <f>(L33-K34*8)</f>
        <v>1</v>
      </c>
      <c r="M35" s="346">
        <f>(M33-K34*8)</f>
        <v>5</v>
      </c>
      <c r="N35" s="346">
        <f>(N33-K34*8)</f>
        <v>6</v>
      </c>
      <c r="O35" s="346">
        <f>(O33-K34*8)</f>
        <v>4</v>
      </c>
      <c r="P35" s="346">
        <f>(P33-K34*8)</f>
        <v>7</v>
      </c>
      <c r="Q35" s="346">
        <f>(Q33-K34*8)</f>
        <v>3</v>
      </c>
      <c r="R35" s="347">
        <f>(R33-K34*8)</f>
        <v>2</v>
      </c>
      <c r="S35" s="345">
        <f>(S33-S34*8)</f>
        <v>2</v>
      </c>
      <c r="T35" s="346">
        <f>(T33-S34*8)</f>
        <v>7</v>
      </c>
      <c r="U35" s="346">
        <f>(U33-S34*8)</f>
        <v>1</v>
      </c>
      <c r="V35" s="346">
        <f>(V33-S34*8)</f>
        <v>0</v>
      </c>
      <c r="W35" s="346">
        <f>(W33-S34*8)</f>
        <v>3</v>
      </c>
      <c r="X35" s="346">
        <f>(X33-S34*8)</f>
        <v>4</v>
      </c>
      <c r="Y35" s="346">
        <f>(Y33-S34*8)</f>
        <v>6</v>
      </c>
      <c r="Z35" s="347">
        <f>(Z33-S34*8)</f>
        <v>5</v>
      </c>
      <c r="AA35" s="388">
        <f>(AA33-AA34*8)</f>
        <v>1</v>
      </c>
      <c r="AB35" s="346">
        <f>(AB33-AA34*8)</f>
        <v>0</v>
      </c>
      <c r="AC35" s="346">
        <f>(AC33-AA34*8)</f>
        <v>4</v>
      </c>
      <c r="AD35" s="346">
        <f>(AD33-AA34*8)</f>
        <v>7</v>
      </c>
      <c r="AE35" s="346">
        <f>(AE33-AA34*8)</f>
        <v>5</v>
      </c>
      <c r="AF35" s="346">
        <f>(AF33-AA34*8)</f>
        <v>6</v>
      </c>
      <c r="AG35" s="346">
        <f>(AG33-AA34*8)</f>
        <v>3</v>
      </c>
      <c r="AH35" s="347">
        <f>(AH33-AA34*8)</f>
        <v>2</v>
      </c>
    </row>
    <row r="37" spans="2:34" x14ac:dyDescent="0.25">
      <c r="B37" s="739" t="s">
        <v>766</v>
      </c>
      <c r="C37" s="739"/>
      <c r="D37" s="739"/>
      <c r="E37" s="739"/>
      <c r="I37" s="740" t="s">
        <v>760</v>
      </c>
      <c r="J37" s="740"/>
      <c r="K37" s="740"/>
      <c r="L37" s="740"/>
      <c r="M37" s="740"/>
      <c r="N37" s="740"/>
      <c r="O37" s="740"/>
      <c r="P37" s="740"/>
      <c r="Q37" s="740"/>
      <c r="R37" s="740"/>
      <c r="S37" s="740"/>
      <c r="T37" s="740"/>
      <c r="U37" s="740"/>
      <c r="V37" s="740"/>
      <c r="W37" s="740"/>
      <c r="X37" s="740"/>
    </row>
    <row r="38" spans="2:34" ht="14.4" x14ac:dyDescent="0.3">
      <c r="B38" s="131" t="str">
        <f>"DDR_PHY_DX"&amp;AA34&amp;"DQMAP0_1"</f>
        <v>DDR_PHY_DX1DQMAP0_1</v>
      </c>
      <c r="C38" s="738" t="str">
        <f>"0x"&amp;DEC2HEX( ( HEX2DEC( DEC2HEX(((AH35)*2^0),8)) + HEX2DEC(DEC2HEX(((AG35)*2^4),8)) + HEX2DEC(DEC2HEX(((AF35)*2^8),8)) + HEX2DEC(DEC2HEX(((AE35)*2^12),8)) + HEX2DEC(DEC2HEX(((AD35)*2^16),8)) ), 8)</f>
        <v>0x00075632</v>
      </c>
      <c r="D38" s="738"/>
      <c r="E38" s="738"/>
      <c r="I38" s="341" t="s">
        <v>761</v>
      </c>
      <c r="K38" s="341" t="str">
        <f>"DX"&amp;S34&amp;"GSR6"</f>
        <v>DX0GSR6</v>
      </c>
    </row>
    <row r="39" spans="2:34" ht="14.4" x14ac:dyDescent="0.3">
      <c r="B39" s="131" t="str">
        <f>"DDR_PHY_DX"&amp;AA34&amp;"DQMAP1_1"</f>
        <v>DDR_PHY_DX1DQMAP1_1</v>
      </c>
      <c r="C39" s="738" t="str">
        <f>"0x"&amp;DEC2HEX( ( HEX2DEC(DEC2HEX(((AC35)*2^0),8)) + HEX2DEC(DEC2HEX(((AB35)*2^4),8)) + HEX2DEC(DEC2HEX(((AA35)*2^8),8)) + HEX2DEC(DEC2HEX(((8)*2^12),8)) ), 8)</f>
        <v>0x00008104</v>
      </c>
      <c r="D39" s="738"/>
      <c r="E39" s="738"/>
      <c r="I39" s="341" t="s">
        <v>762</v>
      </c>
      <c r="K39" s="341" t="str">
        <f>"DX"&amp;C34&amp;"GSR6"</f>
        <v>DX3GSR6</v>
      </c>
    </row>
    <row r="40" spans="2:34" ht="14.4" x14ac:dyDescent="0.3">
      <c r="B40" s="131" t="str">
        <f>"DDR_PHY_DX"&amp;S34&amp;"DQMAP0_1"</f>
        <v>DDR_PHY_DX0DQMAP0_1</v>
      </c>
      <c r="C40" s="738" t="str">
        <f>"0x"&amp;DEC2HEX((( HEX2DEC(DEC2HEX(((Z35)*2^0),8)) + HEX2DEC(DEC2HEX(((Y35)*2^4),8)) + HEX2DEC(DEC2HEX(((X35)*2^8),8)) + HEX2DEC(DEC2HEX(((W35)*2^12),8)) + HEX2DEC(DEC2HEX(((V35)*2^16),8)) ) ),8)</f>
        <v>0x00003465</v>
      </c>
      <c r="D40" s="738"/>
      <c r="E40" s="738"/>
    </row>
    <row r="41" spans="2:34" ht="14.4" x14ac:dyDescent="0.3">
      <c r="B41" s="131" t="str">
        <f>"DDR_PHY_DX"&amp;S34&amp;"DQMAP1_1"</f>
        <v>DDR_PHY_DX0DQMAP1_1</v>
      </c>
      <c r="C41" s="738" t="str">
        <f>"0x"&amp;DEC2HEX( (HEX2DEC(DEC2HEX(((U35)*2^0),8)) + HEX2DEC(DEC2HEX(((T35)*2^4),8)) + HEX2DEC(DEC2HEX(((S35)*2^8),8)) + HEX2DEC(DEC2HEX(((8)*2^12),8)) ), 8)</f>
        <v>0x00008271</v>
      </c>
      <c r="D41" s="738"/>
      <c r="E41" s="738"/>
    </row>
    <row r="42" spans="2:34" ht="14.4" x14ac:dyDescent="0.3">
      <c r="B42" s="131" t="str">
        <f>"DDR_PHY_DX"&amp;K34&amp;"DQMAP0_1"</f>
        <v>DDR_PHY_DX2DQMAP0_1</v>
      </c>
      <c r="C42" s="738" t="str">
        <f>"0x"&amp;DEC2HEX( (HEX2DEC(DEC2HEX(((R35)*2^0),8)) + HEX2DEC(DEC2HEX(((Q35)*2^4),8)) + HEX2DEC(DEC2HEX(((P35)*2^8),8)) + HEX2DEC(DEC2HEX(((O35)*2^12),8)) + HEX2DEC(DEC2HEX(((N35)*2^16),8)) ), 8)</f>
        <v>0x00064732</v>
      </c>
      <c r="D42" s="738"/>
      <c r="E42" s="738"/>
    </row>
    <row r="43" spans="2:34" ht="14.4" x14ac:dyDescent="0.3">
      <c r="B43" s="131" t="str">
        <f>"DDR_PHY_DX"&amp;K34&amp;"DQMAP1_1"</f>
        <v>DDR_PHY_DX2DQMAP1_1</v>
      </c>
      <c r="C43" s="738" t="str">
        <f>"0x"&amp;DEC2HEX( (HEX2DEC(DEC2HEX(((M35)*2^0),8)) + HEX2DEC(DEC2HEX(((L35)*2^4),8)) + HEX2DEC(DEC2HEX(((K35)*2^8),8)) + HEX2DEC(DEC2HEX(((8)*2^12),8)) ), 8)</f>
        <v>0x00008015</v>
      </c>
      <c r="D43" s="738"/>
      <c r="E43" s="738"/>
    </row>
    <row r="44" spans="2:34" ht="14.4" x14ac:dyDescent="0.3">
      <c r="B44" s="131" t="str">
        <f>"DDR_PHY_DX"&amp;C34&amp;"DQMAP0_1"</f>
        <v>DDR_PHY_DX3DQMAP0_1</v>
      </c>
      <c r="C44" s="738" t="str">
        <f>"0x"&amp;DEC2HEX( (HEX2DEC(DEC2HEX(((J35)*2^0),8)) + HEX2DEC(DEC2HEX(((I35)*2^4),8)) + HEX2DEC(DEC2HEX(((H35)*2^8),8)) + HEX2DEC(DEC2HEX(((G35)*2^12),8)) + HEX2DEC(DEC2HEX(((F35)*2^16),8)) ), 8)</f>
        <v>0x00012574</v>
      </c>
      <c r="D44" s="738"/>
      <c r="E44" s="738"/>
    </row>
    <row r="45" spans="2:34" ht="14.4" x14ac:dyDescent="0.3">
      <c r="B45" s="131" t="str">
        <f>"DDR_PHY_DX"&amp;C34&amp;"DQMAP1_1"</f>
        <v>DDR_PHY_DX3DQMAP1_1</v>
      </c>
      <c r="C45" s="738" t="str">
        <f>"0x"&amp;DEC2HEX( (HEX2DEC(DEC2HEX(((E35)*2^0),8)) + HEX2DEC(DEC2HEX(((D35)*2^4),8)) + HEX2DEC(DEC2HEX(((C35)*2^8),8)) + HEX2DEC(DEC2HEX(((8)*2^12),8)) ),8 )</f>
        <v>0x00008360</v>
      </c>
      <c r="D45" s="738"/>
      <c r="E45" s="738"/>
    </row>
    <row r="47" spans="2:34" x14ac:dyDescent="0.25">
      <c r="B47" s="741" t="s">
        <v>763</v>
      </c>
      <c r="C47" s="742"/>
      <c r="D47" s="742"/>
      <c r="E47" s="743"/>
    </row>
    <row r="48" spans="2:34" ht="14.4" x14ac:dyDescent="0.3">
      <c r="B48" s="131" t="s">
        <v>945</v>
      </c>
      <c r="C48" s="738" t="str">
        <f>"0x"&amp;DEC2HEX( (HEX2DEC(DEC2HEX(((20)*2^16),8)) + HEX2DEC(DEC2HEX(((16)*2^8),8)) + IF((C34&gt;1), HEX2DEC(DEC2HEX(((K34)*2^0),8)), HEX2DEC(DEC2HEX(((AA34)*2^0),8)))  +   IF((C34&gt;1), HEX2DEC(DEC2HEX(((C34)*2^4),8)),HEX2DEC(DEC2HEX(((S34)*2^4),8)))), 8)</f>
        <v>0x00141032</v>
      </c>
      <c r="D48" s="738"/>
      <c r="E48" s="738"/>
    </row>
    <row r="49" spans="2:9" ht="14.4" x14ac:dyDescent="0.3">
      <c r="B49" s="131" t="s">
        <v>946</v>
      </c>
      <c r="C49" s="738" t="str">
        <f>"0x"&amp;DEC2HEX(( IF((C34&lt;2), HEX2DEC(DEC2HEX(((K34)*2^20),8)), HEX2DEC(DEC2HEX(((AA34)*2^20),8)))   +  IF((C34&lt;2), HEX2DEC(DEC2HEX(((C34)*2^24),8)), HEX2DEC(DEC2HEX(((S34)*2^24),8)))  + HEX2DEC(DEC2HEX((3*2^16),8)) + HEX2DEC(DEC2HEX((10*2^12),8)) + HEX2DEC(DEC2HEX((10*2^8),8)) + HEX2DEC(DEC2HEX((10*2^4),8)) + HEX2DEC(DEC2HEX((10*2^0),8)) ),8)</f>
        <v>0x0013AAAA</v>
      </c>
      <c r="D49" s="738"/>
      <c r="E49" s="738"/>
    </row>
    <row r="51" spans="2:9" x14ac:dyDescent="0.25">
      <c r="B51" s="741" t="s">
        <v>764</v>
      </c>
      <c r="C51" s="742"/>
      <c r="D51" s="742"/>
      <c r="E51" s="743"/>
    </row>
    <row r="52" spans="2:9" ht="14.4" x14ac:dyDescent="0.3">
      <c r="B52" s="350" t="s">
        <v>936</v>
      </c>
      <c r="C52" s="738" t="str">
        <f>"0x"&amp;DEC2HEX( (HEX2DEC(DEC2HEX(((15)*2^16),8)) + HEX2DEC(DEC2HEX(((0*2^(AA34))),8)) + HEX2DEC(DEC2HEX(((1*2^(S34))),8)) + HEX2DEC(DEC2HEX(((0*2^K34)),8)) + HEX2DEC(DEC2HEX(((1*2^C34)),8)) ), 8)</f>
        <v>0x000F0009</v>
      </c>
      <c r="D52" s="738"/>
      <c r="E52" s="738"/>
    </row>
    <row r="57" spans="2:9" x14ac:dyDescent="0.25">
      <c r="B57" s="729" t="s">
        <v>2243</v>
      </c>
      <c r="C57" s="729"/>
      <c r="D57" s="729"/>
      <c r="E57" s="729"/>
      <c r="F57" s="729"/>
      <c r="G57" s="729"/>
      <c r="H57" s="729"/>
      <c r="I57" s="729"/>
    </row>
    <row r="58" spans="2:9" x14ac:dyDescent="0.25">
      <c r="B58" s="131" t="s">
        <v>2242</v>
      </c>
      <c r="C58" s="729">
        <f>(('Register Configuration'!C22) * (2^'Register Configuration'!C26) * (2^'Register Configuration'!C24) * (2^'Register Configuration'!C25) * ('Register Configuration'!C28)*('Register Configuration'!F19))*(IF('Register Configuration'!D77=0, 1, 3/4 ))</f>
        <v>51539607552</v>
      </c>
      <c r="D58" s="729"/>
      <c r="E58" s="729"/>
      <c r="F58" s="729" t="str">
        <f>"0x"&amp;DEC2HEX(C58/8, 9)</f>
        <v>0x180000000</v>
      </c>
      <c r="G58" s="729"/>
      <c r="H58" s="729"/>
      <c r="I58" s="729"/>
    </row>
    <row r="59" spans="2:9" x14ac:dyDescent="0.25">
      <c r="C59" s="730" t="s">
        <v>2245</v>
      </c>
      <c r="D59" s="730"/>
      <c r="E59" s="730"/>
      <c r="F59" s="730" t="s">
        <v>2246</v>
      </c>
      <c r="G59" s="730"/>
      <c r="H59" s="730"/>
      <c r="I59" s="730"/>
    </row>
  </sheetData>
  <mergeCells count="49">
    <mergeCell ref="C52:E52"/>
    <mergeCell ref="C44:E44"/>
    <mergeCell ref="C45:E45"/>
    <mergeCell ref="B47:E47"/>
    <mergeCell ref="C48:E48"/>
    <mergeCell ref="C49:E49"/>
    <mergeCell ref="B51:E51"/>
    <mergeCell ref="C43:E43"/>
    <mergeCell ref="C34:J34"/>
    <mergeCell ref="K34:R34"/>
    <mergeCell ref="S34:Z34"/>
    <mergeCell ref="AA34:AH34"/>
    <mergeCell ref="B37:E37"/>
    <mergeCell ref="I37:X37"/>
    <mergeCell ref="C38:E38"/>
    <mergeCell ref="C39:E39"/>
    <mergeCell ref="C40:E40"/>
    <mergeCell ref="C41:E41"/>
    <mergeCell ref="C42:E42"/>
    <mergeCell ref="C25:E25"/>
    <mergeCell ref="B27:E27"/>
    <mergeCell ref="C28:E28"/>
    <mergeCell ref="C30:AH30"/>
    <mergeCell ref="C31:R31"/>
    <mergeCell ref="S31:AH31"/>
    <mergeCell ref="C24:E24"/>
    <mergeCell ref="B13:E13"/>
    <mergeCell ref="I13:X13"/>
    <mergeCell ref="C14:E14"/>
    <mergeCell ref="C15:E15"/>
    <mergeCell ref="C16:E16"/>
    <mergeCell ref="C17:E17"/>
    <mergeCell ref="C18:E18"/>
    <mergeCell ref="C19:E19"/>
    <mergeCell ref="C20:E20"/>
    <mergeCell ref="C21:E21"/>
    <mergeCell ref="B23:E23"/>
    <mergeCell ref="C6:AH6"/>
    <mergeCell ref="C7:R7"/>
    <mergeCell ref="S7:AH7"/>
    <mergeCell ref="C10:J10"/>
    <mergeCell ref="K10:R10"/>
    <mergeCell ref="S10:Z10"/>
    <mergeCell ref="AA10:AH10"/>
    <mergeCell ref="C58:E58"/>
    <mergeCell ref="F58:I58"/>
    <mergeCell ref="B57:I57"/>
    <mergeCell ref="C59:E59"/>
    <mergeCell ref="F59:I5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D667"/>
  <sheetViews>
    <sheetView topLeftCell="A15" zoomScale="80" zoomScaleNormal="80" workbookViewId="0">
      <selection activeCell="A15" sqref="A1:XFD1048576"/>
    </sheetView>
  </sheetViews>
  <sheetFormatPr defaultRowHeight="13.8" x14ac:dyDescent="0.3"/>
  <cols>
    <col min="1" max="1" width="22.6640625" style="127" customWidth="1"/>
    <col min="2" max="2" width="26.6640625" style="127" customWidth="1"/>
    <col min="3" max="3" width="14.6640625" style="127" customWidth="1"/>
    <col min="4" max="4" width="115.44140625" style="127" customWidth="1"/>
  </cols>
  <sheetData>
    <row r="1" spans="1:4" x14ac:dyDescent="0.3">
      <c r="A1" s="127" t="s">
        <v>770</v>
      </c>
    </row>
    <row r="3" spans="1:4" x14ac:dyDescent="0.3">
      <c r="A3" s="127" t="s">
        <v>2034</v>
      </c>
    </row>
    <row r="4" spans="1:4" x14ac:dyDescent="0.3">
      <c r="A4" s="127" t="s">
        <v>2035</v>
      </c>
    </row>
    <row r="6" spans="1:4" x14ac:dyDescent="0.3">
      <c r="A6" s="128" t="str">
        <f>IF('Register Configuration'!G28="Apply MR4 manual de-rate workaround", "/*! Enable LPDDR4 derate workaround */", "")</f>
        <v>/*! Enable LPDDR4 derate workaround */</v>
      </c>
      <c r="B6" s="128"/>
    </row>
    <row r="7" spans="1:4" x14ac:dyDescent="0.3">
      <c r="A7" s="128" t="str">
        <f>IF('Register Configuration'!G28="Apply MR4 manual de-rate workaround", "DEFINE", "")</f>
        <v>DEFINE</v>
      </c>
      <c r="B7" s="128" t="str">
        <f>IF('Register Configuration'!G28="Apply MR4 manual de-rate workaround", "LP4_MANUAL_DERATE_WORKAROUND", "")</f>
        <v>LP4_MANUAL_DERATE_WORKAROUND</v>
      </c>
    </row>
    <row r="9" spans="1:4" x14ac:dyDescent="0.3">
      <c r="A9" s="127" t="s">
        <v>2046</v>
      </c>
    </row>
    <row r="10" spans="1:4" x14ac:dyDescent="0.3">
      <c r="A10" s="127" t="s">
        <v>2047</v>
      </c>
      <c r="B10" s="127" t="s">
        <v>2049</v>
      </c>
      <c r="D10" s="127" t="s">
        <v>2052</v>
      </c>
    </row>
    <row r="12" spans="1:4" x14ac:dyDescent="0.3">
      <c r="A12" s="127" t="s">
        <v>2047</v>
      </c>
      <c r="B12" s="127" t="s">
        <v>2244</v>
      </c>
      <c r="C12" s="479" t="str">
        <f>BoardDataBusConfig!F58</f>
        <v>0x180000000</v>
      </c>
      <c r="D12" s="127" t="s">
        <v>2247</v>
      </c>
    </row>
    <row r="13" spans="1:4" x14ac:dyDescent="0.3">
      <c r="A13" s="127" t="s">
        <v>2047</v>
      </c>
      <c r="B13" s="127" t="s">
        <v>2050</v>
      </c>
      <c r="C13" s="479">
        <f>'Register Configuration'!F19</f>
        <v>2</v>
      </c>
      <c r="D13" s="127" t="s">
        <v>2053</v>
      </c>
    </row>
    <row r="14" spans="1:4" x14ac:dyDescent="0.3">
      <c r="A14" s="127" t="s">
        <v>2047</v>
      </c>
      <c r="B14" s="127" t="s">
        <v>2051</v>
      </c>
      <c r="C14" s="479">
        <f>IF('Register Configuration'!F19 = 2,  IF('Register Configuration'!C22=2, 6, 4), IF('Register Configuration'!C22=2, 3, 2))</f>
        <v>6</v>
      </c>
      <c r="D14" s="127" t="s">
        <v>2054</v>
      </c>
    </row>
    <row r="15" spans="1:4" x14ac:dyDescent="0.3">
      <c r="A15" s="127" t="s">
        <v>2048</v>
      </c>
    </row>
    <row r="16" spans="1:4" x14ac:dyDescent="0.3">
      <c r="A16" s="127" t="s">
        <v>2047</v>
      </c>
      <c r="B16" s="127" t="s">
        <v>2055</v>
      </c>
      <c r="C16" s="478" t="s">
        <v>2059</v>
      </c>
    </row>
    <row r="17" spans="1:3" x14ac:dyDescent="0.3">
      <c r="A17" s="127" t="s">
        <v>2047</v>
      </c>
      <c r="B17" s="127" t="s">
        <v>2056</v>
      </c>
      <c r="C17" s="479">
        <f>IF('Register Configuration'!C28 =32, 64, 32)</f>
        <v>64</v>
      </c>
    </row>
    <row r="18" spans="1:3" x14ac:dyDescent="0.3">
      <c r="A18" s="127" t="s">
        <v>2047</v>
      </c>
      <c r="B18" s="127" t="s">
        <v>2057</v>
      </c>
      <c r="C18" s="479" t="str">
        <f>IF('Register Configuration'!F19 = 2, IF('Register Configuration'!C28=32, "0x80008040", "0x80004020"), IF('Register Configuration'!C28=32, "0x80004040", "0x80002020") )</f>
        <v>0x80008040</v>
      </c>
    </row>
    <row r="19" spans="1:3" x14ac:dyDescent="0.3">
      <c r="A19" s="127" t="s">
        <v>2047</v>
      </c>
      <c r="B19" s="127" t="s">
        <v>2058</v>
      </c>
      <c r="C19" s="479">
        <f>IF('Register Configuration'!C28=32, 16, 8)</f>
        <v>16</v>
      </c>
    </row>
    <row r="20" spans="1:3" x14ac:dyDescent="0.3">
      <c r="A20" s="128" t="str">
        <f>IF('Register Configuration'!C22=2, "DEFINE", "")</f>
        <v>DEFINE</v>
      </c>
      <c r="B20" s="128" t="str">
        <f>IF('Register Configuration'!C22=2, "BD_DDR_RET_REGION3_ADDR", "")</f>
        <v>BD_DDR_RET_REGION3_ADDR</v>
      </c>
      <c r="C20" s="479" t="str">
        <f>IF('Register Configuration'!F19 = 2, IF('Register Configuration'!C22=2, IF('Register Configuration'!C28=32, "0x80010000", "0x80008000"), ""),  IF('Register Configuration'!C22=2, IF('Register Configuration'!C28=32, "0x80008000", "0x80004000"), ""))</f>
        <v>0x80010000</v>
      </c>
    </row>
    <row r="21" spans="1:3" x14ac:dyDescent="0.3">
      <c r="A21" s="128" t="str">
        <f>IF('Register Configuration'!C22=2, "DEFINE", "")</f>
        <v>DEFINE</v>
      </c>
      <c r="B21" s="128" t="str">
        <f>IF('Register Configuration'!C22=2, "BD_DDR_RET_REGION3_SIZE", "")</f>
        <v>BD_DDR_RET_REGION3_SIZE</v>
      </c>
      <c r="C21" s="479">
        <f>IF('Register Configuration'!C22=2, IF('Register Configuration'!C28=32, 48, 24), "")</f>
        <v>48</v>
      </c>
    </row>
    <row r="22" spans="1:3" x14ac:dyDescent="0.3">
      <c r="A22" s="127" t="str">
        <f>IF('Register Configuration'!F19 = 2,  "DEFINE", "")</f>
        <v>DEFINE</v>
      </c>
      <c r="B22" s="128" t="str">
        <f>IF('Register Configuration'!F19 = 2, IF('Register Configuration'!C22=2, "BD_DDR_RET_REGION4_ADDR", "BD_DDR_RET_REGION3_ADDR"), "")</f>
        <v>BD_DDR_RET_REGION4_ADDR</v>
      </c>
      <c r="C22" s="478" t="str">
        <f>IF('Register Configuration'!F19=2, "0x80001000","")</f>
        <v>0x80001000</v>
      </c>
    </row>
    <row r="23" spans="1:3" x14ac:dyDescent="0.3">
      <c r="A23" s="127" t="str">
        <f>IF('Register Configuration'!F19 = 2, "DEFINE", "")</f>
        <v>DEFINE</v>
      </c>
      <c r="B23" s="128" t="str">
        <f>IF('Register Configuration'!F19 = 2, IF('Register Configuration'!C22=2, "BD_DDR_RET_REGION4_SIZE", "BD_DDR_RET_REGION3_SIZE"), "")</f>
        <v>BD_DDR_RET_REGION4_SIZE</v>
      </c>
      <c r="C23" s="479">
        <f>IF('Register Configuration'!F19 = 2, IF('Register Configuration'!C28 =32, 64, 32), "")</f>
        <v>64</v>
      </c>
    </row>
    <row r="24" spans="1:3" x14ac:dyDescent="0.3">
      <c r="A24" s="127" t="str">
        <f>IF('Register Configuration'!F19 = 2, "DEFINE", "")</f>
        <v>DEFINE</v>
      </c>
      <c r="B24" s="128" t="str">
        <f>IF('Register Configuration'!F19 = 2, IF('Register Configuration'!C22=2, "BD_DDR_RET_REGION5_ADDR", "BD_DDR_RET_REGION4_ADDR"), "")</f>
        <v>BD_DDR_RET_REGION5_ADDR</v>
      </c>
      <c r="C24" s="479" t="str">
        <f>IF('Register Configuration'!F19 = 2, IF('Register Configuration'!C28=32, "0x80009040", "0x80005020"), "")</f>
        <v>0x80009040</v>
      </c>
    </row>
    <row r="25" spans="1:3" x14ac:dyDescent="0.3">
      <c r="A25" s="127" t="str">
        <f>IF('Register Configuration'!F19 = 2, "DEFINE", "")</f>
        <v>DEFINE</v>
      </c>
      <c r="B25" s="128" t="str">
        <f>IF('Register Configuration'!F19 = 2, IF('Register Configuration'!C22=2, "BD_DDR_RET_REGION5_SIZE", "BD_DDR_RET_REGION4_SIZE"), "")</f>
        <v>BD_DDR_RET_REGION5_SIZE</v>
      </c>
      <c r="C25" s="479">
        <f>IF('Register Configuration'!F19 = 2, IF('Register Configuration'!C28=32, 16, 8), "")</f>
        <v>16</v>
      </c>
    </row>
    <row r="26" spans="1:3" x14ac:dyDescent="0.3">
      <c r="A26" s="128" t="str">
        <f>IF('Register Configuration'!F19 = 2, IF('Register Configuration'!C22=2, "DEFINE", ""), "")</f>
        <v>DEFINE</v>
      </c>
      <c r="B26" s="128" t="str">
        <f>IF('Register Configuration'!F19 = 2, IF('Register Configuration'!C22=2, "BD_DDR_RET_REGION6_ADDR", ""), "")</f>
        <v>BD_DDR_RET_REGION6_ADDR</v>
      </c>
      <c r="C26" s="479" t="str">
        <f>IF('Register Configuration'!F19 = 2, IF('Register Configuration'!C22=2, IF('Register Configuration'!C28=32, "0x80011000", "0x80009000"), ""), "")</f>
        <v>0x80011000</v>
      </c>
    </row>
    <row r="27" spans="1:3" x14ac:dyDescent="0.3">
      <c r="A27" s="128" t="str">
        <f>IF('Register Configuration'!F19 = 2, IF('Register Configuration'!C22=2, "DEFINE", ""), "")</f>
        <v>DEFINE</v>
      </c>
      <c r="B27" s="128" t="str">
        <f>IF('Register Configuration'!F19 = 2, IF('Register Configuration'!C22=2, "BD_DDR_RET_REGION6_SIZE", ""), "")</f>
        <v>BD_DDR_RET_REGION6_SIZE</v>
      </c>
      <c r="C27" s="479">
        <f>IF('Register Configuration'!F19 = 2, IF('Register Configuration'!C22=2, IF('Register Configuration'!C28=32, 48, 24), ""), "")</f>
        <v>48</v>
      </c>
    </row>
    <row r="29" spans="1:3" x14ac:dyDescent="0.3">
      <c r="A29" s="127" t="s">
        <v>767</v>
      </c>
    </row>
    <row r="30" spans="1:3" x14ac:dyDescent="0.3">
      <c r="A30" s="128" t="str">
        <f>" * Device Configuration Data (DCD)" &amp; " Version " &amp; 'Revision History'!B3</f>
        <v xml:space="preserve"> * Device Configuration Data (DCD) Version 23</v>
      </c>
      <c r="B30" s="128"/>
      <c r="C30" s="128"/>
    </row>
    <row r="31" spans="1:3" x14ac:dyDescent="0.3">
      <c r="A31" s="127" t="s">
        <v>768</v>
      </c>
    </row>
    <row r="32" spans="1:3" x14ac:dyDescent="0.3">
      <c r="A32" s="127" t="s">
        <v>771</v>
      </c>
    </row>
    <row r="33" spans="1:3" x14ac:dyDescent="0.3">
      <c r="A33" s="127" t="s">
        <v>772</v>
      </c>
    </row>
    <row r="34" spans="1:3" x14ac:dyDescent="0.3">
      <c r="A34" s="127" t="s">
        <v>768</v>
      </c>
    </row>
    <row r="35" spans="1:3" x14ac:dyDescent="0.3">
      <c r="A35" s="127" t="s">
        <v>773</v>
      </c>
    </row>
    <row r="36" spans="1:3" x14ac:dyDescent="0.3">
      <c r="A36" s="127" t="s">
        <v>779</v>
      </c>
    </row>
    <row r="37" spans="1:3" x14ac:dyDescent="0.3">
      <c r="A37" s="127" t="s">
        <v>777</v>
      </c>
    </row>
    <row r="38" spans="1:3" x14ac:dyDescent="0.3">
      <c r="A38" s="127" t="s">
        <v>778</v>
      </c>
    </row>
    <row r="39" spans="1:3" x14ac:dyDescent="0.3">
      <c r="A39" s="127" t="s">
        <v>769</v>
      </c>
    </row>
    <row r="41" spans="1:3" x14ac:dyDescent="0.3">
      <c r="A41" s="127" t="s">
        <v>1902</v>
      </c>
    </row>
    <row r="42" spans="1:3" x14ac:dyDescent="0.3">
      <c r="A42" s="129" t="s">
        <v>1903</v>
      </c>
      <c r="B42" s="129"/>
    </row>
    <row r="43" spans="1:3" x14ac:dyDescent="0.3">
      <c r="B43" s="127" t="s">
        <v>1904</v>
      </c>
    </row>
    <row r="44" spans="1:3" x14ac:dyDescent="0.3">
      <c r="A44" s="127" t="s">
        <v>1905</v>
      </c>
    </row>
    <row r="45" spans="1:3" x14ac:dyDescent="0.3">
      <c r="A45" s="128" t="str">
        <f>IF('Register Configuration'!C29&lt;&gt;1600,"if (rom_caller == SC_FALSE)","")</f>
        <v/>
      </c>
      <c r="B45" s="128"/>
      <c r="C45" s="128"/>
    </row>
    <row r="46" spans="1:3" x14ac:dyDescent="0.3">
      <c r="A46" s="128" t="str">
        <f>IF('Register Configuration'!C29&lt;&gt;1600, "{",  "")</f>
        <v/>
      </c>
      <c r="B46" s="128"/>
      <c r="C46" s="128"/>
    </row>
    <row r="47" spans="1:3" x14ac:dyDescent="0.3">
      <c r="A47" s="128"/>
      <c r="B47" s="128" t="str">
        <f>IF('Register Configuration'!C29&lt;&gt;1600, "/* Set the DRC rate to " &amp; 'Register Configuration'!C29  &amp;"MHz. */", "")</f>
        <v/>
      </c>
      <c r="C47" s="128"/>
    </row>
    <row r="48" spans="1:3" x14ac:dyDescent="0.3">
      <c r="A48" s="128"/>
      <c r="B48" s="128" t="str">
        <f>IF('Register Configuration'!C29=800, "uint32_t rate2 = SC_400MHZ;", IF('Register Configuration'!C29=1200, "uint32_t rate2 = SC_600MHZ;", ""))</f>
        <v/>
      </c>
      <c r="C48" s="128"/>
    </row>
    <row r="49" spans="1:3" x14ac:dyDescent="0.3">
      <c r="A49" s="128"/>
      <c r="B49" s="128" t="str">
        <f>IF('Register Configuration'!C29&lt;&gt;1600, "(void) pm_set_clock_rate(SC_PT, SC_R_DRC_0, SC_PM_CLK_MISC0, &amp;rate2);","")</f>
        <v/>
      </c>
      <c r="C49" s="128"/>
    </row>
    <row r="50" spans="1:3" x14ac:dyDescent="0.3">
      <c r="A50" s="128"/>
      <c r="B50" s="128" t="str">
        <f>IF('Register Configuration'!C29&lt;&gt;1600, "(void) pm_set_clock_rate(SC_PT, SC_R_DRC_1, SC_PM_CLK_MISC0, &amp;rate2);","")</f>
        <v/>
      </c>
      <c r="C50" s="128"/>
    </row>
    <row r="51" spans="1:3" x14ac:dyDescent="0.3">
      <c r="A51" s="128" t="str">
        <f>IF('Register Configuration'!C29&lt;&gt;1600, "}", "")</f>
        <v/>
      </c>
      <c r="B51" s="128"/>
      <c r="C51" s="128"/>
    </row>
    <row r="52" spans="1:3" x14ac:dyDescent="0.3">
      <c r="A52" s="128" t="str">
        <f>IF('Register Configuration'!C29&lt;&gt;1600, "else","")</f>
        <v/>
      </c>
      <c r="B52" s="128"/>
      <c r="C52" s="128"/>
    </row>
    <row r="53" spans="1:3" x14ac:dyDescent="0.3">
      <c r="A53" s="128" t="str">
        <f>IF('Register Configuration'!C29&lt;&gt;1600, "{","")</f>
        <v/>
      </c>
      <c r="B53" s="128"/>
      <c r="C53" s="128"/>
    </row>
    <row r="54" spans="1:3" x14ac:dyDescent="0.3">
      <c r="A54" s="128" t="str">
        <f>IF('Register Configuration'!C29=800, "/* Change to div4 output */", IF('Register Configuration'!C29=1200, "/* gate the cslice and ssslice*/", ""))</f>
        <v/>
      </c>
      <c r="B54" s="128"/>
      <c r="C54" s="128"/>
    </row>
    <row r="55" spans="1:3" x14ac:dyDescent="0.3">
      <c r="A55" s="128" t="str">
        <f>IF('Register Configuration'!C29=800,"DATA 4 0x41A43800 0x4C000000",IF('Register Configuration'!C29=1200,"CLR_BIT 4 0x41A43800 0xDC000000",""))</f>
        <v/>
      </c>
      <c r="B55" s="128"/>
      <c r="C55" s="128"/>
    </row>
    <row r="56" spans="1:3" x14ac:dyDescent="0.3">
      <c r="A56" s="128" t="str">
        <f>IF('Register Configuration'!C29=800,"DATA 4 0x41D03800 0x4C000000",IF('Register Configuration'!C29=1200,"CLR_BIT 4 0x41A42C00 0xDC00001F",""))</f>
        <v/>
      </c>
      <c r="B56" s="128"/>
      <c r="C56" s="128"/>
    </row>
    <row r="57" spans="1:3" x14ac:dyDescent="0.3">
      <c r="A57" s="128" t="str">
        <f>IF('Register Configuration'!C29=1200,"/* DO NOT remove/modify the following, including SYSCTR_TimeDelay, these are required for PLL re-programming */ ", "")</f>
        <v/>
      </c>
      <c r="B57" s="128"/>
      <c r="C57" s="128"/>
    </row>
    <row r="58" spans="1:3" x14ac:dyDescent="0.3">
      <c r="A58" s="128" t="str">
        <f>IF('Register Configuration'!C29=1200,"/* relock HP PLL to 2400MHz */ ", "")</f>
        <v/>
      </c>
      <c r="B58" s="128"/>
      <c r="C58" s="128"/>
    </row>
    <row r="59" spans="1:3" x14ac:dyDescent="0.3">
      <c r="A59" s="128" t="str">
        <f>IF('Register Configuration'!C29=1200,"/* Enable PLL isolation */ ", "")</f>
        <v/>
      </c>
      <c r="B59" s="128"/>
      <c r="C59" s="128"/>
    </row>
    <row r="60" spans="1:3" x14ac:dyDescent="0.3">
      <c r="A60" s="128" t="str">
        <f>IF('Register Configuration'!C29=1200,"DSC_AIRegisterWrite(0x12,0,8,0x40000000);", "")</f>
        <v/>
      </c>
      <c r="B60" s="128"/>
      <c r="C60" s="128"/>
    </row>
    <row r="61" spans="1:3" x14ac:dyDescent="0.3">
      <c r="A61" s="128" t="str">
        <f>IF('Register Configuration'!C29=1200,"/* power down PLL and clear dividers */", "")</f>
        <v/>
      </c>
      <c r="B61" s="128"/>
      <c r="C61" s="128"/>
    </row>
    <row r="62" spans="1:3" x14ac:dyDescent="0.3">
      <c r="A62" s="128" t="str">
        <f>IF('Register Configuration'!C29=1200,"DSC_AIRegisterWrite(0x12,0,8,0x000020FF);", "")</f>
        <v/>
      </c>
      <c r="B62" s="128"/>
      <c r="C62" s="128"/>
    </row>
    <row r="63" spans="1:3" x14ac:dyDescent="0.3">
      <c r="A63" s="128" t="str">
        <f>IF('Register Configuration'!C29=1200,"/* Set the divider */", "")</f>
        <v/>
      </c>
      <c r="B63" s="128"/>
      <c r="C63" s="128"/>
    </row>
    <row r="64" spans="1:3" x14ac:dyDescent="0.3">
      <c r="A64" s="128" t="str">
        <f>IF('Register Configuration'!C29=1200,"DSC_AIRegisterWrite(0x12,0,4,0x000000C8);", "")</f>
        <v/>
      </c>
      <c r="B64" s="128"/>
      <c r="C64" s="128"/>
    </row>
    <row r="65" spans="1:3" x14ac:dyDescent="0.3">
      <c r="A65" s="128" t="str">
        <f>IF('Register Configuration'!C29=1200,"/* power up PLL and set hold ring off */", "")</f>
        <v/>
      </c>
      <c r="B65" s="128"/>
      <c r="C65" s="128"/>
    </row>
    <row r="66" spans="1:3" x14ac:dyDescent="0.3">
      <c r="A66" s="128" t="str">
        <f>IF('Register Configuration'!C29=1200,"DSC_AIRegisterWrite(0x12,0,4,0x00003000);", "")</f>
        <v/>
      </c>
      <c r="B66" s="128"/>
      <c r="C66" s="128"/>
    </row>
    <row r="67" spans="1:3" x14ac:dyDescent="0.3">
      <c r="A67" s="128" t="str">
        <f>IF('Register Configuration'!C29=1200,"SYSCTR_TimeDelay(25);", "")</f>
        <v/>
      </c>
      <c r="B67" s="128"/>
      <c r="C67" s="128"/>
    </row>
    <row r="68" spans="1:3" x14ac:dyDescent="0.3">
      <c r="A68" s="128" t="str">
        <f>IF('Register Configuration'!C29=1200,"/* clear hold ring off */", "")</f>
        <v/>
      </c>
      <c r="B68" s="128"/>
      <c r="C68" s="128"/>
    </row>
    <row r="69" spans="1:3" x14ac:dyDescent="0.3">
      <c r="A69" s="128" t="str">
        <f>IF('Register Configuration'!C29=1200,"DSC_AIRegisterWrite(0x12,0,8,0x00001000);", "")</f>
        <v/>
      </c>
      <c r="B69" s="128"/>
      <c r="C69" s="128"/>
    </row>
    <row r="70" spans="1:3" x14ac:dyDescent="0.3">
      <c r="A70" s="128" t="str">
        <f>IF('Register Configuration'!C29=1200,"SYSCTR_TimeDelay(50);", "")</f>
        <v/>
      </c>
      <c r="B70" s="128"/>
      <c r="C70" s="128"/>
    </row>
    <row r="71" spans="1:3" x14ac:dyDescent="0.3">
      <c r="A71" s="128" t="str">
        <f>IF('Register Configuration'!C29=1200,"/* disable PLL isolation */", "")</f>
        <v/>
      </c>
      <c r="B71" s="128"/>
      <c r="C71" s="128"/>
    </row>
    <row r="72" spans="1:3" x14ac:dyDescent="0.3">
      <c r="A72" s="128" t="str">
        <f>IF('Register Configuration'!C29=1200,"DSC_AIRegisterWrite(0x12,0,4,0x40000000);", "")</f>
        <v/>
      </c>
      <c r="B72" s="128"/>
      <c r="C72" s="128"/>
    </row>
    <row r="73" spans="1:3" x14ac:dyDescent="0.3">
      <c r="A73" s="128"/>
      <c r="B73" s="128"/>
      <c r="C73" s="128"/>
    </row>
    <row r="74" spans="1:3" x14ac:dyDescent="0.3">
      <c r="A74" s="128" t="str">
        <f>IF('Register Configuration'!C29=1200,"/* Ungate cslice and ssslice */", "")</f>
        <v/>
      </c>
      <c r="B74" s="128"/>
      <c r="C74" s="128"/>
    </row>
    <row r="75" spans="1:3" x14ac:dyDescent="0.3">
      <c r="A75" s="128" t="str">
        <f>IF('Register Configuration'!C29=1200,"SET_BIT 4 0x41A42C00 0x4C000002", "")</f>
        <v/>
      </c>
      <c r="B75" s="128"/>
      <c r="C75" s="128"/>
    </row>
    <row r="76" spans="1:3" x14ac:dyDescent="0.3">
      <c r="A76" s="128" t="str">
        <f>IF('Register Configuration'!C29=1200,"SET_BIT 4 0x41A43800 0x4C000000", "")</f>
        <v/>
      </c>
      <c r="B76" s="128"/>
      <c r="C76" s="128"/>
    </row>
    <row r="77" spans="1:3" x14ac:dyDescent="0.3">
      <c r="A77" s="128"/>
      <c r="B77" s="128"/>
      <c r="C77" s="128"/>
    </row>
    <row r="78" spans="1:3" x14ac:dyDescent="0.3">
      <c r="A78" s="128" t="str">
        <f>IF('Register Configuration'!C29=1200,"/* gate the cslice and ssslice */", "")</f>
        <v/>
      </c>
      <c r="B78" s="128"/>
      <c r="C78" s="128"/>
    </row>
    <row r="79" spans="1:3" x14ac:dyDescent="0.3">
      <c r="A79" s="128" t="str">
        <f>IF('Register Configuration'!C29=1200,"CLR_BIT 4 0x41D03800 0xDC000000", "")</f>
        <v/>
      </c>
      <c r="B79" s="128"/>
      <c r="C79" s="128"/>
    </row>
    <row r="80" spans="1:3" x14ac:dyDescent="0.3">
      <c r="A80" s="128" t="str">
        <f>IF('Register Configuration'!C29=1200,"CLR_BIT 4 0x41D02C00 0xDC00001F", "")</f>
        <v/>
      </c>
      <c r="B80" s="128"/>
      <c r="C80" s="128"/>
    </row>
    <row r="81" spans="1:3" x14ac:dyDescent="0.3">
      <c r="A81" s="128"/>
      <c r="B81" s="128"/>
      <c r="C81" s="128"/>
    </row>
    <row r="82" spans="1:3" x14ac:dyDescent="0.3">
      <c r="A82" s="128" t="str">
        <f>IF('Register Configuration'!C29=1200,"/* relock HP PLL to 2400MHz */", "")</f>
        <v/>
      </c>
      <c r="B82" s="128"/>
      <c r="C82" s="128"/>
    </row>
    <row r="83" spans="1:3" x14ac:dyDescent="0.3">
      <c r="A83" s="128" t="str">
        <f>IF('Register Configuration'!C29=1200,"/* Enable PLL isolation */", "")</f>
        <v/>
      </c>
      <c r="B83" s="128"/>
      <c r="C83" s="128"/>
    </row>
    <row r="84" spans="1:3" x14ac:dyDescent="0.3">
      <c r="A84" s="128" t="str">
        <f>IF('Register Configuration'!C29=1200,"DSC_AIRegisterWrite(0x28,0,8,0x40000000);", "")</f>
        <v/>
      </c>
      <c r="B84" s="128"/>
      <c r="C84" s="128"/>
    </row>
    <row r="85" spans="1:3" x14ac:dyDescent="0.3">
      <c r="A85" s="128" t="str">
        <f>IF('Register Configuration'!C29=1200,"/* power down PLL and clear dividers */", "")</f>
        <v/>
      </c>
      <c r="B85" s="128"/>
      <c r="C85" s="128"/>
    </row>
    <row r="86" spans="1:3" x14ac:dyDescent="0.3">
      <c r="A86" s="128" t="str">
        <f>IF('Register Configuration'!C29=1200,"DSC_AIRegisterWrite(0x28,0,8,0x000020FF);", "")</f>
        <v/>
      </c>
      <c r="B86" s="128"/>
      <c r="C86" s="128"/>
    </row>
    <row r="87" spans="1:3" x14ac:dyDescent="0.3">
      <c r="A87" s="128" t="str">
        <f>IF('Register Configuration'!C29=1200,"/* Set the divider */", "")</f>
        <v/>
      </c>
      <c r="B87" s="128"/>
      <c r="C87" s="128"/>
    </row>
    <row r="88" spans="1:3" x14ac:dyDescent="0.3">
      <c r="A88" s="128" t="str">
        <f>IF('Register Configuration'!C29=1200,"DSC_AIRegisterWrite(0x28,0,4,0x000000C8);", "")</f>
        <v/>
      </c>
      <c r="B88" s="128"/>
      <c r="C88" s="128"/>
    </row>
    <row r="89" spans="1:3" x14ac:dyDescent="0.3">
      <c r="A89" s="128" t="str">
        <f>IF('Register Configuration'!C29=1200,"/* power up PLL and set hold ring off */", "")</f>
        <v/>
      </c>
      <c r="B89" s="128"/>
      <c r="C89" s="128"/>
    </row>
    <row r="90" spans="1:3" x14ac:dyDescent="0.3">
      <c r="A90" s="128" t="str">
        <f>IF('Register Configuration'!C29=1200,"DSC_AIRegisterWrite(0x28,0,4,0x00003000);", "")</f>
        <v/>
      </c>
      <c r="B90" s="128"/>
      <c r="C90" s="128"/>
    </row>
    <row r="91" spans="1:3" x14ac:dyDescent="0.3">
      <c r="A91" s="128" t="str">
        <f>IF('Register Configuration'!C29=1200,"SYSCTR_TimeDelay(25);", "")</f>
        <v/>
      </c>
      <c r="B91" s="128"/>
      <c r="C91" s="128"/>
    </row>
    <row r="92" spans="1:3" x14ac:dyDescent="0.3">
      <c r="A92" s="128" t="str">
        <f>IF('Register Configuration'!C29=1200,"/* clear hold ring off */", "")</f>
        <v/>
      </c>
      <c r="B92" s="128"/>
      <c r="C92" s="128"/>
    </row>
    <row r="93" spans="1:3" x14ac:dyDescent="0.3">
      <c r="A93" s="128" t="str">
        <f>IF('Register Configuration'!C29=1200,"DSC_AIRegisterWrite(0x28,0,8,0x00001000);", "")</f>
        <v/>
      </c>
      <c r="B93" s="128"/>
      <c r="C93" s="128"/>
    </row>
    <row r="94" spans="1:3" x14ac:dyDescent="0.3">
      <c r="A94" s="128" t="str">
        <f>IF('Register Configuration'!C29=1200,"SYSCTR_TimeDelay(50);", "")</f>
        <v/>
      </c>
      <c r="B94" s="128"/>
      <c r="C94" s="128"/>
    </row>
    <row r="95" spans="1:3" x14ac:dyDescent="0.3">
      <c r="A95" s="128" t="str">
        <f>IF('Register Configuration'!C29=1200,"/* disable PLL isolation */", "")</f>
        <v/>
      </c>
      <c r="B95" s="128"/>
      <c r="C95" s="128"/>
    </row>
    <row r="96" spans="1:3" x14ac:dyDescent="0.3">
      <c r="A96" s="128" t="str">
        <f>IF('Register Configuration'!C29=1200,"DSC_AIRegisterWrite(0x28,0,4,0x40000000);", "")</f>
        <v/>
      </c>
      <c r="B96" s="128"/>
      <c r="C96" s="128"/>
    </row>
    <row r="97" spans="1:4" x14ac:dyDescent="0.3">
      <c r="A97" s="128"/>
      <c r="B97" s="128"/>
      <c r="C97" s="128"/>
    </row>
    <row r="98" spans="1:4" x14ac:dyDescent="0.3">
      <c r="A98" s="128" t="str">
        <f>IF('Register Configuration'!C29=1200,"/* Ungate cslice and ssslice */", "")</f>
        <v/>
      </c>
      <c r="B98" s="128"/>
      <c r="C98" s="128"/>
    </row>
    <row r="99" spans="1:4" x14ac:dyDescent="0.3">
      <c r="A99" s="128" t="str">
        <f>IF('Register Configuration'!C29=1200,"SET_BIT 4 0x41D02C00 0x4C000002", "")</f>
        <v/>
      </c>
      <c r="B99" s="128"/>
      <c r="C99" s="128"/>
    </row>
    <row r="100" spans="1:4" x14ac:dyDescent="0.3">
      <c r="A100" s="128" t="str">
        <f>IF('Register Configuration'!C29=1200,"SET_BIT 4 0x41D03800 0x4C000000", "")</f>
        <v/>
      </c>
      <c r="B100" s="128"/>
      <c r="C100" s="128"/>
    </row>
    <row r="101" spans="1:4" x14ac:dyDescent="0.3">
      <c r="A101" s="128" t="str">
        <f>IF('Register Configuration'!C29&lt;&gt;1600, "}","")</f>
        <v/>
      </c>
      <c r="B101" s="128"/>
      <c r="C101" s="128"/>
    </row>
    <row r="103" spans="1:4" x14ac:dyDescent="0.3">
      <c r="A103" s="127" t="s">
        <v>887</v>
      </c>
    </row>
    <row r="104" spans="1:4" x14ac:dyDescent="0.3">
      <c r="A104" s="127" t="s">
        <v>2077</v>
      </c>
    </row>
    <row r="105" spans="1:4" x14ac:dyDescent="0.3">
      <c r="A105" s="127" t="s">
        <v>1232</v>
      </c>
    </row>
    <row r="106" spans="1:4" x14ac:dyDescent="0.3">
      <c r="A106" s="127" t="s">
        <v>780</v>
      </c>
      <c r="B106" s="127" t="s">
        <v>781</v>
      </c>
      <c r="C106" s="127" t="s">
        <v>785</v>
      </c>
      <c r="D106" s="127" t="s">
        <v>2252</v>
      </c>
    </row>
    <row r="107" spans="1:4" x14ac:dyDescent="0.3">
      <c r="A107" s="127" t="str">
        <f>IF('Register Configuration'!F19 = 2,"", "//") &amp; "DATA 4"</f>
        <v>DATA 4</v>
      </c>
      <c r="B107" s="127" t="s">
        <v>782</v>
      </c>
      <c r="C107" s="127" t="s">
        <v>785</v>
      </c>
      <c r="D107" s="127" t="s">
        <v>2252</v>
      </c>
    </row>
    <row r="108" spans="1:4" x14ac:dyDescent="0.3">
      <c r="A108" s="127" t="s">
        <v>780</v>
      </c>
      <c r="B108" s="127" t="s">
        <v>2249</v>
      </c>
      <c r="C108" s="127" t="s">
        <v>2251</v>
      </c>
      <c r="D108" s="127" t="s">
        <v>2253</v>
      </c>
    </row>
    <row r="109" spans="1:4" x14ac:dyDescent="0.3">
      <c r="A109" s="127" t="str">
        <f>IF('Register Configuration'!F19 = 2,"", "//") &amp; "DATA 4"</f>
        <v>DATA 4</v>
      </c>
      <c r="B109" s="127" t="s">
        <v>2250</v>
      </c>
      <c r="C109" s="127" t="s">
        <v>2251</v>
      </c>
      <c r="D109" s="127" t="s">
        <v>2253</v>
      </c>
    </row>
    <row r="110" spans="1:4" x14ac:dyDescent="0.3">
      <c r="A110" s="127" t="s">
        <v>780</v>
      </c>
      <c r="B110" s="127" t="s">
        <v>783</v>
      </c>
      <c r="C110" s="127" t="s">
        <v>785</v>
      </c>
      <c r="D110" s="127" t="s">
        <v>2254</v>
      </c>
    </row>
    <row r="111" spans="1:4" x14ac:dyDescent="0.3">
      <c r="A111" s="127" t="str">
        <f>IF('Register Configuration'!F19 = 2,"", "//") &amp; "DATA 4"</f>
        <v>DATA 4</v>
      </c>
      <c r="B111" s="127" t="s">
        <v>784</v>
      </c>
      <c r="C111" s="127" t="s">
        <v>785</v>
      </c>
      <c r="D111" s="127" t="s">
        <v>2254</v>
      </c>
    </row>
    <row r="113" spans="1:4" x14ac:dyDescent="0.3">
      <c r="A113" s="127" t="s">
        <v>887</v>
      </c>
    </row>
    <row r="114" spans="1:4" x14ac:dyDescent="0.3">
      <c r="A114" s="127" t="s">
        <v>2078</v>
      </c>
    </row>
    <row r="115" spans="1:4" x14ac:dyDescent="0.3">
      <c r="A115" s="127" t="s">
        <v>1232</v>
      </c>
    </row>
    <row r="116" spans="1:4" x14ac:dyDescent="0.3">
      <c r="A116" s="127" t="s">
        <v>774</v>
      </c>
    </row>
    <row r="117" spans="1:4" x14ac:dyDescent="0.3">
      <c r="A117" s="127" t="s">
        <v>786</v>
      </c>
      <c r="B117" s="127" t="s">
        <v>787</v>
      </c>
      <c r="C117" s="128" t="str">
        <f>'Register Configuration'!J41</f>
        <v>0xC3080020</v>
      </c>
      <c r="D117" s="127" t="s">
        <v>788</v>
      </c>
    </row>
    <row r="118" spans="1:4" x14ac:dyDescent="0.3">
      <c r="A118" s="127" t="s">
        <v>786</v>
      </c>
      <c r="B118" s="127" t="s">
        <v>1245</v>
      </c>
      <c r="C118" s="128" t="str">
        <f>'Register Configuration'!J168</f>
        <v>0x00000213</v>
      </c>
      <c r="D118" s="127" t="s">
        <v>1247</v>
      </c>
    </row>
    <row r="119" spans="1:4" x14ac:dyDescent="0.3">
      <c r="A119" s="127" t="s">
        <v>786</v>
      </c>
      <c r="B119" s="127" t="s">
        <v>1246</v>
      </c>
      <c r="C119" s="128" t="str">
        <f>'Register Configuration'!J173</f>
        <v>0x0186A000</v>
      </c>
      <c r="D119" s="127" t="s">
        <v>1248</v>
      </c>
    </row>
    <row r="120" spans="1:4" x14ac:dyDescent="0.3">
      <c r="A120" s="127" t="s">
        <v>786</v>
      </c>
      <c r="B120" s="127" t="s">
        <v>2023</v>
      </c>
      <c r="C120" s="128" t="str">
        <f>'Register Configuration'!J86</f>
        <v>0x0021F000</v>
      </c>
    </row>
    <row r="121" spans="1:4" x14ac:dyDescent="0.3">
      <c r="A121" s="127" t="s">
        <v>786</v>
      </c>
      <c r="B121" s="127" t="s">
        <v>2025</v>
      </c>
      <c r="C121" s="128" t="str">
        <f>'Register Configuration'!J91</f>
        <v>0x006100E0</v>
      </c>
      <c r="D121" s="127" t="s">
        <v>789</v>
      </c>
    </row>
    <row r="122" spans="1:4" x14ac:dyDescent="0.3">
      <c r="A122" s="127" t="s">
        <v>786</v>
      </c>
      <c r="B122" s="127" t="s">
        <v>2026</v>
      </c>
      <c r="C122" s="128" t="str">
        <f>'Register Configuration'!J95</f>
        <v>0x4003061C</v>
      </c>
      <c r="D122" s="127" t="s">
        <v>1070</v>
      </c>
    </row>
    <row r="123" spans="1:4" x14ac:dyDescent="0.3">
      <c r="A123" s="127" t="s">
        <v>786</v>
      </c>
      <c r="B123" s="127" t="s">
        <v>2027</v>
      </c>
      <c r="C123" s="128" t="str">
        <f>'Register Configuration'!J99</f>
        <v>0x009E0000</v>
      </c>
      <c r="D123" s="127" t="s">
        <v>1071</v>
      </c>
    </row>
    <row r="124" spans="1:4" x14ac:dyDescent="0.3">
      <c r="A124" s="127" t="s">
        <v>786</v>
      </c>
      <c r="B124" s="127" t="s">
        <v>2028</v>
      </c>
      <c r="C124" s="128" t="str">
        <f>'Register Configuration'!J186</f>
        <v>0x0054002D</v>
      </c>
      <c r="D124" s="127" t="s">
        <v>1851</v>
      </c>
    </row>
    <row r="125" spans="1:4" x14ac:dyDescent="0.3">
      <c r="A125" s="127" t="s">
        <v>786</v>
      </c>
      <c r="B125" s="127" t="s">
        <v>2029</v>
      </c>
      <c r="C125" s="128" t="str">
        <f>'Register Configuration'!J198</f>
        <v>0x00F10040</v>
      </c>
      <c r="D125" s="127" t="s">
        <v>790</v>
      </c>
    </row>
    <row r="126" spans="1:4" x14ac:dyDescent="0.3">
      <c r="A126" s="127" t="s">
        <v>780</v>
      </c>
      <c r="B126" s="127" t="s">
        <v>792</v>
      </c>
      <c r="C126" s="128" t="str">
        <f>'Register Configuration'!J104</f>
        <v>0x0000066F</v>
      </c>
      <c r="D126" s="127" t="s">
        <v>849</v>
      </c>
    </row>
    <row r="127" spans="1:4" x14ac:dyDescent="0.3">
      <c r="A127" s="127" t="s">
        <v>780</v>
      </c>
      <c r="B127" s="127" t="s">
        <v>793</v>
      </c>
      <c r="C127" s="128" t="str">
        <f>'Register Configuration'!J108</f>
        <v>0x1A201B22</v>
      </c>
      <c r="D127" s="127" t="s">
        <v>831</v>
      </c>
    </row>
    <row r="128" spans="1:4" x14ac:dyDescent="0.3">
      <c r="A128" s="127" t="s">
        <v>780</v>
      </c>
      <c r="B128" s="127" t="s">
        <v>794</v>
      </c>
      <c r="C128" s="128" t="str">
        <f>'Register Configuration'!J113</f>
        <v>0x00060633</v>
      </c>
      <c r="D128" s="127" t="s">
        <v>832</v>
      </c>
    </row>
    <row r="129" spans="1:4" x14ac:dyDescent="0.3">
      <c r="A129" s="127" t="s">
        <v>780</v>
      </c>
      <c r="B129" s="127" t="s">
        <v>795</v>
      </c>
      <c r="C129" s="128" t="str">
        <f>'Register Configuration'!J119</f>
        <v>0x07101617</v>
      </c>
      <c r="D129" s="127" t="s">
        <v>833</v>
      </c>
    </row>
    <row r="130" spans="1:4" x14ac:dyDescent="0.3">
      <c r="A130" s="127" t="s">
        <v>780</v>
      </c>
      <c r="B130" s="127" t="s">
        <v>796</v>
      </c>
      <c r="C130" s="128" t="str">
        <f>'Register Configuration'!J124</f>
        <v>0x00C0C000</v>
      </c>
      <c r="D130" s="127" t="s">
        <v>834</v>
      </c>
    </row>
    <row r="131" spans="1:4" x14ac:dyDescent="0.3">
      <c r="A131" s="127" t="s">
        <v>780</v>
      </c>
      <c r="B131" s="127" t="s">
        <v>797</v>
      </c>
      <c r="C131" s="128" t="str">
        <f>'Register Configuration'!J128</f>
        <v>0x0F04080F</v>
      </c>
      <c r="D131" s="127" t="s">
        <v>835</v>
      </c>
    </row>
    <row r="132" spans="1:4" x14ac:dyDescent="0.3">
      <c r="A132" s="127" t="s">
        <v>780</v>
      </c>
      <c r="B132" s="127" t="s">
        <v>798</v>
      </c>
      <c r="C132" s="128" t="str">
        <f>'Register Configuration'!J133</f>
        <v>0x02040C0C</v>
      </c>
      <c r="D132" s="127" t="s">
        <v>836</v>
      </c>
    </row>
    <row r="133" spans="1:4" x14ac:dyDescent="0.3">
      <c r="A133" s="127" t="s">
        <v>780</v>
      </c>
      <c r="B133" s="127" t="s">
        <v>799</v>
      </c>
      <c r="C133" s="128" t="str">
        <f>'Register Configuration'!J139</f>
        <v>0x02020007</v>
      </c>
      <c r="D133" s="127" t="s">
        <v>837</v>
      </c>
    </row>
    <row r="134" spans="1:4" x14ac:dyDescent="0.3">
      <c r="A134" s="127" t="s">
        <v>780</v>
      </c>
      <c r="B134" s="127" t="s">
        <v>800</v>
      </c>
      <c r="C134" s="128" t="str">
        <f>'Register Configuration'!J144</f>
        <v>0x00000401</v>
      </c>
      <c r="D134" s="127" t="s">
        <v>838</v>
      </c>
    </row>
    <row r="135" spans="1:4" x14ac:dyDescent="0.3">
      <c r="A135" s="127" t="s">
        <v>780</v>
      </c>
      <c r="B135" s="127" t="s">
        <v>801</v>
      </c>
      <c r="C135" s="128" t="str">
        <f>'Register Configuration'!J147</f>
        <v>0x00020610</v>
      </c>
      <c r="D135" s="127" t="s">
        <v>1072</v>
      </c>
    </row>
    <row r="136" spans="1:4" x14ac:dyDescent="0.3">
      <c r="A136" s="127" t="s">
        <v>780</v>
      </c>
      <c r="B136" s="127" t="s">
        <v>802</v>
      </c>
      <c r="C136" s="128" t="str">
        <f>'Register Configuration'!J151</f>
        <v>0x0C100002</v>
      </c>
      <c r="D136" s="127" t="s">
        <v>839</v>
      </c>
    </row>
    <row r="137" spans="1:4" x14ac:dyDescent="0.3">
      <c r="A137" s="127" t="s">
        <v>780</v>
      </c>
      <c r="B137" s="127" t="s">
        <v>803</v>
      </c>
      <c r="C137" s="128" t="str">
        <f>'Register Configuration'!J155</f>
        <v>0x000000E6</v>
      </c>
      <c r="D137" s="127" t="s">
        <v>822</v>
      </c>
    </row>
    <row r="138" spans="1:4" x14ac:dyDescent="0.3">
      <c r="A138" s="127" t="s">
        <v>780</v>
      </c>
      <c r="B138" s="127" t="s">
        <v>804</v>
      </c>
      <c r="C138" s="128" t="str">
        <f>'Register Configuration'!J157</f>
        <v>0x03200018</v>
      </c>
      <c r="D138" s="127" t="s">
        <v>840</v>
      </c>
    </row>
    <row r="139" spans="1:4" x14ac:dyDescent="0.3">
      <c r="A139" s="127" t="s">
        <v>780</v>
      </c>
      <c r="B139" s="127" t="s">
        <v>805</v>
      </c>
      <c r="C139" s="128" t="str">
        <f>'Register Configuration'!J165</f>
        <v>0x028061A8</v>
      </c>
      <c r="D139" s="127" t="s">
        <v>841</v>
      </c>
    </row>
    <row r="140" spans="1:4" x14ac:dyDescent="0.3">
      <c r="A140" s="127" t="s">
        <v>780</v>
      </c>
      <c r="B140" s="127" t="s">
        <v>806</v>
      </c>
      <c r="C140" s="128" t="str">
        <f>'Register Configuration'!J219</f>
        <v>0x049E820C</v>
      </c>
      <c r="D140" s="127" t="s">
        <v>842</v>
      </c>
    </row>
    <row r="141" spans="1:4" x14ac:dyDescent="0.3">
      <c r="A141" s="127" t="s">
        <v>780</v>
      </c>
      <c r="B141" s="127" t="s">
        <v>807</v>
      </c>
      <c r="C141" s="128" t="str">
        <f>'Register Configuration'!J226</f>
        <v>0x00070303</v>
      </c>
      <c r="D141" s="127" t="s">
        <v>843</v>
      </c>
    </row>
    <row r="142" spans="1:4" x14ac:dyDescent="0.3">
      <c r="A142" s="127" t="s">
        <v>780</v>
      </c>
      <c r="B142" s="127" t="s">
        <v>808</v>
      </c>
      <c r="C142" s="128" t="str">
        <f>'Register Configuration'!J232</f>
        <v>0x00001C0A</v>
      </c>
      <c r="D142" s="127" t="s">
        <v>844</v>
      </c>
    </row>
    <row r="143" spans="1:4" x14ac:dyDescent="0.3">
      <c r="A143" s="127" t="s">
        <v>780</v>
      </c>
      <c r="B143" s="127" t="s">
        <v>809</v>
      </c>
      <c r="C143" s="128" t="str">
        <f>'Register Configuration'!J235</f>
        <v>0x00000005</v>
      </c>
      <c r="D143" s="127" t="s">
        <v>823</v>
      </c>
    </row>
    <row r="144" spans="1:4" x14ac:dyDescent="0.3">
      <c r="A144" s="127" t="s">
        <v>780</v>
      </c>
      <c r="B144" s="127" t="s">
        <v>810</v>
      </c>
      <c r="C144" s="128" t="str">
        <f>'Register Configuration'!J239</f>
        <v>0x00400003</v>
      </c>
      <c r="D144" s="127" t="s">
        <v>824</v>
      </c>
    </row>
    <row r="145" spans="1:6" x14ac:dyDescent="0.3">
      <c r="A145" s="127" t="s">
        <v>780</v>
      </c>
      <c r="B145" s="127" t="s">
        <v>811</v>
      </c>
      <c r="C145" s="128" t="str">
        <f>'Register Configuration'!J244</f>
        <v>0x008000A0</v>
      </c>
      <c r="D145" s="127" t="s">
        <v>825</v>
      </c>
    </row>
    <row r="146" spans="1:6" x14ac:dyDescent="0.3">
      <c r="A146" s="127" t="s">
        <v>780</v>
      </c>
      <c r="B146" s="127" t="s">
        <v>812</v>
      </c>
      <c r="C146" s="128" t="str">
        <f>'Register Configuration'!J247</f>
        <v>0x80000000</v>
      </c>
      <c r="D146" s="127" t="s">
        <v>826</v>
      </c>
    </row>
    <row r="147" spans="1:6" x14ac:dyDescent="0.3">
      <c r="A147" s="127" t="s">
        <v>780</v>
      </c>
      <c r="B147" s="127" t="s">
        <v>813</v>
      </c>
      <c r="C147" s="128" t="str">
        <f>'Register Configuration'!J56</f>
        <v>0x00000007</v>
      </c>
      <c r="D147" s="127" t="s">
        <v>827</v>
      </c>
    </row>
    <row r="148" spans="1:6" x14ac:dyDescent="0.3">
      <c r="A148" s="127" t="s">
        <v>780</v>
      </c>
      <c r="B148" s="127" t="s">
        <v>1227</v>
      </c>
      <c r="C148" s="128" t="str">
        <f>'Register Configuration'!J63</f>
        <v>0x00000000</v>
      </c>
      <c r="D148" s="127" t="s">
        <v>1228</v>
      </c>
    </row>
    <row r="149" spans="1:6" x14ac:dyDescent="0.3">
      <c r="A149" s="127" t="s">
        <v>780</v>
      </c>
      <c r="B149" s="127" t="s">
        <v>814</v>
      </c>
      <c r="C149" s="128" t="str">
        <f>'Register Configuration'!J68</f>
        <v>0x00001F1F</v>
      </c>
      <c r="D149" s="127" t="s">
        <v>828</v>
      </c>
      <c r="F149" s="127"/>
    </row>
    <row r="150" spans="1:6" x14ac:dyDescent="0.3">
      <c r="A150" s="127" t="s">
        <v>780</v>
      </c>
      <c r="B150" s="127" t="s">
        <v>815</v>
      </c>
      <c r="C150" s="128" t="str">
        <f>'Register Configuration'!J59</f>
        <v>0x00080808</v>
      </c>
      <c r="D150" s="127" t="s">
        <v>845</v>
      </c>
    </row>
    <row r="151" spans="1:6" x14ac:dyDescent="0.3">
      <c r="A151" s="127" t="s">
        <v>780</v>
      </c>
      <c r="B151" s="127" t="s">
        <v>816</v>
      </c>
      <c r="C151" s="128" t="str">
        <f>'Register Configuration'!J71</f>
        <v>0x08080808</v>
      </c>
      <c r="D151" s="127" t="s">
        <v>846</v>
      </c>
    </row>
    <row r="152" spans="1:6" x14ac:dyDescent="0.3">
      <c r="A152" s="127" t="s">
        <v>780</v>
      </c>
      <c r="B152" s="127" t="s">
        <v>817</v>
      </c>
      <c r="C152" s="128" t="str">
        <f>'Register Configuration'!J76</f>
        <v>0x48080808</v>
      </c>
      <c r="D152" s="127" t="s">
        <v>847</v>
      </c>
    </row>
    <row r="153" spans="1:6" x14ac:dyDescent="0.3">
      <c r="A153" s="127" t="s">
        <v>780</v>
      </c>
      <c r="B153" s="127" t="s">
        <v>818</v>
      </c>
      <c r="C153" s="128" t="str">
        <f>'Register Configuration'!J249</f>
        <v>0x00000007</v>
      </c>
      <c r="D153" s="127" t="s">
        <v>829</v>
      </c>
    </row>
    <row r="154" spans="1:6" x14ac:dyDescent="0.3">
      <c r="A154" s="127" t="s">
        <v>780</v>
      </c>
      <c r="B154" s="127" t="s">
        <v>819</v>
      </c>
      <c r="C154" s="128" t="str">
        <f>'Register Configuration'!J175</f>
        <v>0x00000000</v>
      </c>
      <c r="D154" s="127" t="s">
        <v>848</v>
      </c>
    </row>
    <row r="155" spans="1:6" x14ac:dyDescent="0.3">
      <c r="A155" s="127" t="s">
        <v>780</v>
      </c>
      <c r="B155" s="127" t="s">
        <v>820</v>
      </c>
      <c r="C155" s="127" t="s">
        <v>821</v>
      </c>
      <c r="D155" s="127" t="s">
        <v>830</v>
      </c>
    </row>
    <row r="157" spans="1:6" x14ac:dyDescent="0.3">
      <c r="A157" s="127" t="s">
        <v>775</v>
      </c>
    </row>
    <row r="158" spans="1:6" x14ac:dyDescent="0.3">
      <c r="A158" s="127" t="str">
        <f>IF('Register Configuration'!F19 = 2,"", "//") &amp; "DATA 4"</f>
        <v>DATA 4</v>
      </c>
      <c r="B158" s="127" t="s">
        <v>851</v>
      </c>
      <c r="C158" s="128" t="str">
        <f>'Register Configuration'!J41</f>
        <v>0xC3080020</v>
      </c>
      <c r="D158" s="127" t="s">
        <v>788</v>
      </c>
    </row>
    <row r="159" spans="1:6" x14ac:dyDescent="0.3">
      <c r="A159" s="127" t="str">
        <f>IF('Register Configuration'!F19 = 2,"", "//") &amp; "DATA 4"</f>
        <v>DATA 4</v>
      </c>
      <c r="B159" s="127" t="s">
        <v>1785</v>
      </c>
      <c r="C159" s="128" t="str">
        <f>'Register Configuration'!L168</f>
        <v>0x00000213</v>
      </c>
      <c r="D159" s="127" t="s">
        <v>1247</v>
      </c>
    </row>
    <row r="160" spans="1:6" x14ac:dyDescent="0.3">
      <c r="A160" s="127" t="str">
        <f>IF('Register Configuration'!F19 = 2,"", "//") &amp; "DATA 4"</f>
        <v>DATA 4</v>
      </c>
      <c r="B160" s="127" t="s">
        <v>1249</v>
      </c>
      <c r="C160" s="128" t="str">
        <f>'Register Configuration'!J173</f>
        <v>0x0186A000</v>
      </c>
      <c r="D160" s="127" t="s">
        <v>1248</v>
      </c>
    </row>
    <row r="161" spans="1:6" x14ac:dyDescent="0.3">
      <c r="A161" s="127" t="str">
        <f>IF('Register Configuration'!F19 = 2,"", "//") &amp; "DATA 4"</f>
        <v>DATA 4</v>
      </c>
      <c r="B161" s="127" t="s">
        <v>2024</v>
      </c>
      <c r="C161" s="128" t="str">
        <f>'Register Configuration'!J86</f>
        <v>0x0021F000</v>
      </c>
    </row>
    <row r="162" spans="1:6" x14ac:dyDescent="0.3">
      <c r="A162" s="127" t="str">
        <f>IF('Register Configuration'!F19 = 2,"", "//") &amp; "DATA 4"</f>
        <v>DATA 4</v>
      </c>
      <c r="B162" s="127" t="s">
        <v>852</v>
      </c>
      <c r="C162" s="128" t="str">
        <f>'Register Configuration'!J91</f>
        <v>0x006100E0</v>
      </c>
      <c r="D162" s="127" t="s">
        <v>789</v>
      </c>
    </row>
    <row r="163" spans="1:6" x14ac:dyDescent="0.3">
      <c r="A163" s="127" t="str">
        <f>IF('Register Configuration'!F19 = 2,"", "//") &amp; "DATA 4"</f>
        <v>DATA 4</v>
      </c>
      <c r="B163" s="127" t="s">
        <v>853</v>
      </c>
      <c r="C163" s="128" t="str">
        <f>'Register Configuration'!J95</f>
        <v>0x4003061C</v>
      </c>
      <c r="D163" s="127" t="s">
        <v>1070</v>
      </c>
    </row>
    <row r="164" spans="1:6" x14ac:dyDescent="0.3">
      <c r="A164" s="127" t="str">
        <f>IF('Register Configuration'!F19 = 2,"", "//") &amp; "DATA 4"</f>
        <v>DATA 4</v>
      </c>
      <c r="B164" s="127" t="s">
        <v>854</v>
      </c>
      <c r="C164" s="128" t="str">
        <f>'Register Configuration'!J99</f>
        <v>0x009E0000</v>
      </c>
      <c r="D164" s="127" t="s">
        <v>1071</v>
      </c>
    </row>
    <row r="165" spans="1:6" x14ac:dyDescent="0.3">
      <c r="A165" s="127" t="str">
        <f>IF('Register Configuration'!F19 = 2,"", "//") &amp; "DATA 4"</f>
        <v>DATA 4</v>
      </c>
      <c r="B165" s="127" t="s">
        <v>855</v>
      </c>
      <c r="C165" s="128" t="str">
        <f>'Register Configuration'!J186</f>
        <v>0x0054002D</v>
      </c>
      <c r="D165" s="127" t="s">
        <v>1851</v>
      </c>
    </row>
    <row r="166" spans="1:6" x14ac:dyDescent="0.3">
      <c r="A166" s="127" t="str">
        <f>IF('Register Configuration'!F19 = 2,"", "//") &amp; "DATA 4"</f>
        <v>DATA 4</v>
      </c>
      <c r="B166" s="127" t="s">
        <v>856</v>
      </c>
      <c r="C166" s="128" t="str">
        <f>'Register Configuration'!J198</f>
        <v>0x00F10040</v>
      </c>
      <c r="D166" s="127" t="s">
        <v>790</v>
      </c>
    </row>
    <row r="167" spans="1:6" x14ac:dyDescent="0.3">
      <c r="A167" s="127" t="str">
        <f>IF('Register Configuration'!F19 = 2,"", "//") &amp; "DATA 4"</f>
        <v>DATA 4</v>
      </c>
      <c r="B167" s="127" t="s">
        <v>857</v>
      </c>
      <c r="C167" s="128" t="str">
        <f>'Register Configuration'!J104</f>
        <v>0x0000066F</v>
      </c>
      <c r="D167" s="127" t="s">
        <v>849</v>
      </c>
      <c r="F167" s="127"/>
    </row>
    <row r="168" spans="1:6" x14ac:dyDescent="0.3">
      <c r="A168" s="127" t="str">
        <f>IF('Register Configuration'!F19 = 2,"", "//") &amp; "DATA 4"</f>
        <v>DATA 4</v>
      </c>
      <c r="B168" s="127" t="s">
        <v>858</v>
      </c>
      <c r="C168" s="128" t="str">
        <f>'Register Configuration'!J108</f>
        <v>0x1A201B22</v>
      </c>
      <c r="D168" s="127" t="s">
        <v>831</v>
      </c>
    </row>
    <row r="169" spans="1:6" x14ac:dyDescent="0.3">
      <c r="A169" s="127" t="str">
        <f>IF('Register Configuration'!F19 = 2,"", "//") &amp; "DATA 4"</f>
        <v>DATA 4</v>
      </c>
      <c r="B169" s="127" t="s">
        <v>859</v>
      </c>
      <c r="C169" s="128" t="str">
        <f>'Register Configuration'!J113</f>
        <v>0x00060633</v>
      </c>
      <c r="D169" s="127" t="s">
        <v>832</v>
      </c>
    </row>
    <row r="170" spans="1:6" x14ac:dyDescent="0.3">
      <c r="A170" s="127" t="str">
        <f>IF('Register Configuration'!F19 = 2,"", "//") &amp; "DATA 4"</f>
        <v>DATA 4</v>
      </c>
      <c r="B170" s="127" t="s">
        <v>860</v>
      </c>
      <c r="C170" s="128" t="str">
        <f>'Register Configuration'!J119</f>
        <v>0x07101617</v>
      </c>
      <c r="D170" s="127" t="s">
        <v>833</v>
      </c>
    </row>
    <row r="171" spans="1:6" x14ac:dyDescent="0.3">
      <c r="A171" s="127" t="str">
        <f>IF('Register Configuration'!F19 = 2,"", "//") &amp; "DATA 4"</f>
        <v>DATA 4</v>
      </c>
      <c r="B171" s="127" t="s">
        <v>861</v>
      </c>
      <c r="C171" s="128" t="str">
        <f>'Register Configuration'!J124</f>
        <v>0x00C0C000</v>
      </c>
      <c r="D171" s="127" t="s">
        <v>834</v>
      </c>
    </row>
    <row r="172" spans="1:6" x14ac:dyDescent="0.3">
      <c r="A172" s="127" t="str">
        <f>IF('Register Configuration'!F19 = 2,"", "//") &amp; "DATA 4"</f>
        <v>DATA 4</v>
      </c>
      <c r="B172" s="127" t="s">
        <v>862</v>
      </c>
      <c r="C172" s="128" t="str">
        <f>'Register Configuration'!J128</f>
        <v>0x0F04080F</v>
      </c>
      <c r="D172" s="127" t="s">
        <v>835</v>
      </c>
    </row>
    <row r="173" spans="1:6" x14ac:dyDescent="0.3">
      <c r="A173" s="127" t="str">
        <f>IF('Register Configuration'!F19 = 2,"", "//") &amp; "DATA 4"</f>
        <v>DATA 4</v>
      </c>
      <c r="B173" s="127" t="s">
        <v>863</v>
      </c>
      <c r="C173" s="128" t="str">
        <f>'Register Configuration'!J133</f>
        <v>0x02040C0C</v>
      </c>
      <c r="D173" s="127" t="s">
        <v>836</v>
      </c>
    </row>
    <row r="174" spans="1:6" x14ac:dyDescent="0.3">
      <c r="A174" s="127" t="str">
        <f>IF('Register Configuration'!F19 = 2,"", "//") &amp; "DATA 4"</f>
        <v>DATA 4</v>
      </c>
      <c r="B174" s="127" t="s">
        <v>864</v>
      </c>
      <c r="C174" s="128" t="str">
        <f>'Register Configuration'!J139</f>
        <v>0x02020007</v>
      </c>
      <c r="D174" s="127" t="s">
        <v>837</v>
      </c>
    </row>
    <row r="175" spans="1:6" x14ac:dyDescent="0.3">
      <c r="A175" s="127" t="str">
        <f>IF('Register Configuration'!F19 = 2,"", "//") &amp; "DATA 4"</f>
        <v>DATA 4</v>
      </c>
      <c r="B175" s="127" t="s">
        <v>865</v>
      </c>
      <c r="C175" s="128" t="str">
        <f>'Register Configuration'!J144</f>
        <v>0x00000401</v>
      </c>
      <c r="D175" s="127" t="s">
        <v>838</v>
      </c>
    </row>
    <row r="176" spans="1:6" x14ac:dyDescent="0.3">
      <c r="A176" s="127" t="str">
        <f>IF('Register Configuration'!F19 = 2,"", "//") &amp; "DATA 4"</f>
        <v>DATA 4</v>
      </c>
      <c r="B176" s="127" t="s">
        <v>866</v>
      </c>
      <c r="C176" s="128" t="str">
        <f>'Register Configuration'!J147</f>
        <v>0x00020610</v>
      </c>
      <c r="D176" s="127" t="s">
        <v>1072</v>
      </c>
    </row>
    <row r="177" spans="1:4" x14ac:dyDescent="0.3">
      <c r="A177" s="127" t="str">
        <f>IF('Register Configuration'!F19 = 2,"", "//") &amp; "DATA 4"</f>
        <v>DATA 4</v>
      </c>
      <c r="B177" s="127" t="s">
        <v>867</v>
      </c>
      <c r="C177" s="128" t="str">
        <f>'Register Configuration'!J151</f>
        <v>0x0C100002</v>
      </c>
      <c r="D177" s="127" t="s">
        <v>839</v>
      </c>
    </row>
    <row r="178" spans="1:4" x14ac:dyDescent="0.3">
      <c r="A178" s="127" t="str">
        <f>IF('Register Configuration'!F19 = 2,"", "//") &amp; "DATA 4"</f>
        <v>DATA 4</v>
      </c>
      <c r="B178" s="127" t="s">
        <v>868</v>
      </c>
      <c r="C178" s="128" t="str">
        <f>'Register Configuration'!J155</f>
        <v>0x000000E6</v>
      </c>
      <c r="D178" s="127" t="s">
        <v>822</v>
      </c>
    </row>
    <row r="179" spans="1:4" x14ac:dyDescent="0.3">
      <c r="A179" s="127" t="str">
        <f>IF('Register Configuration'!F19 = 2,"", "//") &amp; "DATA 4"</f>
        <v>DATA 4</v>
      </c>
      <c r="B179" s="127" t="s">
        <v>869</v>
      </c>
      <c r="C179" s="128" t="str">
        <f>'Register Configuration'!J157</f>
        <v>0x03200018</v>
      </c>
      <c r="D179" s="127" t="s">
        <v>840</v>
      </c>
    </row>
    <row r="180" spans="1:4" x14ac:dyDescent="0.3">
      <c r="A180" s="127" t="str">
        <f>IF('Register Configuration'!F19 = 2,"", "//") &amp; "DATA 4"</f>
        <v>DATA 4</v>
      </c>
      <c r="B180" s="127" t="s">
        <v>870</v>
      </c>
      <c r="C180" s="128" t="str">
        <f>'Register Configuration'!J165</f>
        <v>0x028061A8</v>
      </c>
      <c r="D180" s="127" t="s">
        <v>841</v>
      </c>
    </row>
    <row r="181" spans="1:4" x14ac:dyDescent="0.3">
      <c r="A181" s="127" t="str">
        <f>IF('Register Configuration'!F19 = 2,"", "//") &amp; "DATA 4"</f>
        <v>DATA 4</v>
      </c>
      <c r="B181" s="127" t="s">
        <v>871</v>
      </c>
      <c r="C181" s="128" t="str">
        <f>'Register Configuration'!J219</f>
        <v>0x049E820C</v>
      </c>
      <c r="D181" s="127" t="s">
        <v>842</v>
      </c>
    </row>
    <row r="182" spans="1:4" x14ac:dyDescent="0.3">
      <c r="A182" s="127" t="str">
        <f>IF('Register Configuration'!F19 = 2,"", "//") &amp; "DATA 4"</f>
        <v>DATA 4</v>
      </c>
      <c r="B182" s="127" t="s">
        <v>872</v>
      </c>
      <c r="C182" s="128" t="str">
        <f>'Register Configuration'!J226</f>
        <v>0x00070303</v>
      </c>
      <c r="D182" s="127" t="s">
        <v>843</v>
      </c>
    </row>
    <row r="183" spans="1:4" x14ac:dyDescent="0.3">
      <c r="A183" s="127" t="str">
        <f>IF('Register Configuration'!F19 = 2,"", "//") &amp; "DATA 4"</f>
        <v>DATA 4</v>
      </c>
      <c r="B183" s="127" t="s">
        <v>873</v>
      </c>
      <c r="C183" s="128" t="str">
        <f>'Register Configuration'!J232</f>
        <v>0x00001C0A</v>
      </c>
      <c r="D183" s="127" t="s">
        <v>844</v>
      </c>
    </row>
    <row r="184" spans="1:4" x14ac:dyDescent="0.3">
      <c r="A184" s="127" t="str">
        <f>IF('Register Configuration'!F19 = 2,"", "//") &amp; "DATA 4"</f>
        <v>DATA 4</v>
      </c>
      <c r="B184" s="127" t="s">
        <v>874</v>
      </c>
      <c r="C184" s="128" t="str">
        <f>'Register Configuration'!J235</f>
        <v>0x00000005</v>
      </c>
      <c r="D184" s="127" t="s">
        <v>823</v>
      </c>
    </row>
    <row r="185" spans="1:4" x14ac:dyDescent="0.3">
      <c r="A185" s="127" t="str">
        <f>IF('Register Configuration'!F19 = 2,"", "//") &amp; "DATA 4"</f>
        <v>DATA 4</v>
      </c>
      <c r="B185" s="127" t="s">
        <v>875</v>
      </c>
      <c r="C185" s="128" t="str">
        <f>'Register Configuration'!J239</f>
        <v>0x00400003</v>
      </c>
      <c r="D185" s="127" t="s">
        <v>824</v>
      </c>
    </row>
    <row r="186" spans="1:4" x14ac:dyDescent="0.3">
      <c r="A186" s="127" t="str">
        <f>IF('Register Configuration'!F19 = 2,"", "//") &amp; "DATA 4"</f>
        <v>DATA 4</v>
      </c>
      <c r="B186" s="127" t="s">
        <v>876</v>
      </c>
      <c r="C186" s="128" t="str">
        <f>'Register Configuration'!J244</f>
        <v>0x008000A0</v>
      </c>
      <c r="D186" s="127" t="s">
        <v>825</v>
      </c>
    </row>
    <row r="187" spans="1:4" x14ac:dyDescent="0.3">
      <c r="A187" s="127" t="str">
        <f>IF('Register Configuration'!F19 = 2,"", "//") &amp; "DATA 4"</f>
        <v>DATA 4</v>
      </c>
      <c r="B187" s="127" t="s">
        <v>877</v>
      </c>
      <c r="C187" s="128" t="str">
        <f>'Register Configuration'!J247</f>
        <v>0x80000000</v>
      </c>
      <c r="D187" s="127" t="s">
        <v>826</v>
      </c>
    </row>
    <row r="188" spans="1:4" x14ac:dyDescent="0.3">
      <c r="A188" s="127" t="str">
        <f>IF('Register Configuration'!F19 = 2,"", "//") &amp; "DATA 4"</f>
        <v>DATA 4</v>
      </c>
      <c r="B188" s="127" t="s">
        <v>878</v>
      </c>
      <c r="C188" s="128" t="str">
        <f>'Register Configuration'!J56</f>
        <v>0x00000007</v>
      </c>
      <c r="D188" s="127" t="s">
        <v>827</v>
      </c>
    </row>
    <row r="189" spans="1:4" x14ac:dyDescent="0.3">
      <c r="A189" s="127" t="str">
        <f>IF('Register Configuration'!F19 = 2,"", "//") &amp; "DATA 4"</f>
        <v>DATA 4</v>
      </c>
      <c r="B189" s="127" t="s">
        <v>1231</v>
      </c>
      <c r="C189" s="128" t="str">
        <f>'Register Configuration'!J63</f>
        <v>0x00000000</v>
      </c>
      <c r="D189" s="127" t="s">
        <v>1228</v>
      </c>
    </row>
    <row r="190" spans="1:4" x14ac:dyDescent="0.3">
      <c r="A190" s="127" t="str">
        <f>IF('Register Configuration'!F19 = 2,"", "//") &amp; "DATA 4"</f>
        <v>DATA 4</v>
      </c>
      <c r="B190" s="127" t="s">
        <v>879</v>
      </c>
      <c r="C190" s="128" t="str">
        <f>'Register Configuration'!J68</f>
        <v>0x00001F1F</v>
      </c>
      <c r="D190" s="127" t="s">
        <v>828</v>
      </c>
    </row>
    <row r="191" spans="1:4" x14ac:dyDescent="0.3">
      <c r="A191" s="127" t="str">
        <f>IF('Register Configuration'!F19 = 2,"", "//") &amp; "DATA 4"</f>
        <v>DATA 4</v>
      </c>
      <c r="B191" s="127" t="s">
        <v>880</v>
      </c>
      <c r="C191" s="128" t="str">
        <f>'Register Configuration'!J59</f>
        <v>0x00080808</v>
      </c>
      <c r="D191" s="127" t="s">
        <v>845</v>
      </c>
    </row>
    <row r="192" spans="1:4" x14ac:dyDescent="0.3">
      <c r="A192" s="127" t="str">
        <f>IF('Register Configuration'!F19 = 2,"", "//") &amp; "DATA 4"</f>
        <v>DATA 4</v>
      </c>
      <c r="B192" s="127" t="s">
        <v>881</v>
      </c>
      <c r="C192" s="128" t="str">
        <f>'Register Configuration'!J71</f>
        <v>0x08080808</v>
      </c>
      <c r="D192" s="127" t="s">
        <v>846</v>
      </c>
    </row>
    <row r="193" spans="1:4" x14ac:dyDescent="0.3">
      <c r="A193" s="127" t="str">
        <f>IF('Register Configuration'!F19 = 2,"", "//") &amp; "DATA 4"</f>
        <v>DATA 4</v>
      </c>
      <c r="B193" s="127" t="s">
        <v>882</v>
      </c>
      <c r="C193" s="128" t="str">
        <f>'Register Configuration'!J76</f>
        <v>0x48080808</v>
      </c>
      <c r="D193" s="127" t="s">
        <v>847</v>
      </c>
    </row>
    <row r="194" spans="1:4" x14ac:dyDescent="0.3">
      <c r="A194" s="127" t="str">
        <f>IF('Register Configuration'!F19 = 2,"", "//") &amp; "DATA 4"</f>
        <v>DATA 4</v>
      </c>
      <c r="B194" s="127" t="s">
        <v>883</v>
      </c>
      <c r="C194" s="128" t="str">
        <f>'Register Configuration'!J249</f>
        <v>0x00000007</v>
      </c>
      <c r="D194" s="127" t="s">
        <v>829</v>
      </c>
    </row>
    <row r="195" spans="1:4" x14ac:dyDescent="0.3">
      <c r="A195" s="127" t="str">
        <f>IF('Register Configuration'!F19 = 2,"", "//") &amp; "DATA 4"</f>
        <v>DATA 4</v>
      </c>
      <c r="B195" s="127" t="s">
        <v>884</v>
      </c>
      <c r="C195" s="128" t="str">
        <f>'Register Configuration'!J175</f>
        <v>0x00000000</v>
      </c>
      <c r="D195" s="127" t="s">
        <v>848</v>
      </c>
    </row>
    <row r="196" spans="1:4" x14ac:dyDescent="0.3">
      <c r="A196" s="127" t="str">
        <f>IF('Register Configuration'!F19 = 2,"", "//") &amp; "DATA 4"</f>
        <v>DATA 4</v>
      </c>
      <c r="B196" s="127" t="s">
        <v>885</v>
      </c>
      <c r="C196" s="127" t="s">
        <v>821</v>
      </c>
      <c r="D196" s="127" t="s">
        <v>830</v>
      </c>
    </row>
    <row r="198" spans="1:4" x14ac:dyDescent="0.3">
      <c r="A198" s="127" t="s">
        <v>1985</v>
      </c>
    </row>
    <row r="199" spans="1:4" x14ac:dyDescent="0.3">
      <c r="A199" s="127" t="s">
        <v>780</v>
      </c>
      <c r="B199" s="127" t="s">
        <v>1987</v>
      </c>
      <c r="C199" s="128" t="str">
        <f>'Register Configuration'!J253</f>
        <v>0x0000010A</v>
      </c>
    </row>
    <row r="200" spans="1:4" x14ac:dyDescent="0.3">
      <c r="A200" s="127" t="str">
        <f>IF('Register Configuration'!F19 = 2,"", "//") &amp; "DATA 4"</f>
        <v>DATA 4</v>
      </c>
      <c r="B200" s="127" t="s">
        <v>1988</v>
      </c>
      <c r="C200" s="128" t="str">
        <f>'Register Configuration'!J253</f>
        <v>0x0000010A</v>
      </c>
    </row>
    <row r="201" spans="1:4" x14ac:dyDescent="0.3">
      <c r="A201" s="127" t="s">
        <v>780</v>
      </c>
      <c r="B201" s="127" t="s">
        <v>1989</v>
      </c>
      <c r="C201" s="128" t="str">
        <f>'Register Configuration'!J275</f>
        <v>0x00402010</v>
      </c>
    </row>
    <row r="202" spans="1:4" x14ac:dyDescent="0.3">
      <c r="A202" s="127" t="str">
        <f>IF('Register Configuration'!F19 = 2,"", "//") &amp; "DATA 4"</f>
        <v>DATA 4</v>
      </c>
      <c r="B202" s="127" t="s">
        <v>1990</v>
      </c>
      <c r="C202" s="128" t="str">
        <f>'Register Configuration'!J275</f>
        <v>0x00402010</v>
      </c>
    </row>
    <row r="203" spans="1:4" x14ac:dyDescent="0.3">
      <c r="A203" s="127" t="s">
        <v>780</v>
      </c>
      <c r="B203" s="127" t="s">
        <v>1991</v>
      </c>
      <c r="C203" s="128" t="str">
        <f>'Register Configuration'!J263</f>
        <v>0x06FF0001</v>
      </c>
    </row>
    <row r="204" spans="1:4" x14ac:dyDescent="0.3">
      <c r="A204" s="127" t="str">
        <f>IF('Register Configuration'!F19 = 2,"", "//") &amp; "DATA 4"</f>
        <v>DATA 4</v>
      </c>
      <c r="B204" s="127" t="s">
        <v>1992</v>
      </c>
      <c r="C204" s="128" t="str">
        <f>'Register Configuration'!J263</f>
        <v>0x06FF0001</v>
      </c>
    </row>
    <row r="205" spans="1:4" x14ac:dyDescent="0.3">
      <c r="C205" s="129"/>
    </row>
    <row r="206" spans="1:4" x14ac:dyDescent="0.3">
      <c r="A206" s="127" t="s">
        <v>780</v>
      </c>
      <c r="B206" s="127" t="s">
        <v>2233</v>
      </c>
      <c r="C206" s="129" t="s">
        <v>2234</v>
      </c>
      <c r="D206" s="127" t="s">
        <v>2235</v>
      </c>
    </row>
    <row r="207" spans="1:4" x14ac:dyDescent="0.3">
      <c r="A207" s="127" t="str">
        <f>IF('Register Configuration'!F19 = 2,"", "//") &amp; "DATA 4"</f>
        <v>DATA 4</v>
      </c>
      <c r="B207" s="127" t="s">
        <v>2236</v>
      </c>
      <c r="C207" s="129" t="s">
        <v>2234</v>
      </c>
      <c r="D207" s="127" t="s">
        <v>2235</v>
      </c>
    </row>
    <row r="209" spans="1:9" s="127" customFormat="1" x14ac:dyDescent="0.3">
      <c r="A209" s="127" t="s">
        <v>1986</v>
      </c>
      <c r="E209"/>
      <c r="F209"/>
      <c r="G209"/>
      <c r="H209"/>
      <c r="I209"/>
    </row>
    <row r="210" spans="1:9" s="127" customFormat="1" x14ac:dyDescent="0.3">
      <c r="A210" s="127" t="s">
        <v>780</v>
      </c>
      <c r="B210" s="127" t="s">
        <v>1993</v>
      </c>
      <c r="C210" s="128" t="str">
        <f>'Register Configuration'!J267</f>
        <v>0x0700B100</v>
      </c>
      <c r="E210"/>
      <c r="F210"/>
      <c r="G210"/>
      <c r="H210"/>
      <c r="I210"/>
    </row>
    <row r="211" spans="1:9" s="127" customFormat="1" x14ac:dyDescent="0.3">
      <c r="A211" s="127" t="str">
        <f>IF('Register Configuration'!F19 = 2,"", "//") &amp; "DATA 4"</f>
        <v>DATA 4</v>
      </c>
      <c r="B211" s="127" t="s">
        <v>1994</v>
      </c>
      <c r="C211" s="128" t="str">
        <f>'Register Configuration'!J267</f>
        <v>0x0700B100</v>
      </c>
      <c r="E211"/>
      <c r="F211"/>
      <c r="G211"/>
      <c r="H211"/>
      <c r="I211"/>
    </row>
    <row r="213" spans="1:9" x14ac:dyDescent="0.3">
      <c r="A213" s="127" t="s">
        <v>887</v>
      </c>
    </row>
    <row r="214" spans="1:9" x14ac:dyDescent="0.3">
      <c r="A214" s="127" t="s">
        <v>2079</v>
      </c>
    </row>
    <row r="215" spans="1:9" x14ac:dyDescent="0.3">
      <c r="A215" s="127" t="s">
        <v>1232</v>
      </c>
    </row>
    <row r="216" spans="1:9" s="127" customFormat="1" x14ac:dyDescent="0.3">
      <c r="A216" s="127" t="s">
        <v>780</v>
      </c>
      <c r="B216" s="127" t="s">
        <v>781</v>
      </c>
      <c r="C216" s="127" t="s">
        <v>785</v>
      </c>
      <c r="E216"/>
      <c r="F216"/>
      <c r="G216"/>
      <c r="H216"/>
      <c r="I216"/>
    </row>
    <row r="217" spans="1:9" s="127" customFormat="1" x14ac:dyDescent="0.3">
      <c r="A217" s="127" t="str">
        <f>IF('Register Configuration'!F19 = 2,"", "//") &amp; "DATA 4"</f>
        <v>DATA 4</v>
      </c>
      <c r="B217" s="127" t="s">
        <v>782</v>
      </c>
      <c r="C217" s="127" t="s">
        <v>785</v>
      </c>
      <c r="E217"/>
      <c r="F217"/>
      <c r="G217"/>
      <c r="H217"/>
      <c r="I217"/>
    </row>
    <row r="218" spans="1:9" s="127" customFormat="1" x14ac:dyDescent="0.3">
      <c r="A218" s="127" t="s">
        <v>786</v>
      </c>
      <c r="B218" s="127" t="s">
        <v>2249</v>
      </c>
      <c r="C218" s="127" t="s">
        <v>1012</v>
      </c>
      <c r="D218" s="127" t="s">
        <v>2255</v>
      </c>
      <c r="E218"/>
      <c r="F218"/>
      <c r="G218"/>
      <c r="H218"/>
      <c r="I218"/>
    </row>
    <row r="219" spans="1:9" x14ac:dyDescent="0.3">
      <c r="A219" s="127" t="str">
        <f>IF('Register Configuration'!F19 = 2,"", "//") &amp; "DATA 4"</f>
        <v>DATA 4</v>
      </c>
      <c r="B219" s="127" t="s">
        <v>2250</v>
      </c>
      <c r="C219" s="127" t="s">
        <v>1012</v>
      </c>
      <c r="D219" s="127" t="s">
        <v>2255</v>
      </c>
    </row>
    <row r="220" spans="1:9" x14ac:dyDescent="0.3">
      <c r="A220" s="127" t="s">
        <v>786</v>
      </c>
      <c r="B220" s="127" t="s">
        <v>783</v>
      </c>
      <c r="C220" s="127" t="s">
        <v>785</v>
      </c>
    </row>
    <row r="221" spans="1:9" x14ac:dyDescent="0.3">
      <c r="A221" s="127" t="str">
        <f>IF('Register Configuration'!F19 = 2,"", "//") &amp; "DATA 4"</f>
        <v>DATA 4</v>
      </c>
      <c r="B221" s="127" t="s">
        <v>784</v>
      </c>
      <c r="C221" s="127" t="s">
        <v>785</v>
      </c>
    </row>
    <row r="223" spans="1:9" x14ac:dyDescent="0.3">
      <c r="A223" s="127" t="s">
        <v>887</v>
      </c>
    </row>
    <row r="224" spans="1:9" x14ac:dyDescent="0.3">
      <c r="A224" s="127" t="s">
        <v>2080</v>
      </c>
    </row>
    <row r="225" spans="1:4" x14ac:dyDescent="0.3">
      <c r="A225" s="127" t="s">
        <v>1232</v>
      </c>
    </row>
    <row r="226" spans="1:4" x14ac:dyDescent="0.3">
      <c r="A226" s="127" t="s">
        <v>774</v>
      </c>
    </row>
    <row r="227" spans="1:4" x14ac:dyDescent="0.3">
      <c r="A227" s="127" t="s">
        <v>890</v>
      </c>
    </row>
    <row r="228" spans="1:4" x14ac:dyDescent="0.3">
      <c r="A228" s="127" t="s">
        <v>780</v>
      </c>
      <c r="B228" s="127" t="s">
        <v>891</v>
      </c>
      <c r="C228" s="128" t="str">
        <f>'Register Configuration'!J297</f>
        <v>0x0000040D</v>
      </c>
      <c r="D228" s="127" t="s">
        <v>892</v>
      </c>
    </row>
    <row r="229" spans="1:4" x14ac:dyDescent="0.3">
      <c r="A229" s="127" t="s">
        <v>893</v>
      </c>
    </row>
    <row r="230" spans="1:4" x14ac:dyDescent="0.3">
      <c r="A230" s="127" t="s">
        <v>780</v>
      </c>
      <c r="B230" s="127" t="s">
        <v>894</v>
      </c>
      <c r="C230" s="128" t="str">
        <f>BoardDataBusConfig!C28</f>
        <v>0x000F0009</v>
      </c>
    </row>
    <row r="231" spans="1:4" x14ac:dyDescent="0.3">
      <c r="A231" s="127" t="s">
        <v>780</v>
      </c>
      <c r="B231" s="127" t="s">
        <v>895</v>
      </c>
      <c r="C231" s="128" t="str">
        <f>INDEX(BoardDataBusConfig!C$14:C$21, MATCH(LEFT(B231,19), BoardDataBusConfig!B$14:B$21,0),1)</f>
        <v>0x00003465</v>
      </c>
      <c r="D231" s="127" t="s">
        <v>905</v>
      </c>
    </row>
    <row r="232" spans="1:4" x14ac:dyDescent="0.3">
      <c r="A232" s="127" t="s">
        <v>780</v>
      </c>
      <c r="B232" s="127" t="s">
        <v>896</v>
      </c>
      <c r="C232" s="128" t="str">
        <f>INDEX(BoardDataBusConfig!C$14:C$21, MATCH(LEFT(B232,19), BoardDataBusConfig!B$14:B$21,0),1)</f>
        <v>0x00008271</v>
      </c>
      <c r="D232" s="127" t="s">
        <v>906</v>
      </c>
    </row>
    <row r="233" spans="1:4" x14ac:dyDescent="0.3">
      <c r="A233" s="127" t="s">
        <v>780</v>
      </c>
      <c r="B233" s="127" t="s">
        <v>897</v>
      </c>
      <c r="C233" s="128" t="str">
        <f>INDEX(BoardDataBusConfig!C$14:C$21, MATCH(LEFT(B233,19), BoardDataBusConfig!B$14:B$21,0),1)</f>
        <v>0x00075632</v>
      </c>
      <c r="D233" s="127" t="s">
        <v>905</v>
      </c>
    </row>
    <row r="234" spans="1:4" x14ac:dyDescent="0.3">
      <c r="A234" s="127" t="s">
        <v>780</v>
      </c>
      <c r="B234" s="127" t="s">
        <v>898</v>
      </c>
      <c r="C234" s="128" t="str">
        <f>INDEX(BoardDataBusConfig!C$14:C$21, MATCH(LEFT(B234,19), BoardDataBusConfig!B$14:B$21,0),1)</f>
        <v>0x00008104</v>
      </c>
      <c r="D234" s="127" t="s">
        <v>906</v>
      </c>
    </row>
    <row r="235" spans="1:4" x14ac:dyDescent="0.3">
      <c r="A235" s="127" t="s">
        <v>780</v>
      </c>
      <c r="B235" s="127" t="s">
        <v>899</v>
      </c>
      <c r="C235" s="128" t="str">
        <f>INDEX(BoardDataBusConfig!C$14:C$21, MATCH(LEFT(B235,19), BoardDataBusConfig!B$14:B$21,0),1)</f>
        <v>0x00064732</v>
      </c>
      <c r="D235" s="127" t="s">
        <v>905</v>
      </c>
    </row>
    <row r="236" spans="1:4" x14ac:dyDescent="0.3">
      <c r="A236" s="127" t="s">
        <v>780</v>
      </c>
      <c r="B236" s="127" t="s">
        <v>900</v>
      </c>
      <c r="C236" s="128" t="str">
        <f>INDEX(BoardDataBusConfig!C$14:C$21, MATCH(LEFT(B236,19), BoardDataBusConfig!B$14:B$21,0),1)</f>
        <v>0x00008015</v>
      </c>
      <c r="D236" s="127" t="s">
        <v>906</v>
      </c>
    </row>
    <row r="237" spans="1:4" x14ac:dyDescent="0.3">
      <c r="A237" s="127" t="s">
        <v>780</v>
      </c>
      <c r="B237" s="127" t="s">
        <v>901</v>
      </c>
      <c r="C237" s="128" t="str">
        <f>INDEX(BoardDataBusConfig!C$14:C$21, MATCH(LEFT(B237,19), BoardDataBusConfig!B$14:B$21,0),1)</f>
        <v>0x00012574</v>
      </c>
      <c r="D237" s="127" t="s">
        <v>905</v>
      </c>
    </row>
    <row r="238" spans="1:4" x14ac:dyDescent="0.3">
      <c r="A238" s="127" t="s">
        <v>780</v>
      </c>
      <c r="B238" s="127" t="s">
        <v>902</v>
      </c>
      <c r="C238" s="128" t="str">
        <f>INDEX(BoardDataBusConfig!C$14:C$21, MATCH(LEFT(B238,19), BoardDataBusConfig!B$14:B$21,0),1)</f>
        <v>0x00008360</v>
      </c>
      <c r="D238" s="127" t="s">
        <v>906</v>
      </c>
    </row>
    <row r="239" spans="1:4" x14ac:dyDescent="0.3">
      <c r="A239" s="127" t="s">
        <v>780</v>
      </c>
      <c r="B239" s="127" t="s">
        <v>903</v>
      </c>
      <c r="C239" s="128" t="str">
        <f>BoardDataBusConfig!C24</f>
        <v>0x00141032</v>
      </c>
      <c r="D239" s="127" t="s">
        <v>907</v>
      </c>
    </row>
    <row r="240" spans="1:4" x14ac:dyDescent="0.3">
      <c r="A240" s="127" t="s">
        <v>780</v>
      </c>
      <c r="B240" s="127" t="s">
        <v>904</v>
      </c>
      <c r="C240" s="128" t="str">
        <f>BoardDataBusConfig!C25</f>
        <v>0x0013AAAA</v>
      </c>
      <c r="D240" s="127" t="s">
        <v>907</v>
      </c>
    </row>
    <row r="241" spans="1:4" x14ac:dyDescent="0.3">
      <c r="A241" s="127" t="s">
        <v>908</v>
      </c>
    </row>
    <row r="242" spans="1:4" x14ac:dyDescent="0.3">
      <c r="A242" s="127" t="s">
        <v>909</v>
      </c>
      <c r="B242" s="127" t="s">
        <v>910</v>
      </c>
      <c r="C242" s="129" t="s">
        <v>2061</v>
      </c>
      <c r="D242" s="127" t="s">
        <v>2062</v>
      </c>
    </row>
    <row r="243" spans="1:4" x14ac:dyDescent="0.3">
      <c r="A243" s="127" t="s">
        <v>780</v>
      </c>
      <c r="B243" s="127" t="s">
        <v>911</v>
      </c>
      <c r="C243" s="128" t="str">
        <f>'Register Configuration'!J309</f>
        <v>0x87001E00</v>
      </c>
      <c r="D243" s="127" t="s">
        <v>914</v>
      </c>
    </row>
    <row r="244" spans="1:4" x14ac:dyDescent="0.3">
      <c r="A244" s="127" t="s">
        <v>780</v>
      </c>
      <c r="B244" s="127" t="s">
        <v>912</v>
      </c>
      <c r="C244" s="128" t="str">
        <f>'Register Configuration'!J316</f>
        <v>0x00F0D879</v>
      </c>
      <c r="D244" s="127" t="s">
        <v>1852</v>
      </c>
    </row>
    <row r="245" spans="1:4" x14ac:dyDescent="0.3">
      <c r="A245" s="127" t="s">
        <v>780</v>
      </c>
      <c r="B245" s="127" t="s">
        <v>913</v>
      </c>
      <c r="C245" s="128" t="str">
        <f>'Register Configuration'!J325</f>
        <v>0x050A1080</v>
      </c>
      <c r="D245" s="127" t="s">
        <v>915</v>
      </c>
    </row>
    <row r="246" spans="1:4" x14ac:dyDescent="0.3">
      <c r="A246" s="127" t="s">
        <v>916</v>
      </c>
    </row>
    <row r="247" spans="1:4" x14ac:dyDescent="0.3">
      <c r="A247" s="127" t="s">
        <v>780</v>
      </c>
      <c r="B247" s="127" t="s">
        <v>917</v>
      </c>
      <c r="C247" s="128" t="str">
        <f>'Register Configuration'!J350</f>
        <v>0x64032010</v>
      </c>
      <c r="D247" s="127" t="s">
        <v>919</v>
      </c>
    </row>
    <row r="248" spans="1:4" x14ac:dyDescent="0.3">
      <c r="A248" s="127" t="s">
        <v>780</v>
      </c>
      <c r="B248" s="127" t="s">
        <v>918</v>
      </c>
      <c r="C248" s="128" t="str">
        <f>'Register Configuration'!J357</f>
        <v>0x4E201C20</v>
      </c>
      <c r="D248" s="127" t="s">
        <v>1828</v>
      </c>
    </row>
    <row r="249" spans="1:4" x14ac:dyDescent="0.3">
      <c r="A249" s="127" t="s">
        <v>920</v>
      </c>
    </row>
    <row r="250" spans="1:4" x14ac:dyDescent="0.3">
      <c r="A250" s="127" t="s">
        <v>780</v>
      </c>
      <c r="B250" s="127" t="s">
        <v>932</v>
      </c>
      <c r="C250" s="128" t="str">
        <f>'Register Configuration'!J362</f>
        <v>0x801C0000</v>
      </c>
    </row>
    <row r="251" spans="1:4" x14ac:dyDescent="0.3">
      <c r="A251" s="127" t="s">
        <v>780</v>
      </c>
      <c r="B251" s="127" t="s">
        <v>933</v>
      </c>
      <c r="C251" s="128" t="str">
        <f>'Register Configuration'!J362</f>
        <v>0x801C0000</v>
      </c>
    </row>
    <row r="252" spans="1:4" x14ac:dyDescent="0.3">
      <c r="A252" s="127" t="s">
        <v>921</v>
      </c>
    </row>
    <row r="253" spans="1:4" x14ac:dyDescent="0.3">
      <c r="A253" s="127" t="s">
        <v>780</v>
      </c>
      <c r="B253" s="127" t="s">
        <v>930</v>
      </c>
      <c r="C253" s="128" t="str">
        <f>'Register Configuration'!J377</f>
        <v>0x008C2C58</v>
      </c>
      <c r="D253" s="127" t="s">
        <v>931</v>
      </c>
    </row>
    <row r="254" spans="1:4" x14ac:dyDescent="0.3">
      <c r="A254" s="127" t="s">
        <v>922</v>
      </c>
    </row>
    <row r="255" spans="1:4" x14ac:dyDescent="0.3">
      <c r="A255" s="127" t="s">
        <v>786</v>
      </c>
      <c r="B255" s="127" t="s">
        <v>928</v>
      </c>
      <c r="C255" s="128" t="str">
        <f>'Register Configuration'!J592</f>
        <v>0x0001B9BB</v>
      </c>
      <c r="D255" s="127" t="s">
        <v>1890</v>
      </c>
    </row>
    <row r="256" spans="1:4" x14ac:dyDescent="0.3">
      <c r="A256" s="127" t="s">
        <v>786</v>
      </c>
      <c r="B256" s="127" t="s">
        <v>929</v>
      </c>
      <c r="C256" s="128" t="str">
        <f>'Register Configuration'!J599</f>
        <v>0x0001B9BB</v>
      </c>
      <c r="D256" s="127" t="s">
        <v>1891</v>
      </c>
    </row>
    <row r="257" spans="1:4" x14ac:dyDescent="0.3">
      <c r="A257" s="127" t="s">
        <v>923</v>
      </c>
    </row>
    <row r="259" spans="1:4" x14ac:dyDescent="0.3">
      <c r="A259" s="127" t="s">
        <v>2081</v>
      </c>
    </row>
    <row r="260" spans="1:4" x14ac:dyDescent="0.3">
      <c r="A260" s="127" t="s">
        <v>890</v>
      </c>
    </row>
    <row r="261" spans="1:4" x14ac:dyDescent="0.3">
      <c r="A261" s="127" t="str">
        <f>IF('Register Configuration'!F19 = 2,"", "//") &amp; "DATA 4"</f>
        <v>DATA 4</v>
      </c>
      <c r="B261" s="127" t="s">
        <v>935</v>
      </c>
      <c r="C261" s="128" t="str">
        <f>'Register Configuration'!J297</f>
        <v>0x0000040D</v>
      </c>
      <c r="D261" s="127" t="s">
        <v>892</v>
      </c>
    </row>
    <row r="262" spans="1:4" x14ac:dyDescent="0.3">
      <c r="A262" s="127" t="s">
        <v>893</v>
      </c>
    </row>
    <row r="263" spans="1:4" x14ac:dyDescent="0.3">
      <c r="A263" s="127" t="str">
        <f>IF('Register Configuration'!F19 = 2,"", "//") &amp; "DATA 4"</f>
        <v>DATA 4</v>
      </c>
      <c r="B263" s="127" t="s">
        <v>936</v>
      </c>
      <c r="C263" s="128" t="str">
        <f>BoardDataBusConfig!C52</f>
        <v>0x000F0009</v>
      </c>
    </row>
    <row r="264" spans="1:4" x14ac:dyDescent="0.3">
      <c r="A264" s="127" t="str">
        <f>IF('Register Configuration'!F19 = 2,"", "//") &amp; "DATA 4"</f>
        <v>DATA 4</v>
      </c>
      <c r="B264" s="127" t="s">
        <v>937</v>
      </c>
      <c r="C264" s="128" t="str">
        <f>INDEX(BoardDataBusConfig!C$38:C$45, MATCH(LEFT(B264,19), BoardDataBusConfig!B$38:B$45,0),1)</f>
        <v>0x00003465</v>
      </c>
      <c r="D264" s="127" t="s">
        <v>905</v>
      </c>
    </row>
    <row r="265" spans="1:4" x14ac:dyDescent="0.3">
      <c r="A265" s="127" t="str">
        <f>IF('Register Configuration'!F19 = 2,"", "//") &amp; "DATA 4"</f>
        <v>DATA 4</v>
      </c>
      <c r="B265" s="127" t="s">
        <v>938</v>
      </c>
      <c r="C265" s="128" t="str">
        <f>INDEX(BoardDataBusConfig!C$38:C$45, MATCH(LEFT(B265,19), BoardDataBusConfig!B$38:B$45,0),1)</f>
        <v>0x00008271</v>
      </c>
      <c r="D265" s="127" t="s">
        <v>906</v>
      </c>
    </row>
    <row r="266" spans="1:4" x14ac:dyDescent="0.3">
      <c r="A266" s="127" t="str">
        <f>IF('Register Configuration'!F19 = 2,"", "//") &amp; "DATA 4"</f>
        <v>DATA 4</v>
      </c>
      <c r="B266" s="127" t="s">
        <v>939</v>
      </c>
      <c r="C266" s="128" t="str">
        <f>INDEX(BoardDataBusConfig!C$38:C$45, MATCH(LEFT(B266,19), BoardDataBusConfig!B$38:B$45,0),1)</f>
        <v>0x00075632</v>
      </c>
      <c r="D266" s="127" t="s">
        <v>905</v>
      </c>
    </row>
    <row r="267" spans="1:4" x14ac:dyDescent="0.3">
      <c r="A267" s="127" t="str">
        <f>IF('Register Configuration'!F19 = 2,"", "//") &amp; "DATA 4"</f>
        <v>DATA 4</v>
      </c>
      <c r="B267" s="127" t="s">
        <v>940</v>
      </c>
      <c r="C267" s="128" t="str">
        <f>INDEX(BoardDataBusConfig!C$38:C$45, MATCH(LEFT(B267,19), BoardDataBusConfig!B$38:B$45,0),1)</f>
        <v>0x00008104</v>
      </c>
      <c r="D267" s="127" t="s">
        <v>906</v>
      </c>
    </row>
    <row r="268" spans="1:4" x14ac:dyDescent="0.3">
      <c r="A268" s="127" t="str">
        <f>IF('Register Configuration'!F19 = 2,"", "//") &amp; "DATA 4"</f>
        <v>DATA 4</v>
      </c>
      <c r="B268" s="127" t="s">
        <v>941</v>
      </c>
      <c r="C268" s="128" t="str">
        <f>INDEX(BoardDataBusConfig!C$38:C$45, MATCH(LEFT(B268,19), BoardDataBusConfig!B$38:B$45,0),1)</f>
        <v>0x00064732</v>
      </c>
      <c r="D268" s="127" t="s">
        <v>905</v>
      </c>
    </row>
    <row r="269" spans="1:4" x14ac:dyDescent="0.3">
      <c r="A269" s="127" t="str">
        <f>IF('Register Configuration'!F19 = 2,"", "//") &amp; "DATA 4"</f>
        <v>DATA 4</v>
      </c>
      <c r="B269" s="127" t="s">
        <v>942</v>
      </c>
      <c r="C269" s="128" t="str">
        <f>INDEX(BoardDataBusConfig!C$38:C$45, MATCH(LEFT(B269,19), BoardDataBusConfig!B$38:B$45,0),1)</f>
        <v>0x00008015</v>
      </c>
      <c r="D269" s="127" t="s">
        <v>906</v>
      </c>
    </row>
    <row r="270" spans="1:4" x14ac:dyDescent="0.3">
      <c r="A270" s="127" t="str">
        <f>IF('Register Configuration'!F19 = 2,"", "//") &amp; "DATA 4"</f>
        <v>DATA 4</v>
      </c>
      <c r="B270" s="127" t="s">
        <v>943</v>
      </c>
      <c r="C270" s="128" t="str">
        <f>INDEX(BoardDataBusConfig!C$38:C$45, MATCH(LEFT(B270,19), BoardDataBusConfig!B$38:B$45,0),1)</f>
        <v>0x00012574</v>
      </c>
      <c r="D270" s="127" t="s">
        <v>905</v>
      </c>
    </row>
    <row r="271" spans="1:4" x14ac:dyDescent="0.3">
      <c r="A271" s="127" t="str">
        <f>IF('Register Configuration'!F19 = 2,"", "//") &amp; "DATA 4"</f>
        <v>DATA 4</v>
      </c>
      <c r="B271" s="127" t="s">
        <v>944</v>
      </c>
      <c r="C271" s="128" t="str">
        <f>INDEX(BoardDataBusConfig!C$38:C$45, MATCH(LEFT(B271,19), BoardDataBusConfig!B$38:B$45,0),1)</f>
        <v>0x00008360</v>
      </c>
      <c r="D271" s="127" t="s">
        <v>906</v>
      </c>
    </row>
    <row r="272" spans="1:4" x14ac:dyDescent="0.3">
      <c r="A272" s="127" t="str">
        <f>IF('Register Configuration'!F19 = 2,"", "//") &amp; "DATA 4"</f>
        <v>DATA 4</v>
      </c>
      <c r="B272" s="127" t="s">
        <v>945</v>
      </c>
      <c r="C272" s="128" t="str">
        <f>BoardDataBusConfig!C48</f>
        <v>0x00141032</v>
      </c>
      <c r="D272" s="127" t="s">
        <v>907</v>
      </c>
    </row>
    <row r="273" spans="1:4" x14ac:dyDescent="0.3">
      <c r="A273" s="127" t="str">
        <f>IF('Register Configuration'!F19 = 2,"", "//") &amp; "DATA 4"</f>
        <v>DATA 4</v>
      </c>
      <c r="B273" s="127" t="s">
        <v>946</v>
      </c>
      <c r="C273" s="128" t="str">
        <f>BoardDataBusConfig!C49</f>
        <v>0x0013AAAA</v>
      </c>
      <c r="D273" s="127" t="s">
        <v>907</v>
      </c>
    </row>
    <row r="274" spans="1:4" x14ac:dyDescent="0.3">
      <c r="A274" s="127" t="s">
        <v>908</v>
      </c>
    </row>
    <row r="275" spans="1:4" x14ac:dyDescent="0.3">
      <c r="A275" s="127" t="str">
        <f>IF('Register Configuration'!F19 = 2,"", "//") &amp; "SET_BIT 4"</f>
        <v>SET_BIT 4</v>
      </c>
      <c r="B275" s="127" t="s">
        <v>947</v>
      </c>
      <c r="C275" s="129" t="s">
        <v>2061</v>
      </c>
      <c r="D275" s="127" t="s">
        <v>2062</v>
      </c>
    </row>
    <row r="276" spans="1:4" x14ac:dyDescent="0.3">
      <c r="A276" s="127" t="str">
        <f>IF('Register Configuration'!F19 = 2,"", "//") &amp; "DATA 4"</f>
        <v>DATA 4</v>
      </c>
      <c r="B276" s="127" t="s">
        <v>948</v>
      </c>
      <c r="C276" s="128" t="str">
        <f>'Register Configuration'!J309</f>
        <v>0x87001E00</v>
      </c>
      <c r="D276" s="127" t="s">
        <v>914</v>
      </c>
    </row>
    <row r="277" spans="1:4" x14ac:dyDescent="0.3">
      <c r="A277" s="127" t="str">
        <f>IF('Register Configuration'!F19 = 2,"", "//") &amp; "DATA 4"</f>
        <v>DATA 4</v>
      </c>
      <c r="B277" s="127" t="s">
        <v>949</v>
      </c>
      <c r="C277" s="128" t="str">
        <f>'Register Configuration'!J316</f>
        <v>0x00F0D879</v>
      </c>
      <c r="D277" s="127" t="s">
        <v>1852</v>
      </c>
    </row>
    <row r="278" spans="1:4" x14ac:dyDescent="0.3">
      <c r="A278" s="127" t="str">
        <f>IF('Register Configuration'!F19 = 2,"", "//") &amp; "DATA 4"</f>
        <v>DATA 4</v>
      </c>
      <c r="B278" s="127" t="s">
        <v>950</v>
      </c>
      <c r="C278" s="128" t="str">
        <f>'Register Configuration'!J325</f>
        <v>0x050A1080</v>
      </c>
      <c r="D278" s="127" t="s">
        <v>915</v>
      </c>
    </row>
    <row r="279" spans="1:4" x14ac:dyDescent="0.3">
      <c r="A279" s="127" t="s">
        <v>916</v>
      </c>
    </row>
    <row r="280" spans="1:4" x14ac:dyDescent="0.3">
      <c r="A280" s="127" t="str">
        <f>IF('Register Configuration'!F19 = 2,"", "//") &amp; "DATA 4"</f>
        <v>DATA 4</v>
      </c>
      <c r="B280" s="127" t="s">
        <v>951</v>
      </c>
      <c r="C280" s="128" t="str">
        <f>'Register Configuration'!J350</f>
        <v>0x64032010</v>
      </c>
      <c r="D280" s="127" t="s">
        <v>919</v>
      </c>
    </row>
    <row r="281" spans="1:4" x14ac:dyDescent="0.3">
      <c r="A281" s="127" t="str">
        <f>IF('Register Configuration'!F19 = 2,"", "//") &amp; "DATA 4"</f>
        <v>DATA 4</v>
      </c>
      <c r="B281" s="127" t="s">
        <v>952</v>
      </c>
      <c r="C281" s="128" t="str">
        <f>'Register Configuration'!J357</f>
        <v>0x4E201C20</v>
      </c>
      <c r="D281" s="127" t="s">
        <v>1828</v>
      </c>
    </row>
    <row r="282" spans="1:4" x14ac:dyDescent="0.3">
      <c r="A282" s="127" t="s">
        <v>920</v>
      </c>
    </row>
    <row r="283" spans="1:4" x14ac:dyDescent="0.3">
      <c r="A283" s="127" t="str">
        <f>IF('Register Configuration'!F19 = 2,"", "//") &amp; "DATA 4"</f>
        <v>DATA 4</v>
      </c>
      <c r="B283" s="127" t="s">
        <v>953</v>
      </c>
      <c r="C283" s="128" t="str">
        <f>'Register Configuration'!J362</f>
        <v>0x801C0000</v>
      </c>
    </row>
    <row r="284" spans="1:4" x14ac:dyDescent="0.3">
      <c r="A284" s="127" t="str">
        <f>IF('Register Configuration'!F19 = 2,"", "//") &amp; "DATA 4"</f>
        <v>DATA 4</v>
      </c>
      <c r="B284" s="127" t="s">
        <v>954</v>
      </c>
      <c r="C284" s="128" t="str">
        <f>'Register Configuration'!J362</f>
        <v>0x801C0000</v>
      </c>
    </row>
    <row r="285" spans="1:4" x14ac:dyDescent="0.3">
      <c r="A285" s="127" t="s">
        <v>921</v>
      </c>
    </row>
    <row r="286" spans="1:4" x14ac:dyDescent="0.3">
      <c r="A286" s="127" t="str">
        <f>IF('Register Configuration'!F19 = 2,"", "//") &amp; "DATA 4"</f>
        <v>DATA 4</v>
      </c>
      <c r="B286" s="127" t="s">
        <v>955</v>
      </c>
      <c r="C286" s="128" t="str">
        <f>'Register Configuration'!J377</f>
        <v>0x008C2C58</v>
      </c>
      <c r="D286" s="127" t="s">
        <v>931</v>
      </c>
    </row>
    <row r="287" spans="1:4" x14ac:dyDescent="0.3">
      <c r="A287" s="127" t="s">
        <v>922</v>
      </c>
    </row>
    <row r="288" spans="1:4" x14ac:dyDescent="0.3">
      <c r="A288" s="127" t="str">
        <f>IF('Register Configuration'!F19 = 2,"", "//") &amp; "DATA 4"</f>
        <v>DATA 4</v>
      </c>
      <c r="B288" s="127" t="s">
        <v>956</v>
      </c>
      <c r="C288" s="128" t="str">
        <f>'Register Configuration'!J592</f>
        <v>0x0001B9BB</v>
      </c>
      <c r="D288" s="127" t="s">
        <v>1890</v>
      </c>
    </row>
    <row r="289" spans="1:9" x14ac:dyDescent="0.3">
      <c r="A289" s="127" t="str">
        <f>IF('Register Configuration'!F19 = 2,"", "//") &amp; "DATA 4"</f>
        <v>DATA 4</v>
      </c>
      <c r="B289" s="127" t="s">
        <v>957</v>
      </c>
      <c r="C289" s="128" t="str">
        <f>'Register Configuration'!J599</f>
        <v>0x0001B9BB</v>
      </c>
      <c r="D289" s="127" t="s">
        <v>1891</v>
      </c>
    </row>
    <row r="290" spans="1:9" x14ac:dyDescent="0.3">
      <c r="C290" s="129"/>
    </row>
    <row r="291" spans="1:9" x14ac:dyDescent="0.3">
      <c r="C291" s="129"/>
    </row>
    <row r="292" spans="1:9" x14ac:dyDescent="0.3">
      <c r="A292" s="127" t="s">
        <v>887</v>
      </c>
    </row>
    <row r="293" spans="1:9" x14ac:dyDescent="0.3">
      <c r="A293" s="127" t="s">
        <v>2100</v>
      </c>
    </row>
    <row r="294" spans="1:9" x14ac:dyDescent="0.3">
      <c r="A294" s="127" t="s">
        <v>1232</v>
      </c>
    </row>
    <row r="295" spans="1:9" s="127" customFormat="1" x14ac:dyDescent="0.3">
      <c r="A295" s="127" t="s">
        <v>786</v>
      </c>
      <c r="B295" s="127" t="s">
        <v>925</v>
      </c>
      <c r="C295" s="127" t="s">
        <v>2101</v>
      </c>
      <c r="E295"/>
      <c r="F295"/>
      <c r="G295"/>
      <c r="H295"/>
      <c r="I295"/>
    </row>
    <row r="296" spans="1:9" s="127" customFormat="1" x14ac:dyDescent="0.3">
      <c r="A296" s="127" t="s">
        <v>786</v>
      </c>
      <c r="B296" s="127" t="s">
        <v>925</v>
      </c>
      <c r="C296" s="127" t="s">
        <v>2102</v>
      </c>
      <c r="E296"/>
      <c r="F296"/>
      <c r="G296"/>
      <c r="H296"/>
      <c r="I296"/>
    </row>
    <row r="297" spans="1:9" x14ac:dyDescent="0.3">
      <c r="A297" s="127" t="str">
        <f>IF('Register Configuration'!F19 = 2,"", "//") &amp; "DATA 4"</f>
        <v>DATA 4</v>
      </c>
      <c r="B297" s="127" t="s">
        <v>958</v>
      </c>
      <c r="C297" s="127" t="s">
        <v>2101</v>
      </c>
    </row>
    <row r="298" spans="1:9" x14ac:dyDescent="0.3">
      <c r="A298" s="127" t="str">
        <f>IF('Register Configuration'!F19 = 2,"", "//") &amp; "DATA 4"</f>
        <v>DATA 4</v>
      </c>
      <c r="B298" s="127" t="s">
        <v>958</v>
      </c>
      <c r="C298" s="127" t="s">
        <v>2102</v>
      </c>
    </row>
    <row r="300" spans="1:9" x14ac:dyDescent="0.3">
      <c r="A300" s="127" t="s">
        <v>2103</v>
      </c>
    </row>
    <row r="301" spans="1:9" x14ac:dyDescent="0.3">
      <c r="A301" s="127" t="s">
        <v>1086</v>
      </c>
      <c r="B301" s="127" t="s">
        <v>1088</v>
      </c>
      <c r="C301" s="127" t="s">
        <v>785</v>
      </c>
    </row>
    <row r="302" spans="1:9" x14ac:dyDescent="0.3">
      <c r="A302" s="127" t="str">
        <f>IF('Register Configuration'!F19 = 2,"", "//") &amp; "CHECK_BITS_SET 4 "</f>
        <v xml:space="preserve">CHECK_BITS_SET 4 </v>
      </c>
      <c r="B302" s="127" t="s">
        <v>1090</v>
      </c>
      <c r="C302" s="127" t="s">
        <v>785</v>
      </c>
    </row>
    <row r="303" spans="1:9" x14ac:dyDescent="0.3">
      <c r="C303" s="129"/>
    </row>
    <row r="304" spans="1:9" x14ac:dyDescent="0.3">
      <c r="C304" s="129"/>
    </row>
    <row r="305" spans="1:16384" x14ac:dyDescent="0.3">
      <c r="A305" s="127" t="s">
        <v>887</v>
      </c>
    </row>
    <row r="306" spans="1:16384" x14ac:dyDescent="0.3">
      <c r="A306" s="127" t="s">
        <v>2087</v>
      </c>
    </row>
    <row r="307" spans="1:16384" x14ac:dyDescent="0.3">
      <c r="A307" s="127" t="s">
        <v>1232</v>
      </c>
    </row>
    <row r="308" spans="1:16384" x14ac:dyDescent="0.3">
      <c r="A308" s="127" t="s">
        <v>2088</v>
      </c>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c r="AH308" s="127"/>
      <c r="AI308" s="127"/>
      <c r="AJ308" s="127"/>
      <c r="AK308" s="127"/>
      <c r="AL308" s="127"/>
      <c r="AM308" s="127"/>
      <c r="AN308" s="127"/>
      <c r="AO308" s="127"/>
      <c r="AP308" s="127"/>
      <c r="AQ308" s="127"/>
      <c r="AR308" s="127"/>
      <c r="AS308" s="127"/>
      <c r="AT308" s="127"/>
      <c r="AU308" s="127"/>
      <c r="AV308" s="127"/>
      <c r="AW308" s="127"/>
      <c r="AX308" s="127"/>
      <c r="AY308" s="127"/>
      <c r="AZ308" s="127"/>
      <c r="BA308" s="127"/>
      <c r="BB308" s="127"/>
      <c r="BC308" s="127"/>
      <c r="BD308" s="127"/>
      <c r="BE308" s="127"/>
      <c r="BF308" s="127"/>
      <c r="BG308" s="127"/>
      <c r="BH308" s="127"/>
      <c r="BI308" s="127"/>
      <c r="BJ308" s="127"/>
      <c r="BK308" s="127"/>
      <c r="BL308" s="127"/>
      <c r="BM308" s="127"/>
      <c r="BN308" s="127"/>
      <c r="BO308" s="127"/>
      <c r="BP308" s="127"/>
      <c r="BQ308" s="127"/>
      <c r="BR308" s="127"/>
      <c r="BS308" s="127"/>
      <c r="BT308" s="127"/>
      <c r="BU308" s="127"/>
      <c r="BV308" s="127"/>
      <c r="BW308" s="127"/>
      <c r="BX308" s="127"/>
      <c r="BY308" s="127"/>
      <c r="BZ308" s="127"/>
      <c r="CA308" s="127"/>
      <c r="CB308" s="127"/>
      <c r="CC308" s="127"/>
      <c r="CD308" s="127"/>
      <c r="CE308" s="127"/>
      <c r="CF308" s="127"/>
      <c r="CG308" s="127"/>
      <c r="CH308" s="127"/>
      <c r="CI308" s="127"/>
      <c r="CJ308" s="127"/>
      <c r="CK308" s="127"/>
      <c r="CL308" s="127"/>
      <c r="CM308" s="127"/>
      <c r="CN308" s="127"/>
      <c r="CO308" s="127"/>
      <c r="CP308" s="127"/>
      <c r="CQ308" s="127"/>
      <c r="CR308" s="127"/>
      <c r="CS308" s="127"/>
      <c r="CT308" s="127"/>
      <c r="CU308" s="127"/>
      <c r="CV308" s="127"/>
      <c r="CW308" s="127"/>
      <c r="CX308" s="127"/>
      <c r="CY308" s="127"/>
      <c r="CZ308" s="127"/>
      <c r="DA308" s="127"/>
      <c r="DB308" s="127"/>
      <c r="DC308" s="127"/>
      <c r="DD308" s="127"/>
      <c r="DE308" s="127"/>
      <c r="DF308" s="127"/>
      <c r="DG308" s="127"/>
      <c r="DH308" s="127"/>
      <c r="DI308" s="127"/>
      <c r="DJ308" s="127"/>
      <c r="DK308" s="127"/>
      <c r="DL308" s="127"/>
      <c r="DM308" s="127"/>
      <c r="DN308" s="127"/>
      <c r="DO308" s="127"/>
      <c r="DP308" s="127"/>
      <c r="DQ308" s="127"/>
      <c r="DR308" s="127"/>
      <c r="DS308" s="127"/>
      <c r="DT308" s="127"/>
      <c r="DU308" s="127"/>
      <c r="DV308" s="127"/>
      <c r="DW308" s="127"/>
      <c r="DX308" s="127"/>
      <c r="DY308" s="127"/>
      <c r="DZ308" s="127"/>
      <c r="EA308" s="127"/>
      <c r="EB308" s="127"/>
      <c r="EC308" s="127"/>
      <c r="ED308" s="127"/>
      <c r="EE308" s="127"/>
      <c r="EF308" s="127"/>
      <c r="EG308" s="127"/>
      <c r="EH308" s="127"/>
      <c r="EI308" s="127"/>
      <c r="EJ308" s="127"/>
      <c r="EK308" s="127"/>
      <c r="EL308" s="127"/>
      <c r="EM308" s="127"/>
      <c r="EN308" s="127"/>
      <c r="EO308" s="127"/>
      <c r="EP308" s="127"/>
      <c r="EQ308" s="127"/>
      <c r="ER308" s="127"/>
      <c r="ES308" s="127"/>
      <c r="ET308" s="127"/>
      <c r="EU308" s="127"/>
      <c r="EV308" s="127"/>
      <c r="EW308" s="127"/>
      <c r="EX308" s="127"/>
      <c r="EY308" s="127"/>
      <c r="EZ308" s="127"/>
      <c r="FA308" s="127"/>
      <c r="FB308" s="127"/>
      <c r="FC308" s="127"/>
      <c r="FD308" s="127"/>
      <c r="FE308" s="127"/>
      <c r="FF308" s="127"/>
      <c r="FG308" s="127"/>
      <c r="FH308" s="127"/>
      <c r="FI308" s="127"/>
      <c r="FJ308" s="127"/>
      <c r="FK308" s="127"/>
      <c r="FL308" s="127"/>
      <c r="FM308" s="127"/>
      <c r="FN308" s="127"/>
      <c r="FO308" s="127"/>
      <c r="FP308" s="127"/>
      <c r="FQ308" s="127"/>
      <c r="FR308" s="127"/>
      <c r="FS308" s="127"/>
      <c r="FT308" s="127"/>
      <c r="FU308" s="127"/>
      <c r="FV308" s="127"/>
      <c r="FW308" s="127"/>
      <c r="FX308" s="127"/>
      <c r="FY308" s="127"/>
      <c r="FZ308" s="127"/>
      <c r="GA308" s="127"/>
      <c r="GB308" s="127"/>
      <c r="GC308" s="127"/>
      <c r="GD308" s="127"/>
      <c r="GE308" s="127"/>
      <c r="GF308" s="127"/>
      <c r="GG308" s="127"/>
      <c r="GH308" s="127"/>
      <c r="GI308" s="127"/>
      <c r="GJ308" s="127"/>
      <c r="GK308" s="127"/>
      <c r="GL308" s="127"/>
      <c r="GM308" s="127"/>
      <c r="GN308" s="127"/>
      <c r="GO308" s="127"/>
      <c r="GP308" s="127"/>
      <c r="GQ308" s="127"/>
      <c r="GR308" s="127"/>
      <c r="GS308" s="127"/>
      <c r="GT308" s="127"/>
      <c r="GU308" s="127"/>
      <c r="GV308" s="127"/>
      <c r="GW308" s="127"/>
      <c r="GX308" s="127"/>
      <c r="GY308" s="127"/>
      <c r="GZ308" s="127"/>
      <c r="HA308" s="127"/>
      <c r="HB308" s="127"/>
      <c r="HC308" s="127"/>
      <c r="HD308" s="127"/>
      <c r="HE308" s="127"/>
      <c r="HF308" s="127"/>
      <c r="HG308" s="127"/>
      <c r="HH308" s="127"/>
      <c r="HI308" s="127"/>
      <c r="HJ308" s="127"/>
      <c r="HK308" s="127"/>
      <c r="HL308" s="127"/>
      <c r="HM308" s="127"/>
      <c r="HN308" s="127"/>
      <c r="HO308" s="127"/>
      <c r="HP308" s="127"/>
      <c r="HQ308" s="127"/>
      <c r="HR308" s="127"/>
      <c r="HS308" s="127"/>
      <c r="HT308" s="127"/>
      <c r="HU308" s="127"/>
      <c r="HV308" s="127"/>
      <c r="HW308" s="127"/>
      <c r="HX308" s="127"/>
      <c r="HY308" s="127"/>
      <c r="HZ308" s="127"/>
      <c r="IA308" s="127"/>
      <c r="IB308" s="127"/>
      <c r="IC308" s="127"/>
      <c r="ID308" s="127"/>
      <c r="IE308" s="127"/>
      <c r="IF308" s="127"/>
      <c r="IG308" s="127"/>
      <c r="IH308" s="127"/>
      <c r="II308" s="127"/>
      <c r="IJ308" s="127"/>
      <c r="IK308" s="127"/>
      <c r="IL308" s="127"/>
      <c r="IM308" s="127"/>
      <c r="IN308" s="127"/>
      <c r="IO308" s="127"/>
      <c r="IP308" s="127"/>
      <c r="IQ308" s="127"/>
      <c r="IR308" s="127"/>
      <c r="IS308" s="127"/>
      <c r="IT308" s="127"/>
      <c r="IU308" s="127"/>
      <c r="IV308" s="127"/>
      <c r="IW308" s="127"/>
      <c r="IX308" s="127"/>
      <c r="IY308" s="127"/>
      <c r="IZ308" s="127"/>
      <c r="JA308" s="127"/>
      <c r="JB308" s="127"/>
      <c r="JC308" s="127"/>
      <c r="JD308" s="127"/>
      <c r="JE308" s="127"/>
      <c r="JF308" s="127"/>
      <c r="JG308" s="127"/>
      <c r="JH308" s="127"/>
      <c r="JI308" s="127"/>
      <c r="JJ308" s="127"/>
      <c r="JK308" s="127"/>
      <c r="JL308" s="127"/>
      <c r="JM308" s="127"/>
      <c r="JN308" s="127"/>
      <c r="JO308" s="127"/>
      <c r="JP308" s="127"/>
      <c r="JQ308" s="127"/>
      <c r="JR308" s="127"/>
      <c r="JS308" s="127"/>
      <c r="JT308" s="127"/>
      <c r="JU308" s="127"/>
      <c r="JV308" s="127"/>
      <c r="JW308" s="127"/>
      <c r="JX308" s="127"/>
      <c r="JY308" s="127"/>
      <c r="JZ308" s="127"/>
      <c r="KA308" s="127"/>
      <c r="KB308" s="127"/>
      <c r="KC308" s="127"/>
      <c r="KD308" s="127"/>
      <c r="KE308" s="127"/>
      <c r="KF308" s="127"/>
      <c r="KG308" s="127"/>
      <c r="KH308" s="127"/>
      <c r="KI308" s="127"/>
      <c r="KJ308" s="127"/>
      <c r="KK308" s="127"/>
      <c r="KL308" s="127"/>
      <c r="KM308" s="127"/>
      <c r="KN308" s="127"/>
      <c r="KO308" s="127"/>
      <c r="KP308" s="127"/>
      <c r="KQ308" s="127"/>
      <c r="KR308" s="127"/>
      <c r="KS308" s="127"/>
      <c r="KT308" s="127"/>
      <c r="KU308" s="127"/>
      <c r="KV308" s="127"/>
      <c r="KW308" s="127"/>
      <c r="KX308" s="127"/>
      <c r="KY308" s="127"/>
      <c r="KZ308" s="127"/>
      <c r="LA308" s="127"/>
      <c r="LB308" s="127"/>
      <c r="LC308" s="127"/>
      <c r="LD308" s="127"/>
      <c r="LE308" s="127"/>
      <c r="LF308" s="127"/>
      <c r="LG308" s="127"/>
      <c r="LH308" s="127"/>
      <c r="LI308" s="127"/>
      <c r="LJ308" s="127"/>
      <c r="LK308" s="127"/>
      <c r="LL308" s="127"/>
      <c r="LM308" s="127"/>
      <c r="LN308" s="127"/>
      <c r="LO308" s="127"/>
      <c r="LP308" s="127"/>
      <c r="LQ308" s="127"/>
      <c r="LR308" s="127"/>
      <c r="LS308" s="127"/>
      <c r="LT308" s="127"/>
      <c r="LU308" s="127"/>
      <c r="LV308" s="127"/>
      <c r="LW308" s="127"/>
      <c r="LX308" s="127"/>
      <c r="LY308" s="127"/>
      <c r="LZ308" s="127"/>
      <c r="MA308" s="127"/>
      <c r="MB308" s="127"/>
      <c r="MC308" s="127"/>
      <c r="MD308" s="127"/>
      <c r="ME308" s="127"/>
      <c r="MF308" s="127"/>
      <c r="MG308" s="127"/>
      <c r="MH308" s="127"/>
      <c r="MI308" s="127"/>
      <c r="MJ308" s="127"/>
      <c r="MK308" s="127"/>
      <c r="ML308" s="127"/>
      <c r="MM308" s="127"/>
      <c r="MN308" s="127"/>
      <c r="MO308" s="127"/>
      <c r="MP308" s="127"/>
      <c r="MQ308" s="127"/>
      <c r="MR308" s="127"/>
      <c r="MS308" s="127"/>
      <c r="MT308" s="127"/>
      <c r="MU308" s="127"/>
      <c r="MV308" s="127"/>
      <c r="MW308" s="127"/>
      <c r="MX308" s="127"/>
      <c r="MY308" s="127"/>
      <c r="MZ308" s="127"/>
      <c r="NA308" s="127"/>
      <c r="NB308" s="127"/>
      <c r="NC308" s="127"/>
      <c r="ND308" s="127"/>
      <c r="NE308" s="127"/>
      <c r="NF308" s="127"/>
      <c r="NG308" s="127"/>
      <c r="NH308" s="127"/>
      <c r="NI308" s="127"/>
      <c r="NJ308" s="127"/>
      <c r="NK308" s="127"/>
      <c r="NL308" s="127"/>
      <c r="NM308" s="127"/>
      <c r="NN308" s="127"/>
      <c r="NO308" s="127"/>
      <c r="NP308" s="127"/>
      <c r="NQ308" s="127"/>
      <c r="NR308" s="127"/>
      <c r="NS308" s="127"/>
      <c r="NT308" s="127"/>
      <c r="NU308" s="127"/>
      <c r="NV308" s="127"/>
      <c r="NW308" s="127"/>
      <c r="NX308" s="127"/>
      <c r="NY308" s="127"/>
      <c r="NZ308" s="127"/>
      <c r="OA308" s="127"/>
      <c r="OB308" s="127"/>
      <c r="OC308" s="127"/>
      <c r="OD308" s="127"/>
      <c r="OE308" s="127"/>
      <c r="OF308" s="127"/>
      <c r="OG308" s="127"/>
      <c r="OH308" s="127"/>
      <c r="OI308" s="127"/>
      <c r="OJ308" s="127"/>
      <c r="OK308" s="127"/>
      <c r="OL308" s="127"/>
      <c r="OM308" s="127"/>
      <c r="ON308" s="127"/>
      <c r="OO308" s="127"/>
      <c r="OP308" s="127"/>
      <c r="OQ308" s="127"/>
      <c r="OR308" s="127"/>
      <c r="OS308" s="127"/>
      <c r="OT308" s="127"/>
      <c r="OU308" s="127"/>
      <c r="OV308" s="127"/>
      <c r="OW308" s="127"/>
      <c r="OX308" s="127"/>
      <c r="OY308" s="127"/>
      <c r="OZ308" s="127"/>
      <c r="PA308" s="127"/>
      <c r="PB308" s="127"/>
      <c r="PC308" s="127"/>
      <c r="PD308" s="127"/>
      <c r="PE308" s="127"/>
      <c r="PF308" s="127"/>
      <c r="PG308" s="127"/>
      <c r="PH308" s="127"/>
      <c r="PI308" s="127"/>
      <c r="PJ308" s="127"/>
      <c r="PK308" s="127"/>
      <c r="PL308" s="127"/>
      <c r="PM308" s="127"/>
      <c r="PN308" s="127"/>
      <c r="PO308" s="127"/>
      <c r="PP308" s="127"/>
      <c r="PQ308" s="127"/>
      <c r="PR308" s="127"/>
      <c r="PS308" s="127"/>
      <c r="PT308" s="127"/>
      <c r="PU308" s="127"/>
      <c r="PV308" s="127"/>
      <c r="PW308" s="127"/>
      <c r="PX308" s="127"/>
      <c r="PY308" s="127"/>
      <c r="PZ308" s="127"/>
      <c r="QA308" s="127"/>
      <c r="QB308" s="127"/>
      <c r="QC308" s="127"/>
      <c r="QD308" s="127"/>
      <c r="QE308" s="127"/>
      <c r="QF308" s="127"/>
      <c r="QG308" s="127"/>
      <c r="QH308" s="127"/>
      <c r="QI308" s="127"/>
      <c r="QJ308" s="127"/>
      <c r="QK308" s="127"/>
      <c r="QL308" s="127"/>
      <c r="QM308" s="127"/>
      <c r="QN308" s="127"/>
      <c r="QO308" s="127"/>
      <c r="QP308" s="127"/>
      <c r="QQ308" s="127"/>
      <c r="QR308" s="127"/>
      <c r="QS308" s="127"/>
      <c r="QT308" s="127"/>
      <c r="QU308" s="127"/>
      <c r="QV308" s="127"/>
      <c r="QW308" s="127"/>
      <c r="QX308" s="127"/>
      <c r="QY308" s="127"/>
      <c r="QZ308" s="127"/>
      <c r="RA308" s="127"/>
      <c r="RB308" s="127"/>
      <c r="RC308" s="127"/>
      <c r="RD308" s="127"/>
      <c r="RE308" s="127"/>
      <c r="RF308" s="127"/>
      <c r="RG308" s="127"/>
      <c r="RH308" s="127"/>
      <c r="RI308" s="127"/>
      <c r="RJ308" s="127"/>
      <c r="RK308" s="127"/>
      <c r="RL308" s="127"/>
      <c r="RM308" s="127"/>
      <c r="RN308" s="127"/>
      <c r="RO308" s="127"/>
      <c r="RP308" s="127"/>
      <c r="RQ308" s="127"/>
      <c r="RR308" s="127"/>
      <c r="RS308" s="127"/>
      <c r="RT308" s="127"/>
      <c r="RU308" s="127"/>
      <c r="RV308" s="127"/>
      <c r="RW308" s="127"/>
      <c r="RX308" s="127"/>
      <c r="RY308" s="127"/>
      <c r="RZ308" s="127"/>
      <c r="SA308" s="127"/>
      <c r="SB308" s="127"/>
      <c r="SC308" s="127"/>
      <c r="SD308" s="127"/>
      <c r="SE308" s="127"/>
      <c r="SF308" s="127"/>
      <c r="SG308" s="127"/>
      <c r="SH308" s="127"/>
      <c r="SI308" s="127"/>
      <c r="SJ308" s="127"/>
      <c r="SK308" s="127"/>
      <c r="SL308" s="127"/>
      <c r="SM308" s="127"/>
      <c r="SN308" s="127"/>
      <c r="SO308" s="127"/>
      <c r="SP308" s="127"/>
      <c r="SQ308" s="127"/>
      <c r="SR308" s="127"/>
      <c r="SS308" s="127"/>
      <c r="ST308" s="127"/>
      <c r="SU308" s="127"/>
      <c r="SV308" s="127"/>
      <c r="SW308" s="127"/>
      <c r="SX308" s="127"/>
      <c r="SY308" s="127"/>
      <c r="SZ308" s="127"/>
      <c r="TA308" s="127"/>
      <c r="TB308" s="127"/>
      <c r="TC308" s="127"/>
      <c r="TD308" s="127"/>
      <c r="TE308" s="127"/>
      <c r="TF308" s="127"/>
      <c r="TG308" s="127"/>
      <c r="TH308" s="127"/>
      <c r="TI308" s="127"/>
      <c r="TJ308" s="127"/>
      <c r="TK308" s="127"/>
      <c r="TL308" s="127"/>
      <c r="TM308" s="127"/>
      <c r="TN308" s="127"/>
      <c r="TO308" s="127"/>
      <c r="TP308" s="127"/>
      <c r="TQ308" s="127"/>
      <c r="TR308" s="127"/>
      <c r="TS308" s="127"/>
      <c r="TT308" s="127"/>
      <c r="TU308" s="127"/>
      <c r="TV308" s="127"/>
      <c r="TW308" s="127"/>
      <c r="TX308" s="127"/>
      <c r="TY308" s="127"/>
      <c r="TZ308" s="127"/>
      <c r="UA308" s="127"/>
      <c r="UB308" s="127"/>
      <c r="UC308" s="127"/>
      <c r="UD308" s="127"/>
      <c r="UE308" s="127"/>
      <c r="UF308" s="127"/>
      <c r="UG308" s="127"/>
      <c r="UH308" s="127"/>
      <c r="UI308" s="127"/>
      <c r="UJ308" s="127"/>
      <c r="UK308" s="127"/>
      <c r="UL308" s="127"/>
      <c r="UM308" s="127"/>
      <c r="UN308" s="127"/>
      <c r="UO308" s="127"/>
      <c r="UP308" s="127"/>
      <c r="UQ308" s="127"/>
      <c r="UR308" s="127"/>
      <c r="US308" s="127"/>
      <c r="UT308" s="127"/>
      <c r="UU308" s="127"/>
      <c r="UV308" s="127"/>
      <c r="UW308" s="127"/>
      <c r="UX308" s="127"/>
      <c r="UY308" s="127"/>
      <c r="UZ308" s="127"/>
      <c r="VA308" s="127"/>
      <c r="VB308" s="127"/>
      <c r="VC308" s="127"/>
      <c r="VD308" s="127"/>
      <c r="VE308" s="127"/>
      <c r="VF308" s="127"/>
      <c r="VG308" s="127"/>
      <c r="VH308" s="127"/>
      <c r="VI308" s="127"/>
      <c r="VJ308" s="127"/>
      <c r="VK308" s="127"/>
      <c r="VL308" s="127"/>
      <c r="VM308" s="127"/>
      <c r="VN308" s="127"/>
      <c r="VO308" s="127"/>
      <c r="VP308" s="127"/>
      <c r="VQ308" s="127"/>
      <c r="VR308" s="127"/>
      <c r="VS308" s="127"/>
      <c r="VT308" s="127"/>
      <c r="VU308" s="127"/>
      <c r="VV308" s="127"/>
      <c r="VW308" s="127"/>
      <c r="VX308" s="127"/>
      <c r="VY308" s="127"/>
      <c r="VZ308" s="127"/>
      <c r="WA308" s="127"/>
      <c r="WB308" s="127"/>
      <c r="WC308" s="127"/>
      <c r="WD308" s="127"/>
      <c r="WE308" s="127"/>
      <c r="WF308" s="127"/>
      <c r="WG308" s="127"/>
      <c r="WH308" s="127"/>
      <c r="WI308" s="127"/>
      <c r="WJ308" s="127"/>
      <c r="WK308" s="127"/>
      <c r="WL308" s="127"/>
      <c r="WM308" s="127"/>
      <c r="WN308" s="127"/>
      <c r="WO308" s="127"/>
      <c r="WP308" s="127"/>
      <c r="WQ308" s="127"/>
      <c r="WR308" s="127"/>
      <c r="WS308" s="127"/>
      <c r="WT308" s="127"/>
      <c r="WU308" s="127"/>
      <c r="WV308" s="127"/>
      <c r="WW308" s="127"/>
      <c r="WX308" s="127"/>
      <c r="WY308" s="127"/>
      <c r="WZ308" s="127"/>
      <c r="XA308" s="127"/>
      <c r="XB308" s="127"/>
      <c r="XC308" s="127"/>
      <c r="XD308" s="127"/>
      <c r="XE308" s="127"/>
      <c r="XF308" s="127"/>
      <c r="XG308" s="127"/>
      <c r="XH308" s="127"/>
      <c r="XI308" s="127"/>
      <c r="XJ308" s="127"/>
      <c r="XK308" s="127"/>
      <c r="XL308" s="127"/>
      <c r="XM308" s="127"/>
      <c r="XN308" s="127"/>
      <c r="XO308" s="127"/>
      <c r="XP308" s="127"/>
      <c r="XQ308" s="127"/>
      <c r="XR308" s="127"/>
      <c r="XS308" s="127"/>
      <c r="XT308" s="127"/>
      <c r="XU308" s="127"/>
      <c r="XV308" s="127"/>
      <c r="XW308" s="127"/>
      <c r="XX308" s="127"/>
      <c r="XY308" s="127"/>
      <c r="XZ308" s="127"/>
      <c r="YA308" s="127"/>
      <c r="YB308" s="127"/>
      <c r="YC308" s="127"/>
      <c r="YD308" s="127"/>
      <c r="YE308" s="127"/>
      <c r="YF308" s="127"/>
      <c r="YG308" s="127"/>
      <c r="YH308" s="127"/>
      <c r="YI308" s="127"/>
      <c r="YJ308" s="127"/>
      <c r="YK308" s="127"/>
      <c r="YL308" s="127"/>
      <c r="YM308" s="127"/>
      <c r="YN308" s="127"/>
      <c r="YO308" s="127"/>
      <c r="YP308" s="127"/>
      <c r="YQ308" s="127"/>
      <c r="YR308" s="127"/>
      <c r="YS308" s="127"/>
      <c r="YT308" s="127"/>
      <c r="YU308" s="127"/>
      <c r="YV308" s="127"/>
      <c r="YW308" s="127"/>
      <c r="YX308" s="127"/>
      <c r="YY308" s="127"/>
      <c r="YZ308" s="127"/>
      <c r="ZA308" s="127"/>
      <c r="ZB308" s="127"/>
      <c r="ZC308" s="127"/>
      <c r="ZD308" s="127"/>
      <c r="ZE308" s="127"/>
      <c r="ZF308" s="127"/>
      <c r="ZG308" s="127"/>
      <c r="ZH308" s="127"/>
      <c r="ZI308" s="127"/>
      <c r="ZJ308" s="127"/>
      <c r="ZK308" s="127"/>
      <c r="ZL308" s="127"/>
      <c r="ZM308" s="127"/>
      <c r="ZN308" s="127"/>
      <c r="ZO308" s="127"/>
      <c r="ZP308" s="127"/>
      <c r="ZQ308" s="127"/>
      <c r="ZR308" s="127"/>
      <c r="ZS308" s="127"/>
      <c r="ZT308" s="127"/>
      <c r="ZU308" s="127"/>
      <c r="ZV308" s="127"/>
      <c r="ZW308" s="127"/>
      <c r="ZX308" s="127"/>
      <c r="ZY308" s="127"/>
      <c r="ZZ308" s="127"/>
      <c r="AAA308" s="127"/>
      <c r="AAB308" s="127"/>
      <c r="AAC308" s="127"/>
      <c r="AAD308" s="127"/>
      <c r="AAE308" s="127"/>
      <c r="AAF308" s="127"/>
      <c r="AAG308" s="127"/>
      <c r="AAH308" s="127"/>
      <c r="AAI308" s="127"/>
      <c r="AAJ308" s="127"/>
      <c r="AAK308" s="127"/>
      <c r="AAL308" s="127"/>
      <c r="AAM308" s="127"/>
      <c r="AAN308" s="127"/>
      <c r="AAO308" s="127"/>
      <c r="AAP308" s="127"/>
      <c r="AAQ308" s="127"/>
      <c r="AAR308" s="127"/>
      <c r="AAS308" s="127"/>
      <c r="AAT308" s="127"/>
      <c r="AAU308" s="127"/>
      <c r="AAV308" s="127"/>
      <c r="AAW308" s="127"/>
      <c r="AAX308" s="127"/>
      <c r="AAY308" s="127"/>
      <c r="AAZ308" s="127"/>
      <c r="ABA308" s="127"/>
      <c r="ABB308" s="127"/>
      <c r="ABC308" s="127"/>
      <c r="ABD308" s="127"/>
      <c r="ABE308" s="127"/>
      <c r="ABF308" s="127"/>
      <c r="ABG308" s="127"/>
      <c r="ABH308" s="127"/>
      <c r="ABI308" s="127"/>
      <c r="ABJ308" s="127"/>
      <c r="ABK308" s="127"/>
      <c r="ABL308" s="127"/>
      <c r="ABM308" s="127"/>
      <c r="ABN308" s="127"/>
      <c r="ABO308" s="127"/>
      <c r="ABP308" s="127"/>
      <c r="ABQ308" s="127"/>
      <c r="ABR308" s="127"/>
      <c r="ABS308" s="127"/>
      <c r="ABT308" s="127"/>
      <c r="ABU308" s="127"/>
      <c r="ABV308" s="127"/>
      <c r="ABW308" s="127"/>
      <c r="ABX308" s="127"/>
      <c r="ABY308" s="127"/>
      <c r="ABZ308" s="127"/>
      <c r="ACA308" s="127"/>
      <c r="ACB308" s="127"/>
      <c r="ACC308" s="127"/>
      <c r="ACD308" s="127"/>
      <c r="ACE308" s="127"/>
      <c r="ACF308" s="127"/>
      <c r="ACG308" s="127"/>
      <c r="ACH308" s="127"/>
      <c r="ACI308" s="127"/>
      <c r="ACJ308" s="127"/>
      <c r="ACK308" s="127"/>
      <c r="ACL308" s="127"/>
      <c r="ACM308" s="127"/>
      <c r="ACN308" s="127"/>
      <c r="ACO308" s="127"/>
      <c r="ACP308" s="127"/>
      <c r="ACQ308" s="127"/>
      <c r="ACR308" s="127"/>
      <c r="ACS308" s="127"/>
      <c r="ACT308" s="127"/>
      <c r="ACU308" s="127"/>
      <c r="ACV308" s="127"/>
      <c r="ACW308" s="127"/>
      <c r="ACX308" s="127"/>
      <c r="ACY308" s="127"/>
      <c r="ACZ308" s="127"/>
      <c r="ADA308" s="127"/>
      <c r="ADB308" s="127"/>
      <c r="ADC308" s="127"/>
      <c r="ADD308" s="127"/>
      <c r="ADE308" s="127"/>
      <c r="ADF308" s="127"/>
      <c r="ADG308" s="127"/>
      <c r="ADH308" s="127"/>
      <c r="ADI308" s="127"/>
      <c r="ADJ308" s="127"/>
      <c r="ADK308" s="127"/>
      <c r="ADL308" s="127"/>
      <c r="ADM308" s="127"/>
      <c r="ADN308" s="127"/>
      <c r="ADO308" s="127"/>
      <c r="ADP308" s="127"/>
      <c r="ADQ308" s="127"/>
      <c r="ADR308" s="127"/>
      <c r="ADS308" s="127"/>
      <c r="ADT308" s="127"/>
      <c r="ADU308" s="127"/>
      <c r="ADV308" s="127"/>
      <c r="ADW308" s="127"/>
      <c r="ADX308" s="127"/>
      <c r="ADY308" s="127"/>
      <c r="ADZ308" s="127"/>
      <c r="AEA308" s="127"/>
      <c r="AEB308" s="127"/>
      <c r="AEC308" s="127"/>
      <c r="AED308" s="127"/>
      <c r="AEE308" s="127"/>
      <c r="AEF308" s="127"/>
      <c r="AEG308" s="127"/>
      <c r="AEH308" s="127"/>
      <c r="AEI308" s="127"/>
      <c r="AEJ308" s="127"/>
      <c r="AEK308" s="127"/>
      <c r="AEL308" s="127"/>
      <c r="AEM308" s="127"/>
      <c r="AEN308" s="127"/>
      <c r="AEO308" s="127"/>
      <c r="AEP308" s="127"/>
      <c r="AEQ308" s="127"/>
      <c r="AER308" s="127"/>
      <c r="AES308" s="127"/>
      <c r="AET308" s="127"/>
      <c r="AEU308" s="127"/>
      <c r="AEV308" s="127"/>
      <c r="AEW308" s="127"/>
      <c r="AEX308" s="127"/>
      <c r="AEY308" s="127"/>
      <c r="AEZ308" s="127"/>
      <c r="AFA308" s="127"/>
      <c r="AFB308" s="127"/>
      <c r="AFC308" s="127"/>
      <c r="AFD308" s="127"/>
      <c r="AFE308" s="127"/>
      <c r="AFF308" s="127"/>
      <c r="AFG308" s="127"/>
      <c r="AFH308" s="127"/>
      <c r="AFI308" s="127"/>
      <c r="AFJ308" s="127"/>
      <c r="AFK308" s="127"/>
      <c r="AFL308" s="127"/>
      <c r="AFM308" s="127"/>
      <c r="AFN308" s="127"/>
      <c r="AFO308" s="127"/>
      <c r="AFP308" s="127"/>
      <c r="AFQ308" s="127"/>
      <c r="AFR308" s="127"/>
      <c r="AFS308" s="127"/>
      <c r="AFT308" s="127"/>
      <c r="AFU308" s="127"/>
      <c r="AFV308" s="127"/>
      <c r="AFW308" s="127"/>
      <c r="AFX308" s="127"/>
      <c r="AFY308" s="127"/>
      <c r="AFZ308" s="127"/>
      <c r="AGA308" s="127"/>
      <c r="AGB308" s="127"/>
      <c r="AGC308" s="127"/>
      <c r="AGD308" s="127"/>
      <c r="AGE308" s="127"/>
      <c r="AGF308" s="127"/>
      <c r="AGG308" s="127"/>
      <c r="AGH308" s="127"/>
      <c r="AGI308" s="127"/>
      <c r="AGJ308" s="127"/>
      <c r="AGK308" s="127"/>
      <c r="AGL308" s="127"/>
      <c r="AGM308" s="127"/>
      <c r="AGN308" s="127"/>
      <c r="AGO308" s="127"/>
      <c r="AGP308" s="127"/>
      <c r="AGQ308" s="127"/>
      <c r="AGR308" s="127"/>
      <c r="AGS308" s="127"/>
      <c r="AGT308" s="127"/>
      <c r="AGU308" s="127"/>
      <c r="AGV308" s="127"/>
      <c r="AGW308" s="127"/>
      <c r="AGX308" s="127"/>
      <c r="AGY308" s="127"/>
      <c r="AGZ308" s="127"/>
      <c r="AHA308" s="127"/>
      <c r="AHB308" s="127"/>
      <c r="AHC308" s="127"/>
      <c r="AHD308" s="127"/>
      <c r="AHE308" s="127"/>
      <c r="AHF308" s="127"/>
      <c r="AHG308" s="127"/>
      <c r="AHH308" s="127"/>
      <c r="AHI308" s="127"/>
      <c r="AHJ308" s="127"/>
      <c r="AHK308" s="127"/>
      <c r="AHL308" s="127"/>
      <c r="AHM308" s="127"/>
      <c r="AHN308" s="127"/>
      <c r="AHO308" s="127"/>
      <c r="AHP308" s="127"/>
      <c r="AHQ308" s="127"/>
      <c r="AHR308" s="127"/>
      <c r="AHS308" s="127"/>
      <c r="AHT308" s="127"/>
      <c r="AHU308" s="127"/>
      <c r="AHV308" s="127"/>
      <c r="AHW308" s="127"/>
      <c r="AHX308" s="127"/>
      <c r="AHY308" s="127"/>
      <c r="AHZ308" s="127"/>
      <c r="AIA308" s="127"/>
      <c r="AIB308" s="127"/>
      <c r="AIC308" s="127"/>
      <c r="AID308" s="127"/>
      <c r="AIE308" s="127"/>
      <c r="AIF308" s="127"/>
      <c r="AIG308" s="127"/>
      <c r="AIH308" s="127"/>
      <c r="AII308" s="127"/>
      <c r="AIJ308" s="127"/>
      <c r="AIK308" s="127"/>
      <c r="AIL308" s="127"/>
      <c r="AIM308" s="127"/>
      <c r="AIN308" s="127"/>
      <c r="AIO308" s="127"/>
      <c r="AIP308" s="127"/>
      <c r="AIQ308" s="127"/>
      <c r="AIR308" s="127"/>
      <c r="AIS308" s="127"/>
      <c r="AIT308" s="127"/>
      <c r="AIU308" s="127"/>
      <c r="AIV308" s="127"/>
      <c r="AIW308" s="127"/>
      <c r="AIX308" s="127"/>
      <c r="AIY308" s="127"/>
      <c r="AIZ308" s="127"/>
      <c r="AJA308" s="127"/>
      <c r="AJB308" s="127"/>
      <c r="AJC308" s="127"/>
      <c r="AJD308" s="127"/>
      <c r="AJE308" s="127"/>
      <c r="AJF308" s="127"/>
      <c r="AJG308" s="127"/>
      <c r="AJH308" s="127"/>
      <c r="AJI308" s="127"/>
      <c r="AJJ308" s="127"/>
      <c r="AJK308" s="127"/>
      <c r="AJL308" s="127"/>
      <c r="AJM308" s="127"/>
      <c r="AJN308" s="127"/>
      <c r="AJO308" s="127"/>
      <c r="AJP308" s="127"/>
      <c r="AJQ308" s="127"/>
      <c r="AJR308" s="127"/>
      <c r="AJS308" s="127"/>
      <c r="AJT308" s="127"/>
      <c r="AJU308" s="127"/>
      <c r="AJV308" s="127"/>
      <c r="AJW308" s="127"/>
      <c r="AJX308" s="127"/>
      <c r="AJY308" s="127"/>
      <c r="AJZ308" s="127"/>
      <c r="AKA308" s="127"/>
      <c r="AKB308" s="127"/>
      <c r="AKC308" s="127"/>
      <c r="AKD308" s="127"/>
      <c r="AKE308" s="127"/>
      <c r="AKF308" s="127"/>
      <c r="AKG308" s="127"/>
      <c r="AKH308" s="127"/>
      <c r="AKI308" s="127"/>
      <c r="AKJ308" s="127"/>
      <c r="AKK308" s="127"/>
      <c r="AKL308" s="127"/>
      <c r="AKM308" s="127"/>
      <c r="AKN308" s="127"/>
      <c r="AKO308" s="127"/>
      <c r="AKP308" s="127"/>
      <c r="AKQ308" s="127"/>
      <c r="AKR308" s="127"/>
      <c r="AKS308" s="127"/>
      <c r="AKT308" s="127"/>
      <c r="AKU308" s="127"/>
      <c r="AKV308" s="127"/>
      <c r="AKW308" s="127"/>
      <c r="AKX308" s="127"/>
      <c r="AKY308" s="127"/>
      <c r="AKZ308" s="127"/>
      <c r="ALA308" s="127"/>
      <c r="ALB308" s="127"/>
      <c r="ALC308" s="127"/>
      <c r="ALD308" s="127"/>
      <c r="ALE308" s="127"/>
      <c r="ALF308" s="127"/>
      <c r="ALG308" s="127"/>
      <c r="ALH308" s="127"/>
      <c r="ALI308" s="127"/>
      <c r="ALJ308" s="127"/>
      <c r="ALK308" s="127"/>
      <c r="ALL308" s="127"/>
      <c r="ALM308" s="127"/>
      <c r="ALN308" s="127"/>
      <c r="ALO308" s="127"/>
      <c r="ALP308" s="127"/>
      <c r="ALQ308" s="127"/>
      <c r="ALR308" s="127"/>
      <c r="ALS308" s="127"/>
      <c r="ALT308" s="127"/>
      <c r="ALU308" s="127"/>
      <c r="ALV308" s="127"/>
      <c r="ALW308" s="127"/>
      <c r="ALX308" s="127"/>
      <c r="ALY308" s="127"/>
      <c r="ALZ308" s="127"/>
      <c r="AMA308" s="127"/>
      <c r="AMB308" s="127"/>
      <c r="AMC308" s="127"/>
      <c r="AMD308" s="127"/>
      <c r="AME308" s="127"/>
      <c r="AMF308" s="127"/>
      <c r="AMG308" s="127"/>
      <c r="AMH308" s="127"/>
      <c r="AMI308" s="127"/>
      <c r="AMJ308" s="127"/>
      <c r="AMK308" s="127"/>
      <c r="AML308" s="127"/>
      <c r="AMM308" s="127"/>
      <c r="AMN308" s="127"/>
      <c r="AMO308" s="127"/>
      <c r="AMP308" s="127"/>
      <c r="AMQ308" s="127"/>
      <c r="AMR308" s="127"/>
      <c r="AMS308" s="127"/>
      <c r="AMT308" s="127"/>
      <c r="AMU308" s="127"/>
      <c r="AMV308" s="127"/>
      <c r="AMW308" s="127"/>
      <c r="AMX308" s="127"/>
      <c r="AMY308" s="127"/>
      <c r="AMZ308" s="127"/>
      <c r="ANA308" s="127"/>
      <c r="ANB308" s="127"/>
      <c r="ANC308" s="127"/>
      <c r="AND308" s="127"/>
      <c r="ANE308" s="127"/>
      <c r="ANF308" s="127"/>
      <c r="ANG308" s="127"/>
      <c r="ANH308" s="127"/>
      <c r="ANI308" s="127"/>
      <c r="ANJ308" s="127"/>
      <c r="ANK308" s="127"/>
      <c r="ANL308" s="127"/>
      <c r="ANM308" s="127"/>
      <c r="ANN308" s="127"/>
      <c r="ANO308" s="127"/>
      <c r="ANP308" s="127"/>
      <c r="ANQ308" s="127"/>
      <c r="ANR308" s="127"/>
      <c r="ANS308" s="127"/>
      <c r="ANT308" s="127"/>
      <c r="ANU308" s="127"/>
      <c r="ANV308" s="127"/>
      <c r="ANW308" s="127"/>
      <c r="ANX308" s="127"/>
      <c r="ANY308" s="127"/>
      <c r="ANZ308" s="127"/>
      <c r="AOA308" s="127"/>
      <c r="AOB308" s="127"/>
      <c r="AOC308" s="127"/>
      <c r="AOD308" s="127"/>
      <c r="AOE308" s="127"/>
      <c r="AOF308" s="127"/>
      <c r="AOG308" s="127"/>
      <c r="AOH308" s="127"/>
      <c r="AOI308" s="127"/>
      <c r="AOJ308" s="127"/>
      <c r="AOK308" s="127"/>
      <c r="AOL308" s="127"/>
      <c r="AOM308" s="127"/>
      <c r="AON308" s="127"/>
      <c r="AOO308" s="127"/>
      <c r="AOP308" s="127"/>
      <c r="AOQ308" s="127"/>
      <c r="AOR308" s="127"/>
      <c r="AOS308" s="127"/>
      <c r="AOT308" s="127"/>
      <c r="AOU308" s="127"/>
      <c r="AOV308" s="127"/>
      <c r="AOW308" s="127"/>
      <c r="AOX308" s="127"/>
      <c r="AOY308" s="127"/>
      <c r="AOZ308" s="127"/>
      <c r="APA308" s="127"/>
      <c r="APB308" s="127"/>
      <c r="APC308" s="127"/>
      <c r="APD308" s="127"/>
      <c r="APE308" s="127"/>
      <c r="APF308" s="127"/>
      <c r="APG308" s="127"/>
      <c r="APH308" s="127"/>
      <c r="API308" s="127"/>
      <c r="APJ308" s="127"/>
      <c r="APK308" s="127"/>
      <c r="APL308" s="127"/>
      <c r="APM308" s="127"/>
      <c r="APN308" s="127"/>
      <c r="APO308" s="127"/>
      <c r="APP308" s="127"/>
      <c r="APQ308" s="127"/>
      <c r="APR308" s="127"/>
      <c r="APS308" s="127"/>
      <c r="APT308" s="127"/>
      <c r="APU308" s="127"/>
      <c r="APV308" s="127"/>
      <c r="APW308" s="127"/>
      <c r="APX308" s="127"/>
      <c r="APY308" s="127"/>
      <c r="APZ308" s="127"/>
      <c r="AQA308" s="127"/>
      <c r="AQB308" s="127"/>
      <c r="AQC308" s="127"/>
      <c r="AQD308" s="127"/>
      <c r="AQE308" s="127"/>
      <c r="AQF308" s="127"/>
      <c r="AQG308" s="127"/>
      <c r="AQH308" s="127"/>
      <c r="AQI308" s="127"/>
      <c r="AQJ308" s="127"/>
      <c r="AQK308" s="127"/>
      <c r="AQL308" s="127"/>
      <c r="AQM308" s="127"/>
      <c r="AQN308" s="127"/>
      <c r="AQO308" s="127"/>
      <c r="AQP308" s="127"/>
      <c r="AQQ308" s="127"/>
      <c r="AQR308" s="127"/>
      <c r="AQS308" s="127"/>
      <c r="AQT308" s="127"/>
      <c r="AQU308" s="127"/>
      <c r="AQV308" s="127"/>
      <c r="AQW308" s="127"/>
      <c r="AQX308" s="127"/>
      <c r="AQY308" s="127"/>
      <c r="AQZ308" s="127"/>
      <c r="ARA308" s="127"/>
      <c r="ARB308" s="127"/>
      <c r="ARC308" s="127"/>
      <c r="ARD308" s="127"/>
      <c r="ARE308" s="127"/>
      <c r="ARF308" s="127"/>
      <c r="ARG308" s="127"/>
      <c r="ARH308" s="127"/>
      <c r="ARI308" s="127"/>
      <c r="ARJ308" s="127"/>
      <c r="ARK308" s="127"/>
      <c r="ARL308" s="127"/>
      <c r="ARM308" s="127"/>
      <c r="ARN308" s="127"/>
      <c r="ARO308" s="127"/>
      <c r="ARP308" s="127"/>
      <c r="ARQ308" s="127"/>
      <c r="ARR308" s="127"/>
      <c r="ARS308" s="127"/>
      <c r="ART308" s="127"/>
      <c r="ARU308" s="127"/>
      <c r="ARV308" s="127"/>
      <c r="ARW308" s="127"/>
      <c r="ARX308" s="127"/>
      <c r="ARY308" s="127"/>
      <c r="ARZ308" s="127"/>
      <c r="ASA308" s="127"/>
      <c r="ASB308" s="127"/>
      <c r="ASC308" s="127"/>
      <c r="ASD308" s="127"/>
      <c r="ASE308" s="127"/>
      <c r="ASF308" s="127"/>
      <c r="ASG308" s="127"/>
      <c r="ASH308" s="127"/>
      <c r="ASI308" s="127"/>
      <c r="ASJ308" s="127"/>
      <c r="ASK308" s="127"/>
      <c r="ASL308" s="127"/>
      <c r="ASM308" s="127"/>
      <c r="ASN308" s="127"/>
      <c r="ASO308" s="127"/>
      <c r="ASP308" s="127"/>
      <c r="ASQ308" s="127"/>
      <c r="ASR308" s="127"/>
      <c r="ASS308" s="127"/>
      <c r="AST308" s="127"/>
      <c r="ASU308" s="127"/>
      <c r="ASV308" s="127"/>
      <c r="ASW308" s="127"/>
      <c r="ASX308" s="127"/>
      <c r="ASY308" s="127"/>
      <c r="ASZ308" s="127"/>
      <c r="ATA308" s="127"/>
      <c r="ATB308" s="127"/>
      <c r="ATC308" s="127"/>
      <c r="ATD308" s="127"/>
      <c r="ATE308" s="127"/>
      <c r="ATF308" s="127"/>
      <c r="ATG308" s="127"/>
      <c r="ATH308" s="127"/>
      <c r="ATI308" s="127"/>
      <c r="ATJ308" s="127"/>
      <c r="ATK308" s="127"/>
      <c r="ATL308" s="127"/>
      <c r="ATM308" s="127"/>
      <c r="ATN308" s="127"/>
      <c r="ATO308" s="127"/>
      <c r="ATP308" s="127"/>
      <c r="ATQ308" s="127"/>
      <c r="ATR308" s="127"/>
      <c r="ATS308" s="127"/>
      <c r="ATT308" s="127"/>
      <c r="ATU308" s="127"/>
      <c r="ATV308" s="127"/>
      <c r="ATW308" s="127"/>
      <c r="ATX308" s="127"/>
      <c r="ATY308" s="127"/>
      <c r="ATZ308" s="127"/>
      <c r="AUA308" s="127"/>
      <c r="AUB308" s="127"/>
      <c r="AUC308" s="127"/>
      <c r="AUD308" s="127"/>
      <c r="AUE308" s="127"/>
      <c r="AUF308" s="127"/>
      <c r="AUG308" s="127"/>
      <c r="AUH308" s="127"/>
      <c r="AUI308" s="127"/>
      <c r="AUJ308" s="127"/>
      <c r="AUK308" s="127"/>
      <c r="AUL308" s="127"/>
      <c r="AUM308" s="127"/>
      <c r="AUN308" s="127"/>
      <c r="AUO308" s="127"/>
      <c r="AUP308" s="127"/>
      <c r="AUQ308" s="127"/>
      <c r="AUR308" s="127"/>
      <c r="AUS308" s="127"/>
      <c r="AUT308" s="127"/>
      <c r="AUU308" s="127"/>
      <c r="AUV308" s="127"/>
      <c r="AUW308" s="127"/>
      <c r="AUX308" s="127"/>
      <c r="AUY308" s="127"/>
      <c r="AUZ308" s="127"/>
      <c r="AVA308" s="127"/>
      <c r="AVB308" s="127"/>
      <c r="AVC308" s="127"/>
      <c r="AVD308" s="127"/>
      <c r="AVE308" s="127"/>
      <c r="AVF308" s="127"/>
      <c r="AVG308" s="127"/>
      <c r="AVH308" s="127"/>
      <c r="AVI308" s="127"/>
      <c r="AVJ308" s="127"/>
      <c r="AVK308" s="127"/>
      <c r="AVL308" s="127"/>
      <c r="AVM308" s="127"/>
      <c r="AVN308" s="127"/>
      <c r="AVO308" s="127"/>
      <c r="AVP308" s="127"/>
      <c r="AVQ308" s="127"/>
      <c r="AVR308" s="127"/>
      <c r="AVS308" s="127"/>
      <c r="AVT308" s="127"/>
      <c r="AVU308" s="127"/>
      <c r="AVV308" s="127"/>
      <c r="AVW308" s="127"/>
      <c r="AVX308" s="127"/>
      <c r="AVY308" s="127"/>
      <c r="AVZ308" s="127"/>
      <c r="AWA308" s="127"/>
      <c r="AWB308" s="127"/>
      <c r="AWC308" s="127"/>
      <c r="AWD308" s="127"/>
      <c r="AWE308" s="127"/>
      <c r="AWF308" s="127"/>
      <c r="AWG308" s="127"/>
      <c r="AWH308" s="127"/>
      <c r="AWI308" s="127"/>
      <c r="AWJ308" s="127"/>
      <c r="AWK308" s="127"/>
      <c r="AWL308" s="127"/>
      <c r="AWM308" s="127"/>
      <c r="AWN308" s="127"/>
      <c r="AWO308" s="127"/>
      <c r="AWP308" s="127"/>
      <c r="AWQ308" s="127"/>
      <c r="AWR308" s="127"/>
      <c r="AWS308" s="127"/>
      <c r="AWT308" s="127"/>
      <c r="AWU308" s="127"/>
      <c r="AWV308" s="127"/>
      <c r="AWW308" s="127"/>
      <c r="AWX308" s="127"/>
      <c r="AWY308" s="127"/>
      <c r="AWZ308" s="127"/>
      <c r="AXA308" s="127"/>
      <c r="AXB308" s="127"/>
      <c r="AXC308" s="127"/>
      <c r="AXD308" s="127"/>
      <c r="AXE308" s="127"/>
      <c r="AXF308" s="127"/>
      <c r="AXG308" s="127"/>
      <c r="AXH308" s="127"/>
      <c r="AXI308" s="127"/>
      <c r="AXJ308" s="127"/>
      <c r="AXK308" s="127"/>
      <c r="AXL308" s="127"/>
      <c r="AXM308" s="127"/>
      <c r="AXN308" s="127"/>
      <c r="AXO308" s="127"/>
      <c r="AXP308" s="127"/>
      <c r="AXQ308" s="127"/>
      <c r="AXR308" s="127"/>
      <c r="AXS308" s="127"/>
      <c r="AXT308" s="127"/>
      <c r="AXU308" s="127"/>
      <c r="AXV308" s="127"/>
      <c r="AXW308" s="127"/>
      <c r="AXX308" s="127"/>
      <c r="AXY308" s="127"/>
      <c r="AXZ308" s="127"/>
      <c r="AYA308" s="127"/>
      <c r="AYB308" s="127"/>
      <c r="AYC308" s="127"/>
      <c r="AYD308" s="127"/>
      <c r="AYE308" s="127"/>
      <c r="AYF308" s="127"/>
      <c r="AYG308" s="127"/>
      <c r="AYH308" s="127"/>
      <c r="AYI308" s="127"/>
      <c r="AYJ308" s="127"/>
      <c r="AYK308" s="127"/>
      <c r="AYL308" s="127"/>
      <c r="AYM308" s="127"/>
      <c r="AYN308" s="127"/>
      <c r="AYO308" s="127"/>
      <c r="AYP308" s="127"/>
      <c r="AYQ308" s="127"/>
      <c r="AYR308" s="127"/>
      <c r="AYS308" s="127"/>
      <c r="AYT308" s="127"/>
      <c r="AYU308" s="127"/>
      <c r="AYV308" s="127"/>
      <c r="AYW308" s="127"/>
      <c r="AYX308" s="127"/>
      <c r="AYY308" s="127"/>
      <c r="AYZ308" s="127"/>
      <c r="AZA308" s="127"/>
      <c r="AZB308" s="127"/>
      <c r="AZC308" s="127"/>
      <c r="AZD308" s="127"/>
      <c r="AZE308" s="127"/>
      <c r="AZF308" s="127"/>
      <c r="AZG308" s="127"/>
      <c r="AZH308" s="127"/>
      <c r="AZI308" s="127"/>
      <c r="AZJ308" s="127"/>
      <c r="AZK308" s="127"/>
      <c r="AZL308" s="127"/>
      <c r="AZM308" s="127"/>
      <c r="AZN308" s="127"/>
      <c r="AZO308" s="127"/>
      <c r="AZP308" s="127"/>
      <c r="AZQ308" s="127"/>
      <c r="AZR308" s="127"/>
      <c r="AZS308" s="127"/>
      <c r="AZT308" s="127"/>
      <c r="AZU308" s="127"/>
      <c r="AZV308" s="127"/>
      <c r="AZW308" s="127"/>
      <c r="AZX308" s="127"/>
      <c r="AZY308" s="127"/>
      <c r="AZZ308" s="127"/>
      <c r="BAA308" s="127"/>
      <c r="BAB308" s="127"/>
      <c r="BAC308" s="127"/>
      <c r="BAD308" s="127"/>
      <c r="BAE308" s="127"/>
      <c r="BAF308" s="127"/>
      <c r="BAG308" s="127"/>
      <c r="BAH308" s="127"/>
      <c r="BAI308" s="127"/>
      <c r="BAJ308" s="127"/>
      <c r="BAK308" s="127"/>
      <c r="BAL308" s="127"/>
      <c r="BAM308" s="127"/>
      <c r="BAN308" s="127"/>
      <c r="BAO308" s="127"/>
      <c r="BAP308" s="127"/>
      <c r="BAQ308" s="127"/>
      <c r="BAR308" s="127"/>
      <c r="BAS308" s="127"/>
      <c r="BAT308" s="127"/>
      <c r="BAU308" s="127"/>
      <c r="BAV308" s="127"/>
      <c r="BAW308" s="127"/>
      <c r="BAX308" s="127"/>
      <c r="BAY308" s="127"/>
      <c r="BAZ308" s="127"/>
      <c r="BBA308" s="127"/>
      <c r="BBB308" s="127"/>
      <c r="BBC308" s="127"/>
      <c r="BBD308" s="127"/>
      <c r="BBE308" s="127"/>
      <c r="BBF308" s="127"/>
      <c r="BBG308" s="127"/>
      <c r="BBH308" s="127"/>
      <c r="BBI308" s="127"/>
      <c r="BBJ308" s="127"/>
      <c r="BBK308" s="127"/>
      <c r="BBL308" s="127"/>
      <c r="BBM308" s="127"/>
      <c r="BBN308" s="127"/>
      <c r="BBO308" s="127"/>
      <c r="BBP308" s="127"/>
      <c r="BBQ308" s="127"/>
      <c r="BBR308" s="127"/>
      <c r="BBS308" s="127"/>
      <c r="BBT308" s="127"/>
      <c r="BBU308" s="127"/>
      <c r="BBV308" s="127"/>
      <c r="BBW308" s="127"/>
      <c r="BBX308" s="127"/>
      <c r="BBY308" s="127"/>
      <c r="BBZ308" s="127"/>
      <c r="BCA308" s="127"/>
      <c r="BCB308" s="127"/>
      <c r="BCC308" s="127"/>
      <c r="BCD308" s="127"/>
      <c r="BCE308" s="127"/>
      <c r="BCF308" s="127"/>
      <c r="BCG308" s="127"/>
      <c r="BCH308" s="127"/>
      <c r="BCI308" s="127"/>
      <c r="BCJ308" s="127"/>
      <c r="BCK308" s="127"/>
      <c r="BCL308" s="127"/>
      <c r="BCM308" s="127"/>
      <c r="BCN308" s="127"/>
      <c r="BCO308" s="127"/>
      <c r="BCP308" s="127"/>
      <c r="BCQ308" s="127"/>
      <c r="BCR308" s="127"/>
      <c r="BCS308" s="127"/>
      <c r="BCT308" s="127"/>
      <c r="BCU308" s="127"/>
      <c r="BCV308" s="127"/>
      <c r="BCW308" s="127"/>
      <c r="BCX308" s="127"/>
      <c r="BCY308" s="127"/>
      <c r="BCZ308" s="127"/>
      <c r="BDA308" s="127"/>
      <c r="BDB308" s="127"/>
      <c r="BDC308" s="127"/>
      <c r="BDD308" s="127"/>
      <c r="BDE308" s="127"/>
      <c r="BDF308" s="127"/>
      <c r="BDG308" s="127"/>
      <c r="BDH308" s="127"/>
      <c r="BDI308" s="127"/>
      <c r="BDJ308" s="127"/>
      <c r="BDK308" s="127"/>
      <c r="BDL308" s="127"/>
      <c r="BDM308" s="127"/>
      <c r="BDN308" s="127"/>
      <c r="BDO308" s="127"/>
      <c r="BDP308" s="127"/>
      <c r="BDQ308" s="127"/>
      <c r="BDR308" s="127"/>
      <c r="BDS308" s="127"/>
      <c r="BDT308" s="127"/>
      <c r="BDU308" s="127"/>
      <c r="BDV308" s="127"/>
      <c r="BDW308" s="127"/>
      <c r="BDX308" s="127"/>
      <c r="BDY308" s="127"/>
      <c r="BDZ308" s="127"/>
      <c r="BEA308" s="127"/>
      <c r="BEB308" s="127"/>
      <c r="BEC308" s="127"/>
      <c r="BED308" s="127"/>
      <c r="BEE308" s="127"/>
      <c r="BEF308" s="127"/>
      <c r="BEG308" s="127"/>
      <c r="BEH308" s="127"/>
      <c r="BEI308" s="127"/>
      <c r="BEJ308" s="127"/>
      <c r="BEK308" s="127"/>
      <c r="BEL308" s="127"/>
      <c r="BEM308" s="127"/>
      <c r="BEN308" s="127"/>
      <c r="BEO308" s="127"/>
      <c r="BEP308" s="127"/>
      <c r="BEQ308" s="127"/>
      <c r="BER308" s="127"/>
      <c r="BES308" s="127"/>
      <c r="BET308" s="127"/>
      <c r="BEU308" s="127"/>
      <c r="BEV308" s="127"/>
      <c r="BEW308" s="127"/>
      <c r="BEX308" s="127"/>
      <c r="BEY308" s="127"/>
      <c r="BEZ308" s="127"/>
      <c r="BFA308" s="127"/>
      <c r="BFB308" s="127"/>
      <c r="BFC308" s="127"/>
      <c r="BFD308" s="127"/>
      <c r="BFE308" s="127"/>
      <c r="BFF308" s="127"/>
      <c r="BFG308" s="127"/>
      <c r="BFH308" s="127"/>
      <c r="BFI308" s="127"/>
      <c r="BFJ308" s="127"/>
      <c r="BFK308" s="127"/>
      <c r="BFL308" s="127"/>
      <c r="BFM308" s="127"/>
      <c r="BFN308" s="127"/>
      <c r="BFO308" s="127"/>
      <c r="BFP308" s="127"/>
      <c r="BFQ308" s="127"/>
      <c r="BFR308" s="127"/>
      <c r="BFS308" s="127"/>
      <c r="BFT308" s="127"/>
      <c r="BFU308" s="127"/>
      <c r="BFV308" s="127"/>
      <c r="BFW308" s="127"/>
      <c r="BFX308" s="127"/>
      <c r="BFY308" s="127"/>
      <c r="BFZ308" s="127"/>
      <c r="BGA308" s="127"/>
      <c r="BGB308" s="127"/>
      <c r="BGC308" s="127"/>
      <c r="BGD308" s="127"/>
      <c r="BGE308" s="127"/>
      <c r="BGF308" s="127"/>
      <c r="BGG308" s="127"/>
      <c r="BGH308" s="127"/>
      <c r="BGI308" s="127"/>
      <c r="BGJ308" s="127"/>
      <c r="BGK308" s="127"/>
      <c r="BGL308" s="127"/>
      <c r="BGM308" s="127"/>
      <c r="BGN308" s="127"/>
      <c r="BGO308" s="127"/>
      <c r="BGP308" s="127"/>
      <c r="BGQ308" s="127"/>
      <c r="BGR308" s="127"/>
      <c r="BGS308" s="127"/>
      <c r="BGT308" s="127"/>
      <c r="BGU308" s="127"/>
      <c r="BGV308" s="127"/>
      <c r="BGW308" s="127"/>
      <c r="BGX308" s="127"/>
      <c r="BGY308" s="127"/>
      <c r="BGZ308" s="127"/>
      <c r="BHA308" s="127"/>
      <c r="BHB308" s="127"/>
      <c r="BHC308" s="127"/>
      <c r="BHD308" s="127"/>
      <c r="BHE308" s="127"/>
      <c r="BHF308" s="127"/>
      <c r="BHG308" s="127"/>
      <c r="BHH308" s="127"/>
      <c r="BHI308" s="127"/>
      <c r="BHJ308" s="127"/>
      <c r="BHK308" s="127"/>
      <c r="BHL308" s="127"/>
      <c r="BHM308" s="127"/>
      <c r="BHN308" s="127"/>
      <c r="BHO308" s="127"/>
      <c r="BHP308" s="127"/>
      <c r="BHQ308" s="127"/>
      <c r="BHR308" s="127"/>
      <c r="BHS308" s="127"/>
      <c r="BHT308" s="127"/>
      <c r="BHU308" s="127"/>
      <c r="BHV308" s="127"/>
      <c r="BHW308" s="127"/>
      <c r="BHX308" s="127"/>
      <c r="BHY308" s="127"/>
      <c r="BHZ308" s="127"/>
      <c r="BIA308" s="127"/>
      <c r="BIB308" s="127"/>
      <c r="BIC308" s="127"/>
      <c r="BID308" s="127"/>
      <c r="BIE308" s="127"/>
      <c r="BIF308" s="127"/>
      <c r="BIG308" s="127"/>
      <c r="BIH308" s="127"/>
      <c r="BII308" s="127"/>
      <c r="BIJ308" s="127"/>
      <c r="BIK308" s="127"/>
      <c r="BIL308" s="127"/>
      <c r="BIM308" s="127"/>
      <c r="BIN308" s="127"/>
      <c r="BIO308" s="127"/>
      <c r="BIP308" s="127"/>
      <c r="BIQ308" s="127"/>
      <c r="BIR308" s="127"/>
      <c r="BIS308" s="127"/>
      <c r="BIT308" s="127"/>
      <c r="BIU308" s="127"/>
      <c r="BIV308" s="127"/>
      <c r="BIW308" s="127"/>
      <c r="BIX308" s="127"/>
      <c r="BIY308" s="127"/>
      <c r="BIZ308" s="127"/>
      <c r="BJA308" s="127"/>
      <c r="BJB308" s="127"/>
      <c r="BJC308" s="127"/>
      <c r="BJD308" s="127"/>
      <c r="BJE308" s="127"/>
      <c r="BJF308" s="127"/>
      <c r="BJG308" s="127"/>
      <c r="BJH308" s="127"/>
      <c r="BJI308" s="127"/>
      <c r="BJJ308" s="127"/>
      <c r="BJK308" s="127"/>
      <c r="BJL308" s="127"/>
      <c r="BJM308" s="127"/>
      <c r="BJN308" s="127"/>
      <c r="BJO308" s="127"/>
      <c r="BJP308" s="127"/>
      <c r="BJQ308" s="127"/>
      <c r="BJR308" s="127"/>
      <c r="BJS308" s="127"/>
      <c r="BJT308" s="127"/>
      <c r="BJU308" s="127"/>
      <c r="BJV308" s="127"/>
      <c r="BJW308" s="127"/>
      <c r="BJX308" s="127"/>
      <c r="BJY308" s="127"/>
      <c r="BJZ308" s="127"/>
      <c r="BKA308" s="127"/>
      <c r="BKB308" s="127"/>
      <c r="BKC308" s="127"/>
      <c r="BKD308" s="127"/>
      <c r="BKE308" s="127"/>
      <c r="BKF308" s="127"/>
      <c r="BKG308" s="127"/>
      <c r="BKH308" s="127"/>
      <c r="BKI308" s="127"/>
      <c r="BKJ308" s="127"/>
      <c r="BKK308" s="127"/>
      <c r="BKL308" s="127"/>
      <c r="BKM308" s="127"/>
      <c r="BKN308" s="127"/>
      <c r="BKO308" s="127"/>
      <c r="BKP308" s="127"/>
      <c r="BKQ308" s="127"/>
      <c r="BKR308" s="127"/>
      <c r="BKS308" s="127"/>
      <c r="BKT308" s="127"/>
      <c r="BKU308" s="127"/>
      <c r="BKV308" s="127"/>
      <c r="BKW308" s="127"/>
      <c r="BKX308" s="127"/>
      <c r="BKY308" s="127"/>
      <c r="BKZ308" s="127"/>
      <c r="BLA308" s="127"/>
      <c r="BLB308" s="127"/>
      <c r="BLC308" s="127"/>
      <c r="BLD308" s="127"/>
      <c r="BLE308" s="127"/>
      <c r="BLF308" s="127"/>
      <c r="BLG308" s="127"/>
      <c r="BLH308" s="127"/>
      <c r="BLI308" s="127"/>
      <c r="BLJ308" s="127"/>
      <c r="BLK308" s="127"/>
      <c r="BLL308" s="127"/>
      <c r="BLM308" s="127"/>
      <c r="BLN308" s="127"/>
      <c r="BLO308" s="127"/>
      <c r="BLP308" s="127"/>
      <c r="BLQ308" s="127"/>
      <c r="BLR308" s="127"/>
      <c r="BLS308" s="127"/>
      <c r="BLT308" s="127"/>
      <c r="BLU308" s="127"/>
      <c r="BLV308" s="127"/>
      <c r="BLW308" s="127"/>
      <c r="BLX308" s="127"/>
      <c r="BLY308" s="127"/>
      <c r="BLZ308" s="127"/>
      <c r="BMA308" s="127"/>
      <c r="BMB308" s="127"/>
      <c r="BMC308" s="127"/>
      <c r="BMD308" s="127"/>
      <c r="BME308" s="127"/>
      <c r="BMF308" s="127"/>
      <c r="BMG308" s="127"/>
      <c r="BMH308" s="127"/>
      <c r="BMI308" s="127"/>
      <c r="BMJ308" s="127"/>
      <c r="BMK308" s="127"/>
      <c r="BML308" s="127"/>
      <c r="BMM308" s="127"/>
      <c r="BMN308" s="127"/>
      <c r="BMO308" s="127"/>
      <c r="BMP308" s="127"/>
      <c r="BMQ308" s="127"/>
      <c r="BMR308" s="127"/>
      <c r="BMS308" s="127"/>
      <c r="BMT308" s="127"/>
      <c r="BMU308" s="127"/>
      <c r="BMV308" s="127"/>
      <c r="BMW308" s="127"/>
      <c r="BMX308" s="127"/>
      <c r="BMY308" s="127"/>
      <c r="BMZ308" s="127"/>
      <c r="BNA308" s="127"/>
      <c r="BNB308" s="127"/>
      <c r="BNC308" s="127"/>
      <c r="BND308" s="127"/>
      <c r="BNE308" s="127"/>
      <c r="BNF308" s="127"/>
      <c r="BNG308" s="127"/>
      <c r="BNH308" s="127"/>
      <c r="BNI308" s="127"/>
      <c r="BNJ308" s="127"/>
      <c r="BNK308" s="127"/>
      <c r="BNL308" s="127"/>
      <c r="BNM308" s="127"/>
      <c r="BNN308" s="127"/>
      <c r="BNO308" s="127"/>
      <c r="BNP308" s="127"/>
      <c r="BNQ308" s="127"/>
      <c r="BNR308" s="127"/>
      <c r="BNS308" s="127"/>
      <c r="BNT308" s="127"/>
      <c r="BNU308" s="127"/>
      <c r="BNV308" s="127"/>
      <c r="BNW308" s="127"/>
      <c r="BNX308" s="127"/>
      <c r="BNY308" s="127"/>
      <c r="BNZ308" s="127"/>
      <c r="BOA308" s="127"/>
      <c r="BOB308" s="127"/>
      <c r="BOC308" s="127"/>
      <c r="BOD308" s="127"/>
      <c r="BOE308" s="127"/>
      <c r="BOF308" s="127"/>
      <c r="BOG308" s="127"/>
      <c r="BOH308" s="127"/>
      <c r="BOI308" s="127"/>
      <c r="BOJ308" s="127"/>
      <c r="BOK308" s="127"/>
      <c r="BOL308" s="127"/>
      <c r="BOM308" s="127"/>
      <c r="BON308" s="127"/>
      <c r="BOO308" s="127"/>
      <c r="BOP308" s="127"/>
      <c r="BOQ308" s="127"/>
      <c r="BOR308" s="127"/>
      <c r="BOS308" s="127"/>
      <c r="BOT308" s="127"/>
      <c r="BOU308" s="127"/>
      <c r="BOV308" s="127"/>
      <c r="BOW308" s="127"/>
      <c r="BOX308" s="127"/>
      <c r="BOY308" s="127"/>
      <c r="BOZ308" s="127"/>
      <c r="BPA308" s="127"/>
      <c r="BPB308" s="127"/>
      <c r="BPC308" s="127"/>
      <c r="BPD308" s="127"/>
      <c r="BPE308" s="127"/>
      <c r="BPF308" s="127"/>
      <c r="BPG308" s="127"/>
      <c r="BPH308" s="127"/>
      <c r="BPI308" s="127"/>
      <c r="BPJ308" s="127"/>
      <c r="BPK308" s="127"/>
      <c r="BPL308" s="127"/>
      <c r="BPM308" s="127"/>
      <c r="BPN308" s="127"/>
      <c r="BPO308" s="127"/>
      <c r="BPP308" s="127"/>
      <c r="BPQ308" s="127"/>
      <c r="BPR308" s="127"/>
      <c r="BPS308" s="127"/>
      <c r="BPT308" s="127"/>
      <c r="BPU308" s="127"/>
      <c r="BPV308" s="127"/>
      <c r="BPW308" s="127"/>
      <c r="BPX308" s="127"/>
      <c r="BPY308" s="127"/>
      <c r="BPZ308" s="127"/>
      <c r="BQA308" s="127"/>
      <c r="BQB308" s="127"/>
      <c r="BQC308" s="127"/>
      <c r="BQD308" s="127"/>
      <c r="BQE308" s="127"/>
      <c r="BQF308" s="127"/>
      <c r="BQG308" s="127"/>
      <c r="BQH308" s="127"/>
      <c r="BQI308" s="127"/>
      <c r="BQJ308" s="127"/>
      <c r="BQK308" s="127"/>
      <c r="BQL308" s="127"/>
      <c r="BQM308" s="127"/>
      <c r="BQN308" s="127"/>
      <c r="BQO308" s="127"/>
      <c r="BQP308" s="127"/>
      <c r="BQQ308" s="127"/>
      <c r="BQR308" s="127"/>
      <c r="BQS308" s="127"/>
      <c r="BQT308" s="127"/>
      <c r="BQU308" s="127"/>
      <c r="BQV308" s="127"/>
      <c r="BQW308" s="127"/>
      <c r="BQX308" s="127"/>
      <c r="BQY308" s="127"/>
      <c r="BQZ308" s="127"/>
      <c r="BRA308" s="127"/>
      <c r="BRB308" s="127"/>
      <c r="BRC308" s="127"/>
      <c r="BRD308" s="127"/>
      <c r="BRE308" s="127"/>
      <c r="BRF308" s="127"/>
      <c r="BRG308" s="127"/>
      <c r="BRH308" s="127"/>
      <c r="BRI308" s="127"/>
      <c r="BRJ308" s="127"/>
      <c r="BRK308" s="127"/>
      <c r="BRL308" s="127"/>
      <c r="BRM308" s="127"/>
      <c r="BRN308" s="127"/>
      <c r="BRO308" s="127"/>
      <c r="BRP308" s="127"/>
      <c r="BRQ308" s="127"/>
      <c r="BRR308" s="127"/>
      <c r="BRS308" s="127"/>
      <c r="BRT308" s="127"/>
      <c r="BRU308" s="127"/>
      <c r="BRV308" s="127"/>
      <c r="BRW308" s="127"/>
      <c r="BRX308" s="127"/>
      <c r="BRY308" s="127"/>
      <c r="BRZ308" s="127"/>
      <c r="BSA308" s="127"/>
      <c r="BSB308" s="127"/>
      <c r="BSC308" s="127"/>
      <c r="BSD308" s="127"/>
      <c r="BSE308" s="127"/>
      <c r="BSF308" s="127"/>
      <c r="BSG308" s="127"/>
      <c r="BSH308" s="127"/>
      <c r="BSI308" s="127"/>
      <c r="BSJ308" s="127"/>
      <c r="BSK308" s="127"/>
      <c r="BSL308" s="127"/>
      <c r="BSM308" s="127"/>
      <c r="BSN308" s="127"/>
      <c r="BSO308" s="127"/>
      <c r="BSP308" s="127"/>
      <c r="BSQ308" s="127"/>
      <c r="BSR308" s="127"/>
      <c r="BSS308" s="127"/>
      <c r="BST308" s="127"/>
      <c r="BSU308" s="127"/>
      <c r="BSV308" s="127"/>
      <c r="BSW308" s="127"/>
      <c r="BSX308" s="127"/>
      <c r="BSY308" s="127"/>
      <c r="BSZ308" s="127"/>
      <c r="BTA308" s="127"/>
      <c r="BTB308" s="127"/>
      <c r="BTC308" s="127"/>
      <c r="BTD308" s="127"/>
      <c r="BTE308" s="127"/>
      <c r="BTF308" s="127"/>
      <c r="BTG308" s="127"/>
      <c r="BTH308" s="127"/>
      <c r="BTI308" s="127"/>
      <c r="BTJ308" s="127"/>
      <c r="BTK308" s="127"/>
      <c r="BTL308" s="127"/>
      <c r="BTM308" s="127"/>
      <c r="BTN308" s="127"/>
      <c r="BTO308" s="127"/>
      <c r="BTP308" s="127"/>
      <c r="BTQ308" s="127"/>
      <c r="BTR308" s="127"/>
      <c r="BTS308" s="127"/>
      <c r="BTT308" s="127"/>
      <c r="BTU308" s="127"/>
      <c r="BTV308" s="127"/>
      <c r="BTW308" s="127"/>
      <c r="BTX308" s="127"/>
      <c r="BTY308" s="127"/>
      <c r="BTZ308" s="127"/>
      <c r="BUA308" s="127"/>
      <c r="BUB308" s="127"/>
      <c r="BUC308" s="127"/>
      <c r="BUD308" s="127"/>
      <c r="BUE308" s="127"/>
      <c r="BUF308" s="127"/>
      <c r="BUG308" s="127"/>
      <c r="BUH308" s="127"/>
      <c r="BUI308" s="127"/>
      <c r="BUJ308" s="127"/>
      <c r="BUK308" s="127"/>
      <c r="BUL308" s="127"/>
      <c r="BUM308" s="127"/>
      <c r="BUN308" s="127"/>
      <c r="BUO308" s="127"/>
      <c r="BUP308" s="127"/>
      <c r="BUQ308" s="127"/>
      <c r="BUR308" s="127"/>
      <c r="BUS308" s="127"/>
      <c r="BUT308" s="127"/>
      <c r="BUU308" s="127"/>
      <c r="BUV308" s="127"/>
      <c r="BUW308" s="127"/>
      <c r="BUX308" s="127"/>
      <c r="BUY308" s="127"/>
      <c r="BUZ308" s="127"/>
      <c r="BVA308" s="127"/>
      <c r="BVB308" s="127"/>
      <c r="BVC308" s="127"/>
      <c r="BVD308" s="127"/>
      <c r="BVE308" s="127"/>
      <c r="BVF308" s="127"/>
      <c r="BVG308" s="127"/>
      <c r="BVH308" s="127"/>
      <c r="BVI308" s="127"/>
      <c r="BVJ308" s="127"/>
      <c r="BVK308" s="127"/>
      <c r="BVL308" s="127"/>
      <c r="BVM308" s="127"/>
      <c r="BVN308" s="127"/>
      <c r="BVO308" s="127"/>
      <c r="BVP308" s="127"/>
      <c r="BVQ308" s="127"/>
      <c r="BVR308" s="127"/>
      <c r="BVS308" s="127"/>
      <c r="BVT308" s="127"/>
      <c r="BVU308" s="127"/>
      <c r="BVV308" s="127"/>
      <c r="BVW308" s="127"/>
      <c r="BVX308" s="127"/>
      <c r="BVY308" s="127"/>
      <c r="BVZ308" s="127"/>
      <c r="BWA308" s="127"/>
      <c r="BWB308" s="127"/>
      <c r="BWC308" s="127"/>
      <c r="BWD308" s="127"/>
      <c r="BWE308" s="127"/>
      <c r="BWF308" s="127"/>
      <c r="BWG308" s="127"/>
      <c r="BWH308" s="127"/>
      <c r="BWI308" s="127"/>
      <c r="BWJ308" s="127"/>
      <c r="BWK308" s="127"/>
      <c r="BWL308" s="127"/>
      <c r="BWM308" s="127"/>
      <c r="BWN308" s="127"/>
      <c r="BWO308" s="127"/>
      <c r="BWP308" s="127"/>
      <c r="BWQ308" s="127"/>
      <c r="BWR308" s="127"/>
      <c r="BWS308" s="127"/>
      <c r="BWT308" s="127"/>
      <c r="BWU308" s="127"/>
      <c r="BWV308" s="127"/>
      <c r="BWW308" s="127"/>
      <c r="BWX308" s="127"/>
      <c r="BWY308" s="127"/>
      <c r="BWZ308" s="127"/>
      <c r="BXA308" s="127"/>
      <c r="BXB308" s="127"/>
      <c r="BXC308" s="127"/>
      <c r="BXD308" s="127"/>
      <c r="BXE308" s="127"/>
      <c r="BXF308" s="127"/>
      <c r="BXG308" s="127"/>
      <c r="BXH308" s="127"/>
      <c r="BXI308" s="127"/>
      <c r="BXJ308" s="127"/>
      <c r="BXK308" s="127"/>
      <c r="BXL308" s="127"/>
      <c r="BXM308" s="127"/>
      <c r="BXN308" s="127"/>
      <c r="BXO308" s="127"/>
      <c r="BXP308" s="127"/>
      <c r="BXQ308" s="127"/>
      <c r="BXR308" s="127"/>
      <c r="BXS308" s="127"/>
      <c r="BXT308" s="127"/>
      <c r="BXU308" s="127"/>
      <c r="BXV308" s="127"/>
      <c r="BXW308" s="127"/>
      <c r="BXX308" s="127"/>
      <c r="BXY308" s="127"/>
      <c r="BXZ308" s="127"/>
      <c r="BYA308" s="127"/>
      <c r="BYB308" s="127"/>
      <c r="BYC308" s="127"/>
      <c r="BYD308" s="127"/>
      <c r="BYE308" s="127"/>
      <c r="BYF308" s="127"/>
      <c r="BYG308" s="127"/>
      <c r="BYH308" s="127"/>
      <c r="BYI308" s="127"/>
      <c r="BYJ308" s="127"/>
      <c r="BYK308" s="127"/>
      <c r="BYL308" s="127"/>
      <c r="BYM308" s="127"/>
      <c r="BYN308" s="127"/>
      <c r="BYO308" s="127"/>
      <c r="BYP308" s="127"/>
      <c r="BYQ308" s="127"/>
      <c r="BYR308" s="127"/>
      <c r="BYS308" s="127"/>
      <c r="BYT308" s="127"/>
      <c r="BYU308" s="127"/>
      <c r="BYV308" s="127"/>
      <c r="BYW308" s="127"/>
      <c r="BYX308" s="127"/>
      <c r="BYY308" s="127"/>
      <c r="BYZ308" s="127"/>
      <c r="BZA308" s="127"/>
      <c r="BZB308" s="127"/>
      <c r="BZC308" s="127"/>
      <c r="BZD308" s="127"/>
      <c r="BZE308" s="127"/>
      <c r="BZF308" s="127"/>
      <c r="BZG308" s="127"/>
      <c r="BZH308" s="127"/>
      <c r="BZI308" s="127"/>
      <c r="BZJ308" s="127"/>
      <c r="BZK308" s="127"/>
      <c r="BZL308" s="127"/>
      <c r="BZM308" s="127"/>
      <c r="BZN308" s="127"/>
      <c r="BZO308" s="127"/>
      <c r="BZP308" s="127"/>
      <c r="BZQ308" s="127"/>
      <c r="BZR308" s="127"/>
      <c r="BZS308" s="127"/>
      <c r="BZT308" s="127"/>
      <c r="BZU308" s="127"/>
      <c r="BZV308" s="127"/>
      <c r="BZW308" s="127"/>
      <c r="BZX308" s="127"/>
      <c r="BZY308" s="127"/>
      <c r="BZZ308" s="127"/>
      <c r="CAA308" s="127"/>
      <c r="CAB308" s="127"/>
      <c r="CAC308" s="127"/>
      <c r="CAD308" s="127"/>
      <c r="CAE308" s="127"/>
      <c r="CAF308" s="127"/>
      <c r="CAG308" s="127"/>
      <c r="CAH308" s="127"/>
      <c r="CAI308" s="127"/>
      <c r="CAJ308" s="127"/>
      <c r="CAK308" s="127"/>
      <c r="CAL308" s="127"/>
      <c r="CAM308" s="127"/>
      <c r="CAN308" s="127"/>
      <c r="CAO308" s="127"/>
      <c r="CAP308" s="127"/>
      <c r="CAQ308" s="127"/>
      <c r="CAR308" s="127"/>
      <c r="CAS308" s="127"/>
      <c r="CAT308" s="127"/>
      <c r="CAU308" s="127"/>
      <c r="CAV308" s="127"/>
      <c r="CAW308" s="127"/>
      <c r="CAX308" s="127"/>
      <c r="CAY308" s="127"/>
      <c r="CAZ308" s="127"/>
      <c r="CBA308" s="127"/>
      <c r="CBB308" s="127"/>
      <c r="CBC308" s="127"/>
      <c r="CBD308" s="127"/>
      <c r="CBE308" s="127"/>
      <c r="CBF308" s="127"/>
      <c r="CBG308" s="127"/>
      <c r="CBH308" s="127"/>
      <c r="CBI308" s="127"/>
      <c r="CBJ308" s="127"/>
      <c r="CBK308" s="127"/>
      <c r="CBL308" s="127"/>
      <c r="CBM308" s="127"/>
      <c r="CBN308" s="127"/>
      <c r="CBO308" s="127"/>
      <c r="CBP308" s="127"/>
      <c r="CBQ308" s="127"/>
      <c r="CBR308" s="127"/>
      <c r="CBS308" s="127"/>
      <c r="CBT308" s="127"/>
      <c r="CBU308" s="127"/>
      <c r="CBV308" s="127"/>
      <c r="CBW308" s="127"/>
      <c r="CBX308" s="127"/>
      <c r="CBY308" s="127"/>
      <c r="CBZ308" s="127"/>
      <c r="CCA308" s="127"/>
      <c r="CCB308" s="127"/>
      <c r="CCC308" s="127"/>
      <c r="CCD308" s="127"/>
      <c r="CCE308" s="127"/>
      <c r="CCF308" s="127"/>
      <c r="CCG308" s="127"/>
      <c r="CCH308" s="127"/>
      <c r="CCI308" s="127"/>
      <c r="CCJ308" s="127"/>
      <c r="CCK308" s="127"/>
      <c r="CCL308" s="127"/>
      <c r="CCM308" s="127"/>
      <c r="CCN308" s="127"/>
      <c r="CCO308" s="127"/>
      <c r="CCP308" s="127"/>
      <c r="CCQ308" s="127"/>
      <c r="CCR308" s="127"/>
      <c r="CCS308" s="127"/>
      <c r="CCT308" s="127"/>
      <c r="CCU308" s="127"/>
      <c r="CCV308" s="127"/>
      <c r="CCW308" s="127"/>
      <c r="CCX308" s="127"/>
      <c r="CCY308" s="127"/>
      <c r="CCZ308" s="127"/>
      <c r="CDA308" s="127"/>
      <c r="CDB308" s="127"/>
      <c r="CDC308" s="127"/>
      <c r="CDD308" s="127"/>
      <c r="CDE308" s="127"/>
      <c r="CDF308" s="127"/>
      <c r="CDG308" s="127"/>
      <c r="CDH308" s="127"/>
      <c r="CDI308" s="127"/>
      <c r="CDJ308" s="127"/>
      <c r="CDK308" s="127"/>
      <c r="CDL308" s="127"/>
      <c r="CDM308" s="127"/>
      <c r="CDN308" s="127"/>
      <c r="CDO308" s="127"/>
      <c r="CDP308" s="127"/>
      <c r="CDQ308" s="127"/>
      <c r="CDR308" s="127"/>
      <c r="CDS308" s="127"/>
      <c r="CDT308" s="127"/>
      <c r="CDU308" s="127"/>
      <c r="CDV308" s="127"/>
      <c r="CDW308" s="127"/>
      <c r="CDX308" s="127"/>
      <c r="CDY308" s="127"/>
      <c r="CDZ308" s="127"/>
      <c r="CEA308" s="127"/>
      <c r="CEB308" s="127"/>
      <c r="CEC308" s="127"/>
      <c r="CED308" s="127"/>
      <c r="CEE308" s="127"/>
      <c r="CEF308" s="127"/>
      <c r="CEG308" s="127"/>
      <c r="CEH308" s="127"/>
      <c r="CEI308" s="127"/>
      <c r="CEJ308" s="127"/>
      <c r="CEK308" s="127"/>
      <c r="CEL308" s="127"/>
      <c r="CEM308" s="127"/>
      <c r="CEN308" s="127"/>
      <c r="CEO308" s="127"/>
      <c r="CEP308" s="127"/>
      <c r="CEQ308" s="127"/>
      <c r="CER308" s="127"/>
      <c r="CES308" s="127"/>
      <c r="CET308" s="127"/>
      <c r="CEU308" s="127"/>
      <c r="CEV308" s="127"/>
      <c r="CEW308" s="127"/>
      <c r="CEX308" s="127"/>
      <c r="CEY308" s="127"/>
      <c r="CEZ308" s="127"/>
      <c r="CFA308" s="127"/>
      <c r="CFB308" s="127"/>
      <c r="CFC308" s="127"/>
      <c r="CFD308" s="127"/>
      <c r="CFE308" s="127"/>
      <c r="CFF308" s="127"/>
      <c r="CFG308" s="127"/>
      <c r="CFH308" s="127"/>
      <c r="CFI308" s="127"/>
      <c r="CFJ308" s="127"/>
      <c r="CFK308" s="127"/>
      <c r="CFL308" s="127"/>
      <c r="CFM308" s="127"/>
      <c r="CFN308" s="127"/>
      <c r="CFO308" s="127"/>
      <c r="CFP308" s="127"/>
      <c r="CFQ308" s="127"/>
      <c r="CFR308" s="127"/>
      <c r="CFS308" s="127"/>
      <c r="CFT308" s="127"/>
      <c r="CFU308" s="127"/>
      <c r="CFV308" s="127"/>
      <c r="CFW308" s="127"/>
      <c r="CFX308" s="127"/>
      <c r="CFY308" s="127"/>
      <c r="CFZ308" s="127"/>
      <c r="CGA308" s="127"/>
      <c r="CGB308" s="127"/>
      <c r="CGC308" s="127"/>
      <c r="CGD308" s="127"/>
      <c r="CGE308" s="127"/>
      <c r="CGF308" s="127"/>
      <c r="CGG308" s="127"/>
      <c r="CGH308" s="127"/>
      <c r="CGI308" s="127"/>
      <c r="CGJ308" s="127"/>
      <c r="CGK308" s="127"/>
      <c r="CGL308" s="127"/>
      <c r="CGM308" s="127"/>
      <c r="CGN308" s="127"/>
      <c r="CGO308" s="127"/>
      <c r="CGP308" s="127"/>
      <c r="CGQ308" s="127"/>
      <c r="CGR308" s="127"/>
      <c r="CGS308" s="127"/>
      <c r="CGT308" s="127"/>
      <c r="CGU308" s="127"/>
      <c r="CGV308" s="127"/>
      <c r="CGW308" s="127"/>
      <c r="CGX308" s="127"/>
      <c r="CGY308" s="127"/>
      <c r="CGZ308" s="127"/>
      <c r="CHA308" s="127"/>
      <c r="CHB308" s="127"/>
      <c r="CHC308" s="127"/>
      <c r="CHD308" s="127"/>
      <c r="CHE308" s="127"/>
      <c r="CHF308" s="127"/>
      <c r="CHG308" s="127"/>
      <c r="CHH308" s="127"/>
      <c r="CHI308" s="127"/>
      <c r="CHJ308" s="127"/>
      <c r="CHK308" s="127"/>
      <c r="CHL308" s="127"/>
      <c r="CHM308" s="127"/>
      <c r="CHN308" s="127"/>
      <c r="CHO308" s="127"/>
      <c r="CHP308" s="127"/>
      <c r="CHQ308" s="127"/>
      <c r="CHR308" s="127"/>
      <c r="CHS308" s="127"/>
      <c r="CHT308" s="127"/>
      <c r="CHU308" s="127"/>
      <c r="CHV308" s="127"/>
      <c r="CHW308" s="127"/>
      <c r="CHX308" s="127"/>
      <c r="CHY308" s="127"/>
      <c r="CHZ308" s="127"/>
      <c r="CIA308" s="127"/>
      <c r="CIB308" s="127"/>
      <c r="CIC308" s="127"/>
      <c r="CID308" s="127"/>
      <c r="CIE308" s="127"/>
      <c r="CIF308" s="127"/>
      <c r="CIG308" s="127"/>
      <c r="CIH308" s="127"/>
      <c r="CII308" s="127"/>
      <c r="CIJ308" s="127"/>
      <c r="CIK308" s="127"/>
      <c r="CIL308" s="127"/>
      <c r="CIM308" s="127"/>
      <c r="CIN308" s="127"/>
      <c r="CIO308" s="127"/>
      <c r="CIP308" s="127"/>
      <c r="CIQ308" s="127"/>
      <c r="CIR308" s="127"/>
      <c r="CIS308" s="127"/>
      <c r="CIT308" s="127"/>
      <c r="CIU308" s="127"/>
      <c r="CIV308" s="127"/>
      <c r="CIW308" s="127"/>
      <c r="CIX308" s="127"/>
      <c r="CIY308" s="127"/>
      <c r="CIZ308" s="127"/>
      <c r="CJA308" s="127"/>
      <c r="CJB308" s="127"/>
      <c r="CJC308" s="127"/>
      <c r="CJD308" s="127"/>
      <c r="CJE308" s="127"/>
      <c r="CJF308" s="127"/>
      <c r="CJG308" s="127"/>
      <c r="CJH308" s="127"/>
      <c r="CJI308" s="127"/>
      <c r="CJJ308" s="127"/>
      <c r="CJK308" s="127"/>
      <c r="CJL308" s="127"/>
      <c r="CJM308" s="127"/>
      <c r="CJN308" s="127"/>
      <c r="CJO308" s="127"/>
      <c r="CJP308" s="127"/>
      <c r="CJQ308" s="127"/>
      <c r="CJR308" s="127"/>
      <c r="CJS308" s="127"/>
      <c r="CJT308" s="127"/>
      <c r="CJU308" s="127"/>
      <c r="CJV308" s="127"/>
      <c r="CJW308" s="127"/>
      <c r="CJX308" s="127"/>
      <c r="CJY308" s="127"/>
      <c r="CJZ308" s="127"/>
      <c r="CKA308" s="127"/>
      <c r="CKB308" s="127"/>
      <c r="CKC308" s="127"/>
      <c r="CKD308" s="127"/>
      <c r="CKE308" s="127"/>
      <c r="CKF308" s="127"/>
      <c r="CKG308" s="127"/>
      <c r="CKH308" s="127"/>
      <c r="CKI308" s="127"/>
      <c r="CKJ308" s="127"/>
      <c r="CKK308" s="127"/>
      <c r="CKL308" s="127"/>
      <c r="CKM308" s="127"/>
      <c r="CKN308" s="127"/>
      <c r="CKO308" s="127"/>
      <c r="CKP308" s="127"/>
      <c r="CKQ308" s="127"/>
      <c r="CKR308" s="127"/>
      <c r="CKS308" s="127"/>
      <c r="CKT308" s="127"/>
      <c r="CKU308" s="127"/>
      <c r="CKV308" s="127"/>
      <c r="CKW308" s="127"/>
      <c r="CKX308" s="127"/>
      <c r="CKY308" s="127"/>
      <c r="CKZ308" s="127"/>
      <c r="CLA308" s="127"/>
      <c r="CLB308" s="127"/>
      <c r="CLC308" s="127"/>
      <c r="CLD308" s="127"/>
      <c r="CLE308" s="127"/>
      <c r="CLF308" s="127"/>
      <c r="CLG308" s="127"/>
      <c r="CLH308" s="127"/>
      <c r="CLI308" s="127"/>
      <c r="CLJ308" s="127"/>
      <c r="CLK308" s="127"/>
      <c r="CLL308" s="127"/>
      <c r="CLM308" s="127"/>
      <c r="CLN308" s="127"/>
      <c r="CLO308" s="127"/>
      <c r="CLP308" s="127"/>
      <c r="CLQ308" s="127"/>
      <c r="CLR308" s="127"/>
      <c r="CLS308" s="127"/>
      <c r="CLT308" s="127"/>
      <c r="CLU308" s="127"/>
      <c r="CLV308" s="127"/>
      <c r="CLW308" s="127"/>
      <c r="CLX308" s="127"/>
      <c r="CLY308" s="127"/>
      <c r="CLZ308" s="127"/>
      <c r="CMA308" s="127"/>
      <c r="CMB308" s="127"/>
      <c r="CMC308" s="127"/>
      <c r="CMD308" s="127"/>
      <c r="CME308" s="127"/>
      <c r="CMF308" s="127"/>
      <c r="CMG308" s="127"/>
      <c r="CMH308" s="127"/>
      <c r="CMI308" s="127"/>
      <c r="CMJ308" s="127"/>
      <c r="CMK308" s="127"/>
      <c r="CML308" s="127"/>
      <c r="CMM308" s="127"/>
      <c r="CMN308" s="127"/>
      <c r="CMO308" s="127"/>
      <c r="CMP308" s="127"/>
      <c r="CMQ308" s="127"/>
      <c r="CMR308" s="127"/>
      <c r="CMS308" s="127"/>
      <c r="CMT308" s="127"/>
      <c r="CMU308" s="127"/>
      <c r="CMV308" s="127"/>
      <c r="CMW308" s="127"/>
      <c r="CMX308" s="127"/>
      <c r="CMY308" s="127"/>
      <c r="CMZ308" s="127"/>
      <c r="CNA308" s="127"/>
      <c r="CNB308" s="127"/>
      <c r="CNC308" s="127"/>
      <c r="CND308" s="127"/>
      <c r="CNE308" s="127"/>
      <c r="CNF308" s="127"/>
      <c r="CNG308" s="127"/>
      <c r="CNH308" s="127"/>
      <c r="CNI308" s="127"/>
      <c r="CNJ308" s="127"/>
      <c r="CNK308" s="127"/>
      <c r="CNL308" s="127"/>
      <c r="CNM308" s="127"/>
      <c r="CNN308" s="127"/>
      <c r="CNO308" s="127"/>
      <c r="CNP308" s="127"/>
      <c r="CNQ308" s="127"/>
      <c r="CNR308" s="127"/>
      <c r="CNS308" s="127"/>
      <c r="CNT308" s="127"/>
      <c r="CNU308" s="127"/>
      <c r="CNV308" s="127"/>
      <c r="CNW308" s="127"/>
      <c r="CNX308" s="127"/>
      <c r="CNY308" s="127"/>
      <c r="CNZ308" s="127"/>
      <c r="COA308" s="127"/>
      <c r="COB308" s="127"/>
      <c r="COC308" s="127"/>
      <c r="COD308" s="127"/>
      <c r="COE308" s="127"/>
      <c r="COF308" s="127"/>
      <c r="COG308" s="127"/>
      <c r="COH308" s="127"/>
      <c r="COI308" s="127"/>
      <c r="COJ308" s="127"/>
      <c r="COK308" s="127"/>
      <c r="COL308" s="127"/>
      <c r="COM308" s="127"/>
      <c r="CON308" s="127"/>
      <c r="COO308" s="127"/>
      <c r="COP308" s="127"/>
      <c r="COQ308" s="127"/>
      <c r="COR308" s="127"/>
      <c r="COS308" s="127"/>
      <c r="COT308" s="127"/>
      <c r="COU308" s="127"/>
      <c r="COV308" s="127"/>
      <c r="COW308" s="127"/>
      <c r="COX308" s="127"/>
      <c r="COY308" s="127"/>
      <c r="COZ308" s="127"/>
      <c r="CPA308" s="127"/>
      <c r="CPB308" s="127"/>
      <c r="CPC308" s="127"/>
      <c r="CPD308" s="127"/>
      <c r="CPE308" s="127"/>
      <c r="CPF308" s="127"/>
      <c r="CPG308" s="127"/>
      <c r="CPH308" s="127"/>
      <c r="CPI308" s="127"/>
      <c r="CPJ308" s="127"/>
      <c r="CPK308" s="127"/>
      <c r="CPL308" s="127"/>
      <c r="CPM308" s="127"/>
      <c r="CPN308" s="127"/>
      <c r="CPO308" s="127"/>
      <c r="CPP308" s="127"/>
      <c r="CPQ308" s="127"/>
      <c r="CPR308" s="127"/>
      <c r="CPS308" s="127"/>
      <c r="CPT308" s="127"/>
      <c r="CPU308" s="127"/>
      <c r="CPV308" s="127"/>
      <c r="CPW308" s="127"/>
      <c r="CPX308" s="127"/>
      <c r="CPY308" s="127"/>
      <c r="CPZ308" s="127"/>
      <c r="CQA308" s="127"/>
      <c r="CQB308" s="127"/>
      <c r="CQC308" s="127"/>
      <c r="CQD308" s="127"/>
      <c r="CQE308" s="127"/>
      <c r="CQF308" s="127"/>
      <c r="CQG308" s="127"/>
      <c r="CQH308" s="127"/>
      <c r="CQI308" s="127"/>
      <c r="CQJ308" s="127"/>
      <c r="CQK308" s="127"/>
      <c r="CQL308" s="127"/>
      <c r="CQM308" s="127"/>
      <c r="CQN308" s="127"/>
      <c r="CQO308" s="127"/>
      <c r="CQP308" s="127"/>
      <c r="CQQ308" s="127"/>
      <c r="CQR308" s="127"/>
      <c r="CQS308" s="127"/>
      <c r="CQT308" s="127"/>
      <c r="CQU308" s="127"/>
      <c r="CQV308" s="127"/>
      <c r="CQW308" s="127"/>
      <c r="CQX308" s="127"/>
      <c r="CQY308" s="127"/>
      <c r="CQZ308" s="127"/>
      <c r="CRA308" s="127"/>
      <c r="CRB308" s="127"/>
      <c r="CRC308" s="127"/>
      <c r="CRD308" s="127"/>
      <c r="CRE308" s="127"/>
      <c r="CRF308" s="127"/>
      <c r="CRG308" s="127"/>
      <c r="CRH308" s="127"/>
      <c r="CRI308" s="127"/>
      <c r="CRJ308" s="127"/>
      <c r="CRK308" s="127"/>
      <c r="CRL308" s="127"/>
      <c r="CRM308" s="127"/>
      <c r="CRN308" s="127"/>
      <c r="CRO308" s="127"/>
      <c r="CRP308" s="127"/>
      <c r="CRQ308" s="127"/>
      <c r="CRR308" s="127"/>
      <c r="CRS308" s="127"/>
      <c r="CRT308" s="127"/>
      <c r="CRU308" s="127"/>
      <c r="CRV308" s="127"/>
      <c r="CRW308" s="127"/>
      <c r="CRX308" s="127"/>
      <c r="CRY308" s="127"/>
      <c r="CRZ308" s="127"/>
      <c r="CSA308" s="127"/>
      <c r="CSB308" s="127"/>
      <c r="CSC308" s="127"/>
      <c r="CSD308" s="127"/>
      <c r="CSE308" s="127"/>
      <c r="CSF308" s="127"/>
      <c r="CSG308" s="127"/>
      <c r="CSH308" s="127"/>
      <c r="CSI308" s="127"/>
      <c r="CSJ308" s="127"/>
      <c r="CSK308" s="127"/>
      <c r="CSL308" s="127"/>
      <c r="CSM308" s="127"/>
      <c r="CSN308" s="127"/>
      <c r="CSO308" s="127"/>
      <c r="CSP308" s="127"/>
      <c r="CSQ308" s="127"/>
      <c r="CSR308" s="127"/>
      <c r="CSS308" s="127"/>
      <c r="CST308" s="127"/>
      <c r="CSU308" s="127"/>
      <c r="CSV308" s="127"/>
      <c r="CSW308" s="127"/>
      <c r="CSX308" s="127"/>
      <c r="CSY308" s="127"/>
      <c r="CSZ308" s="127"/>
      <c r="CTA308" s="127"/>
      <c r="CTB308" s="127"/>
      <c r="CTC308" s="127"/>
      <c r="CTD308" s="127"/>
      <c r="CTE308" s="127"/>
      <c r="CTF308" s="127"/>
      <c r="CTG308" s="127"/>
      <c r="CTH308" s="127"/>
      <c r="CTI308" s="127"/>
      <c r="CTJ308" s="127"/>
      <c r="CTK308" s="127"/>
      <c r="CTL308" s="127"/>
      <c r="CTM308" s="127"/>
      <c r="CTN308" s="127"/>
      <c r="CTO308" s="127"/>
      <c r="CTP308" s="127"/>
      <c r="CTQ308" s="127"/>
      <c r="CTR308" s="127"/>
      <c r="CTS308" s="127"/>
      <c r="CTT308" s="127"/>
      <c r="CTU308" s="127"/>
      <c r="CTV308" s="127"/>
      <c r="CTW308" s="127"/>
      <c r="CTX308" s="127"/>
      <c r="CTY308" s="127"/>
      <c r="CTZ308" s="127"/>
      <c r="CUA308" s="127"/>
      <c r="CUB308" s="127"/>
      <c r="CUC308" s="127"/>
      <c r="CUD308" s="127"/>
      <c r="CUE308" s="127"/>
      <c r="CUF308" s="127"/>
      <c r="CUG308" s="127"/>
      <c r="CUH308" s="127"/>
      <c r="CUI308" s="127"/>
      <c r="CUJ308" s="127"/>
      <c r="CUK308" s="127"/>
      <c r="CUL308" s="127"/>
      <c r="CUM308" s="127"/>
      <c r="CUN308" s="127"/>
      <c r="CUO308" s="127"/>
      <c r="CUP308" s="127"/>
      <c r="CUQ308" s="127"/>
      <c r="CUR308" s="127"/>
      <c r="CUS308" s="127"/>
      <c r="CUT308" s="127"/>
      <c r="CUU308" s="127"/>
      <c r="CUV308" s="127"/>
      <c r="CUW308" s="127"/>
      <c r="CUX308" s="127"/>
      <c r="CUY308" s="127"/>
      <c r="CUZ308" s="127"/>
      <c r="CVA308" s="127"/>
      <c r="CVB308" s="127"/>
      <c r="CVC308" s="127"/>
      <c r="CVD308" s="127"/>
      <c r="CVE308" s="127"/>
      <c r="CVF308" s="127"/>
      <c r="CVG308" s="127"/>
      <c r="CVH308" s="127"/>
      <c r="CVI308" s="127"/>
      <c r="CVJ308" s="127"/>
      <c r="CVK308" s="127"/>
      <c r="CVL308" s="127"/>
      <c r="CVM308" s="127"/>
      <c r="CVN308" s="127"/>
      <c r="CVO308" s="127"/>
      <c r="CVP308" s="127"/>
      <c r="CVQ308" s="127"/>
      <c r="CVR308" s="127"/>
      <c r="CVS308" s="127"/>
      <c r="CVT308" s="127"/>
      <c r="CVU308" s="127"/>
      <c r="CVV308" s="127"/>
      <c r="CVW308" s="127"/>
      <c r="CVX308" s="127"/>
      <c r="CVY308" s="127"/>
      <c r="CVZ308" s="127"/>
      <c r="CWA308" s="127"/>
      <c r="CWB308" s="127"/>
      <c r="CWC308" s="127"/>
      <c r="CWD308" s="127"/>
      <c r="CWE308" s="127"/>
      <c r="CWF308" s="127"/>
      <c r="CWG308" s="127"/>
      <c r="CWH308" s="127"/>
      <c r="CWI308" s="127"/>
      <c r="CWJ308" s="127"/>
      <c r="CWK308" s="127"/>
      <c r="CWL308" s="127"/>
      <c r="CWM308" s="127"/>
      <c r="CWN308" s="127"/>
      <c r="CWO308" s="127"/>
      <c r="CWP308" s="127"/>
      <c r="CWQ308" s="127"/>
      <c r="CWR308" s="127"/>
      <c r="CWS308" s="127"/>
      <c r="CWT308" s="127"/>
      <c r="CWU308" s="127"/>
      <c r="CWV308" s="127"/>
      <c r="CWW308" s="127"/>
      <c r="CWX308" s="127"/>
      <c r="CWY308" s="127"/>
      <c r="CWZ308" s="127"/>
      <c r="CXA308" s="127"/>
      <c r="CXB308" s="127"/>
      <c r="CXC308" s="127"/>
      <c r="CXD308" s="127"/>
      <c r="CXE308" s="127"/>
      <c r="CXF308" s="127"/>
      <c r="CXG308" s="127"/>
      <c r="CXH308" s="127"/>
      <c r="CXI308" s="127"/>
      <c r="CXJ308" s="127"/>
      <c r="CXK308" s="127"/>
      <c r="CXL308" s="127"/>
      <c r="CXM308" s="127"/>
      <c r="CXN308" s="127"/>
      <c r="CXO308" s="127"/>
      <c r="CXP308" s="127"/>
      <c r="CXQ308" s="127"/>
      <c r="CXR308" s="127"/>
      <c r="CXS308" s="127"/>
      <c r="CXT308" s="127"/>
      <c r="CXU308" s="127"/>
      <c r="CXV308" s="127"/>
      <c r="CXW308" s="127"/>
      <c r="CXX308" s="127"/>
      <c r="CXY308" s="127"/>
      <c r="CXZ308" s="127"/>
      <c r="CYA308" s="127"/>
      <c r="CYB308" s="127"/>
      <c r="CYC308" s="127"/>
      <c r="CYD308" s="127"/>
      <c r="CYE308" s="127"/>
      <c r="CYF308" s="127"/>
      <c r="CYG308" s="127"/>
      <c r="CYH308" s="127"/>
      <c r="CYI308" s="127"/>
      <c r="CYJ308" s="127"/>
      <c r="CYK308" s="127"/>
      <c r="CYL308" s="127"/>
      <c r="CYM308" s="127"/>
      <c r="CYN308" s="127"/>
      <c r="CYO308" s="127"/>
      <c r="CYP308" s="127"/>
      <c r="CYQ308" s="127"/>
      <c r="CYR308" s="127"/>
      <c r="CYS308" s="127"/>
      <c r="CYT308" s="127"/>
      <c r="CYU308" s="127"/>
      <c r="CYV308" s="127"/>
      <c r="CYW308" s="127"/>
      <c r="CYX308" s="127"/>
      <c r="CYY308" s="127"/>
      <c r="CYZ308" s="127"/>
      <c r="CZA308" s="127"/>
      <c r="CZB308" s="127"/>
      <c r="CZC308" s="127"/>
      <c r="CZD308" s="127"/>
      <c r="CZE308" s="127"/>
      <c r="CZF308" s="127"/>
      <c r="CZG308" s="127"/>
      <c r="CZH308" s="127"/>
      <c r="CZI308" s="127"/>
      <c r="CZJ308" s="127"/>
      <c r="CZK308" s="127"/>
      <c r="CZL308" s="127"/>
      <c r="CZM308" s="127"/>
      <c r="CZN308" s="127"/>
      <c r="CZO308" s="127"/>
      <c r="CZP308" s="127"/>
      <c r="CZQ308" s="127"/>
      <c r="CZR308" s="127"/>
      <c r="CZS308" s="127"/>
      <c r="CZT308" s="127"/>
      <c r="CZU308" s="127"/>
      <c r="CZV308" s="127"/>
      <c r="CZW308" s="127"/>
      <c r="CZX308" s="127"/>
      <c r="CZY308" s="127"/>
      <c r="CZZ308" s="127"/>
      <c r="DAA308" s="127"/>
      <c r="DAB308" s="127"/>
      <c r="DAC308" s="127"/>
      <c r="DAD308" s="127"/>
      <c r="DAE308" s="127"/>
      <c r="DAF308" s="127"/>
      <c r="DAG308" s="127"/>
      <c r="DAH308" s="127"/>
      <c r="DAI308" s="127"/>
      <c r="DAJ308" s="127"/>
      <c r="DAK308" s="127"/>
      <c r="DAL308" s="127"/>
      <c r="DAM308" s="127"/>
      <c r="DAN308" s="127"/>
      <c r="DAO308" s="127"/>
      <c r="DAP308" s="127"/>
      <c r="DAQ308" s="127"/>
      <c r="DAR308" s="127"/>
      <c r="DAS308" s="127"/>
      <c r="DAT308" s="127"/>
      <c r="DAU308" s="127"/>
      <c r="DAV308" s="127"/>
      <c r="DAW308" s="127"/>
      <c r="DAX308" s="127"/>
      <c r="DAY308" s="127"/>
      <c r="DAZ308" s="127"/>
      <c r="DBA308" s="127"/>
      <c r="DBB308" s="127"/>
      <c r="DBC308" s="127"/>
      <c r="DBD308" s="127"/>
      <c r="DBE308" s="127"/>
      <c r="DBF308" s="127"/>
      <c r="DBG308" s="127"/>
      <c r="DBH308" s="127"/>
      <c r="DBI308" s="127"/>
      <c r="DBJ308" s="127"/>
      <c r="DBK308" s="127"/>
      <c r="DBL308" s="127"/>
      <c r="DBM308" s="127"/>
      <c r="DBN308" s="127"/>
      <c r="DBO308" s="127"/>
      <c r="DBP308" s="127"/>
      <c r="DBQ308" s="127"/>
      <c r="DBR308" s="127"/>
      <c r="DBS308" s="127"/>
      <c r="DBT308" s="127"/>
      <c r="DBU308" s="127"/>
      <c r="DBV308" s="127"/>
      <c r="DBW308" s="127"/>
      <c r="DBX308" s="127"/>
      <c r="DBY308" s="127"/>
      <c r="DBZ308" s="127"/>
      <c r="DCA308" s="127"/>
      <c r="DCB308" s="127"/>
      <c r="DCC308" s="127"/>
      <c r="DCD308" s="127"/>
      <c r="DCE308" s="127"/>
      <c r="DCF308" s="127"/>
      <c r="DCG308" s="127"/>
      <c r="DCH308" s="127"/>
      <c r="DCI308" s="127"/>
      <c r="DCJ308" s="127"/>
      <c r="DCK308" s="127"/>
      <c r="DCL308" s="127"/>
      <c r="DCM308" s="127"/>
      <c r="DCN308" s="127"/>
      <c r="DCO308" s="127"/>
      <c r="DCP308" s="127"/>
      <c r="DCQ308" s="127"/>
      <c r="DCR308" s="127"/>
      <c r="DCS308" s="127"/>
      <c r="DCT308" s="127"/>
      <c r="DCU308" s="127"/>
      <c r="DCV308" s="127"/>
      <c r="DCW308" s="127"/>
      <c r="DCX308" s="127"/>
      <c r="DCY308" s="127"/>
      <c r="DCZ308" s="127"/>
      <c r="DDA308" s="127"/>
      <c r="DDB308" s="127"/>
      <c r="DDC308" s="127"/>
      <c r="DDD308" s="127"/>
      <c r="DDE308" s="127"/>
      <c r="DDF308" s="127"/>
      <c r="DDG308" s="127"/>
      <c r="DDH308" s="127"/>
      <c r="DDI308" s="127"/>
      <c r="DDJ308" s="127"/>
      <c r="DDK308" s="127"/>
      <c r="DDL308" s="127"/>
      <c r="DDM308" s="127"/>
      <c r="DDN308" s="127"/>
      <c r="DDO308" s="127"/>
      <c r="DDP308" s="127"/>
      <c r="DDQ308" s="127"/>
      <c r="DDR308" s="127"/>
      <c r="DDS308" s="127"/>
      <c r="DDT308" s="127"/>
      <c r="DDU308" s="127"/>
      <c r="DDV308" s="127"/>
      <c r="DDW308" s="127"/>
      <c r="DDX308" s="127"/>
      <c r="DDY308" s="127"/>
      <c r="DDZ308" s="127"/>
      <c r="DEA308" s="127"/>
      <c r="DEB308" s="127"/>
      <c r="DEC308" s="127"/>
      <c r="DED308" s="127"/>
      <c r="DEE308" s="127"/>
      <c r="DEF308" s="127"/>
      <c r="DEG308" s="127"/>
      <c r="DEH308" s="127"/>
      <c r="DEI308" s="127"/>
      <c r="DEJ308" s="127"/>
      <c r="DEK308" s="127"/>
      <c r="DEL308" s="127"/>
      <c r="DEM308" s="127"/>
      <c r="DEN308" s="127"/>
      <c r="DEO308" s="127"/>
      <c r="DEP308" s="127"/>
      <c r="DEQ308" s="127"/>
      <c r="DER308" s="127"/>
      <c r="DES308" s="127"/>
      <c r="DET308" s="127"/>
      <c r="DEU308" s="127"/>
      <c r="DEV308" s="127"/>
      <c r="DEW308" s="127"/>
      <c r="DEX308" s="127"/>
      <c r="DEY308" s="127"/>
      <c r="DEZ308" s="127"/>
      <c r="DFA308" s="127"/>
      <c r="DFB308" s="127"/>
      <c r="DFC308" s="127"/>
      <c r="DFD308" s="127"/>
      <c r="DFE308" s="127"/>
      <c r="DFF308" s="127"/>
      <c r="DFG308" s="127"/>
      <c r="DFH308" s="127"/>
      <c r="DFI308" s="127"/>
      <c r="DFJ308" s="127"/>
      <c r="DFK308" s="127"/>
      <c r="DFL308" s="127"/>
      <c r="DFM308" s="127"/>
      <c r="DFN308" s="127"/>
      <c r="DFO308" s="127"/>
      <c r="DFP308" s="127"/>
      <c r="DFQ308" s="127"/>
      <c r="DFR308" s="127"/>
      <c r="DFS308" s="127"/>
      <c r="DFT308" s="127"/>
      <c r="DFU308" s="127"/>
      <c r="DFV308" s="127"/>
      <c r="DFW308" s="127"/>
      <c r="DFX308" s="127"/>
      <c r="DFY308" s="127"/>
      <c r="DFZ308" s="127"/>
      <c r="DGA308" s="127"/>
      <c r="DGB308" s="127"/>
      <c r="DGC308" s="127"/>
      <c r="DGD308" s="127"/>
      <c r="DGE308" s="127"/>
      <c r="DGF308" s="127"/>
      <c r="DGG308" s="127"/>
      <c r="DGH308" s="127"/>
      <c r="DGI308" s="127"/>
      <c r="DGJ308" s="127"/>
      <c r="DGK308" s="127"/>
      <c r="DGL308" s="127"/>
      <c r="DGM308" s="127"/>
      <c r="DGN308" s="127"/>
      <c r="DGO308" s="127"/>
      <c r="DGP308" s="127"/>
      <c r="DGQ308" s="127"/>
      <c r="DGR308" s="127"/>
      <c r="DGS308" s="127"/>
      <c r="DGT308" s="127"/>
      <c r="DGU308" s="127"/>
      <c r="DGV308" s="127"/>
      <c r="DGW308" s="127"/>
      <c r="DGX308" s="127"/>
      <c r="DGY308" s="127"/>
      <c r="DGZ308" s="127"/>
      <c r="DHA308" s="127"/>
      <c r="DHB308" s="127"/>
      <c r="DHC308" s="127"/>
      <c r="DHD308" s="127"/>
      <c r="DHE308" s="127"/>
      <c r="DHF308" s="127"/>
      <c r="DHG308" s="127"/>
      <c r="DHH308" s="127"/>
      <c r="DHI308" s="127"/>
      <c r="DHJ308" s="127"/>
      <c r="DHK308" s="127"/>
      <c r="DHL308" s="127"/>
      <c r="DHM308" s="127"/>
      <c r="DHN308" s="127"/>
      <c r="DHO308" s="127"/>
      <c r="DHP308" s="127"/>
      <c r="DHQ308" s="127"/>
      <c r="DHR308" s="127"/>
      <c r="DHS308" s="127"/>
      <c r="DHT308" s="127"/>
      <c r="DHU308" s="127"/>
      <c r="DHV308" s="127"/>
      <c r="DHW308" s="127"/>
      <c r="DHX308" s="127"/>
      <c r="DHY308" s="127"/>
      <c r="DHZ308" s="127"/>
      <c r="DIA308" s="127"/>
      <c r="DIB308" s="127"/>
      <c r="DIC308" s="127"/>
      <c r="DID308" s="127"/>
      <c r="DIE308" s="127"/>
      <c r="DIF308" s="127"/>
      <c r="DIG308" s="127"/>
      <c r="DIH308" s="127"/>
      <c r="DII308" s="127"/>
      <c r="DIJ308" s="127"/>
      <c r="DIK308" s="127"/>
      <c r="DIL308" s="127"/>
      <c r="DIM308" s="127"/>
      <c r="DIN308" s="127"/>
      <c r="DIO308" s="127"/>
      <c r="DIP308" s="127"/>
      <c r="DIQ308" s="127"/>
      <c r="DIR308" s="127"/>
      <c r="DIS308" s="127"/>
      <c r="DIT308" s="127"/>
      <c r="DIU308" s="127"/>
      <c r="DIV308" s="127"/>
      <c r="DIW308" s="127"/>
      <c r="DIX308" s="127"/>
      <c r="DIY308" s="127"/>
      <c r="DIZ308" s="127"/>
      <c r="DJA308" s="127"/>
      <c r="DJB308" s="127"/>
      <c r="DJC308" s="127"/>
      <c r="DJD308" s="127"/>
      <c r="DJE308" s="127"/>
      <c r="DJF308" s="127"/>
      <c r="DJG308" s="127"/>
      <c r="DJH308" s="127"/>
      <c r="DJI308" s="127"/>
      <c r="DJJ308" s="127"/>
      <c r="DJK308" s="127"/>
      <c r="DJL308" s="127"/>
      <c r="DJM308" s="127"/>
      <c r="DJN308" s="127"/>
      <c r="DJO308" s="127"/>
      <c r="DJP308" s="127"/>
      <c r="DJQ308" s="127"/>
      <c r="DJR308" s="127"/>
      <c r="DJS308" s="127"/>
      <c r="DJT308" s="127"/>
      <c r="DJU308" s="127"/>
      <c r="DJV308" s="127"/>
      <c r="DJW308" s="127"/>
      <c r="DJX308" s="127"/>
      <c r="DJY308" s="127"/>
      <c r="DJZ308" s="127"/>
      <c r="DKA308" s="127"/>
      <c r="DKB308" s="127"/>
      <c r="DKC308" s="127"/>
      <c r="DKD308" s="127"/>
      <c r="DKE308" s="127"/>
      <c r="DKF308" s="127"/>
      <c r="DKG308" s="127"/>
      <c r="DKH308" s="127"/>
      <c r="DKI308" s="127"/>
      <c r="DKJ308" s="127"/>
      <c r="DKK308" s="127"/>
      <c r="DKL308" s="127"/>
      <c r="DKM308" s="127"/>
      <c r="DKN308" s="127"/>
      <c r="DKO308" s="127"/>
      <c r="DKP308" s="127"/>
      <c r="DKQ308" s="127"/>
      <c r="DKR308" s="127"/>
      <c r="DKS308" s="127"/>
      <c r="DKT308" s="127"/>
      <c r="DKU308" s="127"/>
      <c r="DKV308" s="127"/>
      <c r="DKW308" s="127"/>
      <c r="DKX308" s="127"/>
      <c r="DKY308" s="127"/>
      <c r="DKZ308" s="127"/>
      <c r="DLA308" s="127"/>
      <c r="DLB308" s="127"/>
      <c r="DLC308" s="127"/>
      <c r="DLD308" s="127"/>
      <c r="DLE308" s="127"/>
      <c r="DLF308" s="127"/>
      <c r="DLG308" s="127"/>
      <c r="DLH308" s="127"/>
      <c r="DLI308" s="127"/>
      <c r="DLJ308" s="127"/>
      <c r="DLK308" s="127"/>
      <c r="DLL308" s="127"/>
      <c r="DLM308" s="127"/>
      <c r="DLN308" s="127"/>
      <c r="DLO308" s="127"/>
      <c r="DLP308" s="127"/>
      <c r="DLQ308" s="127"/>
      <c r="DLR308" s="127"/>
      <c r="DLS308" s="127"/>
      <c r="DLT308" s="127"/>
      <c r="DLU308" s="127"/>
      <c r="DLV308" s="127"/>
      <c r="DLW308" s="127"/>
      <c r="DLX308" s="127"/>
      <c r="DLY308" s="127"/>
      <c r="DLZ308" s="127"/>
      <c r="DMA308" s="127"/>
      <c r="DMB308" s="127"/>
      <c r="DMC308" s="127"/>
      <c r="DMD308" s="127"/>
      <c r="DME308" s="127"/>
      <c r="DMF308" s="127"/>
      <c r="DMG308" s="127"/>
      <c r="DMH308" s="127"/>
      <c r="DMI308" s="127"/>
      <c r="DMJ308" s="127"/>
      <c r="DMK308" s="127"/>
      <c r="DML308" s="127"/>
      <c r="DMM308" s="127"/>
      <c r="DMN308" s="127"/>
      <c r="DMO308" s="127"/>
      <c r="DMP308" s="127"/>
      <c r="DMQ308" s="127"/>
      <c r="DMR308" s="127"/>
      <c r="DMS308" s="127"/>
      <c r="DMT308" s="127"/>
      <c r="DMU308" s="127"/>
      <c r="DMV308" s="127"/>
      <c r="DMW308" s="127"/>
      <c r="DMX308" s="127"/>
      <c r="DMY308" s="127"/>
      <c r="DMZ308" s="127"/>
      <c r="DNA308" s="127"/>
      <c r="DNB308" s="127"/>
      <c r="DNC308" s="127"/>
      <c r="DND308" s="127"/>
      <c r="DNE308" s="127"/>
      <c r="DNF308" s="127"/>
      <c r="DNG308" s="127"/>
      <c r="DNH308" s="127"/>
      <c r="DNI308" s="127"/>
      <c r="DNJ308" s="127"/>
      <c r="DNK308" s="127"/>
      <c r="DNL308" s="127"/>
      <c r="DNM308" s="127"/>
      <c r="DNN308" s="127"/>
      <c r="DNO308" s="127"/>
      <c r="DNP308" s="127"/>
      <c r="DNQ308" s="127"/>
      <c r="DNR308" s="127"/>
      <c r="DNS308" s="127"/>
      <c r="DNT308" s="127"/>
      <c r="DNU308" s="127"/>
      <c r="DNV308" s="127"/>
      <c r="DNW308" s="127"/>
      <c r="DNX308" s="127"/>
      <c r="DNY308" s="127"/>
      <c r="DNZ308" s="127"/>
      <c r="DOA308" s="127"/>
      <c r="DOB308" s="127"/>
      <c r="DOC308" s="127"/>
      <c r="DOD308" s="127"/>
      <c r="DOE308" s="127"/>
      <c r="DOF308" s="127"/>
      <c r="DOG308" s="127"/>
      <c r="DOH308" s="127"/>
      <c r="DOI308" s="127"/>
      <c r="DOJ308" s="127"/>
      <c r="DOK308" s="127"/>
      <c r="DOL308" s="127"/>
      <c r="DOM308" s="127"/>
      <c r="DON308" s="127"/>
      <c r="DOO308" s="127"/>
      <c r="DOP308" s="127"/>
      <c r="DOQ308" s="127"/>
      <c r="DOR308" s="127"/>
      <c r="DOS308" s="127"/>
      <c r="DOT308" s="127"/>
      <c r="DOU308" s="127"/>
      <c r="DOV308" s="127"/>
      <c r="DOW308" s="127"/>
      <c r="DOX308" s="127"/>
      <c r="DOY308" s="127"/>
      <c r="DOZ308" s="127"/>
      <c r="DPA308" s="127"/>
      <c r="DPB308" s="127"/>
      <c r="DPC308" s="127"/>
      <c r="DPD308" s="127"/>
      <c r="DPE308" s="127"/>
      <c r="DPF308" s="127"/>
      <c r="DPG308" s="127"/>
      <c r="DPH308" s="127"/>
      <c r="DPI308" s="127"/>
      <c r="DPJ308" s="127"/>
      <c r="DPK308" s="127"/>
      <c r="DPL308" s="127"/>
      <c r="DPM308" s="127"/>
      <c r="DPN308" s="127"/>
      <c r="DPO308" s="127"/>
      <c r="DPP308" s="127"/>
      <c r="DPQ308" s="127"/>
      <c r="DPR308" s="127"/>
      <c r="DPS308" s="127"/>
      <c r="DPT308" s="127"/>
      <c r="DPU308" s="127"/>
      <c r="DPV308" s="127"/>
      <c r="DPW308" s="127"/>
      <c r="DPX308" s="127"/>
      <c r="DPY308" s="127"/>
      <c r="DPZ308" s="127"/>
      <c r="DQA308" s="127"/>
      <c r="DQB308" s="127"/>
      <c r="DQC308" s="127"/>
      <c r="DQD308" s="127"/>
      <c r="DQE308" s="127"/>
      <c r="DQF308" s="127"/>
      <c r="DQG308" s="127"/>
      <c r="DQH308" s="127"/>
      <c r="DQI308" s="127"/>
      <c r="DQJ308" s="127"/>
      <c r="DQK308" s="127"/>
      <c r="DQL308" s="127"/>
      <c r="DQM308" s="127"/>
      <c r="DQN308" s="127"/>
      <c r="DQO308" s="127"/>
      <c r="DQP308" s="127"/>
      <c r="DQQ308" s="127"/>
      <c r="DQR308" s="127"/>
      <c r="DQS308" s="127"/>
      <c r="DQT308" s="127"/>
      <c r="DQU308" s="127"/>
      <c r="DQV308" s="127"/>
      <c r="DQW308" s="127"/>
      <c r="DQX308" s="127"/>
      <c r="DQY308" s="127"/>
      <c r="DQZ308" s="127"/>
      <c r="DRA308" s="127"/>
      <c r="DRB308" s="127"/>
      <c r="DRC308" s="127"/>
      <c r="DRD308" s="127"/>
      <c r="DRE308" s="127"/>
      <c r="DRF308" s="127"/>
      <c r="DRG308" s="127"/>
      <c r="DRH308" s="127"/>
      <c r="DRI308" s="127"/>
      <c r="DRJ308" s="127"/>
      <c r="DRK308" s="127"/>
      <c r="DRL308" s="127"/>
      <c r="DRM308" s="127"/>
      <c r="DRN308" s="127"/>
      <c r="DRO308" s="127"/>
      <c r="DRP308" s="127"/>
      <c r="DRQ308" s="127"/>
      <c r="DRR308" s="127"/>
      <c r="DRS308" s="127"/>
      <c r="DRT308" s="127"/>
      <c r="DRU308" s="127"/>
      <c r="DRV308" s="127"/>
      <c r="DRW308" s="127"/>
      <c r="DRX308" s="127"/>
      <c r="DRY308" s="127"/>
      <c r="DRZ308" s="127"/>
      <c r="DSA308" s="127"/>
      <c r="DSB308" s="127"/>
      <c r="DSC308" s="127"/>
      <c r="DSD308" s="127"/>
      <c r="DSE308" s="127"/>
      <c r="DSF308" s="127"/>
      <c r="DSG308" s="127"/>
      <c r="DSH308" s="127"/>
      <c r="DSI308" s="127"/>
      <c r="DSJ308" s="127"/>
      <c r="DSK308" s="127"/>
      <c r="DSL308" s="127"/>
      <c r="DSM308" s="127"/>
      <c r="DSN308" s="127"/>
      <c r="DSO308" s="127"/>
      <c r="DSP308" s="127"/>
      <c r="DSQ308" s="127"/>
      <c r="DSR308" s="127"/>
      <c r="DSS308" s="127"/>
      <c r="DST308" s="127"/>
      <c r="DSU308" s="127"/>
      <c r="DSV308" s="127"/>
      <c r="DSW308" s="127"/>
      <c r="DSX308" s="127"/>
      <c r="DSY308" s="127"/>
      <c r="DSZ308" s="127"/>
      <c r="DTA308" s="127"/>
      <c r="DTB308" s="127"/>
      <c r="DTC308" s="127"/>
      <c r="DTD308" s="127"/>
      <c r="DTE308" s="127"/>
      <c r="DTF308" s="127"/>
      <c r="DTG308" s="127"/>
      <c r="DTH308" s="127"/>
      <c r="DTI308" s="127"/>
      <c r="DTJ308" s="127"/>
      <c r="DTK308" s="127"/>
      <c r="DTL308" s="127"/>
      <c r="DTM308" s="127"/>
      <c r="DTN308" s="127"/>
      <c r="DTO308" s="127"/>
      <c r="DTP308" s="127"/>
      <c r="DTQ308" s="127"/>
      <c r="DTR308" s="127"/>
      <c r="DTS308" s="127"/>
      <c r="DTT308" s="127"/>
      <c r="DTU308" s="127"/>
      <c r="DTV308" s="127"/>
      <c r="DTW308" s="127"/>
      <c r="DTX308" s="127"/>
      <c r="DTY308" s="127"/>
      <c r="DTZ308" s="127"/>
      <c r="DUA308" s="127"/>
      <c r="DUB308" s="127"/>
      <c r="DUC308" s="127"/>
      <c r="DUD308" s="127"/>
      <c r="DUE308" s="127"/>
      <c r="DUF308" s="127"/>
      <c r="DUG308" s="127"/>
      <c r="DUH308" s="127"/>
      <c r="DUI308" s="127"/>
      <c r="DUJ308" s="127"/>
      <c r="DUK308" s="127"/>
      <c r="DUL308" s="127"/>
      <c r="DUM308" s="127"/>
      <c r="DUN308" s="127"/>
      <c r="DUO308" s="127"/>
      <c r="DUP308" s="127"/>
      <c r="DUQ308" s="127"/>
      <c r="DUR308" s="127"/>
      <c r="DUS308" s="127"/>
      <c r="DUT308" s="127"/>
      <c r="DUU308" s="127"/>
      <c r="DUV308" s="127"/>
      <c r="DUW308" s="127"/>
      <c r="DUX308" s="127"/>
      <c r="DUY308" s="127"/>
      <c r="DUZ308" s="127"/>
      <c r="DVA308" s="127"/>
      <c r="DVB308" s="127"/>
      <c r="DVC308" s="127"/>
      <c r="DVD308" s="127"/>
      <c r="DVE308" s="127"/>
      <c r="DVF308" s="127"/>
      <c r="DVG308" s="127"/>
      <c r="DVH308" s="127"/>
      <c r="DVI308" s="127"/>
      <c r="DVJ308" s="127"/>
      <c r="DVK308" s="127"/>
      <c r="DVL308" s="127"/>
      <c r="DVM308" s="127"/>
      <c r="DVN308" s="127"/>
      <c r="DVO308" s="127"/>
      <c r="DVP308" s="127"/>
      <c r="DVQ308" s="127"/>
      <c r="DVR308" s="127"/>
      <c r="DVS308" s="127"/>
      <c r="DVT308" s="127"/>
      <c r="DVU308" s="127"/>
      <c r="DVV308" s="127"/>
      <c r="DVW308" s="127"/>
      <c r="DVX308" s="127"/>
      <c r="DVY308" s="127"/>
      <c r="DVZ308" s="127"/>
      <c r="DWA308" s="127"/>
      <c r="DWB308" s="127"/>
      <c r="DWC308" s="127"/>
      <c r="DWD308" s="127"/>
      <c r="DWE308" s="127"/>
      <c r="DWF308" s="127"/>
      <c r="DWG308" s="127"/>
      <c r="DWH308" s="127"/>
      <c r="DWI308" s="127"/>
      <c r="DWJ308" s="127"/>
      <c r="DWK308" s="127"/>
      <c r="DWL308" s="127"/>
      <c r="DWM308" s="127"/>
      <c r="DWN308" s="127"/>
      <c r="DWO308" s="127"/>
      <c r="DWP308" s="127"/>
      <c r="DWQ308" s="127"/>
      <c r="DWR308" s="127"/>
      <c r="DWS308" s="127"/>
      <c r="DWT308" s="127"/>
      <c r="DWU308" s="127"/>
      <c r="DWV308" s="127"/>
      <c r="DWW308" s="127"/>
      <c r="DWX308" s="127"/>
      <c r="DWY308" s="127"/>
      <c r="DWZ308" s="127"/>
      <c r="DXA308" s="127"/>
      <c r="DXB308" s="127"/>
      <c r="DXC308" s="127"/>
      <c r="DXD308" s="127"/>
      <c r="DXE308" s="127"/>
      <c r="DXF308" s="127"/>
      <c r="DXG308" s="127"/>
      <c r="DXH308" s="127"/>
      <c r="DXI308" s="127"/>
      <c r="DXJ308" s="127"/>
      <c r="DXK308" s="127"/>
      <c r="DXL308" s="127"/>
      <c r="DXM308" s="127"/>
      <c r="DXN308" s="127"/>
      <c r="DXO308" s="127"/>
      <c r="DXP308" s="127"/>
      <c r="DXQ308" s="127"/>
      <c r="DXR308" s="127"/>
      <c r="DXS308" s="127"/>
      <c r="DXT308" s="127"/>
      <c r="DXU308" s="127"/>
      <c r="DXV308" s="127"/>
      <c r="DXW308" s="127"/>
      <c r="DXX308" s="127"/>
      <c r="DXY308" s="127"/>
      <c r="DXZ308" s="127"/>
      <c r="DYA308" s="127"/>
      <c r="DYB308" s="127"/>
      <c r="DYC308" s="127"/>
      <c r="DYD308" s="127"/>
      <c r="DYE308" s="127"/>
      <c r="DYF308" s="127"/>
      <c r="DYG308" s="127"/>
      <c r="DYH308" s="127"/>
      <c r="DYI308" s="127"/>
      <c r="DYJ308" s="127"/>
      <c r="DYK308" s="127"/>
      <c r="DYL308" s="127"/>
      <c r="DYM308" s="127"/>
      <c r="DYN308" s="127"/>
      <c r="DYO308" s="127"/>
      <c r="DYP308" s="127"/>
      <c r="DYQ308" s="127"/>
      <c r="DYR308" s="127"/>
      <c r="DYS308" s="127"/>
      <c r="DYT308" s="127"/>
      <c r="DYU308" s="127"/>
      <c r="DYV308" s="127"/>
      <c r="DYW308" s="127"/>
      <c r="DYX308" s="127"/>
      <c r="DYY308" s="127"/>
      <c r="DYZ308" s="127"/>
      <c r="DZA308" s="127"/>
      <c r="DZB308" s="127"/>
      <c r="DZC308" s="127"/>
      <c r="DZD308" s="127"/>
      <c r="DZE308" s="127"/>
      <c r="DZF308" s="127"/>
      <c r="DZG308" s="127"/>
      <c r="DZH308" s="127"/>
      <c r="DZI308" s="127"/>
      <c r="DZJ308" s="127"/>
      <c r="DZK308" s="127"/>
      <c r="DZL308" s="127"/>
      <c r="DZM308" s="127"/>
      <c r="DZN308" s="127"/>
      <c r="DZO308" s="127"/>
      <c r="DZP308" s="127"/>
      <c r="DZQ308" s="127"/>
      <c r="DZR308" s="127"/>
      <c r="DZS308" s="127"/>
      <c r="DZT308" s="127"/>
      <c r="DZU308" s="127"/>
      <c r="DZV308" s="127"/>
      <c r="DZW308" s="127"/>
      <c r="DZX308" s="127"/>
      <c r="DZY308" s="127"/>
      <c r="DZZ308" s="127"/>
      <c r="EAA308" s="127"/>
      <c r="EAB308" s="127"/>
      <c r="EAC308" s="127"/>
      <c r="EAD308" s="127"/>
      <c r="EAE308" s="127"/>
      <c r="EAF308" s="127"/>
      <c r="EAG308" s="127"/>
      <c r="EAH308" s="127"/>
      <c r="EAI308" s="127"/>
      <c r="EAJ308" s="127"/>
      <c r="EAK308" s="127"/>
      <c r="EAL308" s="127"/>
      <c r="EAM308" s="127"/>
      <c r="EAN308" s="127"/>
      <c r="EAO308" s="127"/>
      <c r="EAP308" s="127"/>
      <c r="EAQ308" s="127"/>
      <c r="EAR308" s="127"/>
      <c r="EAS308" s="127"/>
      <c r="EAT308" s="127"/>
      <c r="EAU308" s="127"/>
      <c r="EAV308" s="127"/>
      <c r="EAW308" s="127"/>
      <c r="EAX308" s="127"/>
      <c r="EAY308" s="127"/>
      <c r="EAZ308" s="127"/>
      <c r="EBA308" s="127"/>
      <c r="EBB308" s="127"/>
      <c r="EBC308" s="127"/>
      <c r="EBD308" s="127"/>
      <c r="EBE308" s="127"/>
      <c r="EBF308" s="127"/>
      <c r="EBG308" s="127"/>
      <c r="EBH308" s="127"/>
      <c r="EBI308" s="127"/>
      <c r="EBJ308" s="127"/>
      <c r="EBK308" s="127"/>
      <c r="EBL308" s="127"/>
      <c r="EBM308" s="127"/>
      <c r="EBN308" s="127"/>
      <c r="EBO308" s="127"/>
      <c r="EBP308" s="127"/>
      <c r="EBQ308" s="127"/>
      <c r="EBR308" s="127"/>
      <c r="EBS308" s="127"/>
      <c r="EBT308" s="127"/>
      <c r="EBU308" s="127"/>
      <c r="EBV308" s="127"/>
      <c r="EBW308" s="127"/>
      <c r="EBX308" s="127"/>
      <c r="EBY308" s="127"/>
      <c r="EBZ308" s="127"/>
      <c r="ECA308" s="127"/>
      <c r="ECB308" s="127"/>
      <c r="ECC308" s="127"/>
      <c r="ECD308" s="127"/>
      <c r="ECE308" s="127"/>
      <c r="ECF308" s="127"/>
      <c r="ECG308" s="127"/>
      <c r="ECH308" s="127"/>
      <c r="ECI308" s="127"/>
      <c r="ECJ308" s="127"/>
      <c r="ECK308" s="127"/>
      <c r="ECL308" s="127"/>
      <c r="ECM308" s="127"/>
      <c r="ECN308" s="127"/>
      <c r="ECO308" s="127"/>
      <c r="ECP308" s="127"/>
      <c r="ECQ308" s="127"/>
      <c r="ECR308" s="127"/>
      <c r="ECS308" s="127"/>
      <c r="ECT308" s="127"/>
      <c r="ECU308" s="127"/>
      <c r="ECV308" s="127"/>
      <c r="ECW308" s="127"/>
      <c r="ECX308" s="127"/>
      <c r="ECY308" s="127"/>
      <c r="ECZ308" s="127"/>
      <c r="EDA308" s="127"/>
      <c r="EDB308" s="127"/>
      <c r="EDC308" s="127"/>
      <c r="EDD308" s="127"/>
      <c r="EDE308" s="127"/>
      <c r="EDF308" s="127"/>
      <c r="EDG308" s="127"/>
      <c r="EDH308" s="127"/>
      <c r="EDI308" s="127"/>
      <c r="EDJ308" s="127"/>
      <c r="EDK308" s="127"/>
      <c r="EDL308" s="127"/>
      <c r="EDM308" s="127"/>
      <c r="EDN308" s="127"/>
      <c r="EDO308" s="127"/>
      <c r="EDP308" s="127"/>
      <c r="EDQ308" s="127"/>
      <c r="EDR308" s="127"/>
      <c r="EDS308" s="127"/>
      <c r="EDT308" s="127"/>
      <c r="EDU308" s="127"/>
      <c r="EDV308" s="127"/>
      <c r="EDW308" s="127"/>
      <c r="EDX308" s="127"/>
      <c r="EDY308" s="127"/>
      <c r="EDZ308" s="127"/>
      <c r="EEA308" s="127"/>
      <c r="EEB308" s="127"/>
      <c r="EEC308" s="127"/>
      <c r="EED308" s="127"/>
      <c r="EEE308" s="127"/>
      <c r="EEF308" s="127"/>
      <c r="EEG308" s="127"/>
      <c r="EEH308" s="127"/>
      <c r="EEI308" s="127"/>
      <c r="EEJ308" s="127"/>
      <c r="EEK308" s="127"/>
      <c r="EEL308" s="127"/>
      <c r="EEM308" s="127"/>
      <c r="EEN308" s="127"/>
      <c r="EEO308" s="127"/>
      <c r="EEP308" s="127"/>
      <c r="EEQ308" s="127"/>
      <c r="EER308" s="127"/>
      <c r="EES308" s="127"/>
      <c r="EET308" s="127"/>
      <c r="EEU308" s="127"/>
      <c r="EEV308" s="127"/>
      <c r="EEW308" s="127"/>
      <c r="EEX308" s="127"/>
      <c r="EEY308" s="127"/>
      <c r="EEZ308" s="127"/>
      <c r="EFA308" s="127"/>
      <c r="EFB308" s="127"/>
      <c r="EFC308" s="127"/>
      <c r="EFD308" s="127"/>
      <c r="EFE308" s="127"/>
      <c r="EFF308" s="127"/>
      <c r="EFG308" s="127"/>
      <c r="EFH308" s="127"/>
      <c r="EFI308" s="127"/>
      <c r="EFJ308" s="127"/>
      <c r="EFK308" s="127"/>
      <c r="EFL308" s="127"/>
      <c r="EFM308" s="127"/>
      <c r="EFN308" s="127"/>
      <c r="EFO308" s="127"/>
      <c r="EFP308" s="127"/>
      <c r="EFQ308" s="127"/>
      <c r="EFR308" s="127"/>
      <c r="EFS308" s="127"/>
      <c r="EFT308" s="127"/>
      <c r="EFU308" s="127"/>
      <c r="EFV308" s="127"/>
      <c r="EFW308" s="127"/>
      <c r="EFX308" s="127"/>
      <c r="EFY308" s="127"/>
      <c r="EFZ308" s="127"/>
      <c r="EGA308" s="127"/>
      <c r="EGB308" s="127"/>
      <c r="EGC308" s="127"/>
      <c r="EGD308" s="127"/>
      <c r="EGE308" s="127"/>
      <c r="EGF308" s="127"/>
      <c r="EGG308" s="127"/>
      <c r="EGH308" s="127"/>
      <c r="EGI308" s="127"/>
      <c r="EGJ308" s="127"/>
      <c r="EGK308" s="127"/>
      <c r="EGL308" s="127"/>
      <c r="EGM308" s="127"/>
      <c r="EGN308" s="127"/>
      <c r="EGO308" s="127"/>
      <c r="EGP308" s="127"/>
      <c r="EGQ308" s="127"/>
      <c r="EGR308" s="127"/>
      <c r="EGS308" s="127"/>
      <c r="EGT308" s="127"/>
      <c r="EGU308" s="127"/>
      <c r="EGV308" s="127"/>
      <c r="EGW308" s="127"/>
      <c r="EGX308" s="127"/>
      <c r="EGY308" s="127"/>
      <c r="EGZ308" s="127"/>
      <c r="EHA308" s="127"/>
      <c r="EHB308" s="127"/>
      <c r="EHC308" s="127"/>
      <c r="EHD308" s="127"/>
      <c r="EHE308" s="127"/>
      <c r="EHF308" s="127"/>
      <c r="EHG308" s="127"/>
      <c r="EHH308" s="127"/>
      <c r="EHI308" s="127"/>
      <c r="EHJ308" s="127"/>
      <c r="EHK308" s="127"/>
      <c r="EHL308" s="127"/>
      <c r="EHM308" s="127"/>
      <c r="EHN308" s="127"/>
      <c r="EHO308" s="127"/>
      <c r="EHP308" s="127"/>
      <c r="EHQ308" s="127"/>
      <c r="EHR308" s="127"/>
      <c r="EHS308" s="127"/>
      <c r="EHT308" s="127"/>
      <c r="EHU308" s="127"/>
      <c r="EHV308" s="127"/>
      <c r="EHW308" s="127"/>
      <c r="EHX308" s="127"/>
      <c r="EHY308" s="127"/>
      <c r="EHZ308" s="127"/>
      <c r="EIA308" s="127"/>
      <c r="EIB308" s="127"/>
      <c r="EIC308" s="127"/>
      <c r="EID308" s="127"/>
      <c r="EIE308" s="127"/>
      <c r="EIF308" s="127"/>
      <c r="EIG308" s="127"/>
      <c r="EIH308" s="127"/>
      <c r="EII308" s="127"/>
      <c r="EIJ308" s="127"/>
      <c r="EIK308" s="127"/>
      <c r="EIL308" s="127"/>
      <c r="EIM308" s="127"/>
      <c r="EIN308" s="127"/>
      <c r="EIO308" s="127"/>
      <c r="EIP308" s="127"/>
      <c r="EIQ308" s="127"/>
      <c r="EIR308" s="127"/>
      <c r="EIS308" s="127"/>
      <c r="EIT308" s="127"/>
      <c r="EIU308" s="127"/>
      <c r="EIV308" s="127"/>
      <c r="EIW308" s="127"/>
      <c r="EIX308" s="127"/>
      <c r="EIY308" s="127"/>
      <c r="EIZ308" s="127"/>
      <c r="EJA308" s="127"/>
      <c r="EJB308" s="127"/>
      <c r="EJC308" s="127"/>
      <c r="EJD308" s="127"/>
      <c r="EJE308" s="127"/>
      <c r="EJF308" s="127"/>
      <c r="EJG308" s="127"/>
      <c r="EJH308" s="127"/>
      <c r="EJI308" s="127"/>
      <c r="EJJ308" s="127"/>
      <c r="EJK308" s="127"/>
      <c r="EJL308" s="127"/>
      <c r="EJM308" s="127"/>
      <c r="EJN308" s="127"/>
      <c r="EJO308" s="127"/>
      <c r="EJP308" s="127"/>
      <c r="EJQ308" s="127"/>
      <c r="EJR308" s="127"/>
      <c r="EJS308" s="127"/>
      <c r="EJT308" s="127"/>
      <c r="EJU308" s="127"/>
      <c r="EJV308" s="127"/>
      <c r="EJW308" s="127"/>
      <c r="EJX308" s="127"/>
      <c r="EJY308" s="127"/>
      <c r="EJZ308" s="127"/>
      <c r="EKA308" s="127"/>
      <c r="EKB308" s="127"/>
      <c r="EKC308" s="127"/>
      <c r="EKD308" s="127"/>
      <c r="EKE308" s="127"/>
      <c r="EKF308" s="127"/>
      <c r="EKG308" s="127"/>
      <c r="EKH308" s="127"/>
      <c r="EKI308" s="127"/>
      <c r="EKJ308" s="127"/>
      <c r="EKK308" s="127"/>
      <c r="EKL308" s="127"/>
      <c r="EKM308" s="127"/>
      <c r="EKN308" s="127"/>
      <c r="EKO308" s="127"/>
      <c r="EKP308" s="127"/>
      <c r="EKQ308" s="127"/>
      <c r="EKR308" s="127"/>
      <c r="EKS308" s="127"/>
      <c r="EKT308" s="127"/>
      <c r="EKU308" s="127"/>
      <c r="EKV308" s="127"/>
      <c r="EKW308" s="127"/>
      <c r="EKX308" s="127"/>
      <c r="EKY308" s="127"/>
      <c r="EKZ308" s="127"/>
      <c r="ELA308" s="127"/>
      <c r="ELB308" s="127"/>
      <c r="ELC308" s="127"/>
      <c r="ELD308" s="127"/>
      <c r="ELE308" s="127"/>
      <c r="ELF308" s="127"/>
      <c r="ELG308" s="127"/>
      <c r="ELH308" s="127"/>
      <c r="ELI308" s="127"/>
      <c r="ELJ308" s="127"/>
      <c r="ELK308" s="127"/>
      <c r="ELL308" s="127"/>
      <c r="ELM308" s="127"/>
      <c r="ELN308" s="127"/>
      <c r="ELO308" s="127"/>
      <c r="ELP308" s="127"/>
      <c r="ELQ308" s="127"/>
      <c r="ELR308" s="127"/>
      <c r="ELS308" s="127"/>
      <c r="ELT308" s="127"/>
      <c r="ELU308" s="127"/>
      <c r="ELV308" s="127"/>
      <c r="ELW308" s="127"/>
      <c r="ELX308" s="127"/>
      <c r="ELY308" s="127"/>
      <c r="ELZ308" s="127"/>
      <c r="EMA308" s="127"/>
      <c r="EMB308" s="127"/>
      <c r="EMC308" s="127"/>
      <c r="EMD308" s="127"/>
      <c r="EME308" s="127"/>
      <c r="EMF308" s="127"/>
      <c r="EMG308" s="127"/>
      <c r="EMH308" s="127"/>
      <c r="EMI308" s="127"/>
      <c r="EMJ308" s="127"/>
      <c r="EMK308" s="127"/>
      <c r="EML308" s="127"/>
      <c r="EMM308" s="127"/>
      <c r="EMN308" s="127"/>
      <c r="EMO308" s="127"/>
      <c r="EMP308" s="127"/>
      <c r="EMQ308" s="127"/>
      <c r="EMR308" s="127"/>
      <c r="EMS308" s="127"/>
      <c r="EMT308" s="127"/>
      <c r="EMU308" s="127"/>
      <c r="EMV308" s="127"/>
      <c r="EMW308" s="127"/>
      <c r="EMX308" s="127"/>
      <c r="EMY308" s="127"/>
      <c r="EMZ308" s="127"/>
      <c r="ENA308" s="127"/>
      <c r="ENB308" s="127"/>
      <c r="ENC308" s="127"/>
      <c r="END308" s="127"/>
      <c r="ENE308" s="127"/>
      <c r="ENF308" s="127"/>
      <c r="ENG308" s="127"/>
      <c r="ENH308" s="127"/>
      <c r="ENI308" s="127"/>
      <c r="ENJ308" s="127"/>
      <c r="ENK308" s="127"/>
      <c r="ENL308" s="127"/>
      <c r="ENM308" s="127"/>
      <c r="ENN308" s="127"/>
      <c r="ENO308" s="127"/>
      <c r="ENP308" s="127"/>
      <c r="ENQ308" s="127"/>
      <c r="ENR308" s="127"/>
      <c r="ENS308" s="127"/>
      <c r="ENT308" s="127"/>
      <c r="ENU308" s="127"/>
      <c r="ENV308" s="127"/>
      <c r="ENW308" s="127"/>
      <c r="ENX308" s="127"/>
      <c r="ENY308" s="127"/>
      <c r="ENZ308" s="127"/>
      <c r="EOA308" s="127"/>
      <c r="EOB308" s="127"/>
      <c r="EOC308" s="127"/>
      <c r="EOD308" s="127"/>
      <c r="EOE308" s="127"/>
      <c r="EOF308" s="127"/>
      <c r="EOG308" s="127"/>
      <c r="EOH308" s="127"/>
      <c r="EOI308" s="127"/>
      <c r="EOJ308" s="127"/>
      <c r="EOK308" s="127"/>
      <c r="EOL308" s="127"/>
      <c r="EOM308" s="127"/>
      <c r="EON308" s="127"/>
      <c r="EOO308" s="127"/>
      <c r="EOP308" s="127"/>
      <c r="EOQ308" s="127"/>
      <c r="EOR308" s="127"/>
      <c r="EOS308" s="127"/>
      <c r="EOT308" s="127"/>
      <c r="EOU308" s="127"/>
      <c r="EOV308" s="127"/>
      <c r="EOW308" s="127"/>
      <c r="EOX308" s="127"/>
      <c r="EOY308" s="127"/>
      <c r="EOZ308" s="127"/>
      <c r="EPA308" s="127"/>
      <c r="EPB308" s="127"/>
      <c r="EPC308" s="127"/>
      <c r="EPD308" s="127"/>
      <c r="EPE308" s="127"/>
      <c r="EPF308" s="127"/>
      <c r="EPG308" s="127"/>
      <c r="EPH308" s="127"/>
      <c r="EPI308" s="127"/>
      <c r="EPJ308" s="127"/>
      <c r="EPK308" s="127"/>
      <c r="EPL308" s="127"/>
      <c r="EPM308" s="127"/>
      <c r="EPN308" s="127"/>
      <c r="EPO308" s="127"/>
      <c r="EPP308" s="127"/>
      <c r="EPQ308" s="127"/>
      <c r="EPR308" s="127"/>
      <c r="EPS308" s="127"/>
      <c r="EPT308" s="127"/>
      <c r="EPU308" s="127"/>
      <c r="EPV308" s="127"/>
      <c r="EPW308" s="127"/>
      <c r="EPX308" s="127"/>
      <c r="EPY308" s="127"/>
      <c r="EPZ308" s="127"/>
      <c r="EQA308" s="127"/>
      <c r="EQB308" s="127"/>
      <c r="EQC308" s="127"/>
      <c r="EQD308" s="127"/>
      <c r="EQE308" s="127"/>
      <c r="EQF308" s="127"/>
      <c r="EQG308" s="127"/>
      <c r="EQH308" s="127"/>
      <c r="EQI308" s="127"/>
      <c r="EQJ308" s="127"/>
      <c r="EQK308" s="127"/>
      <c r="EQL308" s="127"/>
      <c r="EQM308" s="127"/>
      <c r="EQN308" s="127"/>
      <c r="EQO308" s="127"/>
      <c r="EQP308" s="127"/>
      <c r="EQQ308" s="127"/>
      <c r="EQR308" s="127"/>
      <c r="EQS308" s="127"/>
      <c r="EQT308" s="127"/>
      <c r="EQU308" s="127"/>
      <c r="EQV308" s="127"/>
      <c r="EQW308" s="127"/>
      <c r="EQX308" s="127"/>
      <c r="EQY308" s="127"/>
      <c r="EQZ308" s="127"/>
      <c r="ERA308" s="127"/>
      <c r="ERB308" s="127"/>
      <c r="ERC308" s="127"/>
      <c r="ERD308" s="127"/>
      <c r="ERE308" s="127"/>
      <c r="ERF308" s="127"/>
      <c r="ERG308" s="127"/>
      <c r="ERH308" s="127"/>
      <c r="ERI308" s="127"/>
      <c r="ERJ308" s="127"/>
      <c r="ERK308" s="127"/>
      <c r="ERL308" s="127"/>
      <c r="ERM308" s="127"/>
      <c r="ERN308" s="127"/>
      <c r="ERO308" s="127"/>
      <c r="ERP308" s="127"/>
      <c r="ERQ308" s="127"/>
      <c r="ERR308" s="127"/>
      <c r="ERS308" s="127"/>
      <c r="ERT308" s="127"/>
      <c r="ERU308" s="127"/>
      <c r="ERV308" s="127"/>
      <c r="ERW308" s="127"/>
      <c r="ERX308" s="127"/>
      <c r="ERY308" s="127"/>
      <c r="ERZ308" s="127"/>
      <c r="ESA308" s="127"/>
      <c r="ESB308" s="127"/>
      <c r="ESC308" s="127"/>
      <c r="ESD308" s="127"/>
      <c r="ESE308" s="127"/>
      <c r="ESF308" s="127"/>
      <c r="ESG308" s="127"/>
      <c r="ESH308" s="127"/>
      <c r="ESI308" s="127"/>
      <c r="ESJ308" s="127"/>
      <c r="ESK308" s="127"/>
      <c r="ESL308" s="127"/>
      <c r="ESM308" s="127"/>
      <c r="ESN308" s="127"/>
      <c r="ESO308" s="127"/>
      <c r="ESP308" s="127"/>
      <c r="ESQ308" s="127"/>
      <c r="ESR308" s="127"/>
      <c r="ESS308" s="127"/>
      <c r="EST308" s="127"/>
      <c r="ESU308" s="127"/>
      <c r="ESV308" s="127"/>
      <c r="ESW308" s="127"/>
      <c r="ESX308" s="127"/>
      <c r="ESY308" s="127"/>
      <c r="ESZ308" s="127"/>
      <c r="ETA308" s="127"/>
      <c r="ETB308" s="127"/>
      <c r="ETC308" s="127"/>
      <c r="ETD308" s="127"/>
      <c r="ETE308" s="127"/>
      <c r="ETF308" s="127"/>
      <c r="ETG308" s="127"/>
      <c r="ETH308" s="127"/>
      <c r="ETI308" s="127"/>
      <c r="ETJ308" s="127"/>
      <c r="ETK308" s="127"/>
      <c r="ETL308" s="127"/>
      <c r="ETM308" s="127"/>
      <c r="ETN308" s="127"/>
      <c r="ETO308" s="127"/>
      <c r="ETP308" s="127"/>
      <c r="ETQ308" s="127"/>
      <c r="ETR308" s="127"/>
      <c r="ETS308" s="127"/>
      <c r="ETT308" s="127"/>
      <c r="ETU308" s="127"/>
      <c r="ETV308" s="127"/>
      <c r="ETW308" s="127"/>
      <c r="ETX308" s="127"/>
      <c r="ETY308" s="127"/>
      <c r="ETZ308" s="127"/>
      <c r="EUA308" s="127"/>
      <c r="EUB308" s="127"/>
      <c r="EUC308" s="127"/>
      <c r="EUD308" s="127"/>
      <c r="EUE308" s="127"/>
      <c r="EUF308" s="127"/>
      <c r="EUG308" s="127"/>
      <c r="EUH308" s="127"/>
      <c r="EUI308" s="127"/>
      <c r="EUJ308" s="127"/>
      <c r="EUK308" s="127"/>
      <c r="EUL308" s="127"/>
      <c r="EUM308" s="127"/>
      <c r="EUN308" s="127"/>
      <c r="EUO308" s="127"/>
      <c r="EUP308" s="127"/>
      <c r="EUQ308" s="127"/>
      <c r="EUR308" s="127"/>
      <c r="EUS308" s="127"/>
      <c r="EUT308" s="127"/>
      <c r="EUU308" s="127"/>
      <c r="EUV308" s="127"/>
      <c r="EUW308" s="127"/>
      <c r="EUX308" s="127"/>
      <c r="EUY308" s="127"/>
      <c r="EUZ308" s="127"/>
      <c r="EVA308" s="127"/>
      <c r="EVB308" s="127"/>
      <c r="EVC308" s="127"/>
      <c r="EVD308" s="127"/>
      <c r="EVE308" s="127"/>
      <c r="EVF308" s="127"/>
      <c r="EVG308" s="127"/>
      <c r="EVH308" s="127"/>
      <c r="EVI308" s="127"/>
      <c r="EVJ308" s="127"/>
      <c r="EVK308" s="127"/>
      <c r="EVL308" s="127"/>
      <c r="EVM308" s="127"/>
      <c r="EVN308" s="127"/>
      <c r="EVO308" s="127"/>
      <c r="EVP308" s="127"/>
      <c r="EVQ308" s="127"/>
      <c r="EVR308" s="127"/>
      <c r="EVS308" s="127"/>
      <c r="EVT308" s="127"/>
      <c r="EVU308" s="127"/>
      <c r="EVV308" s="127"/>
      <c r="EVW308" s="127"/>
      <c r="EVX308" s="127"/>
      <c r="EVY308" s="127"/>
      <c r="EVZ308" s="127"/>
      <c r="EWA308" s="127"/>
      <c r="EWB308" s="127"/>
      <c r="EWC308" s="127"/>
      <c r="EWD308" s="127"/>
      <c r="EWE308" s="127"/>
      <c r="EWF308" s="127"/>
      <c r="EWG308" s="127"/>
      <c r="EWH308" s="127"/>
      <c r="EWI308" s="127"/>
      <c r="EWJ308" s="127"/>
      <c r="EWK308" s="127"/>
      <c r="EWL308" s="127"/>
      <c r="EWM308" s="127"/>
      <c r="EWN308" s="127"/>
      <c r="EWO308" s="127"/>
      <c r="EWP308" s="127"/>
      <c r="EWQ308" s="127"/>
      <c r="EWR308" s="127"/>
      <c r="EWS308" s="127"/>
      <c r="EWT308" s="127"/>
      <c r="EWU308" s="127"/>
      <c r="EWV308" s="127"/>
      <c r="EWW308" s="127"/>
      <c r="EWX308" s="127"/>
      <c r="EWY308" s="127"/>
      <c r="EWZ308" s="127"/>
      <c r="EXA308" s="127"/>
      <c r="EXB308" s="127"/>
      <c r="EXC308" s="127"/>
      <c r="EXD308" s="127"/>
      <c r="EXE308" s="127"/>
      <c r="EXF308" s="127"/>
      <c r="EXG308" s="127"/>
      <c r="EXH308" s="127"/>
      <c r="EXI308" s="127"/>
      <c r="EXJ308" s="127"/>
      <c r="EXK308" s="127"/>
      <c r="EXL308" s="127"/>
      <c r="EXM308" s="127"/>
      <c r="EXN308" s="127"/>
      <c r="EXO308" s="127"/>
      <c r="EXP308" s="127"/>
      <c r="EXQ308" s="127"/>
      <c r="EXR308" s="127"/>
      <c r="EXS308" s="127"/>
      <c r="EXT308" s="127"/>
      <c r="EXU308" s="127"/>
      <c r="EXV308" s="127"/>
      <c r="EXW308" s="127"/>
      <c r="EXX308" s="127"/>
      <c r="EXY308" s="127"/>
      <c r="EXZ308" s="127"/>
      <c r="EYA308" s="127"/>
      <c r="EYB308" s="127"/>
      <c r="EYC308" s="127"/>
      <c r="EYD308" s="127"/>
      <c r="EYE308" s="127"/>
      <c r="EYF308" s="127"/>
      <c r="EYG308" s="127"/>
      <c r="EYH308" s="127"/>
      <c r="EYI308" s="127"/>
      <c r="EYJ308" s="127"/>
      <c r="EYK308" s="127"/>
      <c r="EYL308" s="127"/>
      <c r="EYM308" s="127"/>
      <c r="EYN308" s="127"/>
      <c r="EYO308" s="127"/>
      <c r="EYP308" s="127"/>
      <c r="EYQ308" s="127"/>
      <c r="EYR308" s="127"/>
      <c r="EYS308" s="127"/>
      <c r="EYT308" s="127"/>
      <c r="EYU308" s="127"/>
      <c r="EYV308" s="127"/>
      <c r="EYW308" s="127"/>
      <c r="EYX308" s="127"/>
      <c r="EYY308" s="127"/>
      <c r="EYZ308" s="127"/>
      <c r="EZA308" s="127"/>
      <c r="EZB308" s="127"/>
      <c r="EZC308" s="127"/>
      <c r="EZD308" s="127"/>
      <c r="EZE308" s="127"/>
      <c r="EZF308" s="127"/>
      <c r="EZG308" s="127"/>
      <c r="EZH308" s="127"/>
      <c r="EZI308" s="127"/>
      <c r="EZJ308" s="127"/>
      <c r="EZK308" s="127"/>
      <c r="EZL308" s="127"/>
      <c r="EZM308" s="127"/>
      <c r="EZN308" s="127"/>
      <c r="EZO308" s="127"/>
      <c r="EZP308" s="127"/>
      <c r="EZQ308" s="127"/>
      <c r="EZR308" s="127"/>
      <c r="EZS308" s="127"/>
      <c r="EZT308" s="127"/>
      <c r="EZU308" s="127"/>
      <c r="EZV308" s="127"/>
      <c r="EZW308" s="127"/>
      <c r="EZX308" s="127"/>
      <c r="EZY308" s="127"/>
      <c r="EZZ308" s="127"/>
      <c r="FAA308" s="127"/>
      <c r="FAB308" s="127"/>
      <c r="FAC308" s="127"/>
      <c r="FAD308" s="127"/>
      <c r="FAE308" s="127"/>
      <c r="FAF308" s="127"/>
      <c r="FAG308" s="127"/>
      <c r="FAH308" s="127"/>
      <c r="FAI308" s="127"/>
      <c r="FAJ308" s="127"/>
      <c r="FAK308" s="127"/>
      <c r="FAL308" s="127"/>
      <c r="FAM308" s="127"/>
      <c r="FAN308" s="127"/>
      <c r="FAO308" s="127"/>
      <c r="FAP308" s="127"/>
      <c r="FAQ308" s="127"/>
      <c r="FAR308" s="127"/>
      <c r="FAS308" s="127"/>
      <c r="FAT308" s="127"/>
      <c r="FAU308" s="127"/>
      <c r="FAV308" s="127"/>
      <c r="FAW308" s="127"/>
      <c r="FAX308" s="127"/>
      <c r="FAY308" s="127"/>
      <c r="FAZ308" s="127"/>
      <c r="FBA308" s="127"/>
      <c r="FBB308" s="127"/>
      <c r="FBC308" s="127"/>
      <c r="FBD308" s="127"/>
      <c r="FBE308" s="127"/>
      <c r="FBF308" s="127"/>
      <c r="FBG308" s="127"/>
      <c r="FBH308" s="127"/>
      <c r="FBI308" s="127"/>
      <c r="FBJ308" s="127"/>
      <c r="FBK308" s="127"/>
      <c r="FBL308" s="127"/>
      <c r="FBM308" s="127"/>
      <c r="FBN308" s="127"/>
      <c r="FBO308" s="127"/>
      <c r="FBP308" s="127"/>
      <c r="FBQ308" s="127"/>
      <c r="FBR308" s="127"/>
      <c r="FBS308" s="127"/>
      <c r="FBT308" s="127"/>
      <c r="FBU308" s="127"/>
      <c r="FBV308" s="127"/>
      <c r="FBW308" s="127"/>
      <c r="FBX308" s="127"/>
      <c r="FBY308" s="127"/>
      <c r="FBZ308" s="127"/>
      <c r="FCA308" s="127"/>
      <c r="FCB308" s="127"/>
      <c r="FCC308" s="127"/>
      <c r="FCD308" s="127"/>
      <c r="FCE308" s="127"/>
      <c r="FCF308" s="127"/>
      <c r="FCG308" s="127"/>
      <c r="FCH308" s="127"/>
      <c r="FCI308" s="127"/>
      <c r="FCJ308" s="127"/>
      <c r="FCK308" s="127"/>
      <c r="FCL308" s="127"/>
      <c r="FCM308" s="127"/>
      <c r="FCN308" s="127"/>
      <c r="FCO308" s="127"/>
      <c r="FCP308" s="127"/>
      <c r="FCQ308" s="127"/>
      <c r="FCR308" s="127"/>
      <c r="FCS308" s="127"/>
      <c r="FCT308" s="127"/>
      <c r="FCU308" s="127"/>
      <c r="FCV308" s="127"/>
      <c r="FCW308" s="127"/>
      <c r="FCX308" s="127"/>
      <c r="FCY308" s="127"/>
      <c r="FCZ308" s="127"/>
      <c r="FDA308" s="127"/>
      <c r="FDB308" s="127"/>
      <c r="FDC308" s="127"/>
      <c r="FDD308" s="127"/>
      <c r="FDE308" s="127"/>
      <c r="FDF308" s="127"/>
      <c r="FDG308" s="127"/>
      <c r="FDH308" s="127"/>
      <c r="FDI308" s="127"/>
      <c r="FDJ308" s="127"/>
      <c r="FDK308" s="127"/>
      <c r="FDL308" s="127"/>
      <c r="FDM308" s="127"/>
      <c r="FDN308" s="127"/>
      <c r="FDO308" s="127"/>
      <c r="FDP308" s="127"/>
      <c r="FDQ308" s="127"/>
      <c r="FDR308" s="127"/>
      <c r="FDS308" s="127"/>
      <c r="FDT308" s="127"/>
      <c r="FDU308" s="127"/>
      <c r="FDV308" s="127"/>
      <c r="FDW308" s="127"/>
      <c r="FDX308" s="127"/>
      <c r="FDY308" s="127"/>
      <c r="FDZ308" s="127"/>
      <c r="FEA308" s="127"/>
      <c r="FEB308" s="127"/>
      <c r="FEC308" s="127"/>
      <c r="FED308" s="127"/>
      <c r="FEE308" s="127"/>
      <c r="FEF308" s="127"/>
      <c r="FEG308" s="127"/>
      <c r="FEH308" s="127"/>
      <c r="FEI308" s="127"/>
      <c r="FEJ308" s="127"/>
      <c r="FEK308" s="127"/>
      <c r="FEL308" s="127"/>
      <c r="FEM308" s="127"/>
      <c r="FEN308" s="127"/>
      <c r="FEO308" s="127"/>
      <c r="FEP308" s="127"/>
      <c r="FEQ308" s="127"/>
      <c r="FER308" s="127"/>
      <c r="FES308" s="127"/>
      <c r="FET308" s="127"/>
      <c r="FEU308" s="127"/>
      <c r="FEV308" s="127"/>
      <c r="FEW308" s="127"/>
      <c r="FEX308" s="127"/>
      <c r="FEY308" s="127"/>
      <c r="FEZ308" s="127"/>
      <c r="FFA308" s="127"/>
      <c r="FFB308" s="127"/>
      <c r="FFC308" s="127"/>
      <c r="FFD308" s="127"/>
      <c r="FFE308" s="127"/>
      <c r="FFF308" s="127"/>
      <c r="FFG308" s="127"/>
      <c r="FFH308" s="127"/>
      <c r="FFI308" s="127"/>
      <c r="FFJ308" s="127"/>
      <c r="FFK308" s="127"/>
      <c r="FFL308" s="127"/>
      <c r="FFM308" s="127"/>
      <c r="FFN308" s="127"/>
      <c r="FFO308" s="127"/>
      <c r="FFP308" s="127"/>
      <c r="FFQ308" s="127"/>
      <c r="FFR308" s="127"/>
      <c r="FFS308" s="127"/>
      <c r="FFT308" s="127"/>
      <c r="FFU308" s="127"/>
      <c r="FFV308" s="127"/>
      <c r="FFW308" s="127"/>
      <c r="FFX308" s="127"/>
      <c r="FFY308" s="127"/>
      <c r="FFZ308" s="127"/>
      <c r="FGA308" s="127"/>
      <c r="FGB308" s="127"/>
      <c r="FGC308" s="127"/>
      <c r="FGD308" s="127"/>
      <c r="FGE308" s="127"/>
      <c r="FGF308" s="127"/>
      <c r="FGG308" s="127"/>
      <c r="FGH308" s="127"/>
      <c r="FGI308" s="127"/>
      <c r="FGJ308" s="127"/>
      <c r="FGK308" s="127"/>
      <c r="FGL308" s="127"/>
      <c r="FGM308" s="127"/>
      <c r="FGN308" s="127"/>
      <c r="FGO308" s="127"/>
      <c r="FGP308" s="127"/>
      <c r="FGQ308" s="127"/>
      <c r="FGR308" s="127"/>
      <c r="FGS308" s="127"/>
      <c r="FGT308" s="127"/>
      <c r="FGU308" s="127"/>
      <c r="FGV308" s="127"/>
      <c r="FGW308" s="127"/>
      <c r="FGX308" s="127"/>
      <c r="FGY308" s="127"/>
      <c r="FGZ308" s="127"/>
      <c r="FHA308" s="127"/>
      <c r="FHB308" s="127"/>
      <c r="FHC308" s="127"/>
      <c r="FHD308" s="127"/>
      <c r="FHE308" s="127"/>
      <c r="FHF308" s="127"/>
      <c r="FHG308" s="127"/>
      <c r="FHH308" s="127"/>
      <c r="FHI308" s="127"/>
      <c r="FHJ308" s="127"/>
      <c r="FHK308" s="127"/>
      <c r="FHL308" s="127"/>
      <c r="FHM308" s="127"/>
      <c r="FHN308" s="127"/>
      <c r="FHO308" s="127"/>
      <c r="FHP308" s="127"/>
      <c r="FHQ308" s="127"/>
      <c r="FHR308" s="127"/>
      <c r="FHS308" s="127"/>
      <c r="FHT308" s="127"/>
      <c r="FHU308" s="127"/>
      <c r="FHV308" s="127"/>
      <c r="FHW308" s="127"/>
      <c r="FHX308" s="127"/>
      <c r="FHY308" s="127"/>
      <c r="FHZ308" s="127"/>
      <c r="FIA308" s="127"/>
      <c r="FIB308" s="127"/>
      <c r="FIC308" s="127"/>
      <c r="FID308" s="127"/>
      <c r="FIE308" s="127"/>
      <c r="FIF308" s="127"/>
      <c r="FIG308" s="127"/>
      <c r="FIH308" s="127"/>
      <c r="FII308" s="127"/>
      <c r="FIJ308" s="127"/>
      <c r="FIK308" s="127"/>
      <c r="FIL308" s="127"/>
      <c r="FIM308" s="127"/>
      <c r="FIN308" s="127"/>
      <c r="FIO308" s="127"/>
      <c r="FIP308" s="127"/>
      <c r="FIQ308" s="127"/>
      <c r="FIR308" s="127"/>
      <c r="FIS308" s="127"/>
      <c r="FIT308" s="127"/>
      <c r="FIU308" s="127"/>
      <c r="FIV308" s="127"/>
      <c r="FIW308" s="127"/>
      <c r="FIX308" s="127"/>
      <c r="FIY308" s="127"/>
      <c r="FIZ308" s="127"/>
      <c r="FJA308" s="127"/>
      <c r="FJB308" s="127"/>
      <c r="FJC308" s="127"/>
      <c r="FJD308" s="127"/>
      <c r="FJE308" s="127"/>
      <c r="FJF308" s="127"/>
      <c r="FJG308" s="127"/>
      <c r="FJH308" s="127"/>
      <c r="FJI308" s="127"/>
      <c r="FJJ308" s="127"/>
      <c r="FJK308" s="127"/>
      <c r="FJL308" s="127"/>
      <c r="FJM308" s="127"/>
      <c r="FJN308" s="127"/>
      <c r="FJO308" s="127"/>
      <c r="FJP308" s="127"/>
      <c r="FJQ308" s="127"/>
      <c r="FJR308" s="127"/>
      <c r="FJS308" s="127"/>
      <c r="FJT308" s="127"/>
      <c r="FJU308" s="127"/>
      <c r="FJV308" s="127"/>
      <c r="FJW308" s="127"/>
      <c r="FJX308" s="127"/>
      <c r="FJY308" s="127"/>
      <c r="FJZ308" s="127"/>
      <c r="FKA308" s="127"/>
      <c r="FKB308" s="127"/>
      <c r="FKC308" s="127"/>
      <c r="FKD308" s="127"/>
      <c r="FKE308" s="127"/>
      <c r="FKF308" s="127"/>
      <c r="FKG308" s="127"/>
      <c r="FKH308" s="127"/>
      <c r="FKI308" s="127"/>
      <c r="FKJ308" s="127"/>
      <c r="FKK308" s="127"/>
      <c r="FKL308" s="127"/>
      <c r="FKM308" s="127"/>
      <c r="FKN308" s="127"/>
      <c r="FKO308" s="127"/>
      <c r="FKP308" s="127"/>
      <c r="FKQ308" s="127"/>
      <c r="FKR308" s="127"/>
      <c r="FKS308" s="127"/>
      <c r="FKT308" s="127"/>
      <c r="FKU308" s="127"/>
      <c r="FKV308" s="127"/>
      <c r="FKW308" s="127"/>
      <c r="FKX308" s="127"/>
      <c r="FKY308" s="127"/>
      <c r="FKZ308" s="127"/>
      <c r="FLA308" s="127"/>
      <c r="FLB308" s="127"/>
      <c r="FLC308" s="127"/>
      <c r="FLD308" s="127"/>
      <c r="FLE308" s="127"/>
      <c r="FLF308" s="127"/>
      <c r="FLG308" s="127"/>
      <c r="FLH308" s="127"/>
      <c r="FLI308" s="127"/>
      <c r="FLJ308" s="127"/>
      <c r="FLK308" s="127"/>
      <c r="FLL308" s="127"/>
      <c r="FLM308" s="127"/>
      <c r="FLN308" s="127"/>
      <c r="FLO308" s="127"/>
      <c r="FLP308" s="127"/>
      <c r="FLQ308" s="127"/>
      <c r="FLR308" s="127"/>
      <c r="FLS308" s="127"/>
      <c r="FLT308" s="127"/>
      <c r="FLU308" s="127"/>
      <c r="FLV308" s="127"/>
      <c r="FLW308" s="127"/>
      <c r="FLX308" s="127"/>
      <c r="FLY308" s="127"/>
      <c r="FLZ308" s="127"/>
      <c r="FMA308" s="127"/>
      <c r="FMB308" s="127"/>
      <c r="FMC308" s="127"/>
      <c r="FMD308" s="127"/>
      <c r="FME308" s="127"/>
      <c r="FMF308" s="127"/>
      <c r="FMG308" s="127"/>
      <c r="FMH308" s="127"/>
      <c r="FMI308" s="127"/>
      <c r="FMJ308" s="127"/>
      <c r="FMK308" s="127"/>
      <c r="FML308" s="127"/>
      <c r="FMM308" s="127"/>
      <c r="FMN308" s="127"/>
      <c r="FMO308" s="127"/>
      <c r="FMP308" s="127"/>
      <c r="FMQ308" s="127"/>
      <c r="FMR308" s="127"/>
      <c r="FMS308" s="127"/>
      <c r="FMT308" s="127"/>
      <c r="FMU308" s="127"/>
      <c r="FMV308" s="127"/>
      <c r="FMW308" s="127"/>
      <c r="FMX308" s="127"/>
      <c r="FMY308" s="127"/>
      <c r="FMZ308" s="127"/>
      <c r="FNA308" s="127"/>
      <c r="FNB308" s="127"/>
      <c r="FNC308" s="127"/>
      <c r="FND308" s="127"/>
      <c r="FNE308" s="127"/>
      <c r="FNF308" s="127"/>
      <c r="FNG308" s="127"/>
      <c r="FNH308" s="127"/>
      <c r="FNI308" s="127"/>
      <c r="FNJ308" s="127"/>
      <c r="FNK308" s="127"/>
      <c r="FNL308" s="127"/>
      <c r="FNM308" s="127"/>
      <c r="FNN308" s="127"/>
      <c r="FNO308" s="127"/>
      <c r="FNP308" s="127"/>
      <c r="FNQ308" s="127"/>
      <c r="FNR308" s="127"/>
      <c r="FNS308" s="127"/>
      <c r="FNT308" s="127"/>
      <c r="FNU308" s="127"/>
      <c r="FNV308" s="127"/>
      <c r="FNW308" s="127"/>
      <c r="FNX308" s="127"/>
      <c r="FNY308" s="127"/>
      <c r="FNZ308" s="127"/>
      <c r="FOA308" s="127"/>
      <c r="FOB308" s="127"/>
      <c r="FOC308" s="127"/>
      <c r="FOD308" s="127"/>
      <c r="FOE308" s="127"/>
      <c r="FOF308" s="127"/>
      <c r="FOG308" s="127"/>
      <c r="FOH308" s="127"/>
      <c r="FOI308" s="127"/>
      <c r="FOJ308" s="127"/>
      <c r="FOK308" s="127"/>
      <c r="FOL308" s="127"/>
      <c r="FOM308" s="127"/>
      <c r="FON308" s="127"/>
      <c r="FOO308" s="127"/>
      <c r="FOP308" s="127"/>
      <c r="FOQ308" s="127"/>
      <c r="FOR308" s="127"/>
      <c r="FOS308" s="127"/>
      <c r="FOT308" s="127"/>
      <c r="FOU308" s="127"/>
      <c r="FOV308" s="127"/>
      <c r="FOW308" s="127"/>
      <c r="FOX308" s="127"/>
      <c r="FOY308" s="127"/>
      <c r="FOZ308" s="127"/>
      <c r="FPA308" s="127"/>
      <c r="FPB308" s="127"/>
      <c r="FPC308" s="127"/>
      <c r="FPD308" s="127"/>
      <c r="FPE308" s="127"/>
      <c r="FPF308" s="127"/>
      <c r="FPG308" s="127"/>
      <c r="FPH308" s="127"/>
      <c r="FPI308" s="127"/>
      <c r="FPJ308" s="127"/>
      <c r="FPK308" s="127"/>
      <c r="FPL308" s="127"/>
      <c r="FPM308" s="127"/>
      <c r="FPN308" s="127"/>
      <c r="FPO308" s="127"/>
      <c r="FPP308" s="127"/>
      <c r="FPQ308" s="127"/>
      <c r="FPR308" s="127"/>
      <c r="FPS308" s="127"/>
      <c r="FPT308" s="127"/>
      <c r="FPU308" s="127"/>
      <c r="FPV308" s="127"/>
      <c r="FPW308" s="127"/>
      <c r="FPX308" s="127"/>
      <c r="FPY308" s="127"/>
      <c r="FPZ308" s="127"/>
      <c r="FQA308" s="127"/>
      <c r="FQB308" s="127"/>
      <c r="FQC308" s="127"/>
      <c r="FQD308" s="127"/>
      <c r="FQE308" s="127"/>
      <c r="FQF308" s="127"/>
      <c r="FQG308" s="127"/>
      <c r="FQH308" s="127"/>
      <c r="FQI308" s="127"/>
      <c r="FQJ308" s="127"/>
      <c r="FQK308" s="127"/>
      <c r="FQL308" s="127"/>
      <c r="FQM308" s="127"/>
      <c r="FQN308" s="127"/>
      <c r="FQO308" s="127"/>
      <c r="FQP308" s="127"/>
      <c r="FQQ308" s="127"/>
      <c r="FQR308" s="127"/>
      <c r="FQS308" s="127"/>
      <c r="FQT308" s="127"/>
      <c r="FQU308" s="127"/>
      <c r="FQV308" s="127"/>
      <c r="FQW308" s="127"/>
      <c r="FQX308" s="127"/>
      <c r="FQY308" s="127"/>
      <c r="FQZ308" s="127"/>
      <c r="FRA308" s="127"/>
      <c r="FRB308" s="127"/>
      <c r="FRC308" s="127"/>
      <c r="FRD308" s="127"/>
      <c r="FRE308" s="127"/>
      <c r="FRF308" s="127"/>
      <c r="FRG308" s="127"/>
      <c r="FRH308" s="127"/>
      <c r="FRI308" s="127"/>
      <c r="FRJ308" s="127"/>
      <c r="FRK308" s="127"/>
      <c r="FRL308" s="127"/>
      <c r="FRM308" s="127"/>
      <c r="FRN308" s="127"/>
      <c r="FRO308" s="127"/>
      <c r="FRP308" s="127"/>
      <c r="FRQ308" s="127"/>
      <c r="FRR308" s="127"/>
      <c r="FRS308" s="127"/>
      <c r="FRT308" s="127"/>
      <c r="FRU308" s="127"/>
      <c r="FRV308" s="127"/>
      <c r="FRW308" s="127"/>
      <c r="FRX308" s="127"/>
      <c r="FRY308" s="127"/>
      <c r="FRZ308" s="127"/>
      <c r="FSA308" s="127"/>
      <c r="FSB308" s="127"/>
      <c r="FSC308" s="127"/>
      <c r="FSD308" s="127"/>
      <c r="FSE308" s="127"/>
      <c r="FSF308" s="127"/>
      <c r="FSG308" s="127"/>
      <c r="FSH308" s="127"/>
      <c r="FSI308" s="127"/>
      <c r="FSJ308" s="127"/>
      <c r="FSK308" s="127"/>
      <c r="FSL308" s="127"/>
      <c r="FSM308" s="127"/>
      <c r="FSN308" s="127"/>
      <c r="FSO308" s="127"/>
      <c r="FSP308" s="127"/>
      <c r="FSQ308" s="127"/>
      <c r="FSR308" s="127"/>
      <c r="FSS308" s="127"/>
      <c r="FST308" s="127"/>
      <c r="FSU308" s="127"/>
      <c r="FSV308" s="127"/>
      <c r="FSW308" s="127"/>
      <c r="FSX308" s="127"/>
      <c r="FSY308" s="127"/>
      <c r="FSZ308" s="127"/>
      <c r="FTA308" s="127"/>
      <c r="FTB308" s="127"/>
      <c r="FTC308" s="127"/>
      <c r="FTD308" s="127"/>
      <c r="FTE308" s="127"/>
      <c r="FTF308" s="127"/>
      <c r="FTG308" s="127"/>
      <c r="FTH308" s="127"/>
      <c r="FTI308" s="127"/>
      <c r="FTJ308" s="127"/>
      <c r="FTK308" s="127"/>
      <c r="FTL308" s="127"/>
      <c r="FTM308" s="127"/>
      <c r="FTN308" s="127"/>
      <c r="FTO308" s="127"/>
      <c r="FTP308" s="127"/>
      <c r="FTQ308" s="127"/>
      <c r="FTR308" s="127"/>
      <c r="FTS308" s="127"/>
      <c r="FTT308" s="127"/>
      <c r="FTU308" s="127"/>
      <c r="FTV308" s="127"/>
      <c r="FTW308" s="127"/>
      <c r="FTX308" s="127"/>
      <c r="FTY308" s="127"/>
      <c r="FTZ308" s="127"/>
      <c r="FUA308" s="127"/>
      <c r="FUB308" s="127"/>
      <c r="FUC308" s="127"/>
      <c r="FUD308" s="127"/>
      <c r="FUE308" s="127"/>
      <c r="FUF308" s="127"/>
      <c r="FUG308" s="127"/>
      <c r="FUH308" s="127"/>
      <c r="FUI308" s="127"/>
      <c r="FUJ308" s="127"/>
      <c r="FUK308" s="127"/>
      <c r="FUL308" s="127"/>
      <c r="FUM308" s="127"/>
      <c r="FUN308" s="127"/>
      <c r="FUO308" s="127"/>
      <c r="FUP308" s="127"/>
      <c r="FUQ308" s="127"/>
      <c r="FUR308" s="127"/>
      <c r="FUS308" s="127"/>
      <c r="FUT308" s="127"/>
      <c r="FUU308" s="127"/>
      <c r="FUV308" s="127"/>
      <c r="FUW308" s="127"/>
      <c r="FUX308" s="127"/>
      <c r="FUY308" s="127"/>
      <c r="FUZ308" s="127"/>
      <c r="FVA308" s="127"/>
      <c r="FVB308" s="127"/>
      <c r="FVC308" s="127"/>
      <c r="FVD308" s="127"/>
      <c r="FVE308" s="127"/>
      <c r="FVF308" s="127"/>
      <c r="FVG308" s="127"/>
      <c r="FVH308" s="127"/>
      <c r="FVI308" s="127"/>
      <c r="FVJ308" s="127"/>
      <c r="FVK308" s="127"/>
      <c r="FVL308" s="127"/>
      <c r="FVM308" s="127"/>
      <c r="FVN308" s="127"/>
      <c r="FVO308" s="127"/>
      <c r="FVP308" s="127"/>
      <c r="FVQ308" s="127"/>
      <c r="FVR308" s="127"/>
      <c r="FVS308" s="127"/>
      <c r="FVT308" s="127"/>
      <c r="FVU308" s="127"/>
      <c r="FVV308" s="127"/>
      <c r="FVW308" s="127"/>
      <c r="FVX308" s="127"/>
      <c r="FVY308" s="127"/>
      <c r="FVZ308" s="127"/>
      <c r="FWA308" s="127"/>
      <c r="FWB308" s="127"/>
      <c r="FWC308" s="127"/>
      <c r="FWD308" s="127"/>
      <c r="FWE308" s="127"/>
      <c r="FWF308" s="127"/>
      <c r="FWG308" s="127"/>
      <c r="FWH308" s="127"/>
      <c r="FWI308" s="127"/>
      <c r="FWJ308" s="127"/>
      <c r="FWK308" s="127"/>
      <c r="FWL308" s="127"/>
      <c r="FWM308" s="127"/>
      <c r="FWN308" s="127"/>
      <c r="FWO308" s="127"/>
      <c r="FWP308" s="127"/>
      <c r="FWQ308" s="127"/>
      <c r="FWR308" s="127"/>
      <c r="FWS308" s="127"/>
      <c r="FWT308" s="127"/>
      <c r="FWU308" s="127"/>
      <c r="FWV308" s="127"/>
      <c r="FWW308" s="127"/>
      <c r="FWX308" s="127"/>
      <c r="FWY308" s="127"/>
      <c r="FWZ308" s="127"/>
      <c r="FXA308" s="127"/>
      <c r="FXB308" s="127"/>
      <c r="FXC308" s="127"/>
      <c r="FXD308" s="127"/>
      <c r="FXE308" s="127"/>
      <c r="FXF308" s="127"/>
      <c r="FXG308" s="127"/>
      <c r="FXH308" s="127"/>
      <c r="FXI308" s="127"/>
      <c r="FXJ308" s="127"/>
      <c r="FXK308" s="127"/>
      <c r="FXL308" s="127"/>
      <c r="FXM308" s="127"/>
      <c r="FXN308" s="127"/>
      <c r="FXO308" s="127"/>
      <c r="FXP308" s="127"/>
      <c r="FXQ308" s="127"/>
      <c r="FXR308" s="127"/>
      <c r="FXS308" s="127"/>
      <c r="FXT308" s="127"/>
      <c r="FXU308" s="127"/>
      <c r="FXV308" s="127"/>
      <c r="FXW308" s="127"/>
      <c r="FXX308" s="127"/>
      <c r="FXY308" s="127"/>
      <c r="FXZ308" s="127"/>
      <c r="FYA308" s="127"/>
      <c r="FYB308" s="127"/>
      <c r="FYC308" s="127"/>
      <c r="FYD308" s="127"/>
      <c r="FYE308" s="127"/>
      <c r="FYF308" s="127"/>
      <c r="FYG308" s="127"/>
      <c r="FYH308" s="127"/>
      <c r="FYI308" s="127"/>
      <c r="FYJ308" s="127"/>
      <c r="FYK308" s="127"/>
      <c r="FYL308" s="127"/>
      <c r="FYM308" s="127"/>
      <c r="FYN308" s="127"/>
      <c r="FYO308" s="127"/>
      <c r="FYP308" s="127"/>
      <c r="FYQ308" s="127"/>
      <c r="FYR308" s="127"/>
      <c r="FYS308" s="127"/>
      <c r="FYT308" s="127"/>
      <c r="FYU308" s="127"/>
      <c r="FYV308" s="127"/>
      <c r="FYW308" s="127"/>
      <c r="FYX308" s="127"/>
      <c r="FYY308" s="127"/>
      <c r="FYZ308" s="127"/>
      <c r="FZA308" s="127"/>
      <c r="FZB308" s="127"/>
      <c r="FZC308" s="127"/>
      <c r="FZD308" s="127"/>
      <c r="FZE308" s="127"/>
      <c r="FZF308" s="127"/>
      <c r="FZG308" s="127"/>
      <c r="FZH308" s="127"/>
      <c r="FZI308" s="127"/>
      <c r="FZJ308" s="127"/>
      <c r="FZK308" s="127"/>
      <c r="FZL308" s="127"/>
      <c r="FZM308" s="127"/>
      <c r="FZN308" s="127"/>
      <c r="FZO308" s="127"/>
      <c r="FZP308" s="127"/>
      <c r="FZQ308" s="127"/>
      <c r="FZR308" s="127"/>
      <c r="FZS308" s="127"/>
      <c r="FZT308" s="127"/>
      <c r="FZU308" s="127"/>
      <c r="FZV308" s="127"/>
      <c r="FZW308" s="127"/>
      <c r="FZX308" s="127"/>
      <c r="FZY308" s="127"/>
      <c r="FZZ308" s="127"/>
      <c r="GAA308" s="127"/>
      <c r="GAB308" s="127"/>
      <c r="GAC308" s="127"/>
      <c r="GAD308" s="127"/>
      <c r="GAE308" s="127"/>
      <c r="GAF308" s="127"/>
      <c r="GAG308" s="127"/>
      <c r="GAH308" s="127"/>
      <c r="GAI308" s="127"/>
      <c r="GAJ308" s="127"/>
      <c r="GAK308" s="127"/>
      <c r="GAL308" s="127"/>
      <c r="GAM308" s="127"/>
      <c r="GAN308" s="127"/>
      <c r="GAO308" s="127"/>
      <c r="GAP308" s="127"/>
      <c r="GAQ308" s="127"/>
      <c r="GAR308" s="127"/>
      <c r="GAS308" s="127"/>
      <c r="GAT308" s="127"/>
      <c r="GAU308" s="127"/>
      <c r="GAV308" s="127"/>
      <c r="GAW308" s="127"/>
      <c r="GAX308" s="127"/>
      <c r="GAY308" s="127"/>
      <c r="GAZ308" s="127"/>
      <c r="GBA308" s="127"/>
      <c r="GBB308" s="127"/>
      <c r="GBC308" s="127"/>
      <c r="GBD308" s="127"/>
      <c r="GBE308" s="127"/>
      <c r="GBF308" s="127"/>
      <c r="GBG308" s="127"/>
      <c r="GBH308" s="127"/>
      <c r="GBI308" s="127"/>
      <c r="GBJ308" s="127"/>
      <c r="GBK308" s="127"/>
      <c r="GBL308" s="127"/>
      <c r="GBM308" s="127"/>
      <c r="GBN308" s="127"/>
      <c r="GBO308" s="127"/>
      <c r="GBP308" s="127"/>
      <c r="GBQ308" s="127"/>
      <c r="GBR308" s="127"/>
      <c r="GBS308" s="127"/>
      <c r="GBT308" s="127"/>
      <c r="GBU308" s="127"/>
      <c r="GBV308" s="127"/>
      <c r="GBW308" s="127"/>
      <c r="GBX308" s="127"/>
      <c r="GBY308" s="127"/>
      <c r="GBZ308" s="127"/>
      <c r="GCA308" s="127"/>
      <c r="GCB308" s="127"/>
      <c r="GCC308" s="127"/>
      <c r="GCD308" s="127"/>
      <c r="GCE308" s="127"/>
      <c r="GCF308" s="127"/>
      <c r="GCG308" s="127"/>
      <c r="GCH308" s="127"/>
      <c r="GCI308" s="127"/>
      <c r="GCJ308" s="127"/>
      <c r="GCK308" s="127"/>
      <c r="GCL308" s="127"/>
      <c r="GCM308" s="127"/>
      <c r="GCN308" s="127"/>
      <c r="GCO308" s="127"/>
      <c r="GCP308" s="127"/>
      <c r="GCQ308" s="127"/>
      <c r="GCR308" s="127"/>
      <c r="GCS308" s="127"/>
      <c r="GCT308" s="127"/>
      <c r="GCU308" s="127"/>
      <c r="GCV308" s="127"/>
      <c r="GCW308" s="127"/>
      <c r="GCX308" s="127"/>
      <c r="GCY308" s="127"/>
      <c r="GCZ308" s="127"/>
      <c r="GDA308" s="127"/>
      <c r="GDB308" s="127"/>
      <c r="GDC308" s="127"/>
      <c r="GDD308" s="127"/>
      <c r="GDE308" s="127"/>
      <c r="GDF308" s="127"/>
      <c r="GDG308" s="127"/>
      <c r="GDH308" s="127"/>
      <c r="GDI308" s="127"/>
      <c r="GDJ308" s="127"/>
      <c r="GDK308" s="127"/>
      <c r="GDL308" s="127"/>
      <c r="GDM308" s="127"/>
      <c r="GDN308" s="127"/>
      <c r="GDO308" s="127"/>
      <c r="GDP308" s="127"/>
      <c r="GDQ308" s="127"/>
      <c r="GDR308" s="127"/>
      <c r="GDS308" s="127"/>
      <c r="GDT308" s="127"/>
      <c r="GDU308" s="127"/>
      <c r="GDV308" s="127"/>
      <c r="GDW308" s="127"/>
      <c r="GDX308" s="127"/>
      <c r="GDY308" s="127"/>
      <c r="GDZ308" s="127"/>
      <c r="GEA308" s="127"/>
      <c r="GEB308" s="127"/>
      <c r="GEC308" s="127"/>
      <c r="GED308" s="127"/>
      <c r="GEE308" s="127"/>
      <c r="GEF308" s="127"/>
      <c r="GEG308" s="127"/>
      <c r="GEH308" s="127"/>
      <c r="GEI308" s="127"/>
      <c r="GEJ308" s="127"/>
      <c r="GEK308" s="127"/>
      <c r="GEL308" s="127"/>
      <c r="GEM308" s="127"/>
      <c r="GEN308" s="127"/>
      <c r="GEO308" s="127"/>
      <c r="GEP308" s="127"/>
      <c r="GEQ308" s="127"/>
      <c r="GER308" s="127"/>
      <c r="GES308" s="127"/>
      <c r="GET308" s="127"/>
      <c r="GEU308" s="127"/>
      <c r="GEV308" s="127"/>
      <c r="GEW308" s="127"/>
      <c r="GEX308" s="127"/>
      <c r="GEY308" s="127"/>
      <c r="GEZ308" s="127"/>
      <c r="GFA308" s="127"/>
      <c r="GFB308" s="127"/>
      <c r="GFC308" s="127"/>
      <c r="GFD308" s="127"/>
      <c r="GFE308" s="127"/>
      <c r="GFF308" s="127"/>
      <c r="GFG308" s="127"/>
      <c r="GFH308" s="127"/>
      <c r="GFI308" s="127"/>
      <c r="GFJ308" s="127"/>
      <c r="GFK308" s="127"/>
      <c r="GFL308" s="127"/>
      <c r="GFM308" s="127"/>
      <c r="GFN308" s="127"/>
      <c r="GFO308" s="127"/>
      <c r="GFP308" s="127"/>
      <c r="GFQ308" s="127"/>
      <c r="GFR308" s="127"/>
      <c r="GFS308" s="127"/>
      <c r="GFT308" s="127"/>
      <c r="GFU308" s="127"/>
      <c r="GFV308" s="127"/>
      <c r="GFW308" s="127"/>
      <c r="GFX308" s="127"/>
      <c r="GFY308" s="127"/>
      <c r="GFZ308" s="127"/>
      <c r="GGA308" s="127"/>
      <c r="GGB308" s="127"/>
      <c r="GGC308" s="127"/>
      <c r="GGD308" s="127"/>
      <c r="GGE308" s="127"/>
      <c r="GGF308" s="127"/>
      <c r="GGG308" s="127"/>
      <c r="GGH308" s="127"/>
      <c r="GGI308" s="127"/>
      <c r="GGJ308" s="127"/>
      <c r="GGK308" s="127"/>
      <c r="GGL308" s="127"/>
      <c r="GGM308" s="127"/>
      <c r="GGN308" s="127"/>
      <c r="GGO308" s="127"/>
      <c r="GGP308" s="127"/>
      <c r="GGQ308" s="127"/>
      <c r="GGR308" s="127"/>
      <c r="GGS308" s="127"/>
      <c r="GGT308" s="127"/>
      <c r="GGU308" s="127"/>
      <c r="GGV308" s="127"/>
      <c r="GGW308" s="127"/>
      <c r="GGX308" s="127"/>
      <c r="GGY308" s="127"/>
      <c r="GGZ308" s="127"/>
      <c r="GHA308" s="127"/>
      <c r="GHB308" s="127"/>
      <c r="GHC308" s="127"/>
      <c r="GHD308" s="127"/>
      <c r="GHE308" s="127"/>
      <c r="GHF308" s="127"/>
      <c r="GHG308" s="127"/>
      <c r="GHH308" s="127"/>
      <c r="GHI308" s="127"/>
      <c r="GHJ308" s="127"/>
      <c r="GHK308" s="127"/>
      <c r="GHL308" s="127"/>
      <c r="GHM308" s="127"/>
      <c r="GHN308" s="127"/>
      <c r="GHO308" s="127"/>
      <c r="GHP308" s="127"/>
      <c r="GHQ308" s="127"/>
      <c r="GHR308" s="127"/>
      <c r="GHS308" s="127"/>
      <c r="GHT308" s="127"/>
      <c r="GHU308" s="127"/>
      <c r="GHV308" s="127"/>
      <c r="GHW308" s="127"/>
      <c r="GHX308" s="127"/>
      <c r="GHY308" s="127"/>
      <c r="GHZ308" s="127"/>
      <c r="GIA308" s="127"/>
      <c r="GIB308" s="127"/>
      <c r="GIC308" s="127"/>
      <c r="GID308" s="127"/>
      <c r="GIE308" s="127"/>
      <c r="GIF308" s="127"/>
      <c r="GIG308" s="127"/>
      <c r="GIH308" s="127"/>
      <c r="GII308" s="127"/>
      <c r="GIJ308" s="127"/>
      <c r="GIK308" s="127"/>
      <c r="GIL308" s="127"/>
      <c r="GIM308" s="127"/>
      <c r="GIN308" s="127"/>
      <c r="GIO308" s="127"/>
      <c r="GIP308" s="127"/>
      <c r="GIQ308" s="127"/>
      <c r="GIR308" s="127"/>
      <c r="GIS308" s="127"/>
      <c r="GIT308" s="127"/>
      <c r="GIU308" s="127"/>
      <c r="GIV308" s="127"/>
      <c r="GIW308" s="127"/>
      <c r="GIX308" s="127"/>
      <c r="GIY308" s="127"/>
      <c r="GIZ308" s="127"/>
      <c r="GJA308" s="127"/>
      <c r="GJB308" s="127"/>
      <c r="GJC308" s="127"/>
      <c r="GJD308" s="127"/>
      <c r="GJE308" s="127"/>
      <c r="GJF308" s="127"/>
      <c r="GJG308" s="127"/>
      <c r="GJH308" s="127"/>
      <c r="GJI308" s="127"/>
      <c r="GJJ308" s="127"/>
      <c r="GJK308" s="127"/>
      <c r="GJL308" s="127"/>
      <c r="GJM308" s="127"/>
      <c r="GJN308" s="127"/>
      <c r="GJO308" s="127"/>
      <c r="GJP308" s="127"/>
      <c r="GJQ308" s="127"/>
      <c r="GJR308" s="127"/>
      <c r="GJS308" s="127"/>
      <c r="GJT308" s="127"/>
      <c r="GJU308" s="127"/>
      <c r="GJV308" s="127"/>
      <c r="GJW308" s="127"/>
      <c r="GJX308" s="127"/>
      <c r="GJY308" s="127"/>
      <c r="GJZ308" s="127"/>
      <c r="GKA308" s="127"/>
      <c r="GKB308" s="127"/>
      <c r="GKC308" s="127"/>
      <c r="GKD308" s="127"/>
      <c r="GKE308" s="127"/>
      <c r="GKF308" s="127"/>
      <c r="GKG308" s="127"/>
      <c r="GKH308" s="127"/>
      <c r="GKI308" s="127"/>
      <c r="GKJ308" s="127"/>
      <c r="GKK308" s="127"/>
      <c r="GKL308" s="127"/>
      <c r="GKM308" s="127"/>
      <c r="GKN308" s="127"/>
      <c r="GKO308" s="127"/>
      <c r="GKP308" s="127"/>
      <c r="GKQ308" s="127"/>
      <c r="GKR308" s="127"/>
      <c r="GKS308" s="127"/>
      <c r="GKT308" s="127"/>
      <c r="GKU308" s="127"/>
      <c r="GKV308" s="127"/>
      <c r="GKW308" s="127"/>
      <c r="GKX308" s="127"/>
      <c r="GKY308" s="127"/>
      <c r="GKZ308" s="127"/>
      <c r="GLA308" s="127"/>
      <c r="GLB308" s="127"/>
      <c r="GLC308" s="127"/>
      <c r="GLD308" s="127"/>
      <c r="GLE308" s="127"/>
      <c r="GLF308" s="127"/>
      <c r="GLG308" s="127"/>
      <c r="GLH308" s="127"/>
      <c r="GLI308" s="127"/>
      <c r="GLJ308" s="127"/>
      <c r="GLK308" s="127"/>
      <c r="GLL308" s="127"/>
      <c r="GLM308" s="127"/>
      <c r="GLN308" s="127"/>
      <c r="GLO308" s="127"/>
      <c r="GLP308" s="127"/>
      <c r="GLQ308" s="127"/>
      <c r="GLR308" s="127"/>
      <c r="GLS308" s="127"/>
      <c r="GLT308" s="127"/>
      <c r="GLU308" s="127"/>
      <c r="GLV308" s="127"/>
      <c r="GLW308" s="127"/>
      <c r="GLX308" s="127"/>
      <c r="GLY308" s="127"/>
      <c r="GLZ308" s="127"/>
      <c r="GMA308" s="127"/>
      <c r="GMB308" s="127"/>
      <c r="GMC308" s="127"/>
      <c r="GMD308" s="127"/>
      <c r="GME308" s="127"/>
      <c r="GMF308" s="127"/>
      <c r="GMG308" s="127"/>
      <c r="GMH308" s="127"/>
      <c r="GMI308" s="127"/>
      <c r="GMJ308" s="127"/>
      <c r="GMK308" s="127"/>
      <c r="GML308" s="127"/>
      <c r="GMM308" s="127"/>
      <c r="GMN308" s="127"/>
      <c r="GMO308" s="127"/>
      <c r="GMP308" s="127"/>
      <c r="GMQ308" s="127"/>
      <c r="GMR308" s="127"/>
      <c r="GMS308" s="127"/>
      <c r="GMT308" s="127"/>
      <c r="GMU308" s="127"/>
      <c r="GMV308" s="127"/>
      <c r="GMW308" s="127"/>
      <c r="GMX308" s="127"/>
      <c r="GMY308" s="127"/>
      <c r="GMZ308" s="127"/>
      <c r="GNA308" s="127"/>
      <c r="GNB308" s="127"/>
      <c r="GNC308" s="127"/>
      <c r="GND308" s="127"/>
      <c r="GNE308" s="127"/>
      <c r="GNF308" s="127"/>
      <c r="GNG308" s="127"/>
      <c r="GNH308" s="127"/>
      <c r="GNI308" s="127"/>
      <c r="GNJ308" s="127"/>
      <c r="GNK308" s="127"/>
      <c r="GNL308" s="127"/>
      <c r="GNM308" s="127"/>
      <c r="GNN308" s="127"/>
      <c r="GNO308" s="127"/>
      <c r="GNP308" s="127"/>
      <c r="GNQ308" s="127"/>
      <c r="GNR308" s="127"/>
      <c r="GNS308" s="127"/>
      <c r="GNT308" s="127"/>
      <c r="GNU308" s="127"/>
      <c r="GNV308" s="127"/>
      <c r="GNW308" s="127"/>
      <c r="GNX308" s="127"/>
      <c r="GNY308" s="127"/>
      <c r="GNZ308" s="127"/>
      <c r="GOA308" s="127"/>
      <c r="GOB308" s="127"/>
      <c r="GOC308" s="127"/>
      <c r="GOD308" s="127"/>
      <c r="GOE308" s="127"/>
      <c r="GOF308" s="127"/>
      <c r="GOG308" s="127"/>
      <c r="GOH308" s="127"/>
      <c r="GOI308" s="127"/>
      <c r="GOJ308" s="127"/>
      <c r="GOK308" s="127"/>
      <c r="GOL308" s="127"/>
      <c r="GOM308" s="127"/>
      <c r="GON308" s="127"/>
      <c r="GOO308" s="127"/>
      <c r="GOP308" s="127"/>
      <c r="GOQ308" s="127"/>
      <c r="GOR308" s="127"/>
      <c r="GOS308" s="127"/>
      <c r="GOT308" s="127"/>
      <c r="GOU308" s="127"/>
      <c r="GOV308" s="127"/>
      <c r="GOW308" s="127"/>
      <c r="GOX308" s="127"/>
      <c r="GOY308" s="127"/>
      <c r="GOZ308" s="127"/>
      <c r="GPA308" s="127"/>
      <c r="GPB308" s="127"/>
      <c r="GPC308" s="127"/>
      <c r="GPD308" s="127"/>
      <c r="GPE308" s="127"/>
      <c r="GPF308" s="127"/>
      <c r="GPG308" s="127"/>
      <c r="GPH308" s="127"/>
      <c r="GPI308" s="127"/>
      <c r="GPJ308" s="127"/>
      <c r="GPK308" s="127"/>
      <c r="GPL308" s="127"/>
      <c r="GPM308" s="127"/>
      <c r="GPN308" s="127"/>
      <c r="GPO308" s="127"/>
      <c r="GPP308" s="127"/>
      <c r="GPQ308" s="127"/>
      <c r="GPR308" s="127"/>
      <c r="GPS308" s="127"/>
      <c r="GPT308" s="127"/>
      <c r="GPU308" s="127"/>
      <c r="GPV308" s="127"/>
      <c r="GPW308" s="127"/>
      <c r="GPX308" s="127"/>
      <c r="GPY308" s="127"/>
      <c r="GPZ308" s="127"/>
      <c r="GQA308" s="127"/>
      <c r="GQB308" s="127"/>
      <c r="GQC308" s="127"/>
      <c r="GQD308" s="127"/>
      <c r="GQE308" s="127"/>
      <c r="GQF308" s="127"/>
      <c r="GQG308" s="127"/>
      <c r="GQH308" s="127"/>
      <c r="GQI308" s="127"/>
      <c r="GQJ308" s="127"/>
      <c r="GQK308" s="127"/>
      <c r="GQL308" s="127"/>
      <c r="GQM308" s="127"/>
      <c r="GQN308" s="127"/>
      <c r="GQO308" s="127"/>
      <c r="GQP308" s="127"/>
      <c r="GQQ308" s="127"/>
      <c r="GQR308" s="127"/>
      <c r="GQS308" s="127"/>
      <c r="GQT308" s="127"/>
      <c r="GQU308" s="127"/>
      <c r="GQV308" s="127"/>
      <c r="GQW308" s="127"/>
      <c r="GQX308" s="127"/>
      <c r="GQY308" s="127"/>
      <c r="GQZ308" s="127"/>
      <c r="GRA308" s="127"/>
      <c r="GRB308" s="127"/>
      <c r="GRC308" s="127"/>
      <c r="GRD308" s="127"/>
      <c r="GRE308" s="127"/>
      <c r="GRF308" s="127"/>
      <c r="GRG308" s="127"/>
      <c r="GRH308" s="127"/>
      <c r="GRI308" s="127"/>
      <c r="GRJ308" s="127"/>
      <c r="GRK308" s="127"/>
      <c r="GRL308" s="127"/>
      <c r="GRM308" s="127"/>
      <c r="GRN308" s="127"/>
      <c r="GRO308" s="127"/>
      <c r="GRP308" s="127"/>
      <c r="GRQ308" s="127"/>
      <c r="GRR308" s="127"/>
      <c r="GRS308" s="127"/>
      <c r="GRT308" s="127"/>
      <c r="GRU308" s="127"/>
      <c r="GRV308" s="127"/>
      <c r="GRW308" s="127"/>
      <c r="GRX308" s="127"/>
      <c r="GRY308" s="127"/>
      <c r="GRZ308" s="127"/>
      <c r="GSA308" s="127"/>
      <c r="GSB308" s="127"/>
      <c r="GSC308" s="127"/>
      <c r="GSD308" s="127"/>
      <c r="GSE308" s="127"/>
      <c r="GSF308" s="127"/>
      <c r="GSG308" s="127"/>
      <c r="GSH308" s="127"/>
      <c r="GSI308" s="127"/>
      <c r="GSJ308" s="127"/>
      <c r="GSK308" s="127"/>
      <c r="GSL308" s="127"/>
      <c r="GSM308" s="127"/>
      <c r="GSN308" s="127"/>
      <c r="GSO308" s="127"/>
      <c r="GSP308" s="127"/>
      <c r="GSQ308" s="127"/>
      <c r="GSR308" s="127"/>
      <c r="GSS308" s="127"/>
      <c r="GST308" s="127"/>
      <c r="GSU308" s="127"/>
      <c r="GSV308" s="127"/>
      <c r="GSW308" s="127"/>
      <c r="GSX308" s="127"/>
      <c r="GSY308" s="127"/>
      <c r="GSZ308" s="127"/>
      <c r="GTA308" s="127"/>
      <c r="GTB308" s="127"/>
      <c r="GTC308" s="127"/>
      <c r="GTD308" s="127"/>
      <c r="GTE308" s="127"/>
      <c r="GTF308" s="127"/>
      <c r="GTG308" s="127"/>
      <c r="GTH308" s="127"/>
      <c r="GTI308" s="127"/>
      <c r="GTJ308" s="127"/>
      <c r="GTK308" s="127"/>
      <c r="GTL308" s="127"/>
      <c r="GTM308" s="127"/>
      <c r="GTN308" s="127"/>
      <c r="GTO308" s="127"/>
      <c r="GTP308" s="127"/>
      <c r="GTQ308" s="127"/>
      <c r="GTR308" s="127"/>
      <c r="GTS308" s="127"/>
      <c r="GTT308" s="127"/>
      <c r="GTU308" s="127"/>
      <c r="GTV308" s="127"/>
      <c r="GTW308" s="127"/>
      <c r="GTX308" s="127"/>
      <c r="GTY308" s="127"/>
      <c r="GTZ308" s="127"/>
      <c r="GUA308" s="127"/>
      <c r="GUB308" s="127"/>
      <c r="GUC308" s="127"/>
      <c r="GUD308" s="127"/>
      <c r="GUE308" s="127"/>
      <c r="GUF308" s="127"/>
      <c r="GUG308" s="127"/>
      <c r="GUH308" s="127"/>
      <c r="GUI308" s="127"/>
      <c r="GUJ308" s="127"/>
      <c r="GUK308" s="127"/>
      <c r="GUL308" s="127"/>
      <c r="GUM308" s="127"/>
      <c r="GUN308" s="127"/>
      <c r="GUO308" s="127"/>
      <c r="GUP308" s="127"/>
      <c r="GUQ308" s="127"/>
      <c r="GUR308" s="127"/>
      <c r="GUS308" s="127"/>
      <c r="GUT308" s="127"/>
      <c r="GUU308" s="127"/>
      <c r="GUV308" s="127"/>
      <c r="GUW308" s="127"/>
      <c r="GUX308" s="127"/>
      <c r="GUY308" s="127"/>
      <c r="GUZ308" s="127"/>
      <c r="GVA308" s="127"/>
      <c r="GVB308" s="127"/>
      <c r="GVC308" s="127"/>
      <c r="GVD308" s="127"/>
      <c r="GVE308" s="127"/>
      <c r="GVF308" s="127"/>
      <c r="GVG308" s="127"/>
      <c r="GVH308" s="127"/>
      <c r="GVI308" s="127"/>
      <c r="GVJ308" s="127"/>
      <c r="GVK308" s="127"/>
      <c r="GVL308" s="127"/>
      <c r="GVM308" s="127"/>
      <c r="GVN308" s="127"/>
      <c r="GVO308" s="127"/>
      <c r="GVP308" s="127"/>
      <c r="GVQ308" s="127"/>
      <c r="GVR308" s="127"/>
      <c r="GVS308" s="127"/>
      <c r="GVT308" s="127"/>
      <c r="GVU308" s="127"/>
      <c r="GVV308" s="127"/>
      <c r="GVW308" s="127"/>
      <c r="GVX308" s="127"/>
      <c r="GVY308" s="127"/>
      <c r="GVZ308" s="127"/>
      <c r="GWA308" s="127"/>
      <c r="GWB308" s="127"/>
      <c r="GWC308" s="127"/>
      <c r="GWD308" s="127"/>
      <c r="GWE308" s="127"/>
      <c r="GWF308" s="127"/>
      <c r="GWG308" s="127"/>
      <c r="GWH308" s="127"/>
      <c r="GWI308" s="127"/>
      <c r="GWJ308" s="127"/>
      <c r="GWK308" s="127"/>
      <c r="GWL308" s="127"/>
      <c r="GWM308" s="127"/>
      <c r="GWN308" s="127"/>
      <c r="GWO308" s="127"/>
      <c r="GWP308" s="127"/>
      <c r="GWQ308" s="127"/>
      <c r="GWR308" s="127"/>
      <c r="GWS308" s="127"/>
      <c r="GWT308" s="127"/>
      <c r="GWU308" s="127"/>
      <c r="GWV308" s="127"/>
      <c r="GWW308" s="127"/>
      <c r="GWX308" s="127"/>
      <c r="GWY308" s="127"/>
      <c r="GWZ308" s="127"/>
      <c r="GXA308" s="127"/>
      <c r="GXB308" s="127"/>
      <c r="GXC308" s="127"/>
      <c r="GXD308" s="127"/>
      <c r="GXE308" s="127"/>
      <c r="GXF308" s="127"/>
      <c r="GXG308" s="127"/>
      <c r="GXH308" s="127"/>
      <c r="GXI308" s="127"/>
      <c r="GXJ308" s="127"/>
      <c r="GXK308" s="127"/>
      <c r="GXL308" s="127"/>
      <c r="GXM308" s="127"/>
      <c r="GXN308" s="127"/>
      <c r="GXO308" s="127"/>
      <c r="GXP308" s="127"/>
      <c r="GXQ308" s="127"/>
      <c r="GXR308" s="127"/>
      <c r="GXS308" s="127"/>
      <c r="GXT308" s="127"/>
      <c r="GXU308" s="127"/>
      <c r="GXV308" s="127"/>
      <c r="GXW308" s="127"/>
      <c r="GXX308" s="127"/>
      <c r="GXY308" s="127"/>
      <c r="GXZ308" s="127"/>
      <c r="GYA308" s="127"/>
      <c r="GYB308" s="127"/>
      <c r="GYC308" s="127"/>
      <c r="GYD308" s="127"/>
      <c r="GYE308" s="127"/>
      <c r="GYF308" s="127"/>
      <c r="GYG308" s="127"/>
      <c r="GYH308" s="127"/>
      <c r="GYI308" s="127"/>
      <c r="GYJ308" s="127"/>
      <c r="GYK308" s="127"/>
      <c r="GYL308" s="127"/>
      <c r="GYM308" s="127"/>
      <c r="GYN308" s="127"/>
      <c r="GYO308" s="127"/>
      <c r="GYP308" s="127"/>
      <c r="GYQ308" s="127"/>
      <c r="GYR308" s="127"/>
      <c r="GYS308" s="127"/>
      <c r="GYT308" s="127"/>
      <c r="GYU308" s="127"/>
      <c r="GYV308" s="127"/>
      <c r="GYW308" s="127"/>
      <c r="GYX308" s="127"/>
      <c r="GYY308" s="127"/>
      <c r="GYZ308" s="127"/>
      <c r="GZA308" s="127"/>
      <c r="GZB308" s="127"/>
      <c r="GZC308" s="127"/>
      <c r="GZD308" s="127"/>
      <c r="GZE308" s="127"/>
      <c r="GZF308" s="127"/>
      <c r="GZG308" s="127"/>
      <c r="GZH308" s="127"/>
      <c r="GZI308" s="127"/>
      <c r="GZJ308" s="127"/>
      <c r="GZK308" s="127"/>
      <c r="GZL308" s="127"/>
      <c r="GZM308" s="127"/>
      <c r="GZN308" s="127"/>
      <c r="GZO308" s="127"/>
      <c r="GZP308" s="127"/>
      <c r="GZQ308" s="127"/>
      <c r="GZR308" s="127"/>
      <c r="GZS308" s="127"/>
      <c r="GZT308" s="127"/>
      <c r="GZU308" s="127"/>
      <c r="GZV308" s="127"/>
      <c r="GZW308" s="127"/>
      <c r="GZX308" s="127"/>
      <c r="GZY308" s="127"/>
      <c r="GZZ308" s="127"/>
      <c r="HAA308" s="127"/>
      <c r="HAB308" s="127"/>
      <c r="HAC308" s="127"/>
      <c r="HAD308" s="127"/>
      <c r="HAE308" s="127"/>
      <c r="HAF308" s="127"/>
      <c r="HAG308" s="127"/>
      <c r="HAH308" s="127"/>
      <c r="HAI308" s="127"/>
      <c r="HAJ308" s="127"/>
      <c r="HAK308" s="127"/>
      <c r="HAL308" s="127"/>
      <c r="HAM308" s="127"/>
      <c r="HAN308" s="127"/>
      <c r="HAO308" s="127"/>
      <c r="HAP308" s="127"/>
      <c r="HAQ308" s="127"/>
      <c r="HAR308" s="127"/>
      <c r="HAS308" s="127"/>
      <c r="HAT308" s="127"/>
      <c r="HAU308" s="127"/>
      <c r="HAV308" s="127"/>
      <c r="HAW308" s="127"/>
      <c r="HAX308" s="127"/>
      <c r="HAY308" s="127"/>
      <c r="HAZ308" s="127"/>
      <c r="HBA308" s="127"/>
      <c r="HBB308" s="127"/>
      <c r="HBC308" s="127"/>
      <c r="HBD308" s="127"/>
      <c r="HBE308" s="127"/>
      <c r="HBF308" s="127"/>
      <c r="HBG308" s="127"/>
      <c r="HBH308" s="127"/>
      <c r="HBI308" s="127"/>
      <c r="HBJ308" s="127"/>
      <c r="HBK308" s="127"/>
      <c r="HBL308" s="127"/>
      <c r="HBM308" s="127"/>
      <c r="HBN308" s="127"/>
      <c r="HBO308" s="127"/>
      <c r="HBP308" s="127"/>
      <c r="HBQ308" s="127"/>
      <c r="HBR308" s="127"/>
      <c r="HBS308" s="127"/>
      <c r="HBT308" s="127"/>
      <c r="HBU308" s="127"/>
      <c r="HBV308" s="127"/>
      <c r="HBW308" s="127"/>
      <c r="HBX308" s="127"/>
      <c r="HBY308" s="127"/>
      <c r="HBZ308" s="127"/>
      <c r="HCA308" s="127"/>
      <c r="HCB308" s="127"/>
      <c r="HCC308" s="127"/>
      <c r="HCD308" s="127"/>
      <c r="HCE308" s="127"/>
      <c r="HCF308" s="127"/>
      <c r="HCG308" s="127"/>
      <c r="HCH308" s="127"/>
      <c r="HCI308" s="127"/>
      <c r="HCJ308" s="127"/>
      <c r="HCK308" s="127"/>
      <c r="HCL308" s="127"/>
      <c r="HCM308" s="127"/>
      <c r="HCN308" s="127"/>
      <c r="HCO308" s="127"/>
      <c r="HCP308" s="127"/>
      <c r="HCQ308" s="127"/>
      <c r="HCR308" s="127"/>
      <c r="HCS308" s="127"/>
      <c r="HCT308" s="127"/>
      <c r="HCU308" s="127"/>
      <c r="HCV308" s="127"/>
      <c r="HCW308" s="127"/>
      <c r="HCX308" s="127"/>
      <c r="HCY308" s="127"/>
      <c r="HCZ308" s="127"/>
      <c r="HDA308" s="127"/>
      <c r="HDB308" s="127"/>
      <c r="HDC308" s="127"/>
      <c r="HDD308" s="127"/>
      <c r="HDE308" s="127"/>
      <c r="HDF308" s="127"/>
      <c r="HDG308" s="127"/>
      <c r="HDH308" s="127"/>
      <c r="HDI308" s="127"/>
      <c r="HDJ308" s="127"/>
      <c r="HDK308" s="127"/>
      <c r="HDL308" s="127"/>
      <c r="HDM308" s="127"/>
      <c r="HDN308" s="127"/>
      <c r="HDO308" s="127"/>
      <c r="HDP308" s="127"/>
      <c r="HDQ308" s="127"/>
      <c r="HDR308" s="127"/>
      <c r="HDS308" s="127"/>
      <c r="HDT308" s="127"/>
      <c r="HDU308" s="127"/>
      <c r="HDV308" s="127"/>
      <c r="HDW308" s="127"/>
      <c r="HDX308" s="127"/>
      <c r="HDY308" s="127"/>
      <c r="HDZ308" s="127"/>
      <c r="HEA308" s="127"/>
      <c r="HEB308" s="127"/>
      <c r="HEC308" s="127"/>
      <c r="HED308" s="127"/>
      <c r="HEE308" s="127"/>
      <c r="HEF308" s="127"/>
      <c r="HEG308" s="127"/>
      <c r="HEH308" s="127"/>
      <c r="HEI308" s="127"/>
      <c r="HEJ308" s="127"/>
      <c r="HEK308" s="127"/>
      <c r="HEL308" s="127"/>
      <c r="HEM308" s="127"/>
      <c r="HEN308" s="127"/>
      <c r="HEO308" s="127"/>
      <c r="HEP308" s="127"/>
      <c r="HEQ308" s="127"/>
      <c r="HER308" s="127"/>
      <c r="HES308" s="127"/>
      <c r="HET308" s="127"/>
      <c r="HEU308" s="127"/>
      <c r="HEV308" s="127"/>
      <c r="HEW308" s="127"/>
      <c r="HEX308" s="127"/>
      <c r="HEY308" s="127"/>
      <c r="HEZ308" s="127"/>
      <c r="HFA308" s="127"/>
      <c r="HFB308" s="127"/>
      <c r="HFC308" s="127"/>
      <c r="HFD308" s="127"/>
      <c r="HFE308" s="127"/>
      <c r="HFF308" s="127"/>
      <c r="HFG308" s="127"/>
      <c r="HFH308" s="127"/>
      <c r="HFI308" s="127"/>
      <c r="HFJ308" s="127"/>
      <c r="HFK308" s="127"/>
      <c r="HFL308" s="127"/>
      <c r="HFM308" s="127"/>
      <c r="HFN308" s="127"/>
      <c r="HFO308" s="127"/>
      <c r="HFP308" s="127"/>
      <c r="HFQ308" s="127"/>
      <c r="HFR308" s="127"/>
      <c r="HFS308" s="127"/>
      <c r="HFT308" s="127"/>
      <c r="HFU308" s="127"/>
      <c r="HFV308" s="127"/>
      <c r="HFW308" s="127"/>
      <c r="HFX308" s="127"/>
      <c r="HFY308" s="127"/>
      <c r="HFZ308" s="127"/>
      <c r="HGA308" s="127"/>
      <c r="HGB308" s="127"/>
      <c r="HGC308" s="127"/>
      <c r="HGD308" s="127"/>
      <c r="HGE308" s="127"/>
      <c r="HGF308" s="127"/>
      <c r="HGG308" s="127"/>
      <c r="HGH308" s="127"/>
      <c r="HGI308" s="127"/>
      <c r="HGJ308" s="127"/>
      <c r="HGK308" s="127"/>
      <c r="HGL308" s="127"/>
      <c r="HGM308" s="127"/>
      <c r="HGN308" s="127"/>
      <c r="HGO308" s="127"/>
      <c r="HGP308" s="127"/>
      <c r="HGQ308" s="127"/>
      <c r="HGR308" s="127"/>
      <c r="HGS308" s="127"/>
      <c r="HGT308" s="127"/>
      <c r="HGU308" s="127"/>
      <c r="HGV308" s="127"/>
      <c r="HGW308" s="127"/>
      <c r="HGX308" s="127"/>
      <c r="HGY308" s="127"/>
      <c r="HGZ308" s="127"/>
      <c r="HHA308" s="127"/>
      <c r="HHB308" s="127"/>
      <c r="HHC308" s="127"/>
      <c r="HHD308" s="127"/>
      <c r="HHE308" s="127"/>
      <c r="HHF308" s="127"/>
      <c r="HHG308" s="127"/>
      <c r="HHH308" s="127"/>
      <c r="HHI308" s="127"/>
      <c r="HHJ308" s="127"/>
      <c r="HHK308" s="127"/>
      <c r="HHL308" s="127"/>
      <c r="HHM308" s="127"/>
      <c r="HHN308" s="127"/>
      <c r="HHO308" s="127"/>
      <c r="HHP308" s="127"/>
      <c r="HHQ308" s="127"/>
      <c r="HHR308" s="127"/>
      <c r="HHS308" s="127"/>
      <c r="HHT308" s="127"/>
      <c r="HHU308" s="127"/>
      <c r="HHV308" s="127"/>
      <c r="HHW308" s="127"/>
      <c r="HHX308" s="127"/>
      <c r="HHY308" s="127"/>
      <c r="HHZ308" s="127"/>
      <c r="HIA308" s="127"/>
      <c r="HIB308" s="127"/>
      <c r="HIC308" s="127"/>
      <c r="HID308" s="127"/>
      <c r="HIE308" s="127"/>
      <c r="HIF308" s="127"/>
      <c r="HIG308" s="127"/>
      <c r="HIH308" s="127"/>
      <c r="HII308" s="127"/>
      <c r="HIJ308" s="127"/>
      <c r="HIK308" s="127"/>
      <c r="HIL308" s="127"/>
      <c r="HIM308" s="127"/>
      <c r="HIN308" s="127"/>
      <c r="HIO308" s="127"/>
      <c r="HIP308" s="127"/>
      <c r="HIQ308" s="127"/>
      <c r="HIR308" s="127"/>
      <c r="HIS308" s="127"/>
      <c r="HIT308" s="127"/>
      <c r="HIU308" s="127"/>
      <c r="HIV308" s="127"/>
      <c r="HIW308" s="127"/>
      <c r="HIX308" s="127"/>
      <c r="HIY308" s="127"/>
      <c r="HIZ308" s="127"/>
      <c r="HJA308" s="127"/>
      <c r="HJB308" s="127"/>
      <c r="HJC308" s="127"/>
      <c r="HJD308" s="127"/>
      <c r="HJE308" s="127"/>
      <c r="HJF308" s="127"/>
      <c r="HJG308" s="127"/>
      <c r="HJH308" s="127"/>
      <c r="HJI308" s="127"/>
      <c r="HJJ308" s="127"/>
      <c r="HJK308" s="127"/>
      <c r="HJL308" s="127"/>
      <c r="HJM308" s="127"/>
      <c r="HJN308" s="127"/>
      <c r="HJO308" s="127"/>
      <c r="HJP308" s="127"/>
      <c r="HJQ308" s="127"/>
      <c r="HJR308" s="127"/>
      <c r="HJS308" s="127"/>
      <c r="HJT308" s="127"/>
      <c r="HJU308" s="127"/>
      <c r="HJV308" s="127"/>
      <c r="HJW308" s="127"/>
      <c r="HJX308" s="127"/>
      <c r="HJY308" s="127"/>
      <c r="HJZ308" s="127"/>
      <c r="HKA308" s="127"/>
      <c r="HKB308" s="127"/>
      <c r="HKC308" s="127"/>
      <c r="HKD308" s="127"/>
      <c r="HKE308" s="127"/>
      <c r="HKF308" s="127"/>
      <c r="HKG308" s="127"/>
      <c r="HKH308" s="127"/>
      <c r="HKI308" s="127"/>
      <c r="HKJ308" s="127"/>
      <c r="HKK308" s="127"/>
      <c r="HKL308" s="127"/>
      <c r="HKM308" s="127"/>
      <c r="HKN308" s="127"/>
      <c r="HKO308" s="127"/>
      <c r="HKP308" s="127"/>
      <c r="HKQ308" s="127"/>
      <c r="HKR308" s="127"/>
      <c r="HKS308" s="127"/>
      <c r="HKT308" s="127"/>
      <c r="HKU308" s="127"/>
      <c r="HKV308" s="127"/>
      <c r="HKW308" s="127"/>
      <c r="HKX308" s="127"/>
      <c r="HKY308" s="127"/>
      <c r="HKZ308" s="127"/>
      <c r="HLA308" s="127"/>
      <c r="HLB308" s="127"/>
      <c r="HLC308" s="127"/>
      <c r="HLD308" s="127"/>
      <c r="HLE308" s="127"/>
      <c r="HLF308" s="127"/>
      <c r="HLG308" s="127"/>
      <c r="HLH308" s="127"/>
      <c r="HLI308" s="127"/>
      <c r="HLJ308" s="127"/>
      <c r="HLK308" s="127"/>
      <c r="HLL308" s="127"/>
      <c r="HLM308" s="127"/>
      <c r="HLN308" s="127"/>
      <c r="HLO308" s="127"/>
      <c r="HLP308" s="127"/>
      <c r="HLQ308" s="127"/>
      <c r="HLR308" s="127"/>
      <c r="HLS308" s="127"/>
      <c r="HLT308" s="127"/>
      <c r="HLU308" s="127"/>
      <c r="HLV308" s="127"/>
      <c r="HLW308" s="127"/>
      <c r="HLX308" s="127"/>
      <c r="HLY308" s="127"/>
      <c r="HLZ308" s="127"/>
      <c r="HMA308" s="127"/>
      <c r="HMB308" s="127"/>
      <c r="HMC308" s="127"/>
      <c r="HMD308" s="127"/>
      <c r="HME308" s="127"/>
      <c r="HMF308" s="127"/>
      <c r="HMG308" s="127"/>
      <c r="HMH308" s="127"/>
      <c r="HMI308" s="127"/>
      <c r="HMJ308" s="127"/>
      <c r="HMK308" s="127"/>
      <c r="HML308" s="127"/>
      <c r="HMM308" s="127"/>
      <c r="HMN308" s="127"/>
      <c r="HMO308" s="127"/>
      <c r="HMP308" s="127"/>
      <c r="HMQ308" s="127"/>
      <c r="HMR308" s="127"/>
      <c r="HMS308" s="127"/>
      <c r="HMT308" s="127"/>
      <c r="HMU308" s="127"/>
      <c r="HMV308" s="127"/>
      <c r="HMW308" s="127"/>
      <c r="HMX308" s="127"/>
      <c r="HMY308" s="127"/>
      <c r="HMZ308" s="127"/>
      <c r="HNA308" s="127"/>
      <c r="HNB308" s="127"/>
      <c r="HNC308" s="127"/>
      <c r="HND308" s="127"/>
      <c r="HNE308" s="127"/>
      <c r="HNF308" s="127"/>
      <c r="HNG308" s="127"/>
      <c r="HNH308" s="127"/>
      <c r="HNI308" s="127"/>
      <c r="HNJ308" s="127"/>
      <c r="HNK308" s="127"/>
      <c r="HNL308" s="127"/>
      <c r="HNM308" s="127"/>
      <c r="HNN308" s="127"/>
      <c r="HNO308" s="127"/>
      <c r="HNP308" s="127"/>
      <c r="HNQ308" s="127"/>
      <c r="HNR308" s="127"/>
      <c r="HNS308" s="127"/>
      <c r="HNT308" s="127"/>
      <c r="HNU308" s="127"/>
      <c r="HNV308" s="127"/>
      <c r="HNW308" s="127"/>
      <c r="HNX308" s="127"/>
      <c r="HNY308" s="127"/>
      <c r="HNZ308" s="127"/>
      <c r="HOA308" s="127"/>
      <c r="HOB308" s="127"/>
      <c r="HOC308" s="127"/>
      <c r="HOD308" s="127"/>
      <c r="HOE308" s="127"/>
      <c r="HOF308" s="127"/>
      <c r="HOG308" s="127"/>
      <c r="HOH308" s="127"/>
      <c r="HOI308" s="127"/>
      <c r="HOJ308" s="127"/>
      <c r="HOK308" s="127"/>
      <c r="HOL308" s="127"/>
      <c r="HOM308" s="127"/>
      <c r="HON308" s="127"/>
      <c r="HOO308" s="127"/>
      <c r="HOP308" s="127"/>
      <c r="HOQ308" s="127"/>
      <c r="HOR308" s="127"/>
      <c r="HOS308" s="127"/>
      <c r="HOT308" s="127"/>
      <c r="HOU308" s="127"/>
      <c r="HOV308" s="127"/>
      <c r="HOW308" s="127"/>
      <c r="HOX308" s="127"/>
      <c r="HOY308" s="127"/>
      <c r="HOZ308" s="127"/>
      <c r="HPA308" s="127"/>
      <c r="HPB308" s="127"/>
      <c r="HPC308" s="127"/>
      <c r="HPD308" s="127"/>
      <c r="HPE308" s="127"/>
      <c r="HPF308" s="127"/>
      <c r="HPG308" s="127"/>
      <c r="HPH308" s="127"/>
      <c r="HPI308" s="127"/>
      <c r="HPJ308" s="127"/>
      <c r="HPK308" s="127"/>
      <c r="HPL308" s="127"/>
      <c r="HPM308" s="127"/>
      <c r="HPN308" s="127"/>
      <c r="HPO308" s="127"/>
      <c r="HPP308" s="127"/>
      <c r="HPQ308" s="127"/>
      <c r="HPR308" s="127"/>
      <c r="HPS308" s="127"/>
      <c r="HPT308" s="127"/>
      <c r="HPU308" s="127"/>
      <c r="HPV308" s="127"/>
      <c r="HPW308" s="127"/>
      <c r="HPX308" s="127"/>
      <c r="HPY308" s="127"/>
      <c r="HPZ308" s="127"/>
      <c r="HQA308" s="127"/>
      <c r="HQB308" s="127"/>
      <c r="HQC308" s="127"/>
      <c r="HQD308" s="127"/>
      <c r="HQE308" s="127"/>
      <c r="HQF308" s="127"/>
      <c r="HQG308" s="127"/>
      <c r="HQH308" s="127"/>
      <c r="HQI308" s="127"/>
      <c r="HQJ308" s="127"/>
      <c r="HQK308" s="127"/>
      <c r="HQL308" s="127"/>
      <c r="HQM308" s="127"/>
      <c r="HQN308" s="127"/>
      <c r="HQO308" s="127"/>
      <c r="HQP308" s="127"/>
      <c r="HQQ308" s="127"/>
      <c r="HQR308" s="127"/>
      <c r="HQS308" s="127"/>
      <c r="HQT308" s="127"/>
      <c r="HQU308" s="127"/>
      <c r="HQV308" s="127"/>
      <c r="HQW308" s="127"/>
      <c r="HQX308" s="127"/>
      <c r="HQY308" s="127"/>
      <c r="HQZ308" s="127"/>
      <c r="HRA308" s="127"/>
      <c r="HRB308" s="127"/>
      <c r="HRC308" s="127"/>
      <c r="HRD308" s="127"/>
      <c r="HRE308" s="127"/>
      <c r="HRF308" s="127"/>
      <c r="HRG308" s="127"/>
      <c r="HRH308" s="127"/>
      <c r="HRI308" s="127"/>
      <c r="HRJ308" s="127"/>
      <c r="HRK308" s="127"/>
      <c r="HRL308" s="127"/>
      <c r="HRM308" s="127"/>
      <c r="HRN308" s="127"/>
      <c r="HRO308" s="127"/>
      <c r="HRP308" s="127"/>
      <c r="HRQ308" s="127"/>
      <c r="HRR308" s="127"/>
      <c r="HRS308" s="127"/>
      <c r="HRT308" s="127"/>
      <c r="HRU308" s="127"/>
      <c r="HRV308" s="127"/>
      <c r="HRW308" s="127"/>
      <c r="HRX308" s="127"/>
      <c r="HRY308" s="127"/>
      <c r="HRZ308" s="127"/>
      <c r="HSA308" s="127"/>
      <c r="HSB308" s="127"/>
      <c r="HSC308" s="127"/>
      <c r="HSD308" s="127"/>
      <c r="HSE308" s="127"/>
      <c r="HSF308" s="127"/>
      <c r="HSG308" s="127"/>
      <c r="HSH308" s="127"/>
      <c r="HSI308" s="127"/>
      <c r="HSJ308" s="127"/>
      <c r="HSK308" s="127"/>
      <c r="HSL308" s="127"/>
      <c r="HSM308" s="127"/>
      <c r="HSN308" s="127"/>
      <c r="HSO308" s="127"/>
      <c r="HSP308" s="127"/>
      <c r="HSQ308" s="127"/>
      <c r="HSR308" s="127"/>
      <c r="HSS308" s="127"/>
      <c r="HST308" s="127"/>
      <c r="HSU308" s="127"/>
      <c r="HSV308" s="127"/>
      <c r="HSW308" s="127"/>
      <c r="HSX308" s="127"/>
      <c r="HSY308" s="127"/>
      <c r="HSZ308" s="127"/>
      <c r="HTA308" s="127"/>
      <c r="HTB308" s="127"/>
      <c r="HTC308" s="127"/>
      <c r="HTD308" s="127"/>
      <c r="HTE308" s="127"/>
      <c r="HTF308" s="127"/>
      <c r="HTG308" s="127"/>
      <c r="HTH308" s="127"/>
      <c r="HTI308" s="127"/>
      <c r="HTJ308" s="127"/>
      <c r="HTK308" s="127"/>
      <c r="HTL308" s="127"/>
      <c r="HTM308" s="127"/>
      <c r="HTN308" s="127"/>
      <c r="HTO308" s="127"/>
      <c r="HTP308" s="127"/>
      <c r="HTQ308" s="127"/>
      <c r="HTR308" s="127"/>
      <c r="HTS308" s="127"/>
      <c r="HTT308" s="127"/>
      <c r="HTU308" s="127"/>
      <c r="HTV308" s="127"/>
      <c r="HTW308" s="127"/>
      <c r="HTX308" s="127"/>
      <c r="HTY308" s="127"/>
      <c r="HTZ308" s="127"/>
      <c r="HUA308" s="127"/>
      <c r="HUB308" s="127"/>
      <c r="HUC308" s="127"/>
      <c r="HUD308" s="127"/>
      <c r="HUE308" s="127"/>
      <c r="HUF308" s="127"/>
      <c r="HUG308" s="127"/>
      <c r="HUH308" s="127"/>
      <c r="HUI308" s="127"/>
      <c r="HUJ308" s="127"/>
      <c r="HUK308" s="127"/>
      <c r="HUL308" s="127"/>
      <c r="HUM308" s="127"/>
      <c r="HUN308" s="127"/>
      <c r="HUO308" s="127"/>
      <c r="HUP308" s="127"/>
      <c r="HUQ308" s="127"/>
      <c r="HUR308" s="127"/>
      <c r="HUS308" s="127"/>
      <c r="HUT308" s="127"/>
      <c r="HUU308" s="127"/>
      <c r="HUV308" s="127"/>
      <c r="HUW308" s="127"/>
      <c r="HUX308" s="127"/>
      <c r="HUY308" s="127"/>
      <c r="HUZ308" s="127"/>
      <c r="HVA308" s="127"/>
      <c r="HVB308" s="127"/>
      <c r="HVC308" s="127"/>
      <c r="HVD308" s="127"/>
      <c r="HVE308" s="127"/>
      <c r="HVF308" s="127"/>
      <c r="HVG308" s="127"/>
      <c r="HVH308" s="127"/>
      <c r="HVI308" s="127"/>
      <c r="HVJ308" s="127"/>
      <c r="HVK308" s="127"/>
      <c r="HVL308" s="127"/>
      <c r="HVM308" s="127"/>
      <c r="HVN308" s="127"/>
      <c r="HVO308" s="127"/>
      <c r="HVP308" s="127"/>
      <c r="HVQ308" s="127"/>
      <c r="HVR308" s="127"/>
      <c r="HVS308" s="127"/>
      <c r="HVT308" s="127"/>
      <c r="HVU308" s="127"/>
      <c r="HVV308" s="127"/>
      <c r="HVW308" s="127"/>
      <c r="HVX308" s="127"/>
      <c r="HVY308" s="127"/>
      <c r="HVZ308" s="127"/>
      <c r="HWA308" s="127"/>
      <c r="HWB308" s="127"/>
      <c r="HWC308" s="127"/>
      <c r="HWD308" s="127"/>
      <c r="HWE308" s="127"/>
      <c r="HWF308" s="127"/>
      <c r="HWG308" s="127"/>
      <c r="HWH308" s="127"/>
      <c r="HWI308" s="127"/>
      <c r="HWJ308" s="127"/>
      <c r="HWK308" s="127"/>
      <c r="HWL308" s="127"/>
      <c r="HWM308" s="127"/>
      <c r="HWN308" s="127"/>
      <c r="HWO308" s="127"/>
      <c r="HWP308" s="127"/>
      <c r="HWQ308" s="127"/>
      <c r="HWR308" s="127"/>
      <c r="HWS308" s="127"/>
      <c r="HWT308" s="127"/>
      <c r="HWU308" s="127"/>
      <c r="HWV308" s="127"/>
      <c r="HWW308" s="127"/>
      <c r="HWX308" s="127"/>
      <c r="HWY308" s="127"/>
      <c r="HWZ308" s="127"/>
      <c r="HXA308" s="127"/>
      <c r="HXB308" s="127"/>
      <c r="HXC308" s="127"/>
      <c r="HXD308" s="127"/>
      <c r="HXE308" s="127"/>
      <c r="HXF308" s="127"/>
      <c r="HXG308" s="127"/>
      <c r="HXH308" s="127"/>
      <c r="HXI308" s="127"/>
      <c r="HXJ308" s="127"/>
      <c r="HXK308" s="127"/>
      <c r="HXL308" s="127"/>
      <c r="HXM308" s="127"/>
      <c r="HXN308" s="127"/>
      <c r="HXO308" s="127"/>
      <c r="HXP308" s="127"/>
      <c r="HXQ308" s="127"/>
      <c r="HXR308" s="127"/>
      <c r="HXS308" s="127"/>
      <c r="HXT308" s="127"/>
      <c r="HXU308" s="127"/>
      <c r="HXV308" s="127"/>
      <c r="HXW308" s="127"/>
      <c r="HXX308" s="127"/>
      <c r="HXY308" s="127"/>
      <c r="HXZ308" s="127"/>
      <c r="HYA308" s="127"/>
      <c r="HYB308" s="127"/>
      <c r="HYC308" s="127"/>
      <c r="HYD308" s="127"/>
      <c r="HYE308" s="127"/>
      <c r="HYF308" s="127"/>
      <c r="HYG308" s="127"/>
      <c r="HYH308" s="127"/>
      <c r="HYI308" s="127"/>
      <c r="HYJ308" s="127"/>
      <c r="HYK308" s="127"/>
      <c r="HYL308" s="127"/>
      <c r="HYM308" s="127"/>
      <c r="HYN308" s="127"/>
      <c r="HYO308" s="127"/>
      <c r="HYP308" s="127"/>
      <c r="HYQ308" s="127"/>
      <c r="HYR308" s="127"/>
      <c r="HYS308" s="127"/>
      <c r="HYT308" s="127"/>
      <c r="HYU308" s="127"/>
      <c r="HYV308" s="127"/>
      <c r="HYW308" s="127"/>
      <c r="HYX308" s="127"/>
      <c r="HYY308" s="127"/>
      <c r="HYZ308" s="127"/>
      <c r="HZA308" s="127"/>
      <c r="HZB308" s="127"/>
      <c r="HZC308" s="127"/>
      <c r="HZD308" s="127"/>
      <c r="HZE308" s="127"/>
      <c r="HZF308" s="127"/>
      <c r="HZG308" s="127"/>
      <c r="HZH308" s="127"/>
      <c r="HZI308" s="127"/>
      <c r="HZJ308" s="127"/>
      <c r="HZK308" s="127"/>
      <c r="HZL308" s="127"/>
      <c r="HZM308" s="127"/>
      <c r="HZN308" s="127"/>
      <c r="HZO308" s="127"/>
      <c r="HZP308" s="127"/>
      <c r="HZQ308" s="127"/>
      <c r="HZR308" s="127"/>
      <c r="HZS308" s="127"/>
      <c r="HZT308" s="127"/>
      <c r="HZU308" s="127"/>
      <c r="HZV308" s="127"/>
      <c r="HZW308" s="127"/>
      <c r="HZX308" s="127"/>
      <c r="HZY308" s="127"/>
      <c r="HZZ308" s="127"/>
      <c r="IAA308" s="127"/>
      <c r="IAB308" s="127"/>
      <c r="IAC308" s="127"/>
      <c r="IAD308" s="127"/>
      <c r="IAE308" s="127"/>
      <c r="IAF308" s="127"/>
      <c r="IAG308" s="127"/>
      <c r="IAH308" s="127"/>
      <c r="IAI308" s="127"/>
      <c r="IAJ308" s="127"/>
      <c r="IAK308" s="127"/>
      <c r="IAL308" s="127"/>
      <c r="IAM308" s="127"/>
      <c r="IAN308" s="127"/>
      <c r="IAO308" s="127"/>
      <c r="IAP308" s="127"/>
      <c r="IAQ308" s="127"/>
      <c r="IAR308" s="127"/>
      <c r="IAS308" s="127"/>
      <c r="IAT308" s="127"/>
      <c r="IAU308" s="127"/>
      <c r="IAV308" s="127"/>
      <c r="IAW308" s="127"/>
      <c r="IAX308" s="127"/>
      <c r="IAY308" s="127"/>
      <c r="IAZ308" s="127"/>
      <c r="IBA308" s="127"/>
      <c r="IBB308" s="127"/>
      <c r="IBC308" s="127"/>
      <c r="IBD308" s="127"/>
      <c r="IBE308" s="127"/>
      <c r="IBF308" s="127"/>
      <c r="IBG308" s="127"/>
      <c r="IBH308" s="127"/>
      <c r="IBI308" s="127"/>
      <c r="IBJ308" s="127"/>
      <c r="IBK308" s="127"/>
      <c r="IBL308" s="127"/>
      <c r="IBM308" s="127"/>
      <c r="IBN308" s="127"/>
      <c r="IBO308" s="127"/>
      <c r="IBP308" s="127"/>
      <c r="IBQ308" s="127"/>
      <c r="IBR308" s="127"/>
      <c r="IBS308" s="127"/>
      <c r="IBT308" s="127"/>
      <c r="IBU308" s="127"/>
      <c r="IBV308" s="127"/>
      <c r="IBW308" s="127"/>
      <c r="IBX308" s="127"/>
      <c r="IBY308" s="127"/>
      <c r="IBZ308" s="127"/>
      <c r="ICA308" s="127"/>
      <c r="ICB308" s="127"/>
      <c r="ICC308" s="127"/>
      <c r="ICD308" s="127"/>
      <c r="ICE308" s="127"/>
      <c r="ICF308" s="127"/>
      <c r="ICG308" s="127"/>
      <c r="ICH308" s="127"/>
      <c r="ICI308" s="127"/>
      <c r="ICJ308" s="127"/>
      <c r="ICK308" s="127"/>
      <c r="ICL308" s="127"/>
      <c r="ICM308" s="127"/>
      <c r="ICN308" s="127"/>
      <c r="ICO308" s="127"/>
      <c r="ICP308" s="127"/>
      <c r="ICQ308" s="127"/>
      <c r="ICR308" s="127"/>
      <c r="ICS308" s="127"/>
      <c r="ICT308" s="127"/>
      <c r="ICU308" s="127"/>
      <c r="ICV308" s="127"/>
      <c r="ICW308" s="127"/>
      <c r="ICX308" s="127"/>
      <c r="ICY308" s="127"/>
      <c r="ICZ308" s="127"/>
      <c r="IDA308" s="127"/>
      <c r="IDB308" s="127"/>
      <c r="IDC308" s="127"/>
      <c r="IDD308" s="127"/>
      <c r="IDE308" s="127"/>
      <c r="IDF308" s="127"/>
      <c r="IDG308" s="127"/>
      <c r="IDH308" s="127"/>
      <c r="IDI308" s="127"/>
      <c r="IDJ308" s="127"/>
      <c r="IDK308" s="127"/>
      <c r="IDL308" s="127"/>
      <c r="IDM308" s="127"/>
      <c r="IDN308" s="127"/>
      <c r="IDO308" s="127"/>
      <c r="IDP308" s="127"/>
      <c r="IDQ308" s="127"/>
      <c r="IDR308" s="127"/>
      <c r="IDS308" s="127"/>
      <c r="IDT308" s="127"/>
      <c r="IDU308" s="127"/>
      <c r="IDV308" s="127"/>
      <c r="IDW308" s="127"/>
      <c r="IDX308" s="127"/>
      <c r="IDY308" s="127"/>
      <c r="IDZ308" s="127"/>
      <c r="IEA308" s="127"/>
      <c r="IEB308" s="127"/>
      <c r="IEC308" s="127"/>
      <c r="IED308" s="127"/>
      <c r="IEE308" s="127"/>
      <c r="IEF308" s="127"/>
      <c r="IEG308" s="127"/>
      <c r="IEH308" s="127"/>
      <c r="IEI308" s="127"/>
      <c r="IEJ308" s="127"/>
      <c r="IEK308" s="127"/>
      <c r="IEL308" s="127"/>
      <c r="IEM308" s="127"/>
      <c r="IEN308" s="127"/>
      <c r="IEO308" s="127"/>
      <c r="IEP308" s="127"/>
      <c r="IEQ308" s="127"/>
      <c r="IER308" s="127"/>
      <c r="IES308" s="127"/>
      <c r="IET308" s="127"/>
      <c r="IEU308" s="127"/>
      <c r="IEV308" s="127"/>
      <c r="IEW308" s="127"/>
      <c r="IEX308" s="127"/>
      <c r="IEY308" s="127"/>
      <c r="IEZ308" s="127"/>
      <c r="IFA308" s="127"/>
      <c r="IFB308" s="127"/>
      <c r="IFC308" s="127"/>
      <c r="IFD308" s="127"/>
      <c r="IFE308" s="127"/>
      <c r="IFF308" s="127"/>
      <c r="IFG308" s="127"/>
      <c r="IFH308" s="127"/>
      <c r="IFI308" s="127"/>
      <c r="IFJ308" s="127"/>
      <c r="IFK308" s="127"/>
      <c r="IFL308" s="127"/>
      <c r="IFM308" s="127"/>
      <c r="IFN308" s="127"/>
      <c r="IFO308" s="127"/>
      <c r="IFP308" s="127"/>
      <c r="IFQ308" s="127"/>
      <c r="IFR308" s="127"/>
      <c r="IFS308" s="127"/>
      <c r="IFT308" s="127"/>
      <c r="IFU308" s="127"/>
      <c r="IFV308" s="127"/>
      <c r="IFW308" s="127"/>
      <c r="IFX308" s="127"/>
      <c r="IFY308" s="127"/>
      <c r="IFZ308" s="127"/>
      <c r="IGA308" s="127"/>
      <c r="IGB308" s="127"/>
      <c r="IGC308" s="127"/>
      <c r="IGD308" s="127"/>
      <c r="IGE308" s="127"/>
      <c r="IGF308" s="127"/>
      <c r="IGG308" s="127"/>
      <c r="IGH308" s="127"/>
      <c r="IGI308" s="127"/>
      <c r="IGJ308" s="127"/>
      <c r="IGK308" s="127"/>
      <c r="IGL308" s="127"/>
      <c r="IGM308" s="127"/>
      <c r="IGN308" s="127"/>
      <c r="IGO308" s="127"/>
      <c r="IGP308" s="127"/>
      <c r="IGQ308" s="127"/>
      <c r="IGR308" s="127"/>
      <c r="IGS308" s="127"/>
      <c r="IGT308" s="127"/>
      <c r="IGU308" s="127"/>
      <c r="IGV308" s="127"/>
      <c r="IGW308" s="127"/>
      <c r="IGX308" s="127"/>
      <c r="IGY308" s="127"/>
      <c r="IGZ308" s="127"/>
      <c r="IHA308" s="127"/>
      <c r="IHB308" s="127"/>
      <c r="IHC308" s="127"/>
      <c r="IHD308" s="127"/>
      <c r="IHE308" s="127"/>
      <c r="IHF308" s="127"/>
      <c r="IHG308" s="127"/>
      <c r="IHH308" s="127"/>
      <c r="IHI308" s="127"/>
      <c r="IHJ308" s="127"/>
      <c r="IHK308" s="127"/>
      <c r="IHL308" s="127"/>
      <c r="IHM308" s="127"/>
      <c r="IHN308" s="127"/>
      <c r="IHO308" s="127"/>
      <c r="IHP308" s="127"/>
      <c r="IHQ308" s="127"/>
      <c r="IHR308" s="127"/>
      <c r="IHS308" s="127"/>
      <c r="IHT308" s="127"/>
      <c r="IHU308" s="127"/>
      <c r="IHV308" s="127"/>
      <c r="IHW308" s="127"/>
      <c r="IHX308" s="127"/>
      <c r="IHY308" s="127"/>
      <c r="IHZ308" s="127"/>
      <c r="IIA308" s="127"/>
      <c r="IIB308" s="127"/>
      <c r="IIC308" s="127"/>
      <c r="IID308" s="127"/>
      <c r="IIE308" s="127"/>
      <c r="IIF308" s="127"/>
      <c r="IIG308" s="127"/>
      <c r="IIH308" s="127"/>
      <c r="III308" s="127"/>
      <c r="IIJ308" s="127"/>
      <c r="IIK308" s="127"/>
      <c r="IIL308" s="127"/>
      <c r="IIM308" s="127"/>
      <c r="IIN308" s="127"/>
      <c r="IIO308" s="127"/>
      <c r="IIP308" s="127"/>
      <c r="IIQ308" s="127"/>
      <c r="IIR308" s="127"/>
      <c r="IIS308" s="127"/>
      <c r="IIT308" s="127"/>
      <c r="IIU308" s="127"/>
      <c r="IIV308" s="127"/>
      <c r="IIW308" s="127"/>
      <c r="IIX308" s="127"/>
      <c r="IIY308" s="127"/>
      <c r="IIZ308" s="127"/>
      <c r="IJA308" s="127"/>
      <c r="IJB308" s="127"/>
      <c r="IJC308" s="127"/>
      <c r="IJD308" s="127"/>
      <c r="IJE308" s="127"/>
      <c r="IJF308" s="127"/>
      <c r="IJG308" s="127"/>
      <c r="IJH308" s="127"/>
      <c r="IJI308" s="127"/>
      <c r="IJJ308" s="127"/>
      <c r="IJK308" s="127"/>
      <c r="IJL308" s="127"/>
      <c r="IJM308" s="127"/>
      <c r="IJN308" s="127"/>
      <c r="IJO308" s="127"/>
      <c r="IJP308" s="127"/>
      <c r="IJQ308" s="127"/>
      <c r="IJR308" s="127"/>
      <c r="IJS308" s="127"/>
      <c r="IJT308" s="127"/>
      <c r="IJU308" s="127"/>
      <c r="IJV308" s="127"/>
      <c r="IJW308" s="127"/>
      <c r="IJX308" s="127"/>
      <c r="IJY308" s="127"/>
      <c r="IJZ308" s="127"/>
      <c r="IKA308" s="127"/>
      <c r="IKB308" s="127"/>
      <c r="IKC308" s="127"/>
      <c r="IKD308" s="127"/>
      <c r="IKE308" s="127"/>
      <c r="IKF308" s="127"/>
      <c r="IKG308" s="127"/>
      <c r="IKH308" s="127"/>
      <c r="IKI308" s="127"/>
      <c r="IKJ308" s="127"/>
      <c r="IKK308" s="127"/>
      <c r="IKL308" s="127"/>
      <c r="IKM308" s="127"/>
      <c r="IKN308" s="127"/>
      <c r="IKO308" s="127"/>
      <c r="IKP308" s="127"/>
      <c r="IKQ308" s="127"/>
      <c r="IKR308" s="127"/>
      <c r="IKS308" s="127"/>
      <c r="IKT308" s="127"/>
      <c r="IKU308" s="127"/>
      <c r="IKV308" s="127"/>
      <c r="IKW308" s="127"/>
      <c r="IKX308" s="127"/>
      <c r="IKY308" s="127"/>
      <c r="IKZ308" s="127"/>
      <c r="ILA308" s="127"/>
      <c r="ILB308" s="127"/>
      <c r="ILC308" s="127"/>
      <c r="ILD308" s="127"/>
      <c r="ILE308" s="127"/>
      <c r="ILF308" s="127"/>
      <c r="ILG308" s="127"/>
      <c r="ILH308" s="127"/>
      <c r="ILI308" s="127"/>
      <c r="ILJ308" s="127"/>
      <c r="ILK308" s="127"/>
      <c r="ILL308" s="127"/>
      <c r="ILM308" s="127"/>
      <c r="ILN308" s="127"/>
      <c r="ILO308" s="127"/>
      <c r="ILP308" s="127"/>
      <c r="ILQ308" s="127"/>
      <c r="ILR308" s="127"/>
      <c r="ILS308" s="127"/>
      <c r="ILT308" s="127"/>
      <c r="ILU308" s="127"/>
      <c r="ILV308" s="127"/>
      <c r="ILW308" s="127"/>
      <c r="ILX308" s="127"/>
      <c r="ILY308" s="127"/>
      <c r="ILZ308" s="127"/>
      <c r="IMA308" s="127"/>
      <c r="IMB308" s="127"/>
      <c r="IMC308" s="127"/>
      <c r="IMD308" s="127"/>
      <c r="IME308" s="127"/>
      <c r="IMF308" s="127"/>
      <c r="IMG308" s="127"/>
      <c r="IMH308" s="127"/>
      <c r="IMI308" s="127"/>
      <c r="IMJ308" s="127"/>
      <c r="IMK308" s="127"/>
      <c r="IML308" s="127"/>
      <c r="IMM308" s="127"/>
      <c r="IMN308" s="127"/>
      <c r="IMO308" s="127"/>
      <c r="IMP308" s="127"/>
      <c r="IMQ308" s="127"/>
      <c r="IMR308" s="127"/>
      <c r="IMS308" s="127"/>
      <c r="IMT308" s="127"/>
      <c r="IMU308" s="127"/>
      <c r="IMV308" s="127"/>
      <c r="IMW308" s="127"/>
      <c r="IMX308" s="127"/>
      <c r="IMY308" s="127"/>
      <c r="IMZ308" s="127"/>
      <c r="INA308" s="127"/>
      <c r="INB308" s="127"/>
      <c r="INC308" s="127"/>
      <c r="IND308" s="127"/>
      <c r="INE308" s="127"/>
      <c r="INF308" s="127"/>
      <c r="ING308" s="127"/>
      <c r="INH308" s="127"/>
      <c r="INI308" s="127"/>
      <c r="INJ308" s="127"/>
      <c r="INK308" s="127"/>
      <c r="INL308" s="127"/>
      <c r="INM308" s="127"/>
      <c r="INN308" s="127"/>
      <c r="INO308" s="127"/>
      <c r="INP308" s="127"/>
      <c r="INQ308" s="127"/>
      <c r="INR308" s="127"/>
      <c r="INS308" s="127"/>
      <c r="INT308" s="127"/>
      <c r="INU308" s="127"/>
      <c r="INV308" s="127"/>
      <c r="INW308" s="127"/>
      <c r="INX308" s="127"/>
      <c r="INY308" s="127"/>
      <c r="INZ308" s="127"/>
      <c r="IOA308" s="127"/>
      <c r="IOB308" s="127"/>
      <c r="IOC308" s="127"/>
      <c r="IOD308" s="127"/>
      <c r="IOE308" s="127"/>
      <c r="IOF308" s="127"/>
      <c r="IOG308" s="127"/>
      <c r="IOH308" s="127"/>
      <c r="IOI308" s="127"/>
      <c r="IOJ308" s="127"/>
      <c r="IOK308" s="127"/>
      <c r="IOL308" s="127"/>
      <c r="IOM308" s="127"/>
      <c r="ION308" s="127"/>
      <c r="IOO308" s="127"/>
      <c r="IOP308" s="127"/>
      <c r="IOQ308" s="127"/>
      <c r="IOR308" s="127"/>
      <c r="IOS308" s="127"/>
      <c r="IOT308" s="127"/>
      <c r="IOU308" s="127"/>
      <c r="IOV308" s="127"/>
      <c r="IOW308" s="127"/>
      <c r="IOX308" s="127"/>
      <c r="IOY308" s="127"/>
      <c r="IOZ308" s="127"/>
      <c r="IPA308" s="127"/>
      <c r="IPB308" s="127"/>
      <c r="IPC308" s="127"/>
      <c r="IPD308" s="127"/>
      <c r="IPE308" s="127"/>
      <c r="IPF308" s="127"/>
      <c r="IPG308" s="127"/>
      <c r="IPH308" s="127"/>
      <c r="IPI308" s="127"/>
      <c r="IPJ308" s="127"/>
      <c r="IPK308" s="127"/>
      <c r="IPL308" s="127"/>
      <c r="IPM308" s="127"/>
      <c r="IPN308" s="127"/>
      <c r="IPO308" s="127"/>
      <c r="IPP308" s="127"/>
      <c r="IPQ308" s="127"/>
      <c r="IPR308" s="127"/>
      <c r="IPS308" s="127"/>
      <c r="IPT308" s="127"/>
      <c r="IPU308" s="127"/>
      <c r="IPV308" s="127"/>
      <c r="IPW308" s="127"/>
      <c r="IPX308" s="127"/>
      <c r="IPY308" s="127"/>
      <c r="IPZ308" s="127"/>
      <c r="IQA308" s="127"/>
      <c r="IQB308" s="127"/>
      <c r="IQC308" s="127"/>
      <c r="IQD308" s="127"/>
      <c r="IQE308" s="127"/>
      <c r="IQF308" s="127"/>
      <c r="IQG308" s="127"/>
      <c r="IQH308" s="127"/>
      <c r="IQI308" s="127"/>
      <c r="IQJ308" s="127"/>
      <c r="IQK308" s="127"/>
      <c r="IQL308" s="127"/>
      <c r="IQM308" s="127"/>
      <c r="IQN308" s="127"/>
      <c r="IQO308" s="127"/>
      <c r="IQP308" s="127"/>
      <c r="IQQ308" s="127"/>
      <c r="IQR308" s="127"/>
      <c r="IQS308" s="127"/>
      <c r="IQT308" s="127"/>
      <c r="IQU308" s="127"/>
      <c r="IQV308" s="127"/>
      <c r="IQW308" s="127"/>
      <c r="IQX308" s="127"/>
      <c r="IQY308" s="127"/>
      <c r="IQZ308" s="127"/>
      <c r="IRA308" s="127"/>
      <c r="IRB308" s="127"/>
      <c r="IRC308" s="127"/>
      <c r="IRD308" s="127"/>
      <c r="IRE308" s="127"/>
      <c r="IRF308" s="127"/>
      <c r="IRG308" s="127"/>
      <c r="IRH308" s="127"/>
      <c r="IRI308" s="127"/>
      <c r="IRJ308" s="127"/>
      <c r="IRK308" s="127"/>
      <c r="IRL308" s="127"/>
      <c r="IRM308" s="127"/>
      <c r="IRN308" s="127"/>
      <c r="IRO308" s="127"/>
      <c r="IRP308" s="127"/>
      <c r="IRQ308" s="127"/>
      <c r="IRR308" s="127"/>
      <c r="IRS308" s="127"/>
      <c r="IRT308" s="127"/>
      <c r="IRU308" s="127"/>
      <c r="IRV308" s="127"/>
      <c r="IRW308" s="127"/>
      <c r="IRX308" s="127"/>
      <c r="IRY308" s="127"/>
      <c r="IRZ308" s="127"/>
      <c r="ISA308" s="127"/>
      <c r="ISB308" s="127"/>
      <c r="ISC308" s="127"/>
      <c r="ISD308" s="127"/>
      <c r="ISE308" s="127"/>
      <c r="ISF308" s="127"/>
      <c r="ISG308" s="127"/>
      <c r="ISH308" s="127"/>
      <c r="ISI308" s="127"/>
      <c r="ISJ308" s="127"/>
      <c r="ISK308" s="127"/>
      <c r="ISL308" s="127"/>
      <c r="ISM308" s="127"/>
      <c r="ISN308" s="127"/>
      <c r="ISO308" s="127"/>
      <c r="ISP308" s="127"/>
      <c r="ISQ308" s="127"/>
      <c r="ISR308" s="127"/>
      <c r="ISS308" s="127"/>
      <c r="IST308" s="127"/>
      <c r="ISU308" s="127"/>
      <c r="ISV308" s="127"/>
      <c r="ISW308" s="127"/>
      <c r="ISX308" s="127"/>
      <c r="ISY308" s="127"/>
      <c r="ISZ308" s="127"/>
      <c r="ITA308" s="127"/>
      <c r="ITB308" s="127"/>
      <c r="ITC308" s="127"/>
      <c r="ITD308" s="127"/>
      <c r="ITE308" s="127"/>
      <c r="ITF308" s="127"/>
      <c r="ITG308" s="127"/>
      <c r="ITH308" s="127"/>
      <c r="ITI308" s="127"/>
      <c r="ITJ308" s="127"/>
      <c r="ITK308" s="127"/>
      <c r="ITL308" s="127"/>
      <c r="ITM308" s="127"/>
      <c r="ITN308" s="127"/>
      <c r="ITO308" s="127"/>
      <c r="ITP308" s="127"/>
      <c r="ITQ308" s="127"/>
      <c r="ITR308" s="127"/>
      <c r="ITS308" s="127"/>
      <c r="ITT308" s="127"/>
      <c r="ITU308" s="127"/>
      <c r="ITV308" s="127"/>
      <c r="ITW308" s="127"/>
      <c r="ITX308" s="127"/>
      <c r="ITY308" s="127"/>
      <c r="ITZ308" s="127"/>
      <c r="IUA308" s="127"/>
      <c r="IUB308" s="127"/>
      <c r="IUC308" s="127"/>
      <c r="IUD308" s="127"/>
      <c r="IUE308" s="127"/>
      <c r="IUF308" s="127"/>
      <c r="IUG308" s="127"/>
      <c r="IUH308" s="127"/>
      <c r="IUI308" s="127"/>
      <c r="IUJ308" s="127"/>
      <c r="IUK308" s="127"/>
      <c r="IUL308" s="127"/>
      <c r="IUM308" s="127"/>
      <c r="IUN308" s="127"/>
      <c r="IUO308" s="127"/>
      <c r="IUP308" s="127"/>
      <c r="IUQ308" s="127"/>
      <c r="IUR308" s="127"/>
      <c r="IUS308" s="127"/>
      <c r="IUT308" s="127"/>
      <c r="IUU308" s="127"/>
      <c r="IUV308" s="127"/>
      <c r="IUW308" s="127"/>
      <c r="IUX308" s="127"/>
      <c r="IUY308" s="127"/>
      <c r="IUZ308" s="127"/>
      <c r="IVA308" s="127"/>
      <c r="IVB308" s="127"/>
      <c r="IVC308" s="127"/>
      <c r="IVD308" s="127"/>
      <c r="IVE308" s="127"/>
      <c r="IVF308" s="127"/>
      <c r="IVG308" s="127"/>
      <c r="IVH308" s="127"/>
      <c r="IVI308" s="127"/>
      <c r="IVJ308" s="127"/>
      <c r="IVK308" s="127"/>
      <c r="IVL308" s="127"/>
      <c r="IVM308" s="127"/>
      <c r="IVN308" s="127"/>
      <c r="IVO308" s="127"/>
      <c r="IVP308" s="127"/>
      <c r="IVQ308" s="127"/>
      <c r="IVR308" s="127"/>
      <c r="IVS308" s="127"/>
      <c r="IVT308" s="127"/>
      <c r="IVU308" s="127"/>
      <c r="IVV308" s="127"/>
      <c r="IVW308" s="127"/>
      <c r="IVX308" s="127"/>
      <c r="IVY308" s="127"/>
      <c r="IVZ308" s="127"/>
      <c r="IWA308" s="127"/>
      <c r="IWB308" s="127"/>
      <c r="IWC308" s="127"/>
      <c r="IWD308" s="127"/>
      <c r="IWE308" s="127"/>
      <c r="IWF308" s="127"/>
      <c r="IWG308" s="127"/>
      <c r="IWH308" s="127"/>
      <c r="IWI308" s="127"/>
      <c r="IWJ308" s="127"/>
      <c r="IWK308" s="127"/>
      <c r="IWL308" s="127"/>
      <c r="IWM308" s="127"/>
      <c r="IWN308" s="127"/>
      <c r="IWO308" s="127"/>
      <c r="IWP308" s="127"/>
      <c r="IWQ308" s="127"/>
      <c r="IWR308" s="127"/>
      <c r="IWS308" s="127"/>
      <c r="IWT308" s="127"/>
      <c r="IWU308" s="127"/>
      <c r="IWV308" s="127"/>
      <c r="IWW308" s="127"/>
      <c r="IWX308" s="127"/>
      <c r="IWY308" s="127"/>
      <c r="IWZ308" s="127"/>
      <c r="IXA308" s="127"/>
      <c r="IXB308" s="127"/>
      <c r="IXC308" s="127"/>
      <c r="IXD308" s="127"/>
      <c r="IXE308" s="127"/>
      <c r="IXF308" s="127"/>
      <c r="IXG308" s="127"/>
      <c r="IXH308" s="127"/>
      <c r="IXI308" s="127"/>
      <c r="IXJ308" s="127"/>
      <c r="IXK308" s="127"/>
      <c r="IXL308" s="127"/>
      <c r="IXM308" s="127"/>
      <c r="IXN308" s="127"/>
      <c r="IXO308" s="127"/>
      <c r="IXP308" s="127"/>
      <c r="IXQ308" s="127"/>
      <c r="IXR308" s="127"/>
      <c r="IXS308" s="127"/>
      <c r="IXT308" s="127"/>
      <c r="IXU308" s="127"/>
      <c r="IXV308" s="127"/>
      <c r="IXW308" s="127"/>
      <c r="IXX308" s="127"/>
      <c r="IXY308" s="127"/>
      <c r="IXZ308" s="127"/>
      <c r="IYA308" s="127"/>
      <c r="IYB308" s="127"/>
      <c r="IYC308" s="127"/>
      <c r="IYD308" s="127"/>
      <c r="IYE308" s="127"/>
      <c r="IYF308" s="127"/>
      <c r="IYG308" s="127"/>
      <c r="IYH308" s="127"/>
      <c r="IYI308" s="127"/>
      <c r="IYJ308" s="127"/>
      <c r="IYK308" s="127"/>
      <c r="IYL308" s="127"/>
      <c r="IYM308" s="127"/>
      <c r="IYN308" s="127"/>
      <c r="IYO308" s="127"/>
      <c r="IYP308" s="127"/>
      <c r="IYQ308" s="127"/>
      <c r="IYR308" s="127"/>
      <c r="IYS308" s="127"/>
      <c r="IYT308" s="127"/>
      <c r="IYU308" s="127"/>
      <c r="IYV308" s="127"/>
      <c r="IYW308" s="127"/>
      <c r="IYX308" s="127"/>
      <c r="IYY308" s="127"/>
      <c r="IYZ308" s="127"/>
      <c r="IZA308" s="127"/>
      <c r="IZB308" s="127"/>
      <c r="IZC308" s="127"/>
      <c r="IZD308" s="127"/>
      <c r="IZE308" s="127"/>
      <c r="IZF308" s="127"/>
      <c r="IZG308" s="127"/>
      <c r="IZH308" s="127"/>
      <c r="IZI308" s="127"/>
      <c r="IZJ308" s="127"/>
      <c r="IZK308" s="127"/>
      <c r="IZL308" s="127"/>
      <c r="IZM308" s="127"/>
      <c r="IZN308" s="127"/>
      <c r="IZO308" s="127"/>
      <c r="IZP308" s="127"/>
      <c r="IZQ308" s="127"/>
      <c r="IZR308" s="127"/>
      <c r="IZS308" s="127"/>
      <c r="IZT308" s="127"/>
      <c r="IZU308" s="127"/>
      <c r="IZV308" s="127"/>
      <c r="IZW308" s="127"/>
      <c r="IZX308" s="127"/>
      <c r="IZY308" s="127"/>
      <c r="IZZ308" s="127"/>
      <c r="JAA308" s="127"/>
      <c r="JAB308" s="127"/>
      <c r="JAC308" s="127"/>
      <c r="JAD308" s="127"/>
      <c r="JAE308" s="127"/>
      <c r="JAF308" s="127"/>
      <c r="JAG308" s="127"/>
      <c r="JAH308" s="127"/>
      <c r="JAI308" s="127"/>
      <c r="JAJ308" s="127"/>
      <c r="JAK308" s="127"/>
      <c r="JAL308" s="127"/>
      <c r="JAM308" s="127"/>
      <c r="JAN308" s="127"/>
      <c r="JAO308" s="127"/>
      <c r="JAP308" s="127"/>
      <c r="JAQ308" s="127"/>
      <c r="JAR308" s="127"/>
      <c r="JAS308" s="127"/>
      <c r="JAT308" s="127"/>
      <c r="JAU308" s="127"/>
      <c r="JAV308" s="127"/>
      <c r="JAW308" s="127"/>
      <c r="JAX308" s="127"/>
      <c r="JAY308" s="127"/>
      <c r="JAZ308" s="127"/>
      <c r="JBA308" s="127"/>
      <c r="JBB308" s="127"/>
      <c r="JBC308" s="127"/>
      <c r="JBD308" s="127"/>
      <c r="JBE308" s="127"/>
      <c r="JBF308" s="127"/>
      <c r="JBG308" s="127"/>
      <c r="JBH308" s="127"/>
      <c r="JBI308" s="127"/>
      <c r="JBJ308" s="127"/>
      <c r="JBK308" s="127"/>
      <c r="JBL308" s="127"/>
      <c r="JBM308" s="127"/>
      <c r="JBN308" s="127"/>
      <c r="JBO308" s="127"/>
      <c r="JBP308" s="127"/>
      <c r="JBQ308" s="127"/>
      <c r="JBR308" s="127"/>
      <c r="JBS308" s="127"/>
      <c r="JBT308" s="127"/>
      <c r="JBU308" s="127"/>
      <c r="JBV308" s="127"/>
      <c r="JBW308" s="127"/>
      <c r="JBX308" s="127"/>
      <c r="JBY308" s="127"/>
      <c r="JBZ308" s="127"/>
      <c r="JCA308" s="127"/>
      <c r="JCB308" s="127"/>
      <c r="JCC308" s="127"/>
      <c r="JCD308" s="127"/>
      <c r="JCE308" s="127"/>
      <c r="JCF308" s="127"/>
      <c r="JCG308" s="127"/>
      <c r="JCH308" s="127"/>
      <c r="JCI308" s="127"/>
      <c r="JCJ308" s="127"/>
      <c r="JCK308" s="127"/>
      <c r="JCL308" s="127"/>
      <c r="JCM308" s="127"/>
      <c r="JCN308" s="127"/>
      <c r="JCO308" s="127"/>
      <c r="JCP308" s="127"/>
      <c r="JCQ308" s="127"/>
      <c r="JCR308" s="127"/>
      <c r="JCS308" s="127"/>
      <c r="JCT308" s="127"/>
      <c r="JCU308" s="127"/>
      <c r="JCV308" s="127"/>
      <c r="JCW308" s="127"/>
      <c r="JCX308" s="127"/>
      <c r="JCY308" s="127"/>
      <c r="JCZ308" s="127"/>
      <c r="JDA308" s="127"/>
      <c r="JDB308" s="127"/>
      <c r="JDC308" s="127"/>
      <c r="JDD308" s="127"/>
      <c r="JDE308" s="127"/>
      <c r="JDF308" s="127"/>
      <c r="JDG308" s="127"/>
      <c r="JDH308" s="127"/>
      <c r="JDI308" s="127"/>
      <c r="JDJ308" s="127"/>
      <c r="JDK308" s="127"/>
      <c r="JDL308" s="127"/>
      <c r="JDM308" s="127"/>
      <c r="JDN308" s="127"/>
      <c r="JDO308" s="127"/>
      <c r="JDP308" s="127"/>
      <c r="JDQ308" s="127"/>
      <c r="JDR308" s="127"/>
      <c r="JDS308" s="127"/>
      <c r="JDT308" s="127"/>
      <c r="JDU308" s="127"/>
      <c r="JDV308" s="127"/>
      <c r="JDW308" s="127"/>
      <c r="JDX308" s="127"/>
      <c r="JDY308" s="127"/>
      <c r="JDZ308" s="127"/>
      <c r="JEA308" s="127"/>
      <c r="JEB308" s="127"/>
      <c r="JEC308" s="127"/>
      <c r="JED308" s="127"/>
      <c r="JEE308" s="127"/>
      <c r="JEF308" s="127"/>
      <c r="JEG308" s="127"/>
      <c r="JEH308" s="127"/>
      <c r="JEI308" s="127"/>
      <c r="JEJ308" s="127"/>
      <c r="JEK308" s="127"/>
      <c r="JEL308" s="127"/>
      <c r="JEM308" s="127"/>
      <c r="JEN308" s="127"/>
      <c r="JEO308" s="127"/>
      <c r="JEP308" s="127"/>
      <c r="JEQ308" s="127"/>
      <c r="JER308" s="127"/>
      <c r="JES308" s="127"/>
      <c r="JET308" s="127"/>
      <c r="JEU308" s="127"/>
      <c r="JEV308" s="127"/>
      <c r="JEW308" s="127"/>
      <c r="JEX308" s="127"/>
      <c r="JEY308" s="127"/>
      <c r="JEZ308" s="127"/>
      <c r="JFA308" s="127"/>
      <c r="JFB308" s="127"/>
      <c r="JFC308" s="127"/>
      <c r="JFD308" s="127"/>
      <c r="JFE308" s="127"/>
      <c r="JFF308" s="127"/>
      <c r="JFG308" s="127"/>
      <c r="JFH308" s="127"/>
      <c r="JFI308" s="127"/>
      <c r="JFJ308" s="127"/>
      <c r="JFK308" s="127"/>
      <c r="JFL308" s="127"/>
      <c r="JFM308" s="127"/>
      <c r="JFN308" s="127"/>
      <c r="JFO308" s="127"/>
      <c r="JFP308" s="127"/>
      <c r="JFQ308" s="127"/>
      <c r="JFR308" s="127"/>
      <c r="JFS308" s="127"/>
      <c r="JFT308" s="127"/>
      <c r="JFU308" s="127"/>
      <c r="JFV308" s="127"/>
      <c r="JFW308" s="127"/>
      <c r="JFX308" s="127"/>
      <c r="JFY308" s="127"/>
      <c r="JFZ308" s="127"/>
      <c r="JGA308" s="127"/>
      <c r="JGB308" s="127"/>
      <c r="JGC308" s="127"/>
      <c r="JGD308" s="127"/>
      <c r="JGE308" s="127"/>
      <c r="JGF308" s="127"/>
      <c r="JGG308" s="127"/>
      <c r="JGH308" s="127"/>
      <c r="JGI308" s="127"/>
      <c r="JGJ308" s="127"/>
      <c r="JGK308" s="127"/>
      <c r="JGL308" s="127"/>
      <c r="JGM308" s="127"/>
      <c r="JGN308" s="127"/>
      <c r="JGO308" s="127"/>
      <c r="JGP308" s="127"/>
      <c r="JGQ308" s="127"/>
      <c r="JGR308" s="127"/>
      <c r="JGS308" s="127"/>
      <c r="JGT308" s="127"/>
      <c r="JGU308" s="127"/>
      <c r="JGV308" s="127"/>
      <c r="JGW308" s="127"/>
      <c r="JGX308" s="127"/>
      <c r="JGY308" s="127"/>
      <c r="JGZ308" s="127"/>
      <c r="JHA308" s="127"/>
      <c r="JHB308" s="127"/>
      <c r="JHC308" s="127"/>
      <c r="JHD308" s="127"/>
      <c r="JHE308" s="127"/>
      <c r="JHF308" s="127"/>
      <c r="JHG308" s="127"/>
      <c r="JHH308" s="127"/>
      <c r="JHI308" s="127"/>
      <c r="JHJ308" s="127"/>
      <c r="JHK308" s="127"/>
      <c r="JHL308" s="127"/>
      <c r="JHM308" s="127"/>
      <c r="JHN308" s="127"/>
      <c r="JHO308" s="127"/>
      <c r="JHP308" s="127"/>
      <c r="JHQ308" s="127"/>
      <c r="JHR308" s="127"/>
      <c r="JHS308" s="127"/>
      <c r="JHT308" s="127"/>
      <c r="JHU308" s="127"/>
      <c r="JHV308" s="127"/>
      <c r="JHW308" s="127"/>
      <c r="JHX308" s="127"/>
      <c r="JHY308" s="127"/>
      <c r="JHZ308" s="127"/>
      <c r="JIA308" s="127"/>
      <c r="JIB308" s="127"/>
      <c r="JIC308" s="127"/>
      <c r="JID308" s="127"/>
      <c r="JIE308" s="127"/>
      <c r="JIF308" s="127"/>
      <c r="JIG308" s="127"/>
      <c r="JIH308" s="127"/>
      <c r="JII308" s="127"/>
      <c r="JIJ308" s="127"/>
      <c r="JIK308" s="127"/>
      <c r="JIL308" s="127"/>
      <c r="JIM308" s="127"/>
      <c r="JIN308" s="127"/>
      <c r="JIO308" s="127"/>
      <c r="JIP308" s="127"/>
      <c r="JIQ308" s="127"/>
      <c r="JIR308" s="127"/>
      <c r="JIS308" s="127"/>
      <c r="JIT308" s="127"/>
      <c r="JIU308" s="127"/>
      <c r="JIV308" s="127"/>
      <c r="JIW308" s="127"/>
      <c r="JIX308" s="127"/>
      <c r="JIY308" s="127"/>
      <c r="JIZ308" s="127"/>
      <c r="JJA308" s="127"/>
      <c r="JJB308" s="127"/>
      <c r="JJC308" s="127"/>
      <c r="JJD308" s="127"/>
      <c r="JJE308" s="127"/>
      <c r="JJF308" s="127"/>
      <c r="JJG308" s="127"/>
      <c r="JJH308" s="127"/>
      <c r="JJI308" s="127"/>
      <c r="JJJ308" s="127"/>
      <c r="JJK308" s="127"/>
      <c r="JJL308" s="127"/>
      <c r="JJM308" s="127"/>
      <c r="JJN308" s="127"/>
      <c r="JJO308" s="127"/>
      <c r="JJP308" s="127"/>
      <c r="JJQ308" s="127"/>
      <c r="JJR308" s="127"/>
      <c r="JJS308" s="127"/>
      <c r="JJT308" s="127"/>
      <c r="JJU308" s="127"/>
      <c r="JJV308" s="127"/>
      <c r="JJW308" s="127"/>
      <c r="JJX308" s="127"/>
      <c r="JJY308" s="127"/>
      <c r="JJZ308" s="127"/>
      <c r="JKA308" s="127"/>
      <c r="JKB308" s="127"/>
      <c r="JKC308" s="127"/>
      <c r="JKD308" s="127"/>
      <c r="JKE308" s="127"/>
      <c r="JKF308" s="127"/>
      <c r="JKG308" s="127"/>
      <c r="JKH308" s="127"/>
      <c r="JKI308" s="127"/>
      <c r="JKJ308" s="127"/>
      <c r="JKK308" s="127"/>
      <c r="JKL308" s="127"/>
      <c r="JKM308" s="127"/>
      <c r="JKN308" s="127"/>
      <c r="JKO308" s="127"/>
      <c r="JKP308" s="127"/>
      <c r="JKQ308" s="127"/>
      <c r="JKR308" s="127"/>
      <c r="JKS308" s="127"/>
      <c r="JKT308" s="127"/>
      <c r="JKU308" s="127"/>
      <c r="JKV308" s="127"/>
      <c r="JKW308" s="127"/>
      <c r="JKX308" s="127"/>
      <c r="JKY308" s="127"/>
      <c r="JKZ308" s="127"/>
      <c r="JLA308" s="127"/>
      <c r="JLB308" s="127"/>
      <c r="JLC308" s="127"/>
      <c r="JLD308" s="127"/>
      <c r="JLE308" s="127"/>
      <c r="JLF308" s="127"/>
      <c r="JLG308" s="127"/>
      <c r="JLH308" s="127"/>
      <c r="JLI308" s="127"/>
      <c r="JLJ308" s="127"/>
      <c r="JLK308" s="127"/>
      <c r="JLL308" s="127"/>
      <c r="JLM308" s="127"/>
      <c r="JLN308" s="127"/>
      <c r="JLO308" s="127"/>
      <c r="JLP308" s="127"/>
      <c r="JLQ308" s="127"/>
      <c r="JLR308" s="127"/>
      <c r="JLS308" s="127"/>
      <c r="JLT308" s="127"/>
      <c r="JLU308" s="127"/>
      <c r="JLV308" s="127"/>
      <c r="JLW308" s="127"/>
      <c r="JLX308" s="127"/>
      <c r="JLY308" s="127"/>
      <c r="JLZ308" s="127"/>
      <c r="JMA308" s="127"/>
      <c r="JMB308" s="127"/>
      <c r="JMC308" s="127"/>
      <c r="JMD308" s="127"/>
      <c r="JME308" s="127"/>
      <c r="JMF308" s="127"/>
      <c r="JMG308" s="127"/>
      <c r="JMH308" s="127"/>
      <c r="JMI308" s="127"/>
      <c r="JMJ308" s="127"/>
      <c r="JMK308" s="127"/>
      <c r="JML308" s="127"/>
      <c r="JMM308" s="127"/>
      <c r="JMN308" s="127"/>
      <c r="JMO308" s="127"/>
      <c r="JMP308" s="127"/>
      <c r="JMQ308" s="127"/>
      <c r="JMR308" s="127"/>
      <c r="JMS308" s="127"/>
      <c r="JMT308" s="127"/>
      <c r="JMU308" s="127"/>
      <c r="JMV308" s="127"/>
      <c r="JMW308" s="127"/>
      <c r="JMX308" s="127"/>
      <c r="JMY308" s="127"/>
      <c r="JMZ308" s="127"/>
      <c r="JNA308" s="127"/>
      <c r="JNB308" s="127"/>
      <c r="JNC308" s="127"/>
      <c r="JND308" s="127"/>
      <c r="JNE308" s="127"/>
      <c r="JNF308" s="127"/>
      <c r="JNG308" s="127"/>
      <c r="JNH308" s="127"/>
      <c r="JNI308" s="127"/>
      <c r="JNJ308" s="127"/>
      <c r="JNK308" s="127"/>
      <c r="JNL308" s="127"/>
      <c r="JNM308" s="127"/>
      <c r="JNN308" s="127"/>
      <c r="JNO308" s="127"/>
      <c r="JNP308" s="127"/>
      <c r="JNQ308" s="127"/>
      <c r="JNR308" s="127"/>
      <c r="JNS308" s="127"/>
      <c r="JNT308" s="127"/>
      <c r="JNU308" s="127"/>
      <c r="JNV308" s="127"/>
      <c r="JNW308" s="127"/>
      <c r="JNX308" s="127"/>
      <c r="JNY308" s="127"/>
      <c r="JNZ308" s="127"/>
      <c r="JOA308" s="127"/>
      <c r="JOB308" s="127"/>
      <c r="JOC308" s="127"/>
      <c r="JOD308" s="127"/>
      <c r="JOE308" s="127"/>
      <c r="JOF308" s="127"/>
      <c r="JOG308" s="127"/>
      <c r="JOH308" s="127"/>
      <c r="JOI308" s="127"/>
      <c r="JOJ308" s="127"/>
      <c r="JOK308" s="127"/>
      <c r="JOL308" s="127"/>
      <c r="JOM308" s="127"/>
      <c r="JON308" s="127"/>
      <c r="JOO308" s="127"/>
      <c r="JOP308" s="127"/>
      <c r="JOQ308" s="127"/>
      <c r="JOR308" s="127"/>
      <c r="JOS308" s="127"/>
      <c r="JOT308" s="127"/>
      <c r="JOU308" s="127"/>
      <c r="JOV308" s="127"/>
      <c r="JOW308" s="127"/>
      <c r="JOX308" s="127"/>
      <c r="JOY308" s="127"/>
      <c r="JOZ308" s="127"/>
      <c r="JPA308" s="127"/>
      <c r="JPB308" s="127"/>
      <c r="JPC308" s="127"/>
      <c r="JPD308" s="127"/>
      <c r="JPE308" s="127"/>
      <c r="JPF308" s="127"/>
      <c r="JPG308" s="127"/>
      <c r="JPH308" s="127"/>
      <c r="JPI308" s="127"/>
      <c r="JPJ308" s="127"/>
      <c r="JPK308" s="127"/>
      <c r="JPL308" s="127"/>
      <c r="JPM308" s="127"/>
      <c r="JPN308" s="127"/>
      <c r="JPO308" s="127"/>
      <c r="JPP308" s="127"/>
      <c r="JPQ308" s="127"/>
      <c r="JPR308" s="127"/>
      <c r="JPS308" s="127"/>
      <c r="JPT308" s="127"/>
      <c r="JPU308" s="127"/>
      <c r="JPV308" s="127"/>
      <c r="JPW308" s="127"/>
      <c r="JPX308" s="127"/>
      <c r="JPY308" s="127"/>
      <c r="JPZ308" s="127"/>
      <c r="JQA308" s="127"/>
      <c r="JQB308" s="127"/>
      <c r="JQC308" s="127"/>
      <c r="JQD308" s="127"/>
      <c r="JQE308" s="127"/>
      <c r="JQF308" s="127"/>
      <c r="JQG308" s="127"/>
      <c r="JQH308" s="127"/>
      <c r="JQI308" s="127"/>
      <c r="JQJ308" s="127"/>
      <c r="JQK308" s="127"/>
      <c r="JQL308" s="127"/>
      <c r="JQM308" s="127"/>
      <c r="JQN308" s="127"/>
      <c r="JQO308" s="127"/>
      <c r="JQP308" s="127"/>
      <c r="JQQ308" s="127"/>
      <c r="JQR308" s="127"/>
      <c r="JQS308" s="127"/>
      <c r="JQT308" s="127"/>
      <c r="JQU308" s="127"/>
      <c r="JQV308" s="127"/>
      <c r="JQW308" s="127"/>
      <c r="JQX308" s="127"/>
      <c r="JQY308" s="127"/>
      <c r="JQZ308" s="127"/>
      <c r="JRA308" s="127"/>
      <c r="JRB308" s="127"/>
      <c r="JRC308" s="127"/>
      <c r="JRD308" s="127"/>
      <c r="JRE308" s="127"/>
      <c r="JRF308" s="127"/>
      <c r="JRG308" s="127"/>
      <c r="JRH308" s="127"/>
      <c r="JRI308" s="127"/>
      <c r="JRJ308" s="127"/>
      <c r="JRK308" s="127"/>
      <c r="JRL308" s="127"/>
      <c r="JRM308" s="127"/>
      <c r="JRN308" s="127"/>
      <c r="JRO308" s="127"/>
      <c r="JRP308" s="127"/>
      <c r="JRQ308" s="127"/>
      <c r="JRR308" s="127"/>
      <c r="JRS308" s="127"/>
      <c r="JRT308" s="127"/>
      <c r="JRU308" s="127"/>
      <c r="JRV308" s="127"/>
      <c r="JRW308" s="127"/>
      <c r="JRX308" s="127"/>
      <c r="JRY308" s="127"/>
      <c r="JRZ308" s="127"/>
      <c r="JSA308" s="127"/>
      <c r="JSB308" s="127"/>
      <c r="JSC308" s="127"/>
      <c r="JSD308" s="127"/>
      <c r="JSE308" s="127"/>
      <c r="JSF308" s="127"/>
      <c r="JSG308" s="127"/>
      <c r="JSH308" s="127"/>
      <c r="JSI308" s="127"/>
      <c r="JSJ308" s="127"/>
      <c r="JSK308" s="127"/>
      <c r="JSL308" s="127"/>
      <c r="JSM308" s="127"/>
      <c r="JSN308" s="127"/>
      <c r="JSO308" s="127"/>
      <c r="JSP308" s="127"/>
      <c r="JSQ308" s="127"/>
      <c r="JSR308" s="127"/>
      <c r="JSS308" s="127"/>
      <c r="JST308" s="127"/>
      <c r="JSU308" s="127"/>
      <c r="JSV308" s="127"/>
      <c r="JSW308" s="127"/>
      <c r="JSX308" s="127"/>
      <c r="JSY308" s="127"/>
      <c r="JSZ308" s="127"/>
      <c r="JTA308" s="127"/>
      <c r="JTB308" s="127"/>
      <c r="JTC308" s="127"/>
      <c r="JTD308" s="127"/>
      <c r="JTE308" s="127"/>
      <c r="JTF308" s="127"/>
      <c r="JTG308" s="127"/>
      <c r="JTH308" s="127"/>
      <c r="JTI308" s="127"/>
      <c r="JTJ308" s="127"/>
      <c r="JTK308" s="127"/>
      <c r="JTL308" s="127"/>
      <c r="JTM308" s="127"/>
      <c r="JTN308" s="127"/>
      <c r="JTO308" s="127"/>
      <c r="JTP308" s="127"/>
      <c r="JTQ308" s="127"/>
      <c r="JTR308" s="127"/>
      <c r="JTS308" s="127"/>
      <c r="JTT308" s="127"/>
      <c r="JTU308" s="127"/>
      <c r="JTV308" s="127"/>
      <c r="JTW308" s="127"/>
      <c r="JTX308" s="127"/>
      <c r="JTY308" s="127"/>
      <c r="JTZ308" s="127"/>
      <c r="JUA308" s="127"/>
      <c r="JUB308" s="127"/>
      <c r="JUC308" s="127"/>
      <c r="JUD308" s="127"/>
      <c r="JUE308" s="127"/>
      <c r="JUF308" s="127"/>
      <c r="JUG308" s="127"/>
      <c r="JUH308" s="127"/>
      <c r="JUI308" s="127"/>
      <c r="JUJ308" s="127"/>
      <c r="JUK308" s="127"/>
      <c r="JUL308" s="127"/>
      <c r="JUM308" s="127"/>
      <c r="JUN308" s="127"/>
      <c r="JUO308" s="127"/>
      <c r="JUP308" s="127"/>
      <c r="JUQ308" s="127"/>
      <c r="JUR308" s="127"/>
      <c r="JUS308" s="127"/>
      <c r="JUT308" s="127"/>
      <c r="JUU308" s="127"/>
      <c r="JUV308" s="127"/>
      <c r="JUW308" s="127"/>
      <c r="JUX308" s="127"/>
      <c r="JUY308" s="127"/>
      <c r="JUZ308" s="127"/>
      <c r="JVA308" s="127"/>
      <c r="JVB308" s="127"/>
      <c r="JVC308" s="127"/>
      <c r="JVD308" s="127"/>
      <c r="JVE308" s="127"/>
      <c r="JVF308" s="127"/>
      <c r="JVG308" s="127"/>
      <c r="JVH308" s="127"/>
      <c r="JVI308" s="127"/>
      <c r="JVJ308" s="127"/>
      <c r="JVK308" s="127"/>
      <c r="JVL308" s="127"/>
      <c r="JVM308" s="127"/>
      <c r="JVN308" s="127"/>
      <c r="JVO308" s="127"/>
      <c r="JVP308" s="127"/>
      <c r="JVQ308" s="127"/>
      <c r="JVR308" s="127"/>
      <c r="JVS308" s="127"/>
      <c r="JVT308" s="127"/>
      <c r="JVU308" s="127"/>
      <c r="JVV308" s="127"/>
      <c r="JVW308" s="127"/>
      <c r="JVX308" s="127"/>
      <c r="JVY308" s="127"/>
      <c r="JVZ308" s="127"/>
      <c r="JWA308" s="127"/>
      <c r="JWB308" s="127"/>
      <c r="JWC308" s="127"/>
      <c r="JWD308" s="127"/>
      <c r="JWE308" s="127"/>
      <c r="JWF308" s="127"/>
      <c r="JWG308" s="127"/>
      <c r="JWH308" s="127"/>
      <c r="JWI308" s="127"/>
      <c r="JWJ308" s="127"/>
      <c r="JWK308" s="127"/>
      <c r="JWL308" s="127"/>
      <c r="JWM308" s="127"/>
      <c r="JWN308" s="127"/>
      <c r="JWO308" s="127"/>
      <c r="JWP308" s="127"/>
      <c r="JWQ308" s="127"/>
      <c r="JWR308" s="127"/>
      <c r="JWS308" s="127"/>
      <c r="JWT308" s="127"/>
      <c r="JWU308" s="127"/>
      <c r="JWV308" s="127"/>
      <c r="JWW308" s="127"/>
      <c r="JWX308" s="127"/>
      <c r="JWY308" s="127"/>
      <c r="JWZ308" s="127"/>
      <c r="JXA308" s="127"/>
      <c r="JXB308" s="127"/>
      <c r="JXC308" s="127"/>
      <c r="JXD308" s="127"/>
      <c r="JXE308" s="127"/>
      <c r="JXF308" s="127"/>
      <c r="JXG308" s="127"/>
      <c r="JXH308" s="127"/>
      <c r="JXI308" s="127"/>
      <c r="JXJ308" s="127"/>
      <c r="JXK308" s="127"/>
      <c r="JXL308" s="127"/>
      <c r="JXM308" s="127"/>
      <c r="JXN308" s="127"/>
      <c r="JXO308" s="127"/>
      <c r="JXP308" s="127"/>
      <c r="JXQ308" s="127"/>
      <c r="JXR308" s="127"/>
      <c r="JXS308" s="127"/>
      <c r="JXT308" s="127"/>
      <c r="JXU308" s="127"/>
      <c r="JXV308" s="127"/>
      <c r="JXW308" s="127"/>
      <c r="JXX308" s="127"/>
      <c r="JXY308" s="127"/>
      <c r="JXZ308" s="127"/>
      <c r="JYA308" s="127"/>
      <c r="JYB308" s="127"/>
      <c r="JYC308" s="127"/>
      <c r="JYD308" s="127"/>
      <c r="JYE308" s="127"/>
      <c r="JYF308" s="127"/>
      <c r="JYG308" s="127"/>
      <c r="JYH308" s="127"/>
      <c r="JYI308" s="127"/>
      <c r="JYJ308" s="127"/>
      <c r="JYK308" s="127"/>
      <c r="JYL308" s="127"/>
      <c r="JYM308" s="127"/>
      <c r="JYN308" s="127"/>
      <c r="JYO308" s="127"/>
      <c r="JYP308" s="127"/>
      <c r="JYQ308" s="127"/>
      <c r="JYR308" s="127"/>
      <c r="JYS308" s="127"/>
      <c r="JYT308" s="127"/>
      <c r="JYU308" s="127"/>
      <c r="JYV308" s="127"/>
      <c r="JYW308" s="127"/>
      <c r="JYX308" s="127"/>
      <c r="JYY308" s="127"/>
      <c r="JYZ308" s="127"/>
      <c r="JZA308" s="127"/>
      <c r="JZB308" s="127"/>
      <c r="JZC308" s="127"/>
      <c r="JZD308" s="127"/>
      <c r="JZE308" s="127"/>
      <c r="JZF308" s="127"/>
      <c r="JZG308" s="127"/>
      <c r="JZH308" s="127"/>
      <c r="JZI308" s="127"/>
      <c r="JZJ308" s="127"/>
      <c r="JZK308" s="127"/>
      <c r="JZL308" s="127"/>
      <c r="JZM308" s="127"/>
      <c r="JZN308" s="127"/>
      <c r="JZO308" s="127"/>
      <c r="JZP308" s="127"/>
      <c r="JZQ308" s="127"/>
      <c r="JZR308" s="127"/>
      <c r="JZS308" s="127"/>
      <c r="JZT308" s="127"/>
      <c r="JZU308" s="127"/>
      <c r="JZV308" s="127"/>
      <c r="JZW308" s="127"/>
      <c r="JZX308" s="127"/>
      <c r="JZY308" s="127"/>
      <c r="JZZ308" s="127"/>
      <c r="KAA308" s="127"/>
      <c r="KAB308" s="127"/>
      <c r="KAC308" s="127"/>
      <c r="KAD308" s="127"/>
      <c r="KAE308" s="127"/>
      <c r="KAF308" s="127"/>
      <c r="KAG308" s="127"/>
      <c r="KAH308" s="127"/>
      <c r="KAI308" s="127"/>
      <c r="KAJ308" s="127"/>
      <c r="KAK308" s="127"/>
      <c r="KAL308" s="127"/>
      <c r="KAM308" s="127"/>
      <c r="KAN308" s="127"/>
      <c r="KAO308" s="127"/>
      <c r="KAP308" s="127"/>
      <c r="KAQ308" s="127"/>
      <c r="KAR308" s="127"/>
      <c r="KAS308" s="127"/>
      <c r="KAT308" s="127"/>
      <c r="KAU308" s="127"/>
      <c r="KAV308" s="127"/>
      <c r="KAW308" s="127"/>
      <c r="KAX308" s="127"/>
      <c r="KAY308" s="127"/>
      <c r="KAZ308" s="127"/>
      <c r="KBA308" s="127"/>
      <c r="KBB308" s="127"/>
      <c r="KBC308" s="127"/>
      <c r="KBD308" s="127"/>
      <c r="KBE308" s="127"/>
      <c r="KBF308" s="127"/>
      <c r="KBG308" s="127"/>
      <c r="KBH308" s="127"/>
      <c r="KBI308" s="127"/>
      <c r="KBJ308" s="127"/>
      <c r="KBK308" s="127"/>
      <c r="KBL308" s="127"/>
      <c r="KBM308" s="127"/>
      <c r="KBN308" s="127"/>
      <c r="KBO308" s="127"/>
      <c r="KBP308" s="127"/>
      <c r="KBQ308" s="127"/>
      <c r="KBR308" s="127"/>
      <c r="KBS308" s="127"/>
      <c r="KBT308" s="127"/>
      <c r="KBU308" s="127"/>
      <c r="KBV308" s="127"/>
      <c r="KBW308" s="127"/>
      <c r="KBX308" s="127"/>
      <c r="KBY308" s="127"/>
      <c r="KBZ308" s="127"/>
      <c r="KCA308" s="127"/>
      <c r="KCB308" s="127"/>
      <c r="KCC308" s="127"/>
      <c r="KCD308" s="127"/>
      <c r="KCE308" s="127"/>
      <c r="KCF308" s="127"/>
      <c r="KCG308" s="127"/>
      <c r="KCH308" s="127"/>
      <c r="KCI308" s="127"/>
      <c r="KCJ308" s="127"/>
      <c r="KCK308" s="127"/>
      <c r="KCL308" s="127"/>
      <c r="KCM308" s="127"/>
      <c r="KCN308" s="127"/>
      <c r="KCO308" s="127"/>
      <c r="KCP308" s="127"/>
      <c r="KCQ308" s="127"/>
      <c r="KCR308" s="127"/>
      <c r="KCS308" s="127"/>
      <c r="KCT308" s="127"/>
      <c r="KCU308" s="127"/>
      <c r="KCV308" s="127"/>
      <c r="KCW308" s="127"/>
      <c r="KCX308" s="127"/>
      <c r="KCY308" s="127"/>
      <c r="KCZ308" s="127"/>
      <c r="KDA308" s="127"/>
      <c r="KDB308" s="127"/>
      <c r="KDC308" s="127"/>
      <c r="KDD308" s="127"/>
      <c r="KDE308" s="127"/>
      <c r="KDF308" s="127"/>
      <c r="KDG308" s="127"/>
      <c r="KDH308" s="127"/>
      <c r="KDI308" s="127"/>
      <c r="KDJ308" s="127"/>
      <c r="KDK308" s="127"/>
      <c r="KDL308" s="127"/>
      <c r="KDM308" s="127"/>
      <c r="KDN308" s="127"/>
      <c r="KDO308" s="127"/>
      <c r="KDP308" s="127"/>
      <c r="KDQ308" s="127"/>
      <c r="KDR308" s="127"/>
      <c r="KDS308" s="127"/>
      <c r="KDT308" s="127"/>
      <c r="KDU308" s="127"/>
      <c r="KDV308" s="127"/>
      <c r="KDW308" s="127"/>
      <c r="KDX308" s="127"/>
      <c r="KDY308" s="127"/>
      <c r="KDZ308" s="127"/>
      <c r="KEA308" s="127"/>
      <c r="KEB308" s="127"/>
      <c r="KEC308" s="127"/>
      <c r="KED308" s="127"/>
      <c r="KEE308" s="127"/>
      <c r="KEF308" s="127"/>
      <c r="KEG308" s="127"/>
      <c r="KEH308" s="127"/>
      <c r="KEI308" s="127"/>
      <c r="KEJ308" s="127"/>
      <c r="KEK308" s="127"/>
      <c r="KEL308" s="127"/>
      <c r="KEM308" s="127"/>
      <c r="KEN308" s="127"/>
      <c r="KEO308" s="127"/>
      <c r="KEP308" s="127"/>
      <c r="KEQ308" s="127"/>
      <c r="KER308" s="127"/>
      <c r="KES308" s="127"/>
      <c r="KET308" s="127"/>
      <c r="KEU308" s="127"/>
      <c r="KEV308" s="127"/>
      <c r="KEW308" s="127"/>
      <c r="KEX308" s="127"/>
      <c r="KEY308" s="127"/>
      <c r="KEZ308" s="127"/>
      <c r="KFA308" s="127"/>
      <c r="KFB308" s="127"/>
      <c r="KFC308" s="127"/>
      <c r="KFD308" s="127"/>
      <c r="KFE308" s="127"/>
      <c r="KFF308" s="127"/>
      <c r="KFG308" s="127"/>
      <c r="KFH308" s="127"/>
      <c r="KFI308" s="127"/>
      <c r="KFJ308" s="127"/>
      <c r="KFK308" s="127"/>
      <c r="KFL308" s="127"/>
      <c r="KFM308" s="127"/>
      <c r="KFN308" s="127"/>
      <c r="KFO308" s="127"/>
      <c r="KFP308" s="127"/>
      <c r="KFQ308" s="127"/>
      <c r="KFR308" s="127"/>
      <c r="KFS308" s="127"/>
      <c r="KFT308" s="127"/>
      <c r="KFU308" s="127"/>
      <c r="KFV308" s="127"/>
      <c r="KFW308" s="127"/>
      <c r="KFX308" s="127"/>
      <c r="KFY308" s="127"/>
      <c r="KFZ308" s="127"/>
      <c r="KGA308" s="127"/>
      <c r="KGB308" s="127"/>
      <c r="KGC308" s="127"/>
      <c r="KGD308" s="127"/>
      <c r="KGE308" s="127"/>
      <c r="KGF308" s="127"/>
      <c r="KGG308" s="127"/>
      <c r="KGH308" s="127"/>
      <c r="KGI308" s="127"/>
      <c r="KGJ308" s="127"/>
      <c r="KGK308" s="127"/>
      <c r="KGL308" s="127"/>
      <c r="KGM308" s="127"/>
      <c r="KGN308" s="127"/>
      <c r="KGO308" s="127"/>
      <c r="KGP308" s="127"/>
      <c r="KGQ308" s="127"/>
      <c r="KGR308" s="127"/>
      <c r="KGS308" s="127"/>
      <c r="KGT308" s="127"/>
      <c r="KGU308" s="127"/>
      <c r="KGV308" s="127"/>
      <c r="KGW308" s="127"/>
      <c r="KGX308" s="127"/>
      <c r="KGY308" s="127"/>
      <c r="KGZ308" s="127"/>
      <c r="KHA308" s="127"/>
      <c r="KHB308" s="127"/>
      <c r="KHC308" s="127"/>
      <c r="KHD308" s="127"/>
      <c r="KHE308" s="127"/>
      <c r="KHF308" s="127"/>
      <c r="KHG308" s="127"/>
      <c r="KHH308" s="127"/>
      <c r="KHI308" s="127"/>
      <c r="KHJ308" s="127"/>
      <c r="KHK308" s="127"/>
      <c r="KHL308" s="127"/>
      <c r="KHM308" s="127"/>
      <c r="KHN308" s="127"/>
      <c r="KHO308" s="127"/>
      <c r="KHP308" s="127"/>
      <c r="KHQ308" s="127"/>
      <c r="KHR308" s="127"/>
      <c r="KHS308" s="127"/>
      <c r="KHT308" s="127"/>
      <c r="KHU308" s="127"/>
      <c r="KHV308" s="127"/>
      <c r="KHW308" s="127"/>
      <c r="KHX308" s="127"/>
      <c r="KHY308" s="127"/>
      <c r="KHZ308" s="127"/>
      <c r="KIA308" s="127"/>
      <c r="KIB308" s="127"/>
      <c r="KIC308" s="127"/>
      <c r="KID308" s="127"/>
      <c r="KIE308" s="127"/>
      <c r="KIF308" s="127"/>
      <c r="KIG308" s="127"/>
      <c r="KIH308" s="127"/>
      <c r="KII308" s="127"/>
      <c r="KIJ308" s="127"/>
      <c r="KIK308" s="127"/>
      <c r="KIL308" s="127"/>
      <c r="KIM308" s="127"/>
      <c r="KIN308" s="127"/>
      <c r="KIO308" s="127"/>
      <c r="KIP308" s="127"/>
      <c r="KIQ308" s="127"/>
      <c r="KIR308" s="127"/>
      <c r="KIS308" s="127"/>
      <c r="KIT308" s="127"/>
      <c r="KIU308" s="127"/>
      <c r="KIV308" s="127"/>
      <c r="KIW308" s="127"/>
      <c r="KIX308" s="127"/>
      <c r="KIY308" s="127"/>
      <c r="KIZ308" s="127"/>
      <c r="KJA308" s="127"/>
      <c r="KJB308" s="127"/>
      <c r="KJC308" s="127"/>
      <c r="KJD308" s="127"/>
      <c r="KJE308" s="127"/>
      <c r="KJF308" s="127"/>
      <c r="KJG308" s="127"/>
      <c r="KJH308" s="127"/>
      <c r="KJI308" s="127"/>
      <c r="KJJ308" s="127"/>
      <c r="KJK308" s="127"/>
      <c r="KJL308" s="127"/>
      <c r="KJM308" s="127"/>
      <c r="KJN308" s="127"/>
      <c r="KJO308" s="127"/>
      <c r="KJP308" s="127"/>
      <c r="KJQ308" s="127"/>
      <c r="KJR308" s="127"/>
      <c r="KJS308" s="127"/>
      <c r="KJT308" s="127"/>
      <c r="KJU308" s="127"/>
      <c r="KJV308" s="127"/>
      <c r="KJW308" s="127"/>
      <c r="KJX308" s="127"/>
      <c r="KJY308" s="127"/>
      <c r="KJZ308" s="127"/>
      <c r="KKA308" s="127"/>
      <c r="KKB308" s="127"/>
      <c r="KKC308" s="127"/>
      <c r="KKD308" s="127"/>
      <c r="KKE308" s="127"/>
      <c r="KKF308" s="127"/>
      <c r="KKG308" s="127"/>
      <c r="KKH308" s="127"/>
      <c r="KKI308" s="127"/>
      <c r="KKJ308" s="127"/>
      <c r="KKK308" s="127"/>
      <c r="KKL308" s="127"/>
      <c r="KKM308" s="127"/>
      <c r="KKN308" s="127"/>
      <c r="KKO308" s="127"/>
      <c r="KKP308" s="127"/>
      <c r="KKQ308" s="127"/>
      <c r="KKR308" s="127"/>
      <c r="KKS308" s="127"/>
      <c r="KKT308" s="127"/>
      <c r="KKU308" s="127"/>
      <c r="KKV308" s="127"/>
      <c r="KKW308" s="127"/>
      <c r="KKX308" s="127"/>
      <c r="KKY308" s="127"/>
      <c r="KKZ308" s="127"/>
      <c r="KLA308" s="127"/>
      <c r="KLB308" s="127"/>
      <c r="KLC308" s="127"/>
      <c r="KLD308" s="127"/>
      <c r="KLE308" s="127"/>
      <c r="KLF308" s="127"/>
      <c r="KLG308" s="127"/>
      <c r="KLH308" s="127"/>
      <c r="KLI308" s="127"/>
      <c r="KLJ308" s="127"/>
      <c r="KLK308" s="127"/>
      <c r="KLL308" s="127"/>
      <c r="KLM308" s="127"/>
      <c r="KLN308" s="127"/>
      <c r="KLO308" s="127"/>
      <c r="KLP308" s="127"/>
      <c r="KLQ308" s="127"/>
      <c r="KLR308" s="127"/>
      <c r="KLS308" s="127"/>
      <c r="KLT308" s="127"/>
      <c r="KLU308" s="127"/>
      <c r="KLV308" s="127"/>
      <c r="KLW308" s="127"/>
      <c r="KLX308" s="127"/>
      <c r="KLY308" s="127"/>
      <c r="KLZ308" s="127"/>
      <c r="KMA308" s="127"/>
      <c r="KMB308" s="127"/>
      <c r="KMC308" s="127"/>
      <c r="KMD308" s="127"/>
      <c r="KME308" s="127"/>
      <c r="KMF308" s="127"/>
      <c r="KMG308" s="127"/>
      <c r="KMH308" s="127"/>
      <c r="KMI308" s="127"/>
      <c r="KMJ308" s="127"/>
      <c r="KMK308" s="127"/>
      <c r="KML308" s="127"/>
      <c r="KMM308" s="127"/>
      <c r="KMN308" s="127"/>
      <c r="KMO308" s="127"/>
      <c r="KMP308" s="127"/>
      <c r="KMQ308" s="127"/>
      <c r="KMR308" s="127"/>
      <c r="KMS308" s="127"/>
      <c r="KMT308" s="127"/>
      <c r="KMU308" s="127"/>
      <c r="KMV308" s="127"/>
      <c r="KMW308" s="127"/>
      <c r="KMX308" s="127"/>
      <c r="KMY308" s="127"/>
      <c r="KMZ308" s="127"/>
      <c r="KNA308" s="127"/>
      <c r="KNB308" s="127"/>
      <c r="KNC308" s="127"/>
      <c r="KND308" s="127"/>
      <c r="KNE308" s="127"/>
      <c r="KNF308" s="127"/>
      <c r="KNG308" s="127"/>
      <c r="KNH308" s="127"/>
      <c r="KNI308" s="127"/>
      <c r="KNJ308" s="127"/>
      <c r="KNK308" s="127"/>
      <c r="KNL308" s="127"/>
      <c r="KNM308" s="127"/>
      <c r="KNN308" s="127"/>
      <c r="KNO308" s="127"/>
      <c r="KNP308" s="127"/>
      <c r="KNQ308" s="127"/>
      <c r="KNR308" s="127"/>
      <c r="KNS308" s="127"/>
      <c r="KNT308" s="127"/>
      <c r="KNU308" s="127"/>
      <c r="KNV308" s="127"/>
      <c r="KNW308" s="127"/>
      <c r="KNX308" s="127"/>
      <c r="KNY308" s="127"/>
      <c r="KNZ308" s="127"/>
      <c r="KOA308" s="127"/>
      <c r="KOB308" s="127"/>
      <c r="KOC308" s="127"/>
      <c r="KOD308" s="127"/>
      <c r="KOE308" s="127"/>
      <c r="KOF308" s="127"/>
      <c r="KOG308" s="127"/>
      <c r="KOH308" s="127"/>
      <c r="KOI308" s="127"/>
      <c r="KOJ308" s="127"/>
      <c r="KOK308" s="127"/>
      <c r="KOL308" s="127"/>
      <c r="KOM308" s="127"/>
      <c r="KON308" s="127"/>
      <c r="KOO308" s="127"/>
      <c r="KOP308" s="127"/>
      <c r="KOQ308" s="127"/>
      <c r="KOR308" s="127"/>
      <c r="KOS308" s="127"/>
      <c r="KOT308" s="127"/>
      <c r="KOU308" s="127"/>
      <c r="KOV308" s="127"/>
      <c r="KOW308" s="127"/>
      <c r="KOX308" s="127"/>
      <c r="KOY308" s="127"/>
      <c r="KOZ308" s="127"/>
      <c r="KPA308" s="127"/>
      <c r="KPB308" s="127"/>
      <c r="KPC308" s="127"/>
      <c r="KPD308" s="127"/>
      <c r="KPE308" s="127"/>
      <c r="KPF308" s="127"/>
      <c r="KPG308" s="127"/>
      <c r="KPH308" s="127"/>
      <c r="KPI308" s="127"/>
      <c r="KPJ308" s="127"/>
      <c r="KPK308" s="127"/>
      <c r="KPL308" s="127"/>
      <c r="KPM308" s="127"/>
      <c r="KPN308" s="127"/>
      <c r="KPO308" s="127"/>
      <c r="KPP308" s="127"/>
      <c r="KPQ308" s="127"/>
      <c r="KPR308" s="127"/>
      <c r="KPS308" s="127"/>
      <c r="KPT308" s="127"/>
      <c r="KPU308" s="127"/>
      <c r="KPV308" s="127"/>
      <c r="KPW308" s="127"/>
      <c r="KPX308" s="127"/>
      <c r="KPY308" s="127"/>
      <c r="KPZ308" s="127"/>
      <c r="KQA308" s="127"/>
      <c r="KQB308" s="127"/>
      <c r="KQC308" s="127"/>
      <c r="KQD308" s="127"/>
      <c r="KQE308" s="127"/>
      <c r="KQF308" s="127"/>
      <c r="KQG308" s="127"/>
      <c r="KQH308" s="127"/>
      <c r="KQI308" s="127"/>
      <c r="KQJ308" s="127"/>
      <c r="KQK308" s="127"/>
      <c r="KQL308" s="127"/>
      <c r="KQM308" s="127"/>
      <c r="KQN308" s="127"/>
      <c r="KQO308" s="127"/>
      <c r="KQP308" s="127"/>
      <c r="KQQ308" s="127"/>
      <c r="KQR308" s="127"/>
      <c r="KQS308" s="127"/>
      <c r="KQT308" s="127"/>
      <c r="KQU308" s="127"/>
      <c r="KQV308" s="127"/>
      <c r="KQW308" s="127"/>
      <c r="KQX308" s="127"/>
      <c r="KQY308" s="127"/>
      <c r="KQZ308" s="127"/>
      <c r="KRA308" s="127"/>
      <c r="KRB308" s="127"/>
      <c r="KRC308" s="127"/>
      <c r="KRD308" s="127"/>
      <c r="KRE308" s="127"/>
      <c r="KRF308" s="127"/>
      <c r="KRG308" s="127"/>
      <c r="KRH308" s="127"/>
      <c r="KRI308" s="127"/>
      <c r="KRJ308" s="127"/>
      <c r="KRK308" s="127"/>
      <c r="KRL308" s="127"/>
      <c r="KRM308" s="127"/>
      <c r="KRN308" s="127"/>
      <c r="KRO308" s="127"/>
      <c r="KRP308" s="127"/>
      <c r="KRQ308" s="127"/>
      <c r="KRR308" s="127"/>
      <c r="KRS308" s="127"/>
      <c r="KRT308" s="127"/>
      <c r="KRU308" s="127"/>
      <c r="KRV308" s="127"/>
      <c r="KRW308" s="127"/>
      <c r="KRX308" s="127"/>
      <c r="KRY308" s="127"/>
      <c r="KRZ308" s="127"/>
      <c r="KSA308" s="127"/>
      <c r="KSB308" s="127"/>
      <c r="KSC308" s="127"/>
      <c r="KSD308" s="127"/>
      <c r="KSE308" s="127"/>
      <c r="KSF308" s="127"/>
      <c r="KSG308" s="127"/>
      <c r="KSH308" s="127"/>
      <c r="KSI308" s="127"/>
      <c r="KSJ308" s="127"/>
      <c r="KSK308" s="127"/>
      <c r="KSL308" s="127"/>
      <c r="KSM308" s="127"/>
      <c r="KSN308" s="127"/>
      <c r="KSO308" s="127"/>
      <c r="KSP308" s="127"/>
      <c r="KSQ308" s="127"/>
      <c r="KSR308" s="127"/>
      <c r="KSS308" s="127"/>
      <c r="KST308" s="127"/>
      <c r="KSU308" s="127"/>
      <c r="KSV308" s="127"/>
      <c r="KSW308" s="127"/>
      <c r="KSX308" s="127"/>
      <c r="KSY308" s="127"/>
      <c r="KSZ308" s="127"/>
      <c r="KTA308" s="127"/>
      <c r="KTB308" s="127"/>
      <c r="KTC308" s="127"/>
      <c r="KTD308" s="127"/>
      <c r="KTE308" s="127"/>
      <c r="KTF308" s="127"/>
      <c r="KTG308" s="127"/>
      <c r="KTH308" s="127"/>
      <c r="KTI308" s="127"/>
      <c r="KTJ308" s="127"/>
      <c r="KTK308" s="127"/>
      <c r="KTL308" s="127"/>
      <c r="KTM308" s="127"/>
      <c r="KTN308" s="127"/>
      <c r="KTO308" s="127"/>
      <c r="KTP308" s="127"/>
      <c r="KTQ308" s="127"/>
      <c r="KTR308" s="127"/>
      <c r="KTS308" s="127"/>
      <c r="KTT308" s="127"/>
      <c r="KTU308" s="127"/>
      <c r="KTV308" s="127"/>
      <c r="KTW308" s="127"/>
      <c r="KTX308" s="127"/>
      <c r="KTY308" s="127"/>
      <c r="KTZ308" s="127"/>
      <c r="KUA308" s="127"/>
      <c r="KUB308" s="127"/>
      <c r="KUC308" s="127"/>
      <c r="KUD308" s="127"/>
      <c r="KUE308" s="127"/>
      <c r="KUF308" s="127"/>
      <c r="KUG308" s="127"/>
      <c r="KUH308" s="127"/>
      <c r="KUI308" s="127"/>
      <c r="KUJ308" s="127"/>
      <c r="KUK308" s="127"/>
      <c r="KUL308" s="127"/>
      <c r="KUM308" s="127"/>
      <c r="KUN308" s="127"/>
      <c r="KUO308" s="127"/>
      <c r="KUP308" s="127"/>
      <c r="KUQ308" s="127"/>
      <c r="KUR308" s="127"/>
      <c r="KUS308" s="127"/>
      <c r="KUT308" s="127"/>
      <c r="KUU308" s="127"/>
      <c r="KUV308" s="127"/>
      <c r="KUW308" s="127"/>
      <c r="KUX308" s="127"/>
      <c r="KUY308" s="127"/>
      <c r="KUZ308" s="127"/>
      <c r="KVA308" s="127"/>
      <c r="KVB308" s="127"/>
      <c r="KVC308" s="127"/>
      <c r="KVD308" s="127"/>
      <c r="KVE308" s="127"/>
      <c r="KVF308" s="127"/>
      <c r="KVG308" s="127"/>
      <c r="KVH308" s="127"/>
      <c r="KVI308" s="127"/>
      <c r="KVJ308" s="127"/>
      <c r="KVK308" s="127"/>
      <c r="KVL308" s="127"/>
      <c r="KVM308" s="127"/>
      <c r="KVN308" s="127"/>
      <c r="KVO308" s="127"/>
      <c r="KVP308" s="127"/>
      <c r="KVQ308" s="127"/>
      <c r="KVR308" s="127"/>
      <c r="KVS308" s="127"/>
      <c r="KVT308" s="127"/>
      <c r="KVU308" s="127"/>
      <c r="KVV308" s="127"/>
      <c r="KVW308" s="127"/>
      <c r="KVX308" s="127"/>
      <c r="KVY308" s="127"/>
      <c r="KVZ308" s="127"/>
      <c r="KWA308" s="127"/>
      <c r="KWB308" s="127"/>
      <c r="KWC308" s="127"/>
      <c r="KWD308" s="127"/>
      <c r="KWE308" s="127"/>
      <c r="KWF308" s="127"/>
      <c r="KWG308" s="127"/>
      <c r="KWH308" s="127"/>
      <c r="KWI308" s="127"/>
      <c r="KWJ308" s="127"/>
      <c r="KWK308" s="127"/>
      <c r="KWL308" s="127"/>
      <c r="KWM308" s="127"/>
      <c r="KWN308" s="127"/>
      <c r="KWO308" s="127"/>
      <c r="KWP308" s="127"/>
      <c r="KWQ308" s="127"/>
      <c r="KWR308" s="127"/>
      <c r="KWS308" s="127"/>
      <c r="KWT308" s="127"/>
      <c r="KWU308" s="127"/>
      <c r="KWV308" s="127"/>
      <c r="KWW308" s="127"/>
      <c r="KWX308" s="127"/>
      <c r="KWY308" s="127"/>
      <c r="KWZ308" s="127"/>
      <c r="KXA308" s="127"/>
      <c r="KXB308" s="127"/>
      <c r="KXC308" s="127"/>
      <c r="KXD308" s="127"/>
      <c r="KXE308" s="127"/>
      <c r="KXF308" s="127"/>
      <c r="KXG308" s="127"/>
      <c r="KXH308" s="127"/>
      <c r="KXI308" s="127"/>
      <c r="KXJ308" s="127"/>
      <c r="KXK308" s="127"/>
      <c r="KXL308" s="127"/>
      <c r="KXM308" s="127"/>
      <c r="KXN308" s="127"/>
      <c r="KXO308" s="127"/>
      <c r="KXP308" s="127"/>
      <c r="KXQ308" s="127"/>
      <c r="KXR308" s="127"/>
      <c r="KXS308" s="127"/>
      <c r="KXT308" s="127"/>
      <c r="KXU308" s="127"/>
      <c r="KXV308" s="127"/>
      <c r="KXW308" s="127"/>
      <c r="KXX308" s="127"/>
      <c r="KXY308" s="127"/>
      <c r="KXZ308" s="127"/>
      <c r="KYA308" s="127"/>
      <c r="KYB308" s="127"/>
      <c r="KYC308" s="127"/>
      <c r="KYD308" s="127"/>
      <c r="KYE308" s="127"/>
      <c r="KYF308" s="127"/>
      <c r="KYG308" s="127"/>
      <c r="KYH308" s="127"/>
      <c r="KYI308" s="127"/>
      <c r="KYJ308" s="127"/>
      <c r="KYK308" s="127"/>
      <c r="KYL308" s="127"/>
      <c r="KYM308" s="127"/>
      <c r="KYN308" s="127"/>
      <c r="KYO308" s="127"/>
      <c r="KYP308" s="127"/>
      <c r="KYQ308" s="127"/>
      <c r="KYR308" s="127"/>
      <c r="KYS308" s="127"/>
      <c r="KYT308" s="127"/>
      <c r="KYU308" s="127"/>
      <c r="KYV308" s="127"/>
      <c r="KYW308" s="127"/>
      <c r="KYX308" s="127"/>
      <c r="KYY308" s="127"/>
      <c r="KYZ308" s="127"/>
      <c r="KZA308" s="127"/>
      <c r="KZB308" s="127"/>
      <c r="KZC308" s="127"/>
      <c r="KZD308" s="127"/>
      <c r="KZE308" s="127"/>
      <c r="KZF308" s="127"/>
      <c r="KZG308" s="127"/>
      <c r="KZH308" s="127"/>
      <c r="KZI308" s="127"/>
      <c r="KZJ308" s="127"/>
      <c r="KZK308" s="127"/>
      <c r="KZL308" s="127"/>
      <c r="KZM308" s="127"/>
      <c r="KZN308" s="127"/>
      <c r="KZO308" s="127"/>
      <c r="KZP308" s="127"/>
      <c r="KZQ308" s="127"/>
      <c r="KZR308" s="127"/>
      <c r="KZS308" s="127"/>
      <c r="KZT308" s="127"/>
      <c r="KZU308" s="127"/>
      <c r="KZV308" s="127"/>
      <c r="KZW308" s="127"/>
      <c r="KZX308" s="127"/>
      <c r="KZY308" s="127"/>
      <c r="KZZ308" s="127"/>
      <c r="LAA308" s="127"/>
      <c r="LAB308" s="127"/>
      <c r="LAC308" s="127"/>
      <c r="LAD308" s="127"/>
      <c r="LAE308" s="127"/>
      <c r="LAF308" s="127"/>
      <c r="LAG308" s="127"/>
      <c r="LAH308" s="127"/>
      <c r="LAI308" s="127"/>
      <c r="LAJ308" s="127"/>
      <c r="LAK308" s="127"/>
      <c r="LAL308" s="127"/>
      <c r="LAM308" s="127"/>
      <c r="LAN308" s="127"/>
      <c r="LAO308" s="127"/>
      <c r="LAP308" s="127"/>
      <c r="LAQ308" s="127"/>
      <c r="LAR308" s="127"/>
      <c r="LAS308" s="127"/>
      <c r="LAT308" s="127"/>
      <c r="LAU308" s="127"/>
      <c r="LAV308" s="127"/>
      <c r="LAW308" s="127"/>
      <c r="LAX308" s="127"/>
      <c r="LAY308" s="127"/>
      <c r="LAZ308" s="127"/>
      <c r="LBA308" s="127"/>
      <c r="LBB308" s="127"/>
      <c r="LBC308" s="127"/>
      <c r="LBD308" s="127"/>
      <c r="LBE308" s="127"/>
      <c r="LBF308" s="127"/>
      <c r="LBG308" s="127"/>
      <c r="LBH308" s="127"/>
      <c r="LBI308" s="127"/>
      <c r="LBJ308" s="127"/>
      <c r="LBK308" s="127"/>
      <c r="LBL308" s="127"/>
      <c r="LBM308" s="127"/>
      <c r="LBN308" s="127"/>
      <c r="LBO308" s="127"/>
      <c r="LBP308" s="127"/>
      <c r="LBQ308" s="127"/>
      <c r="LBR308" s="127"/>
      <c r="LBS308" s="127"/>
      <c r="LBT308" s="127"/>
      <c r="LBU308" s="127"/>
      <c r="LBV308" s="127"/>
      <c r="LBW308" s="127"/>
      <c r="LBX308" s="127"/>
      <c r="LBY308" s="127"/>
      <c r="LBZ308" s="127"/>
      <c r="LCA308" s="127"/>
      <c r="LCB308" s="127"/>
      <c r="LCC308" s="127"/>
      <c r="LCD308" s="127"/>
      <c r="LCE308" s="127"/>
      <c r="LCF308" s="127"/>
      <c r="LCG308" s="127"/>
      <c r="LCH308" s="127"/>
      <c r="LCI308" s="127"/>
      <c r="LCJ308" s="127"/>
      <c r="LCK308" s="127"/>
      <c r="LCL308" s="127"/>
      <c r="LCM308" s="127"/>
      <c r="LCN308" s="127"/>
      <c r="LCO308" s="127"/>
      <c r="LCP308" s="127"/>
      <c r="LCQ308" s="127"/>
      <c r="LCR308" s="127"/>
      <c r="LCS308" s="127"/>
      <c r="LCT308" s="127"/>
      <c r="LCU308" s="127"/>
      <c r="LCV308" s="127"/>
      <c r="LCW308" s="127"/>
      <c r="LCX308" s="127"/>
      <c r="LCY308" s="127"/>
      <c r="LCZ308" s="127"/>
      <c r="LDA308" s="127"/>
      <c r="LDB308" s="127"/>
      <c r="LDC308" s="127"/>
      <c r="LDD308" s="127"/>
      <c r="LDE308" s="127"/>
      <c r="LDF308" s="127"/>
      <c r="LDG308" s="127"/>
      <c r="LDH308" s="127"/>
      <c r="LDI308" s="127"/>
      <c r="LDJ308" s="127"/>
      <c r="LDK308" s="127"/>
      <c r="LDL308" s="127"/>
      <c r="LDM308" s="127"/>
      <c r="LDN308" s="127"/>
      <c r="LDO308" s="127"/>
      <c r="LDP308" s="127"/>
      <c r="LDQ308" s="127"/>
      <c r="LDR308" s="127"/>
      <c r="LDS308" s="127"/>
      <c r="LDT308" s="127"/>
      <c r="LDU308" s="127"/>
      <c r="LDV308" s="127"/>
      <c r="LDW308" s="127"/>
      <c r="LDX308" s="127"/>
      <c r="LDY308" s="127"/>
      <c r="LDZ308" s="127"/>
      <c r="LEA308" s="127"/>
      <c r="LEB308" s="127"/>
      <c r="LEC308" s="127"/>
      <c r="LED308" s="127"/>
      <c r="LEE308" s="127"/>
      <c r="LEF308" s="127"/>
      <c r="LEG308" s="127"/>
      <c r="LEH308" s="127"/>
      <c r="LEI308" s="127"/>
      <c r="LEJ308" s="127"/>
      <c r="LEK308" s="127"/>
      <c r="LEL308" s="127"/>
      <c r="LEM308" s="127"/>
      <c r="LEN308" s="127"/>
      <c r="LEO308" s="127"/>
      <c r="LEP308" s="127"/>
      <c r="LEQ308" s="127"/>
      <c r="LER308" s="127"/>
      <c r="LES308" s="127"/>
      <c r="LET308" s="127"/>
      <c r="LEU308" s="127"/>
      <c r="LEV308" s="127"/>
      <c r="LEW308" s="127"/>
      <c r="LEX308" s="127"/>
      <c r="LEY308" s="127"/>
      <c r="LEZ308" s="127"/>
      <c r="LFA308" s="127"/>
      <c r="LFB308" s="127"/>
      <c r="LFC308" s="127"/>
      <c r="LFD308" s="127"/>
      <c r="LFE308" s="127"/>
      <c r="LFF308" s="127"/>
      <c r="LFG308" s="127"/>
      <c r="LFH308" s="127"/>
      <c r="LFI308" s="127"/>
      <c r="LFJ308" s="127"/>
      <c r="LFK308" s="127"/>
      <c r="LFL308" s="127"/>
      <c r="LFM308" s="127"/>
      <c r="LFN308" s="127"/>
      <c r="LFO308" s="127"/>
      <c r="LFP308" s="127"/>
      <c r="LFQ308" s="127"/>
      <c r="LFR308" s="127"/>
      <c r="LFS308" s="127"/>
      <c r="LFT308" s="127"/>
      <c r="LFU308" s="127"/>
      <c r="LFV308" s="127"/>
      <c r="LFW308" s="127"/>
      <c r="LFX308" s="127"/>
      <c r="LFY308" s="127"/>
      <c r="LFZ308" s="127"/>
      <c r="LGA308" s="127"/>
      <c r="LGB308" s="127"/>
      <c r="LGC308" s="127"/>
      <c r="LGD308" s="127"/>
      <c r="LGE308" s="127"/>
      <c r="LGF308" s="127"/>
      <c r="LGG308" s="127"/>
      <c r="LGH308" s="127"/>
      <c r="LGI308" s="127"/>
      <c r="LGJ308" s="127"/>
      <c r="LGK308" s="127"/>
      <c r="LGL308" s="127"/>
      <c r="LGM308" s="127"/>
      <c r="LGN308" s="127"/>
      <c r="LGO308" s="127"/>
      <c r="LGP308" s="127"/>
      <c r="LGQ308" s="127"/>
      <c r="LGR308" s="127"/>
      <c r="LGS308" s="127"/>
      <c r="LGT308" s="127"/>
      <c r="LGU308" s="127"/>
      <c r="LGV308" s="127"/>
      <c r="LGW308" s="127"/>
      <c r="LGX308" s="127"/>
      <c r="LGY308" s="127"/>
      <c r="LGZ308" s="127"/>
      <c r="LHA308" s="127"/>
      <c r="LHB308" s="127"/>
      <c r="LHC308" s="127"/>
      <c r="LHD308" s="127"/>
      <c r="LHE308" s="127"/>
      <c r="LHF308" s="127"/>
      <c r="LHG308" s="127"/>
      <c r="LHH308" s="127"/>
      <c r="LHI308" s="127"/>
      <c r="LHJ308" s="127"/>
      <c r="LHK308" s="127"/>
      <c r="LHL308" s="127"/>
      <c r="LHM308" s="127"/>
      <c r="LHN308" s="127"/>
      <c r="LHO308" s="127"/>
      <c r="LHP308" s="127"/>
      <c r="LHQ308" s="127"/>
      <c r="LHR308" s="127"/>
      <c r="LHS308" s="127"/>
      <c r="LHT308" s="127"/>
      <c r="LHU308" s="127"/>
      <c r="LHV308" s="127"/>
      <c r="LHW308" s="127"/>
      <c r="LHX308" s="127"/>
      <c r="LHY308" s="127"/>
      <c r="LHZ308" s="127"/>
      <c r="LIA308" s="127"/>
      <c r="LIB308" s="127"/>
      <c r="LIC308" s="127"/>
      <c r="LID308" s="127"/>
      <c r="LIE308" s="127"/>
      <c r="LIF308" s="127"/>
      <c r="LIG308" s="127"/>
      <c r="LIH308" s="127"/>
      <c r="LII308" s="127"/>
      <c r="LIJ308" s="127"/>
      <c r="LIK308" s="127"/>
      <c r="LIL308" s="127"/>
      <c r="LIM308" s="127"/>
      <c r="LIN308" s="127"/>
      <c r="LIO308" s="127"/>
      <c r="LIP308" s="127"/>
      <c r="LIQ308" s="127"/>
      <c r="LIR308" s="127"/>
      <c r="LIS308" s="127"/>
      <c r="LIT308" s="127"/>
      <c r="LIU308" s="127"/>
      <c r="LIV308" s="127"/>
      <c r="LIW308" s="127"/>
      <c r="LIX308" s="127"/>
      <c r="LIY308" s="127"/>
      <c r="LIZ308" s="127"/>
      <c r="LJA308" s="127"/>
      <c r="LJB308" s="127"/>
      <c r="LJC308" s="127"/>
      <c r="LJD308" s="127"/>
      <c r="LJE308" s="127"/>
      <c r="LJF308" s="127"/>
      <c r="LJG308" s="127"/>
      <c r="LJH308" s="127"/>
      <c r="LJI308" s="127"/>
      <c r="LJJ308" s="127"/>
      <c r="LJK308" s="127"/>
      <c r="LJL308" s="127"/>
      <c r="LJM308" s="127"/>
      <c r="LJN308" s="127"/>
      <c r="LJO308" s="127"/>
      <c r="LJP308" s="127"/>
      <c r="LJQ308" s="127"/>
      <c r="LJR308" s="127"/>
      <c r="LJS308" s="127"/>
      <c r="LJT308" s="127"/>
      <c r="LJU308" s="127"/>
      <c r="LJV308" s="127"/>
      <c r="LJW308" s="127"/>
      <c r="LJX308" s="127"/>
      <c r="LJY308" s="127"/>
      <c r="LJZ308" s="127"/>
      <c r="LKA308" s="127"/>
      <c r="LKB308" s="127"/>
      <c r="LKC308" s="127"/>
      <c r="LKD308" s="127"/>
      <c r="LKE308" s="127"/>
      <c r="LKF308" s="127"/>
      <c r="LKG308" s="127"/>
      <c r="LKH308" s="127"/>
      <c r="LKI308" s="127"/>
      <c r="LKJ308" s="127"/>
      <c r="LKK308" s="127"/>
      <c r="LKL308" s="127"/>
      <c r="LKM308" s="127"/>
      <c r="LKN308" s="127"/>
      <c r="LKO308" s="127"/>
      <c r="LKP308" s="127"/>
      <c r="LKQ308" s="127"/>
      <c r="LKR308" s="127"/>
      <c r="LKS308" s="127"/>
      <c r="LKT308" s="127"/>
      <c r="LKU308" s="127"/>
      <c r="LKV308" s="127"/>
      <c r="LKW308" s="127"/>
      <c r="LKX308" s="127"/>
      <c r="LKY308" s="127"/>
      <c r="LKZ308" s="127"/>
      <c r="LLA308" s="127"/>
      <c r="LLB308" s="127"/>
      <c r="LLC308" s="127"/>
      <c r="LLD308" s="127"/>
      <c r="LLE308" s="127"/>
      <c r="LLF308" s="127"/>
      <c r="LLG308" s="127"/>
      <c r="LLH308" s="127"/>
      <c r="LLI308" s="127"/>
      <c r="LLJ308" s="127"/>
      <c r="LLK308" s="127"/>
      <c r="LLL308" s="127"/>
      <c r="LLM308" s="127"/>
      <c r="LLN308" s="127"/>
      <c r="LLO308" s="127"/>
      <c r="LLP308" s="127"/>
      <c r="LLQ308" s="127"/>
      <c r="LLR308" s="127"/>
      <c r="LLS308" s="127"/>
      <c r="LLT308" s="127"/>
      <c r="LLU308" s="127"/>
      <c r="LLV308" s="127"/>
      <c r="LLW308" s="127"/>
      <c r="LLX308" s="127"/>
      <c r="LLY308" s="127"/>
      <c r="LLZ308" s="127"/>
      <c r="LMA308" s="127"/>
      <c r="LMB308" s="127"/>
      <c r="LMC308" s="127"/>
      <c r="LMD308" s="127"/>
      <c r="LME308" s="127"/>
      <c r="LMF308" s="127"/>
      <c r="LMG308" s="127"/>
      <c r="LMH308" s="127"/>
      <c r="LMI308" s="127"/>
      <c r="LMJ308" s="127"/>
      <c r="LMK308" s="127"/>
      <c r="LML308" s="127"/>
      <c r="LMM308" s="127"/>
      <c r="LMN308" s="127"/>
      <c r="LMO308" s="127"/>
      <c r="LMP308" s="127"/>
      <c r="LMQ308" s="127"/>
      <c r="LMR308" s="127"/>
      <c r="LMS308" s="127"/>
      <c r="LMT308" s="127"/>
      <c r="LMU308" s="127"/>
      <c r="LMV308" s="127"/>
      <c r="LMW308" s="127"/>
      <c r="LMX308" s="127"/>
      <c r="LMY308" s="127"/>
      <c r="LMZ308" s="127"/>
      <c r="LNA308" s="127"/>
      <c r="LNB308" s="127"/>
      <c r="LNC308" s="127"/>
      <c r="LND308" s="127"/>
      <c r="LNE308" s="127"/>
      <c r="LNF308" s="127"/>
      <c r="LNG308" s="127"/>
      <c r="LNH308" s="127"/>
      <c r="LNI308" s="127"/>
      <c r="LNJ308" s="127"/>
      <c r="LNK308" s="127"/>
      <c r="LNL308" s="127"/>
      <c r="LNM308" s="127"/>
      <c r="LNN308" s="127"/>
      <c r="LNO308" s="127"/>
      <c r="LNP308" s="127"/>
      <c r="LNQ308" s="127"/>
      <c r="LNR308" s="127"/>
      <c r="LNS308" s="127"/>
      <c r="LNT308" s="127"/>
      <c r="LNU308" s="127"/>
      <c r="LNV308" s="127"/>
      <c r="LNW308" s="127"/>
      <c r="LNX308" s="127"/>
      <c r="LNY308" s="127"/>
      <c r="LNZ308" s="127"/>
      <c r="LOA308" s="127"/>
      <c r="LOB308" s="127"/>
      <c r="LOC308" s="127"/>
      <c r="LOD308" s="127"/>
      <c r="LOE308" s="127"/>
      <c r="LOF308" s="127"/>
      <c r="LOG308" s="127"/>
      <c r="LOH308" s="127"/>
      <c r="LOI308" s="127"/>
      <c r="LOJ308" s="127"/>
      <c r="LOK308" s="127"/>
      <c r="LOL308" s="127"/>
      <c r="LOM308" s="127"/>
      <c r="LON308" s="127"/>
      <c r="LOO308" s="127"/>
      <c r="LOP308" s="127"/>
      <c r="LOQ308" s="127"/>
      <c r="LOR308" s="127"/>
      <c r="LOS308" s="127"/>
      <c r="LOT308" s="127"/>
      <c r="LOU308" s="127"/>
      <c r="LOV308" s="127"/>
      <c r="LOW308" s="127"/>
      <c r="LOX308" s="127"/>
      <c r="LOY308" s="127"/>
      <c r="LOZ308" s="127"/>
      <c r="LPA308" s="127"/>
      <c r="LPB308" s="127"/>
      <c r="LPC308" s="127"/>
      <c r="LPD308" s="127"/>
      <c r="LPE308" s="127"/>
      <c r="LPF308" s="127"/>
      <c r="LPG308" s="127"/>
      <c r="LPH308" s="127"/>
      <c r="LPI308" s="127"/>
      <c r="LPJ308" s="127"/>
      <c r="LPK308" s="127"/>
      <c r="LPL308" s="127"/>
      <c r="LPM308" s="127"/>
      <c r="LPN308" s="127"/>
      <c r="LPO308" s="127"/>
      <c r="LPP308" s="127"/>
      <c r="LPQ308" s="127"/>
      <c r="LPR308" s="127"/>
      <c r="LPS308" s="127"/>
      <c r="LPT308" s="127"/>
      <c r="LPU308" s="127"/>
      <c r="LPV308" s="127"/>
      <c r="LPW308" s="127"/>
      <c r="LPX308" s="127"/>
      <c r="LPY308" s="127"/>
      <c r="LPZ308" s="127"/>
      <c r="LQA308" s="127"/>
      <c r="LQB308" s="127"/>
      <c r="LQC308" s="127"/>
      <c r="LQD308" s="127"/>
      <c r="LQE308" s="127"/>
      <c r="LQF308" s="127"/>
      <c r="LQG308" s="127"/>
      <c r="LQH308" s="127"/>
      <c r="LQI308" s="127"/>
      <c r="LQJ308" s="127"/>
      <c r="LQK308" s="127"/>
      <c r="LQL308" s="127"/>
      <c r="LQM308" s="127"/>
      <c r="LQN308" s="127"/>
      <c r="LQO308" s="127"/>
      <c r="LQP308" s="127"/>
      <c r="LQQ308" s="127"/>
      <c r="LQR308" s="127"/>
      <c r="LQS308" s="127"/>
      <c r="LQT308" s="127"/>
      <c r="LQU308" s="127"/>
      <c r="LQV308" s="127"/>
      <c r="LQW308" s="127"/>
      <c r="LQX308" s="127"/>
      <c r="LQY308" s="127"/>
      <c r="LQZ308" s="127"/>
      <c r="LRA308" s="127"/>
      <c r="LRB308" s="127"/>
      <c r="LRC308" s="127"/>
      <c r="LRD308" s="127"/>
      <c r="LRE308" s="127"/>
      <c r="LRF308" s="127"/>
      <c r="LRG308" s="127"/>
      <c r="LRH308" s="127"/>
      <c r="LRI308" s="127"/>
      <c r="LRJ308" s="127"/>
      <c r="LRK308" s="127"/>
      <c r="LRL308" s="127"/>
      <c r="LRM308" s="127"/>
      <c r="LRN308" s="127"/>
      <c r="LRO308" s="127"/>
      <c r="LRP308" s="127"/>
      <c r="LRQ308" s="127"/>
      <c r="LRR308" s="127"/>
      <c r="LRS308" s="127"/>
      <c r="LRT308" s="127"/>
      <c r="LRU308" s="127"/>
      <c r="LRV308" s="127"/>
      <c r="LRW308" s="127"/>
      <c r="LRX308" s="127"/>
      <c r="LRY308" s="127"/>
      <c r="LRZ308" s="127"/>
      <c r="LSA308" s="127"/>
      <c r="LSB308" s="127"/>
      <c r="LSC308" s="127"/>
      <c r="LSD308" s="127"/>
      <c r="LSE308" s="127"/>
      <c r="LSF308" s="127"/>
      <c r="LSG308" s="127"/>
      <c r="LSH308" s="127"/>
      <c r="LSI308" s="127"/>
      <c r="LSJ308" s="127"/>
      <c r="LSK308" s="127"/>
      <c r="LSL308" s="127"/>
      <c r="LSM308" s="127"/>
      <c r="LSN308" s="127"/>
      <c r="LSO308" s="127"/>
      <c r="LSP308" s="127"/>
      <c r="LSQ308" s="127"/>
      <c r="LSR308" s="127"/>
      <c r="LSS308" s="127"/>
      <c r="LST308" s="127"/>
      <c r="LSU308" s="127"/>
      <c r="LSV308" s="127"/>
      <c r="LSW308" s="127"/>
      <c r="LSX308" s="127"/>
      <c r="LSY308" s="127"/>
      <c r="LSZ308" s="127"/>
      <c r="LTA308" s="127"/>
      <c r="LTB308" s="127"/>
      <c r="LTC308" s="127"/>
      <c r="LTD308" s="127"/>
      <c r="LTE308" s="127"/>
      <c r="LTF308" s="127"/>
      <c r="LTG308" s="127"/>
      <c r="LTH308" s="127"/>
      <c r="LTI308" s="127"/>
      <c r="LTJ308" s="127"/>
      <c r="LTK308" s="127"/>
      <c r="LTL308" s="127"/>
      <c r="LTM308" s="127"/>
      <c r="LTN308" s="127"/>
      <c r="LTO308" s="127"/>
      <c r="LTP308" s="127"/>
      <c r="LTQ308" s="127"/>
      <c r="LTR308" s="127"/>
      <c r="LTS308" s="127"/>
      <c r="LTT308" s="127"/>
      <c r="LTU308" s="127"/>
      <c r="LTV308" s="127"/>
      <c r="LTW308" s="127"/>
      <c r="LTX308" s="127"/>
      <c r="LTY308" s="127"/>
      <c r="LTZ308" s="127"/>
      <c r="LUA308" s="127"/>
      <c r="LUB308" s="127"/>
      <c r="LUC308" s="127"/>
      <c r="LUD308" s="127"/>
      <c r="LUE308" s="127"/>
      <c r="LUF308" s="127"/>
      <c r="LUG308" s="127"/>
      <c r="LUH308" s="127"/>
      <c r="LUI308" s="127"/>
      <c r="LUJ308" s="127"/>
      <c r="LUK308" s="127"/>
      <c r="LUL308" s="127"/>
      <c r="LUM308" s="127"/>
      <c r="LUN308" s="127"/>
      <c r="LUO308" s="127"/>
      <c r="LUP308" s="127"/>
      <c r="LUQ308" s="127"/>
      <c r="LUR308" s="127"/>
      <c r="LUS308" s="127"/>
      <c r="LUT308" s="127"/>
      <c r="LUU308" s="127"/>
      <c r="LUV308" s="127"/>
      <c r="LUW308" s="127"/>
      <c r="LUX308" s="127"/>
      <c r="LUY308" s="127"/>
      <c r="LUZ308" s="127"/>
      <c r="LVA308" s="127"/>
      <c r="LVB308" s="127"/>
      <c r="LVC308" s="127"/>
      <c r="LVD308" s="127"/>
      <c r="LVE308" s="127"/>
      <c r="LVF308" s="127"/>
      <c r="LVG308" s="127"/>
      <c r="LVH308" s="127"/>
      <c r="LVI308" s="127"/>
      <c r="LVJ308" s="127"/>
      <c r="LVK308" s="127"/>
      <c r="LVL308" s="127"/>
      <c r="LVM308" s="127"/>
      <c r="LVN308" s="127"/>
      <c r="LVO308" s="127"/>
      <c r="LVP308" s="127"/>
      <c r="LVQ308" s="127"/>
      <c r="LVR308" s="127"/>
      <c r="LVS308" s="127"/>
      <c r="LVT308" s="127"/>
      <c r="LVU308" s="127"/>
      <c r="LVV308" s="127"/>
      <c r="LVW308" s="127"/>
      <c r="LVX308" s="127"/>
      <c r="LVY308" s="127"/>
      <c r="LVZ308" s="127"/>
      <c r="LWA308" s="127"/>
      <c r="LWB308" s="127"/>
      <c r="LWC308" s="127"/>
      <c r="LWD308" s="127"/>
      <c r="LWE308" s="127"/>
      <c r="LWF308" s="127"/>
      <c r="LWG308" s="127"/>
      <c r="LWH308" s="127"/>
      <c r="LWI308" s="127"/>
      <c r="LWJ308" s="127"/>
      <c r="LWK308" s="127"/>
      <c r="LWL308" s="127"/>
      <c r="LWM308" s="127"/>
      <c r="LWN308" s="127"/>
      <c r="LWO308" s="127"/>
      <c r="LWP308" s="127"/>
      <c r="LWQ308" s="127"/>
      <c r="LWR308" s="127"/>
      <c r="LWS308" s="127"/>
      <c r="LWT308" s="127"/>
      <c r="LWU308" s="127"/>
      <c r="LWV308" s="127"/>
      <c r="LWW308" s="127"/>
      <c r="LWX308" s="127"/>
      <c r="LWY308" s="127"/>
      <c r="LWZ308" s="127"/>
      <c r="LXA308" s="127"/>
      <c r="LXB308" s="127"/>
      <c r="LXC308" s="127"/>
      <c r="LXD308" s="127"/>
      <c r="LXE308" s="127"/>
      <c r="LXF308" s="127"/>
      <c r="LXG308" s="127"/>
      <c r="LXH308" s="127"/>
      <c r="LXI308" s="127"/>
      <c r="LXJ308" s="127"/>
      <c r="LXK308" s="127"/>
      <c r="LXL308" s="127"/>
      <c r="LXM308" s="127"/>
      <c r="LXN308" s="127"/>
      <c r="LXO308" s="127"/>
      <c r="LXP308" s="127"/>
      <c r="LXQ308" s="127"/>
      <c r="LXR308" s="127"/>
      <c r="LXS308" s="127"/>
      <c r="LXT308" s="127"/>
      <c r="LXU308" s="127"/>
      <c r="LXV308" s="127"/>
      <c r="LXW308" s="127"/>
      <c r="LXX308" s="127"/>
      <c r="LXY308" s="127"/>
      <c r="LXZ308" s="127"/>
      <c r="LYA308" s="127"/>
      <c r="LYB308" s="127"/>
      <c r="LYC308" s="127"/>
      <c r="LYD308" s="127"/>
      <c r="LYE308" s="127"/>
      <c r="LYF308" s="127"/>
      <c r="LYG308" s="127"/>
      <c r="LYH308" s="127"/>
      <c r="LYI308" s="127"/>
      <c r="LYJ308" s="127"/>
      <c r="LYK308" s="127"/>
      <c r="LYL308" s="127"/>
      <c r="LYM308" s="127"/>
      <c r="LYN308" s="127"/>
      <c r="LYO308" s="127"/>
      <c r="LYP308" s="127"/>
      <c r="LYQ308" s="127"/>
      <c r="LYR308" s="127"/>
      <c r="LYS308" s="127"/>
      <c r="LYT308" s="127"/>
      <c r="LYU308" s="127"/>
      <c r="LYV308" s="127"/>
      <c r="LYW308" s="127"/>
      <c r="LYX308" s="127"/>
      <c r="LYY308" s="127"/>
      <c r="LYZ308" s="127"/>
      <c r="LZA308" s="127"/>
      <c r="LZB308" s="127"/>
      <c r="LZC308" s="127"/>
      <c r="LZD308" s="127"/>
      <c r="LZE308" s="127"/>
      <c r="LZF308" s="127"/>
      <c r="LZG308" s="127"/>
      <c r="LZH308" s="127"/>
      <c r="LZI308" s="127"/>
      <c r="LZJ308" s="127"/>
      <c r="LZK308" s="127"/>
      <c r="LZL308" s="127"/>
      <c r="LZM308" s="127"/>
      <c r="LZN308" s="127"/>
      <c r="LZO308" s="127"/>
      <c r="LZP308" s="127"/>
      <c r="LZQ308" s="127"/>
      <c r="LZR308" s="127"/>
      <c r="LZS308" s="127"/>
      <c r="LZT308" s="127"/>
      <c r="LZU308" s="127"/>
      <c r="LZV308" s="127"/>
      <c r="LZW308" s="127"/>
      <c r="LZX308" s="127"/>
      <c r="LZY308" s="127"/>
      <c r="LZZ308" s="127"/>
      <c r="MAA308" s="127"/>
      <c r="MAB308" s="127"/>
      <c r="MAC308" s="127"/>
      <c r="MAD308" s="127"/>
      <c r="MAE308" s="127"/>
      <c r="MAF308" s="127"/>
      <c r="MAG308" s="127"/>
      <c r="MAH308" s="127"/>
      <c r="MAI308" s="127"/>
      <c r="MAJ308" s="127"/>
      <c r="MAK308" s="127"/>
      <c r="MAL308" s="127"/>
      <c r="MAM308" s="127"/>
      <c r="MAN308" s="127"/>
      <c r="MAO308" s="127"/>
      <c r="MAP308" s="127"/>
      <c r="MAQ308" s="127"/>
      <c r="MAR308" s="127"/>
      <c r="MAS308" s="127"/>
      <c r="MAT308" s="127"/>
      <c r="MAU308" s="127"/>
      <c r="MAV308" s="127"/>
      <c r="MAW308" s="127"/>
      <c r="MAX308" s="127"/>
      <c r="MAY308" s="127"/>
      <c r="MAZ308" s="127"/>
      <c r="MBA308" s="127"/>
      <c r="MBB308" s="127"/>
      <c r="MBC308" s="127"/>
      <c r="MBD308" s="127"/>
      <c r="MBE308" s="127"/>
      <c r="MBF308" s="127"/>
      <c r="MBG308" s="127"/>
      <c r="MBH308" s="127"/>
      <c r="MBI308" s="127"/>
      <c r="MBJ308" s="127"/>
      <c r="MBK308" s="127"/>
      <c r="MBL308" s="127"/>
      <c r="MBM308" s="127"/>
      <c r="MBN308" s="127"/>
      <c r="MBO308" s="127"/>
      <c r="MBP308" s="127"/>
      <c r="MBQ308" s="127"/>
      <c r="MBR308" s="127"/>
      <c r="MBS308" s="127"/>
      <c r="MBT308" s="127"/>
      <c r="MBU308" s="127"/>
      <c r="MBV308" s="127"/>
      <c r="MBW308" s="127"/>
      <c r="MBX308" s="127"/>
      <c r="MBY308" s="127"/>
      <c r="MBZ308" s="127"/>
      <c r="MCA308" s="127"/>
      <c r="MCB308" s="127"/>
      <c r="MCC308" s="127"/>
      <c r="MCD308" s="127"/>
      <c r="MCE308" s="127"/>
      <c r="MCF308" s="127"/>
      <c r="MCG308" s="127"/>
      <c r="MCH308" s="127"/>
      <c r="MCI308" s="127"/>
      <c r="MCJ308" s="127"/>
      <c r="MCK308" s="127"/>
      <c r="MCL308" s="127"/>
      <c r="MCM308" s="127"/>
      <c r="MCN308" s="127"/>
      <c r="MCO308" s="127"/>
      <c r="MCP308" s="127"/>
      <c r="MCQ308" s="127"/>
      <c r="MCR308" s="127"/>
      <c r="MCS308" s="127"/>
      <c r="MCT308" s="127"/>
      <c r="MCU308" s="127"/>
      <c r="MCV308" s="127"/>
      <c r="MCW308" s="127"/>
      <c r="MCX308" s="127"/>
      <c r="MCY308" s="127"/>
      <c r="MCZ308" s="127"/>
      <c r="MDA308" s="127"/>
      <c r="MDB308" s="127"/>
      <c r="MDC308" s="127"/>
      <c r="MDD308" s="127"/>
      <c r="MDE308" s="127"/>
      <c r="MDF308" s="127"/>
      <c r="MDG308" s="127"/>
      <c r="MDH308" s="127"/>
      <c r="MDI308" s="127"/>
      <c r="MDJ308" s="127"/>
      <c r="MDK308" s="127"/>
      <c r="MDL308" s="127"/>
      <c r="MDM308" s="127"/>
      <c r="MDN308" s="127"/>
      <c r="MDO308" s="127"/>
      <c r="MDP308" s="127"/>
      <c r="MDQ308" s="127"/>
      <c r="MDR308" s="127"/>
      <c r="MDS308" s="127"/>
      <c r="MDT308" s="127"/>
      <c r="MDU308" s="127"/>
      <c r="MDV308" s="127"/>
      <c r="MDW308" s="127"/>
      <c r="MDX308" s="127"/>
      <c r="MDY308" s="127"/>
      <c r="MDZ308" s="127"/>
      <c r="MEA308" s="127"/>
      <c r="MEB308" s="127"/>
      <c r="MEC308" s="127"/>
      <c r="MED308" s="127"/>
      <c r="MEE308" s="127"/>
      <c r="MEF308" s="127"/>
      <c r="MEG308" s="127"/>
      <c r="MEH308" s="127"/>
      <c r="MEI308" s="127"/>
      <c r="MEJ308" s="127"/>
      <c r="MEK308" s="127"/>
      <c r="MEL308" s="127"/>
      <c r="MEM308" s="127"/>
      <c r="MEN308" s="127"/>
      <c r="MEO308" s="127"/>
      <c r="MEP308" s="127"/>
      <c r="MEQ308" s="127"/>
      <c r="MER308" s="127"/>
      <c r="MES308" s="127"/>
      <c r="MET308" s="127"/>
      <c r="MEU308" s="127"/>
      <c r="MEV308" s="127"/>
      <c r="MEW308" s="127"/>
      <c r="MEX308" s="127"/>
      <c r="MEY308" s="127"/>
      <c r="MEZ308" s="127"/>
      <c r="MFA308" s="127"/>
      <c r="MFB308" s="127"/>
      <c r="MFC308" s="127"/>
      <c r="MFD308" s="127"/>
      <c r="MFE308" s="127"/>
      <c r="MFF308" s="127"/>
      <c r="MFG308" s="127"/>
      <c r="MFH308" s="127"/>
      <c r="MFI308" s="127"/>
      <c r="MFJ308" s="127"/>
      <c r="MFK308" s="127"/>
      <c r="MFL308" s="127"/>
      <c r="MFM308" s="127"/>
      <c r="MFN308" s="127"/>
      <c r="MFO308" s="127"/>
      <c r="MFP308" s="127"/>
      <c r="MFQ308" s="127"/>
      <c r="MFR308" s="127"/>
      <c r="MFS308" s="127"/>
      <c r="MFT308" s="127"/>
      <c r="MFU308" s="127"/>
      <c r="MFV308" s="127"/>
      <c r="MFW308" s="127"/>
      <c r="MFX308" s="127"/>
      <c r="MFY308" s="127"/>
      <c r="MFZ308" s="127"/>
      <c r="MGA308" s="127"/>
      <c r="MGB308" s="127"/>
      <c r="MGC308" s="127"/>
      <c r="MGD308" s="127"/>
      <c r="MGE308" s="127"/>
      <c r="MGF308" s="127"/>
      <c r="MGG308" s="127"/>
      <c r="MGH308" s="127"/>
      <c r="MGI308" s="127"/>
      <c r="MGJ308" s="127"/>
      <c r="MGK308" s="127"/>
      <c r="MGL308" s="127"/>
      <c r="MGM308" s="127"/>
      <c r="MGN308" s="127"/>
      <c r="MGO308" s="127"/>
      <c r="MGP308" s="127"/>
      <c r="MGQ308" s="127"/>
      <c r="MGR308" s="127"/>
      <c r="MGS308" s="127"/>
      <c r="MGT308" s="127"/>
      <c r="MGU308" s="127"/>
      <c r="MGV308" s="127"/>
      <c r="MGW308" s="127"/>
      <c r="MGX308" s="127"/>
      <c r="MGY308" s="127"/>
      <c r="MGZ308" s="127"/>
      <c r="MHA308" s="127"/>
      <c r="MHB308" s="127"/>
      <c r="MHC308" s="127"/>
      <c r="MHD308" s="127"/>
      <c r="MHE308" s="127"/>
      <c r="MHF308" s="127"/>
      <c r="MHG308" s="127"/>
      <c r="MHH308" s="127"/>
      <c r="MHI308" s="127"/>
      <c r="MHJ308" s="127"/>
      <c r="MHK308" s="127"/>
      <c r="MHL308" s="127"/>
      <c r="MHM308" s="127"/>
      <c r="MHN308" s="127"/>
      <c r="MHO308" s="127"/>
      <c r="MHP308" s="127"/>
      <c r="MHQ308" s="127"/>
      <c r="MHR308" s="127"/>
      <c r="MHS308" s="127"/>
      <c r="MHT308" s="127"/>
      <c r="MHU308" s="127"/>
      <c r="MHV308" s="127"/>
      <c r="MHW308" s="127"/>
      <c r="MHX308" s="127"/>
      <c r="MHY308" s="127"/>
      <c r="MHZ308" s="127"/>
      <c r="MIA308" s="127"/>
      <c r="MIB308" s="127"/>
      <c r="MIC308" s="127"/>
      <c r="MID308" s="127"/>
      <c r="MIE308" s="127"/>
      <c r="MIF308" s="127"/>
      <c r="MIG308" s="127"/>
      <c r="MIH308" s="127"/>
      <c r="MII308" s="127"/>
      <c r="MIJ308" s="127"/>
      <c r="MIK308" s="127"/>
      <c r="MIL308" s="127"/>
      <c r="MIM308" s="127"/>
      <c r="MIN308" s="127"/>
      <c r="MIO308" s="127"/>
      <c r="MIP308" s="127"/>
      <c r="MIQ308" s="127"/>
      <c r="MIR308" s="127"/>
      <c r="MIS308" s="127"/>
      <c r="MIT308" s="127"/>
      <c r="MIU308" s="127"/>
      <c r="MIV308" s="127"/>
      <c r="MIW308" s="127"/>
      <c r="MIX308" s="127"/>
      <c r="MIY308" s="127"/>
      <c r="MIZ308" s="127"/>
      <c r="MJA308" s="127"/>
      <c r="MJB308" s="127"/>
      <c r="MJC308" s="127"/>
      <c r="MJD308" s="127"/>
      <c r="MJE308" s="127"/>
      <c r="MJF308" s="127"/>
      <c r="MJG308" s="127"/>
      <c r="MJH308" s="127"/>
      <c r="MJI308" s="127"/>
      <c r="MJJ308" s="127"/>
      <c r="MJK308" s="127"/>
      <c r="MJL308" s="127"/>
      <c r="MJM308" s="127"/>
      <c r="MJN308" s="127"/>
      <c r="MJO308" s="127"/>
      <c r="MJP308" s="127"/>
      <c r="MJQ308" s="127"/>
      <c r="MJR308" s="127"/>
      <c r="MJS308" s="127"/>
      <c r="MJT308" s="127"/>
      <c r="MJU308" s="127"/>
      <c r="MJV308" s="127"/>
      <c r="MJW308" s="127"/>
      <c r="MJX308" s="127"/>
      <c r="MJY308" s="127"/>
      <c r="MJZ308" s="127"/>
      <c r="MKA308" s="127"/>
      <c r="MKB308" s="127"/>
      <c r="MKC308" s="127"/>
      <c r="MKD308" s="127"/>
      <c r="MKE308" s="127"/>
      <c r="MKF308" s="127"/>
      <c r="MKG308" s="127"/>
      <c r="MKH308" s="127"/>
      <c r="MKI308" s="127"/>
      <c r="MKJ308" s="127"/>
      <c r="MKK308" s="127"/>
      <c r="MKL308" s="127"/>
      <c r="MKM308" s="127"/>
      <c r="MKN308" s="127"/>
      <c r="MKO308" s="127"/>
      <c r="MKP308" s="127"/>
      <c r="MKQ308" s="127"/>
      <c r="MKR308" s="127"/>
      <c r="MKS308" s="127"/>
      <c r="MKT308" s="127"/>
      <c r="MKU308" s="127"/>
      <c r="MKV308" s="127"/>
      <c r="MKW308" s="127"/>
      <c r="MKX308" s="127"/>
      <c r="MKY308" s="127"/>
      <c r="MKZ308" s="127"/>
      <c r="MLA308" s="127"/>
      <c r="MLB308" s="127"/>
      <c r="MLC308" s="127"/>
      <c r="MLD308" s="127"/>
      <c r="MLE308" s="127"/>
      <c r="MLF308" s="127"/>
      <c r="MLG308" s="127"/>
      <c r="MLH308" s="127"/>
      <c r="MLI308" s="127"/>
      <c r="MLJ308" s="127"/>
      <c r="MLK308" s="127"/>
      <c r="MLL308" s="127"/>
      <c r="MLM308" s="127"/>
      <c r="MLN308" s="127"/>
      <c r="MLO308" s="127"/>
      <c r="MLP308" s="127"/>
      <c r="MLQ308" s="127"/>
      <c r="MLR308" s="127"/>
      <c r="MLS308" s="127"/>
      <c r="MLT308" s="127"/>
      <c r="MLU308" s="127"/>
      <c r="MLV308" s="127"/>
      <c r="MLW308" s="127"/>
      <c r="MLX308" s="127"/>
      <c r="MLY308" s="127"/>
      <c r="MLZ308" s="127"/>
      <c r="MMA308" s="127"/>
      <c r="MMB308" s="127"/>
      <c r="MMC308" s="127"/>
      <c r="MMD308" s="127"/>
      <c r="MME308" s="127"/>
      <c r="MMF308" s="127"/>
      <c r="MMG308" s="127"/>
      <c r="MMH308" s="127"/>
      <c r="MMI308" s="127"/>
      <c r="MMJ308" s="127"/>
      <c r="MMK308" s="127"/>
      <c r="MML308" s="127"/>
      <c r="MMM308" s="127"/>
      <c r="MMN308" s="127"/>
      <c r="MMO308" s="127"/>
      <c r="MMP308" s="127"/>
      <c r="MMQ308" s="127"/>
      <c r="MMR308" s="127"/>
      <c r="MMS308" s="127"/>
      <c r="MMT308" s="127"/>
      <c r="MMU308" s="127"/>
      <c r="MMV308" s="127"/>
      <c r="MMW308" s="127"/>
      <c r="MMX308" s="127"/>
      <c r="MMY308" s="127"/>
      <c r="MMZ308" s="127"/>
      <c r="MNA308" s="127"/>
      <c r="MNB308" s="127"/>
      <c r="MNC308" s="127"/>
      <c r="MND308" s="127"/>
      <c r="MNE308" s="127"/>
      <c r="MNF308" s="127"/>
      <c r="MNG308" s="127"/>
      <c r="MNH308" s="127"/>
      <c r="MNI308" s="127"/>
      <c r="MNJ308" s="127"/>
      <c r="MNK308" s="127"/>
      <c r="MNL308" s="127"/>
      <c r="MNM308" s="127"/>
      <c r="MNN308" s="127"/>
      <c r="MNO308" s="127"/>
      <c r="MNP308" s="127"/>
      <c r="MNQ308" s="127"/>
      <c r="MNR308" s="127"/>
      <c r="MNS308" s="127"/>
      <c r="MNT308" s="127"/>
      <c r="MNU308" s="127"/>
      <c r="MNV308" s="127"/>
      <c r="MNW308" s="127"/>
      <c r="MNX308" s="127"/>
      <c r="MNY308" s="127"/>
      <c r="MNZ308" s="127"/>
      <c r="MOA308" s="127"/>
      <c r="MOB308" s="127"/>
      <c r="MOC308" s="127"/>
      <c r="MOD308" s="127"/>
      <c r="MOE308" s="127"/>
      <c r="MOF308" s="127"/>
      <c r="MOG308" s="127"/>
      <c r="MOH308" s="127"/>
      <c r="MOI308" s="127"/>
      <c r="MOJ308" s="127"/>
      <c r="MOK308" s="127"/>
      <c r="MOL308" s="127"/>
      <c r="MOM308" s="127"/>
      <c r="MON308" s="127"/>
      <c r="MOO308" s="127"/>
      <c r="MOP308" s="127"/>
      <c r="MOQ308" s="127"/>
      <c r="MOR308" s="127"/>
      <c r="MOS308" s="127"/>
      <c r="MOT308" s="127"/>
      <c r="MOU308" s="127"/>
      <c r="MOV308" s="127"/>
      <c r="MOW308" s="127"/>
      <c r="MOX308" s="127"/>
      <c r="MOY308" s="127"/>
      <c r="MOZ308" s="127"/>
      <c r="MPA308" s="127"/>
      <c r="MPB308" s="127"/>
      <c r="MPC308" s="127"/>
      <c r="MPD308" s="127"/>
      <c r="MPE308" s="127"/>
      <c r="MPF308" s="127"/>
      <c r="MPG308" s="127"/>
      <c r="MPH308" s="127"/>
      <c r="MPI308" s="127"/>
      <c r="MPJ308" s="127"/>
      <c r="MPK308" s="127"/>
      <c r="MPL308" s="127"/>
      <c r="MPM308" s="127"/>
      <c r="MPN308" s="127"/>
      <c r="MPO308" s="127"/>
      <c r="MPP308" s="127"/>
      <c r="MPQ308" s="127"/>
      <c r="MPR308" s="127"/>
      <c r="MPS308" s="127"/>
      <c r="MPT308" s="127"/>
      <c r="MPU308" s="127"/>
      <c r="MPV308" s="127"/>
      <c r="MPW308" s="127"/>
      <c r="MPX308" s="127"/>
      <c r="MPY308" s="127"/>
      <c r="MPZ308" s="127"/>
      <c r="MQA308" s="127"/>
      <c r="MQB308" s="127"/>
      <c r="MQC308" s="127"/>
      <c r="MQD308" s="127"/>
      <c r="MQE308" s="127"/>
      <c r="MQF308" s="127"/>
      <c r="MQG308" s="127"/>
      <c r="MQH308" s="127"/>
      <c r="MQI308" s="127"/>
      <c r="MQJ308" s="127"/>
      <c r="MQK308" s="127"/>
      <c r="MQL308" s="127"/>
      <c r="MQM308" s="127"/>
      <c r="MQN308" s="127"/>
      <c r="MQO308" s="127"/>
      <c r="MQP308" s="127"/>
      <c r="MQQ308" s="127"/>
      <c r="MQR308" s="127"/>
      <c r="MQS308" s="127"/>
      <c r="MQT308" s="127"/>
      <c r="MQU308" s="127"/>
      <c r="MQV308" s="127"/>
      <c r="MQW308" s="127"/>
      <c r="MQX308" s="127"/>
      <c r="MQY308" s="127"/>
      <c r="MQZ308" s="127"/>
      <c r="MRA308" s="127"/>
      <c r="MRB308" s="127"/>
      <c r="MRC308" s="127"/>
      <c r="MRD308" s="127"/>
      <c r="MRE308" s="127"/>
      <c r="MRF308" s="127"/>
      <c r="MRG308" s="127"/>
      <c r="MRH308" s="127"/>
      <c r="MRI308" s="127"/>
      <c r="MRJ308" s="127"/>
      <c r="MRK308" s="127"/>
      <c r="MRL308" s="127"/>
      <c r="MRM308" s="127"/>
      <c r="MRN308" s="127"/>
      <c r="MRO308" s="127"/>
      <c r="MRP308" s="127"/>
      <c r="MRQ308" s="127"/>
      <c r="MRR308" s="127"/>
      <c r="MRS308" s="127"/>
      <c r="MRT308" s="127"/>
      <c r="MRU308" s="127"/>
      <c r="MRV308" s="127"/>
      <c r="MRW308" s="127"/>
      <c r="MRX308" s="127"/>
      <c r="MRY308" s="127"/>
      <c r="MRZ308" s="127"/>
      <c r="MSA308" s="127"/>
      <c r="MSB308" s="127"/>
      <c r="MSC308" s="127"/>
      <c r="MSD308" s="127"/>
      <c r="MSE308" s="127"/>
      <c r="MSF308" s="127"/>
      <c r="MSG308" s="127"/>
      <c r="MSH308" s="127"/>
      <c r="MSI308" s="127"/>
      <c r="MSJ308" s="127"/>
      <c r="MSK308" s="127"/>
      <c r="MSL308" s="127"/>
      <c r="MSM308" s="127"/>
      <c r="MSN308" s="127"/>
      <c r="MSO308" s="127"/>
      <c r="MSP308" s="127"/>
      <c r="MSQ308" s="127"/>
      <c r="MSR308" s="127"/>
      <c r="MSS308" s="127"/>
      <c r="MST308" s="127"/>
      <c r="MSU308" s="127"/>
      <c r="MSV308" s="127"/>
      <c r="MSW308" s="127"/>
      <c r="MSX308" s="127"/>
      <c r="MSY308" s="127"/>
      <c r="MSZ308" s="127"/>
      <c r="MTA308" s="127"/>
      <c r="MTB308" s="127"/>
      <c r="MTC308" s="127"/>
      <c r="MTD308" s="127"/>
      <c r="MTE308" s="127"/>
      <c r="MTF308" s="127"/>
      <c r="MTG308" s="127"/>
      <c r="MTH308" s="127"/>
      <c r="MTI308" s="127"/>
      <c r="MTJ308" s="127"/>
      <c r="MTK308" s="127"/>
      <c r="MTL308" s="127"/>
      <c r="MTM308" s="127"/>
      <c r="MTN308" s="127"/>
      <c r="MTO308" s="127"/>
      <c r="MTP308" s="127"/>
      <c r="MTQ308" s="127"/>
      <c r="MTR308" s="127"/>
      <c r="MTS308" s="127"/>
      <c r="MTT308" s="127"/>
      <c r="MTU308" s="127"/>
      <c r="MTV308" s="127"/>
      <c r="MTW308" s="127"/>
      <c r="MTX308" s="127"/>
      <c r="MTY308" s="127"/>
      <c r="MTZ308" s="127"/>
      <c r="MUA308" s="127"/>
      <c r="MUB308" s="127"/>
      <c r="MUC308" s="127"/>
      <c r="MUD308" s="127"/>
      <c r="MUE308" s="127"/>
      <c r="MUF308" s="127"/>
      <c r="MUG308" s="127"/>
      <c r="MUH308" s="127"/>
      <c r="MUI308" s="127"/>
      <c r="MUJ308" s="127"/>
      <c r="MUK308" s="127"/>
      <c r="MUL308" s="127"/>
      <c r="MUM308" s="127"/>
      <c r="MUN308" s="127"/>
      <c r="MUO308" s="127"/>
      <c r="MUP308" s="127"/>
      <c r="MUQ308" s="127"/>
      <c r="MUR308" s="127"/>
      <c r="MUS308" s="127"/>
      <c r="MUT308" s="127"/>
      <c r="MUU308" s="127"/>
      <c r="MUV308" s="127"/>
      <c r="MUW308" s="127"/>
      <c r="MUX308" s="127"/>
      <c r="MUY308" s="127"/>
      <c r="MUZ308" s="127"/>
      <c r="MVA308" s="127"/>
      <c r="MVB308" s="127"/>
      <c r="MVC308" s="127"/>
      <c r="MVD308" s="127"/>
      <c r="MVE308" s="127"/>
      <c r="MVF308" s="127"/>
      <c r="MVG308" s="127"/>
      <c r="MVH308" s="127"/>
      <c r="MVI308" s="127"/>
      <c r="MVJ308" s="127"/>
      <c r="MVK308" s="127"/>
      <c r="MVL308" s="127"/>
      <c r="MVM308" s="127"/>
      <c r="MVN308" s="127"/>
      <c r="MVO308" s="127"/>
      <c r="MVP308" s="127"/>
      <c r="MVQ308" s="127"/>
      <c r="MVR308" s="127"/>
      <c r="MVS308" s="127"/>
      <c r="MVT308" s="127"/>
      <c r="MVU308" s="127"/>
      <c r="MVV308" s="127"/>
      <c r="MVW308" s="127"/>
      <c r="MVX308" s="127"/>
      <c r="MVY308" s="127"/>
      <c r="MVZ308" s="127"/>
      <c r="MWA308" s="127"/>
      <c r="MWB308" s="127"/>
      <c r="MWC308" s="127"/>
      <c r="MWD308" s="127"/>
      <c r="MWE308" s="127"/>
      <c r="MWF308" s="127"/>
      <c r="MWG308" s="127"/>
      <c r="MWH308" s="127"/>
      <c r="MWI308" s="127"/>
      <c r="MWJ308" s="127"/>
      <c r="MWK308" s="127"/>
      <c r="MWL308" s="127"/>
      <c r="MWM308" s="127"/>
      <c r="MWN308" s="127"/>
      <c r="MWO308" s="127"/>
      <c r="MWP308" s="127"/>
      <c r="MWQ308" s="127"/>
      <c r="MWR308" s="127"/>
      <c r="MWS308" s="127"/>
      <c r="MWT308" s="127"/>
      <c r="MWU308" s="127"/>
      <c r="MWV308" s="127"/>
      <c r="MWW308" s="127"/>
      <c r="MWX308" s="127"/>
      <c r="MWY308" s="127"/>
      <c r="MWZ308" s="127"/>
      <c r="MXA308" s="127"/>
      <c r="MXB308" s="127"/>
      <c r="MXC308" s="127"/>
      <c r="MXD308" s="127"/>
      <c r="MXE308" s="127"/>
      <c r="MXF308" s="127"/>
      <c r="MXG308" s="127"/>
      <c r="MXH308" s="127"/>
      <c r="MXI308" s="127"/>
      <c r="MXJ308" s="127"/>
      <c r="MXK308" s="127"/>
      <c r="MXL308" s="127"/>
      <c r="MXM308" s="127"/>
      <c r="MXN308" s="127"/>
      <c r="MXO308" s="127"/>
      <c r="MXP308" s="127"/>
      <c r="MXQ308" s="127"/>
      <c r="MXR308" s="127"/>
      <c r="MXS308" s="127"/>
      <c r="MXT308" s="127"/>
      <c r="MXU308" s="127"/>
      <c r="MXV308" s="127"/>
      <c r="MXW308" s="127"/>
      <c r="MXX308" s="127"/>
      <c r="MXY308" s="127"/>
      <c r="MXZ308" s="127"/>
      <c r="MYA308" s="127"/>
      <c r="MYB308" s="127"/>
      <c r="MYC308" s="127"/>
      <c r="MYD308" s="127"/>
      <c r="MYE308" s="127"/>
      <c r="MYF308" s="127"/>
      <c r="MYG308" s="127"/>
      <c r="MYH308" s="127"/>
      <c r="MYI308" s="127"/>
      <c r="MYJ308" s="127"/>
      <c r="MYK308" s="127"/>
      <c r="MYL308" s="127"/>
      <c r="MYM308" s="127"/>
      <c r="MYN308" s="127"/>
      <c r="MYO308" s="127"/>
      <c r="MYP308" s="127"/>
      <c r="MYQ308" s="127"/>
      <c r="MYR308" s="127"/>
      <c r="MYS308" s="127"/>
      <c r="MYT308" s="127"/>
      <c r="MYU308" s="127"/>
      <c r="MYV308" s="127"/>
      <c r="MYW308" s="127"/>
      <c r="MYX308" s="127"/>
      <c r="MYY308" s="127"/>
      <c r="MYZ308" s="127"/>
      <c r="MZA308" s="127"/>
      <c r="MZB308" s="127"/>
      <c r="MZC308" s="127"/>
      <c r="MZD308" s="127"/>
      <c r="MZE308" s="127"/>
      <c r="MZF308" s="127"/>
      <c r="MZG308" s="127"/>
      <c r="MZH308" s="127"/>
      <c r="MZI308" s="127"/>
      <c r="MZJ308" s="127"/>
      <c r="MZK308" s="127"/>
      <c r="MZL308" s="127"/>
      <c r="MZM308" s="127"/>
      <c r="MZN308" s="127"/>
      <c r="MZO308" s="127"/>
      <c r="MZP308" s="127"/>
      <c r="MZQ308" s="127"/>
      <c r="MZR308" s="127"/>
      <c r="MZS308" s="127"/>
      <c r="MZT308" s="127"/>
      <c r="MZU308" s="127"/>
      <c r="MZV308" s="127"/>
      <c r="MZW308" s="127"/>
      <c r="MZX308" s="127"/>
      <c r="MZY308" s="127"/>
      <c r="MZZ308" s="127"/>
      <c r="NAA308" s="127"/>
      <c r="NAB308" s="127"/>
      <c r="NAC308" s="127"/>
      <c r="NAD308" s="127"/>
      <c r="NAE308" s="127"/>
      <c r="NAF308" s="127"/>
      <c r="NAG308" s="127"/>
      <c r="NAH308" s="127"/>
      <c r="NAI308" s="127"/>
      <c r="NAJ308" s="127"/>
      <c r="NAK308" s="127"/>
      <c r="NAL308" s="127"/>
      <c r="NAM308" s="127"/>
      <c r="NAN308" s="127"/>
      <c r="NAO308" s="127"/>
      <c r="NAP308" s="127"/>
      <c r="NAQ308" s="127"/>
      <c r="NAR308" s="127"/>
      <c r="NAS308" s="127"/>
      <c r="NAT308" s="127"/>
      <c r="NAU308" s="127"/>
      <c r="NAV308" s="127"/>
      <c r="NAW308" s="127"/>
      <c r="NAX308" s="127"/>
      <c r="NAY308" s="127"/>
      <c r="NAZ308" s="127"/>
      <c r="NBA308" s="127"/>
      <c r="NBB308" s="127"/>
      <c r="NBC308" s="127"/>
      <c r="NBD308" s="127"/>
      <c r="NBE308" s="127"/>
      <c r="NBF308" s="127"/>
      <c r="NBG308" s="127"/>
      <c r="NBH308" s="127"/>
      <c r="NBI308" s="127"/>
      <c r="NBJ308" s="127"/>
      <c r="NBK308" s="127"/>
      <c r="NBL308" s="127"/>
      <c r="NBM308" s="127"/>
      <c r="NBN308" s="127"/>
      <c r="NBO308" s="127"/>
      <c r="NBP308" s="127"/>
      <c r="NBQ308" s="127"/>
      <c r="NBR308" s="127"/>
      <c r="NBS308" s="127"/>
      <c r="NBT308" s="127"/>
      <c r="NBU308" s="127"/>
      <c r="NBV308" s="127"/>
      <c r="NBW308" s="127"/>
      <c r="NBX308" s="127"/>
      <c r="NBY308" s="127"/>
      <c r="NBZ308" s="127"/>
      <c r="NCA308" s="127"/>
      <c r="NCB308" s="127"/>
      <c r="NCC308" s="127"/>
      <c r="NCD308" s="127"/>
      <c r="NCE308" s="127"/>
      <c r="NCF308" s="127"/>
      <c r="NCG308" s="127"/>
      <c r="NCH308" s="127"/>
      <c r="NCI308" s="127"/>
      <c r="NCJ308" s="127"/>
      <c r="NCK308" s="127"/>
      <c r="NCL308" s="127"/>
      <c r="NCM308" s="127"/>
      <c r="NCN308" s="127"/>
      <c r="NCO308" s="127"/>
      <c r="NCP308" s="127"/>
      <c r="NCQ308" s="127"/>
      <c r="NCR308" s="127"/>
      <c r="NCS308" s="127"/>
      <c r="NCT308" s="127"/>
      <c r="NCU308" s="127"/>
      <c r="NCV308" s="127"/>
      <c r="NCW308" s="127"/>
      <c r="NCX308" s="127"/>
      <c r="NCY308" s="127"/>
      <c r="NCZ308" s="127"/>
      <c r="NDA308" s="127"/>
      <c r="NDB308" s="127"/>
      <c r="NDC308" s="127"/>
      <c r="NDD308" s="127"/>
      <c r="NDE308" s="127"/>
      <c r="NDF308" s="127"/>
      <c r="NDG308" s="127"/>
      <c r="NDH308" s="127"/>
      <c r="NDI308" s="127"/>
      <c r="NDJ308" s="127"/>
      <c r="NDK308" s="127"/>
      <c r="NDL308" s="127"/>
      <c r="NDM308" s="127"/>
      <c r="NDN308" s="127"/>
      <c r="NDO308" s="127"/>
      <c r="NDP308" s="127"/>
      <c r="NDQ308" s="127"/>
      <c r="NDR308" s="127"/>
      <c r="NDS308" s="127"/>
      <c r="NDT308" s="127"/>
      <c r="NDU308" s="127"/>
      <c r="NDV308" s="127"/>
      <c r="NDW308" s="127"/>
      <c r="NDX308" s="127"/>
      <c r="NDY308" s="127"/>
      <c r="NDZ308" s="127"/>
      <c r="NEA308" s="127"/>
      <c r="NEB308" s="127"/>
      <c r="NEC308" s="127"/>
      <c r="NED308" s="127"/>
      <c r="NEE308" s="127"/>
      <c r="NEF308" s="127"/>
      <c r="NEG308" s="127"/>
      <c r="NEH308" s="127"/>
      <c r="NEI308" s="127"/>
      <c r="NEJ308" s="127"/>
      <c r="NEK308" s="127"/>
      <c r="NEL308" s="127"/>
      <c r="NEM308" s="127"/>
      <c r="NEN308" s="127"/>
      <c r="NEO308" s="127"/>
      <c r="NEP308" s="127"/>
      <c r="NEQ308" s="127"/>
      <c r="NER308" s="127"/>
      <c r="NES308" s="127"/>
      <c r="NET308" s="127"/>
      <c r="NEU308" s="127"/>
      <c r="NEV308" s="127"/>
      <c r="NEW308" s="127"/>
      <c r="NEX308" s="127"/>
      <c r="NEY308" s="127"/>
      <c r="NEZ308" s="127"/>
      <c r="NFA308" s="127"/>
      <c r="NFB308" s="127"/>
      <c r="NFC308" s="127"/>
      <c r="NFD308" s="127"/>
      <c r="NFE308" s="127"/>
      <c r="NFF308" s="127"/>
      <c r="NFG308" s="127"/>
      <c r="NFH308" s="127"/>
      <c r="NFI308" s="127"/>
      <c r="NFJ308" s="127"/>
      <c r="NFK308" s="127"/>
      <c r="NFL308" s="127"/>
      <c r="NFM308" s="127"/>
      <c r="NFN308" s="127"/>
      <c r="NFO308" s="127"/>
      <c r="NFP308" s="127"/>
      <c r="NFQ308" s="127"/>
      <c r="NFR308" s="127"/>
      <c r="NFS308" s="127"/>
      <c r="NFT308" s="127"/>
      <c r="NFU308" s="127"/>
      <c r="NFV308" s="127"/>
      <c r="NFW308" s="127"/>
      <c r="NFX308" s="127"/>
      <c r="NFY308" s="127"/>
      <c r="NFZ308" s="127"/>
      <c r="NGA308" s="127"/>
      <c r="NGB308" s="127"/>
      <c r="NGC308" s="127"/>
      <c r="NGD308" s="127"/>
      <c r="NGE308" s="127"/>
      <c r="NGF308" s="127"/>
      <c r="NGG308" s="127"/>
      <c r="NGH308" s="127"/>
      <c r="NGI308" s="127"/>
      <c r="NGJ308" s="127"/>
      <c r="NGK308" s="127"/>
      <c r="NGL308" s="127"/>
      <c r="NGM308" s="127"/>
      <c r="NGN308" s="127"/>
      <c r="NGO308" s="127"/>
      <c r="NGP308" s="127"/>
      <c r="NGQ308" s="127"/>
      <c r="NGR308" s="127"/>
      <c r="NGS308" s="127"/>
      <c r="NGT308" s="127"/>
      <c r="NGU308" s="127"/>
      <c r="NGV308" s="127"/>
      <c r="NGW308" s="127"/>
      <c r="NGX308" s="127"/>
      <c r="NGY308" s="127"/>
      <c r="NGZ308" s="127"/>
      <c r="NHA308" s="127"/>
      <c r="NHB308" s="127"/>
      <c r="NHC308" s="127"/>
      <c r="NHD308" s="127"/>
      <c r="NHE308" s="127"/>
      <c r="NHF308" s="127"/>
      <c r="NHG308" s="127"/>
      <c r="NHH308" s="127"/>
      <c r="NHI308" s="127"/>
      <c r="NHJ308" s="127"/>
      <c r="NHK308" s="127"/>
      <c r="NHL308" s="127"/>
      <c r="NHM308" s="127"/>
      <c r="NHN308" s="127"/>
      <c r="NHO308" s="127"/>
      <c r="NHP308" s="127"/>
      <c r="NHQ308" s="127"/>
      <c r="NHR308" s="127"/>
      <c r="NHS308" s="127"/>
      <c r="NHT308" s="127"/>
      <c r="NHU308" s="127"/>
      <c r="NHV308" s="127"/>
      <c r="NHW308" s="127"/>
      <c r="NHX308" s="127"/>
      <c r="NHY308" s="127"/>
      <c r="NHZ308" s="127"/>
      <c r="NIA308" s="127"/>
      <c r="NIB308" s="127"/>
      <c r="NIC308" s="127"/>
      <c r="NID308" s="127"/>
      <c r="NIE308" s="127"/>
      <c r="NIF308" s="127"/>
      <c r="NIG308" s="127"/>
      <c r="NIH308" s="127"/>
      <c r="NII308" s="127"/>
      <c r="NIJ308" s="127"/>
      <c r="NIK308" s="127"/>
      <c r="NIL308" s="127"/>
      <c r="NIM308" s="127"/>
      <c r="NIN308" s="127"/>
      <c r="NIO308" s="127"/>
      <c r="NIP308" s="127"/>
      <c r="NIQ308" s="127"/>
      <c r="NIR308" s="127"/>
      <c r="NIS308" s="127"/>
      <c r="NIT308" s="127"/>
      <c r="NIU308" s="127"/>
      <c r="NIV308" s="127"/>
      <c r="NIW308" s="127"/>
      <c r="NIX308" s="127"/>
      <c r="NIY308" s="127"/>
      <c r="NIZ308" s="127"/>
      <c r="NJA308" s="127"/>
      <c r="NJB308" s="127"/>
      <c r="NJC308" s="127"/>
      <c r="NJD308" s="127"/>
      <c r="NJE308" s="127"/>
      <c r="NJF308" s="127"/>
      <c r="NJG308" s="127"/>
      <c r="NJH308" s="127"/>
      <c r="NJI308" s="127"/>
      <c r="NJJ308" s="127"/>
      <c r="NJK308" s="127"/>
      <c r="NJL308" s="127"/>
      <c r="NJM308" s="127"/>
      <c r="NJN308" s="127"/>
      <c r="NJO308" s="127"/>
      <c r="NJP308" s="127"/>
      <c r="NJQ308" s="127"/>
      <c r="NJR308" s="127"/>
      <c r="NJS308" s="127"/>
      <c r="NJT308" s="127"/>
      <c r="NJU308" s="127"/>
      <c r="NJV308" s="127"/>
      <c r="NJW308" s="127"/>
      <c r="NJX308" s="127"/>
      <c r="NJY308" s="127"/>
      <c r="NJZ308" s="127"/>
      <c r="NKA308" s="127"/>
      <c r="NKB308" s="127"/>
      <c r="NKC308" s="127"/>
      <c r="NKD308" s="127"/>
      <c r="NKE308" s="127"/>
      <c r="NKF308" s="127"/>
      <c r="NKG308" s="127"/>
      <c r="NKH308" s="127"/>
      <c r="NKI308" s="127"/>
      <c r="NKJ308" s="127"/>
      <c r="NKK308" s="127"/>
      <c r="NKL308" s="127"/>
      <c r="NKM308" s="127"/>
      <c r="NKN308" s="127"/>
      <c r="NKO308" s="127"/>
      <c r="NKP308" s="127"/>
      <c r="NKQ308" s="127"/>
      <c r="NKR308" s="127"/>
      <c r="NKS308" s="127"/>
      <c r="NKT308" s="127"/>
      <c r="NKU308" s="127"/>
      <c r="NKV308" s="127"/>
      <c r="NKW308" s="127"/>
      <c r="NKX308" s="127"/>
      <c r="NKY308" s="127"/>
      <c r="NKZ308" s="127"/>
      <c r="NLA308" s="127"/>
      <c r="NLB308" s="127"/>
      <c r="NLC308" s="127"/>
      <c r="NLD308" s="127"/>
      <c r="NLE308" s="127"/>
      <c r="NLF308" s="127"/>
      <c r="NLG308" s="127"/>
      <c r="NLH308" s="127"/>
      <c r="NLI308" s="127"/>
      <c r="NLJ308" s="127"/>
      <c r="NLK308" s="127"/>
      <c r="NLL308" s="127"/>
      <c r="NLM308" s="127"/>
      <c r="NLN308" s="127"/>
      <c r="NLO308" s="127"/>
      <c r="NLP308" s="127"/>
      <c r="NLQ308" s="127"/>
      <c r="NLR308" s="127"/>
      <c r="NLS308" s="127"/>
      <c r="NLT308" s="127"/>
      <c r="NLU308" s="127"/>
      <c r="NLV308" s="127"/>
      <c r="NLW308" s="127"/>
      <c r="NLX308" s="127"/>
      <c r="NLY308" s="127"/>
      <c r="NLZ308" s="127"/>
      <c r="NMA308" s="127"/>
      <c r="NMB308" s="127"/>
      <c r="NMC308" s="127"/>
      <c r="NMD308" s="127"/>
      <c r="NME308" s="127"/>
      <c r="NMF308" s="127"/>
      <c r="NMG308" s="127"/>
      <c r="NMH308" s="127"/>
      <c r="NMI308" s="127"/>
      <c r="NMJ308" s="127"/>
      <c r="NMK308" s="127"/>
      <c r="NML308" s="127"/>
      <c r="NMM308" s="127"/>
      <c r="NMN308" s="127"/>
      <c r="NMO308" s="127"/>
      <c r="NMP308" s="127"/>
      <c r="NMQ308" s="127"/>
      <c r="NMR308" s="127"/>
      <c r="NMS308" s="127"/>
      <c r="NMT308" s="127"/>
      <c r="NMU308" s="127"/>
      <c r="NMV308" s="127"/>
      <c r="NMW308" s="127"/>
      <c r="NMX308" s="127"/>
      <c r="NMY308" s="127"/>
      <c r="NMZ308" s="127"/>
      <c r="NNA308" s="127"/>
      <c r="NNB308" s="127"/>
      <c r="NNC308" s="127"/>
      <c r="NND308" s="127"/>
      <c r="NNE308" s="127"/>
      <c r="NNF308" s="127"/>
      <c r="NNG308" s="127"/>
      <c r="NNH308" s="127"/>
      <c r="NNI308" s="127"/>
      <c r="NNJ308" s="127"/>
      <c r="NNK308" s="127"/>
      <c r="NNL308" s="127"/>
      <c r="NNM308" s="127"/>
      <c r="NNN308" s="127"/>
      <c r="NNO308" s="127"/>
      <c r="NNP308" s="127"/>
      <c r="NNQ308" s="127"/>
      <c r="NNR308" s="127"/>
      <c r="NNS308" s="127"/>
      <c r="NNT308" s="127"/>
      <c r="NNU308" s="127"/>
      <c r="NNV308" s="127"/>
      <c r="NNW308" s="127"/>
      <c r="NNX308" s="127"/>
      <c r="NNY308" s="127"/>
      <c r="NNZ308" s="127"/>
      <c r="NOA308" s="127"/>
      <c r="NOB308" s="127"/>
      <c r="NOC308" s="127"/>
      <c r="NOD308" s="127"/>
      <c r="NOE308" s="127"/>
      <c r="NOF308" s="127"/>
      <c r="NOG308" s="127"/>
      <c r="NOH308" s="127"/>
      <c r="NOI308" s="127"/>
      <c r="NOJ308" s="127"/>
      <c r="NOK308" s="127"/>
      <c r="NOL308" s="127"/>
      <c r="NOM308" s="127"/>
      <c r="NON308" s="127"/>
      <c r="NOO308" s="127"/>
      <c r="NOP308" s="127"/>
      <c r="NOQ308" s="127"/>
      <c r="NOR308" s="127"/>
      <c r="NOS308" s="127"/>
      <c r="NOT308" s="127"/>
      <c r="NOU308" s="127"/>
      <c r="NOV308" s="127"/>
      <c r="NOW308" s="127"/>
      <c r="NOX308" s="127"/>
      <c r="NOY308" s="127"/>
      <c r="NOZ308" s="127"/>
      <c r="NPA308" s="127"/>
      <c r="NPB308" s="127"/>
      <c r="NPC308" s="127"/>
      <c r="NPD308" s="127"/>
      <c r="NPE308" s="127"/>
      <c r="NPF308" s="127"/>
      <c r="NPG308" s="127"/>
      <c r="NPH308" s="127"/>
      <c r="NPI308" s="127"/>
      <c r="NPJ308" s="127"/>
      <c r="NPK308" s="127"/>
      <c r="NPL308" s="127"/>
      <c r="NPM308" s="127"/>
      <c r="NPN308" s="127"/>
      <c r="NPO308" s="127"/>
      <c r="NPP308" s="127"/>
      <c r="NPQ308" s="127"/>
      <c r="NPR308" s="127"/>
      <c r="NPS308" s="127"/>
      <c r="NPT308" s="127"/>
      <c r="NPU308" s="127"/>
      <c r="NPV308" s="127"/>
      <c r="NPW308" s="127"/>
      <c r="NPX308" s="127"/>
      <c r="NPY308" s="127"/>
      <c r="NPZ308" s="127"/>
      <c r="NQA308" s="127"/>
      <c r="NQB308" s="127"/>
      <c r="NQC308" s="127"/>
      <c r="NQD308" s="127"/>
      <c r="NQE308" s="127"/>
      <c r="NQF308" s="127"/>
      <c r="NQG308" s="127"/>
      <c r="NQH308" s="127"/>
      <c r="NQI308" s="127"/>
      <c r="NQJ308" s="127"/>
      <c r="NQK308" s="127"/>
      <c r="NQL308" s="127"/>
      <c r="NQM308" s="127"/>
      <c r="NQN308" s="127"/>
      <c r="NQO308" s="127"/>
      <c r="NQP308" s="127"/>
      <c r="NQQ308" s="127"/>
      <c r="NQR308" s="127"/>
      <c r="NQS308" s="127"/>
      <c r="NQT308" s="127"/>
      <c r="NQU308" s="127"/>
      <c r="NQV308" s="127"/>
      <c r="NQW308" s="127"/>
      <c r="NQX308" s="127"/>
      <c r="NQY308" s="127"/>
      <c r="NQZ308" s="127"/>
      <c r="NRA308" s="127"/>
      <c r="NRB308" s="127"/>
      <c r="NRC308" s="127"/>
      <c r="NRD308" s="127"/>
      <c r="NRE308" s="127"/>
      <c r="NRF308" s="127"/>
      <c r="NRG308" s="127"/>
      <c r="NRH308" s="127"/>
      <c r="NRI308" s="127"/>
      <c r="NRJ308" s="127"/>
      <c r="NRK308" s="127"/>
      <c r="NRL308" s="127"/>
      <c r="NRM308" s="127"/>
      <c r="NRN308" s="127"/>
      <c r="NRO308" s="127"/>
      <c r="NRP308" s="127"/>
      <c r="NRQ308" s="127"/>
      <c r="NRR308" s="127"/>
      <c r="NRS308" s="127"/>
      <c r="NRT308" s="127"/>
      <c r="NRU308" s="127"/>
      <c r="NRV308" s="127"/>
      <c r="NRW308" s="127"/>
      <c r="NRX308" s="127"/>
      <c r="NRY308" s="127"/>
      <c r="NRZ308" s="127"/>
      <c r="NSA308" s="127"/>
      <c r="NSB308" s="127"/>
      <c r="NSC308" s="127"/>
      <c r="NSD308" s="127"/>
      <c r="NSE308" s="127"/>
      <c r="NSF308" s="127"/>
      <c r="NSG308" s="127"/>
      <c r="NSH308" s="127"/>
      <c r="NSI308" s="127"/>
      <c r="NSJ308" s="127"/>
      <c r="NSK308" s="127"/>
      <c r="NSL308" s="127"/>
      <c r="NSM308" s="127"/>
      <c r="NSN308" s="127"/>
      <c r="NSO308" s="127"/>
      <c r="NSP308" s="127"/>
      <c r="NSQ308" s="127"/>
      <c r="NSR308" s="127"/>
      <c r="NSS308" s="127"/>
      <c r="NST308" s="127"/>
      <c r="NSU308" s="127"/>
      <c r="NSV308" s="127"/>
      <c r="NSW308" s="127"/>
      <c r="NSX308" s="127"/>
      <c r="NSY308" s="127"/>
      <c r="NSZ308" s="127"/>
      <c r="NTA308" s="127"/>
      <c r="NTB308" s="127"/>
      <c r="NTC308" s="127"/>
      <c r="NTD308" s="127"/>
      <c r="NTE308" s="127"/>
      <c r="NTF308" s="127"/>
      <c r="NTG308" s="127"/>
      <c r="NTH308" s="127"/>
      <c r="NTI308" s="127"/>
      <c r="NTJ308" s="127"/>
      <c r="NTK308" s="127"/>
      <c r="NTL308" s="127"/>
      <c r="NTM308" s="127"/>
      <c r="NTN308" s="127"/>
      <c r="NTO308" s="127"/>
      <c r="NTP308" s="127"/>
      <c r="NTQ308" s="127"/>
      <c r="NTR308" s="127"/>
      <c r="NTS308" s="127"/>
      <c r="NTT308" s="127"/>
      <c r="NTU308" s="127"/>
      <c r="NTV308" s="127"/>
      <c r="NTW308" s="127"/>
      <c r="NTX308" s="127"/>
      <c r="NTY308" s="127"/>
      <c r="NTZ308" s="127"/>
      <c r="NUA308" s="127"/>
      <c r="NUB308" s="127"/>
      <c r="NUC308" s="127"/>
      <c r="NUD308" s="127"/>
      <c r="NUE308" s="127"/>
      <c r="NUF308" s="127"/>
      <c r="NUG308" s="127"/>
      <c r="NUH308" s="127"/>
      <c r="NUI308" s="127"/>
      <c r="NUJ308" s="127"/>
      <c r="NUK308" s="127"/>
      <c r="NUL308" s="127"/>
      <c r="NUM308" s="127"/>
      <c r="NUN308" s="127"/>
      <c r="NUO308" s="127"/>
      <c r="NUP308" s="127"/>
      <c r="NUQ308" s="127"/>
      <c r="NUR308" s="127"/>
      <c r="NUS308" s="127"/>
      <c r="NUT308" s="127"/>
      <c r="NUU308" s="127"/>
      <c r="NUV308" s="127"/>
      <c r="NUW308" s="127"/>
      <c r="NUX308" s="127"/>
      <c r="NUY308" s="127"/>
      <c r="NUZ308" s="127"/>
      <c r="NVA308" s="127"/>
      <c r="NVB308" s="127"/>
      <c r="NVC308" s="127"/>
      <c r="NVD308" s="127"/>
      <c r="NVE308" s="127"/>
      <c r="NVF308" s="127"/>
      <c r="NVG308" s="127"/>
      <c r="NVH308" s="127"/>
      <c r="NVI308" s="127"/>
      <c r="NVJ308" s="127"/>
      <c r="NVK308" s="127"/>
      <c r="NVL308" s="127"/>
      <c r="NVM308" s="127"/>
      <c r="NVN308" s="127"/>
      <c r="NVO308" s="127"/>
      <c r="NVP308" s="127"/>
      <c r="NVQ308" s="127"/>
      <c r="NVR308" s="127"/>
      <c r="NVS308" s="127"/>
      <c r="NVT308" s="127"/>
      <c r="NVU308" s="127"/>
      <c r="NVV308" s="127"/>
      <c r="NVW308" s="127"/>
      <c r="NVX308" s="127"/>
      <c r="NVY308" s="127"/>
      <c r="NVZ308" s="127"/>
      <c r="NWA308" s="127"/>
      <c r="NWB308" s="127"/>
      <c r="NWC308" s="127"/>
      <c r="NWD308" s="127"/>
      <c r="NWE308" s="127"/>
      <c r="NWF308" s="127"/>
      <c r="NWG308" s="127"/>
      <c r="NWH308" s="127"/>
      <c r="NWI308" s="127"/>
      <c r="NWJ308" s="127"/>
      <c r="NWK308" s="127"/>
      <c r="NWL308" s="127"/>
      <c r="NWM308" s="127"/>
      <c r="NWN308" s="127"/>
      <c r="NWO308" s="127"/>
      <c r="NWP308" s="127"/>
      <c r="NWQ308" s="127"/>
      <c r="NWR308" s="127"/>
      <c r="NWS308" s="127"/>
      <c r="NWT308" s="127"/>
      <c r="NWU308" s="127"/>
      <c r="NWV308" s="127"/>
      <c r="NWW308" s="127"/>
      <c r="NWX308" s="127"/>
      <c r="NWY308" s="127"/>
      <c r="NWZ308" s="127"/>
      <c r="NXA308" s="127"/>
      <c r="NXB308" s="127"/>
      <c r="NXC308" s="127"/>
      <c r="NXD308" s="127"/>
      <c r="NXE308" s="127"/>
      <c r="NXF308" s="127"/>
      <c r="NXG308" s="127"/>
      <c r="NXH308" s="127"/>
      <c r="NXI308" s="127"/>
      <c r="NXJ308" s="127"/>
      <c r="NXK308" s="127"/>
      <c r="NXL308" s="127"/>
      <c r="NXM308" s="127"/>
      <c r="NXN308" s="127"/>
      <c r="NXO308" s="127"/>
      <c r="NXP308" s="127"/>
      <c r="NXQ308" s="127"/>
      <c r="NXR308" s="127"/>
      <c r="NXS308" s="127"/>
      <c r="NXT308" s="127"/>
      <c r="NXU308" s="127"/>
      <c r="NXV308" s="127"/>
      <c r="NXW308" s="127"/>
      <c r="NXX308" s="127"/>
      <c r="NXY308" s="127"/>
      <c r="NXZ308" s="127"/>
      <c r="NYA308" s="127"/>
      <c r="NYB308" s="127"/>
      <c r="NYC308" s="127"/>
      <c r="NYD308" s="127"/>
      <c r="NYE308" s="127"/>
      <c r="NYF308" s="127"/>
      <c r="NYG308" s="127"/>
      <c r="NYH308" s="127"/>
      <c r="NYI308" s="127"/>
      <c r="NYJ308" s="127"/>
      <c r="NYK308" s="127"/>
      <c r="NYL308" s="127"/>
      <c r="NYM308" s="127"/>
      <c r="NYN308" s="127"/>
      <c r="NYO308" s="127"/>
      <c r="NYP308" s="127"/>
      <c r="NYQ308" s="127"/>
      <c r="NYR308" s="127"/>
      <c r="NYS308" s="127"/>
      <c r="NYT308" s="127"/>
      <c r="NYU308" s="127"/>
      <c r="NYV308" s="127"/>
      <c r="NYW308" s="127"/>
      <c r="NYX308" s="127"/>
      <c r="NYY308" s="127"/>
      <c r="NYZ308" s="127"/>
      <c r="NZA308" s="127"/>
      <c r="NZB308" s="127"/>
      <c r="NZC308" s="127"/>
      <c r="NZD308" s="127"/>
      <c r="NZE308" s="127"/>
      <c r="NZF308" s="127"/>
      <c r="NZG308" s="127"/>
      <c r="NZH308" s="127"/>
      <c r="NZI308" s="127"/>
      <c r="NZJ308" s="127"/>
      <c r="NZK308" s="127"/>
      <c r="NZL308" s="127"/>
      <c r="NZM308" s="127"/>
      <c r="NZN308" s="127"/>
      <c r="NZO308" s="127"/>
      <c r="NZP308" s="127"/>
      <c r="NZQ308" s="127"/>
      <c r="NZR308" s="127"/>
      <c r="NZS308" s="127"/>
      <c r="NZT308" s="127"/>
      <c r="NZU308" s="127"/>
      <c r="NZV308" s="127"/>
      <c r="NZW308" s="127"/>
      <c r="NZX308" s="127"/>
      <c r="NZY308" s="127"/>
      <c r="NZZ308" s="127"/>
      <c r="OAA308" s="127"/>
      <c r="OAB308" s="127"/>
      <c r="OAC308" s="127"/>
      <c r="OAD308" s="127"/>
      <c r="OAE308" s="127"/>
      <c r="OAF308" s="127"/>
      <c r="OAG308" s="127"/>
      <c r="OAH308" s="127"/>
      <c r="OAI308" s="127"/>
      <c r="OAJ308" s="127"/>
      <c r="OAK308" s="127"/>
      <c r="OAL308" s="127"/>
      <c r="OAM308" s="127"/>
      <c r="OAN308" s="127"/>
      <c r="OAO308" s="127"/>
      <c r="OAP308" s="127"/>
      <c r="OAQ308" s="127"/>
      <c r="OAR308" s="127"/>
      <c r="OAS308" s="127"/>
      <c r="OAT308" s="127"/>
      <c r="OAU308" s="127"/>
      <c r="OAV308" s="127"/>
      <c r="OAW308" s="127"/>
      <c r="OAX308" s="127"/>
      <c r="OAY308" s="127"/>
      <c r="OAZ308" s="127"/>
      <c r="OBA308" s="127"/>
      <c r="OBB308" s="127"/>
      <c r="OBC308" s="127"/>
      <c r="OBD308" s="127"/>
      <c r="OBE308" s="127"/>
      <c r="OBF308" s="127"/>
      <c r="OBG308" s="127"/>
      <c r="OBH308" s="127"/>
      <c r="OBI308" s="127"/>
      <c r="OBJ308" s="127"/>
      <c r="OBK308" s="127"/>
      <c r="OBL308" s="127"/>
      <c r="OBM308" s="127"/>
      <c r="OBN308" s="127"/>
      <c r="OBO308" s="127"/>
      <c r="OBP308" s="127"/>
      <c r="OBQ308" s="127"/>
      <c r="OBR308" s="127"/>
      <c r="OBS308" s="127"/>
      <c r="OBT308" s="127"/>
      <c r="OBU308" s="127"/>
      <c r="OBV308" s="127"/>
      <c r="OBW308" s="127"/>
      <c r="OBX308" s="127"/>
      <c r="OBY308" s="127"/>
      <c r="OBZ308" s="127"/>
      <c r="OCA308" s="127"/>
      <c r="OCB308" s="127"/>
      <c r="OCC308" s="127"/>
      <c r="OCD308" s="127"/>
      <c r="OCE308" s="127"/>
      <c r="OCF308" s="127"/>
      <c r="OCG308" s="127"/>
      <c r="OCH308" s="127"/>
      <c r="OCI308" s="127"/>
      <c r="OCJ308" s="127"/>
      <c r="OCK308" s="127"/>
      <c r="OCL308" s="127"/>
      <c r="OCM308" s="127"/>
      <c r="OCN308" s="127"/>
      <c r="OCO308" s="127"/>
      <c r="OCP308" s="127"/>
      <c r="OCQ308" s="127"/>
      <c r="OCR308" s="127"/>
      <c r="OCS308" s="127"/>
      <c r="OCT308" s="127"/>
      <c r="OCU308" s="127"/>
      <c r="OCV308" s="127"/>
      <c r="OCW308" s="127"/>
      <c r="OCX308" s="127"/>
      <c r="OCY308" s="127"/>
      <c r="OCZ308" s="127"/>
      <c r="ODA308" s="127"/>
      <c r="ODB308" s="127"/>
      <c r="ODC308" s="127"/>
      <c r="ODD308" s="127"/>
      <c r="ODE308" s="127"/>
      <c r="ODF308" s="127"/>
      <c r="ODG308" s="127"/>
      <c r="ODH308" s="127"/>
      <c r="ODI308" s="127"/>
      <c r="ODJ308" s="127"/>
      <c r="ODK308" s="127"/>
      <c r="ODL308" s="127"/>
      <c r="ODM308" s="127"/>
      <c r="ODN308" s="127"/>
      <c r="ODO308" s="127"/>
      <c r="ODP308" s="127"/>
      <c r="ODQ308" s="127"/>
      <c r="ODR308" s="127"/>
      <c r="ODS308" s="127"/>
      <c r="ODT308" s="127"/>
      <c r="ODU308" s="127"/>
      <c r="ODV308" s="127"/>
      <c r="ODW308" s="127"/>
      <c r="ODX308" s="127"/>
      <c r="ODY308" s="127"/>
      <c r="ODZ308" s="127"/>
      <c r="OEA308" s="127"/>
      <c r="OEB308" s="127"/>
      <c r="OEC308" s="127"/>
      <c r="OED308" s="127"/>
      <c r="OEE308" s="127"/>
      <c r="OEF308" s="127"/>
      <c r="OEG308" s="127"/>
      <c r="OEH308" s="127"/>
      <c r="OEI308" s="127"/>
      <c r="OEJ308" s="127"/>
      <c r="OEK308" s="127"/>
      <c r="OEL308" s="127"/>
      <c r="OEM308" s="127"/>
      <c r="OEN308" s="127"/>
      <c r="OEO308" s="127"/>
      <c r="OEP308" s="127"/>
      <c r="OEQ308" s="127"/>
      <c r="OER308" s="127"/>
      <c r="OES308" s="127"/>
      <c r="OET308" s="127"/>
      <c r="OEU308" s="127"/>
      <c r="OEV308" s="127"/>
      <c r="OEW308" s="127"/>
      <c r="OEX308" s="127"/>
      <c r="OEY308" s="127"/>
      <c r="OEZ308" s="127"/>
      <c r="OFA308" s="127"/>
      <c r="OFB308" s="127"/>
      <c r="OFC308" s="127"/>
      <c r="OFD308" s="127"/>
      <c r="OFE308" s="127"/>
      <c r="OFF308" s="127"/>
      <c r="OFG308" s="127"/>
      <c r="OFH308" s="127"/>
      <c r="OFI308" s="127"/>
      <c r="OFJ308" s="127"/>
      <c r="OFK308" s="127"/>
      <c r="OFL308" s="127"/>
      <c r="OFM308" s="127"/>
      <c r="OFN308" s="127"/>
      <c r="OFO308" s="127"/>
      <c r="OFP308" s="127"/>
      <c r="OFQ308" s="127"/>
      <c r="OFR308" s="127"/>
      <c r="OFS308" s="127"/>
      <c r="OFT308" s="127"/>
      <c r="OFU308" s="127"/>
      <c r="OFV308" s="127"/>
      <c r="OFW308" s="127"/>
      <c r="OFX308" s="127"/>
      <c r="OFY308" s="127"/>
      <c r="OFZ308" s="127"/>
      <c r="OGA308" s="127"/>
      <c r="OGB308" s="127"/>
      <c r="OGC308" s="127"/>
      <c r="OGD308" s="127"/>
      <c r="OGE308" s="127"/>
      <c r="OGF308" s="127"/>
      <c r="OGG308" s="127"/>
      <c r="OGH308" s="127"/>
      <c r="OGI308" s="127"/>
      <c r="OGJ308" s="127"/>
      <c r="OGK308" s="127"/>
      <c r="OGL308" s="127"/>
      <c r="OGM308" s="127"/>
      <c r="OGN308" s="127"/>
      <c r="OGO308" s="127"/>
      <c r="OGP308" s="127"/>
      <c r="OGQ308" s="127"/>
      <c r="OGR308" s="127"/>
      <c r="OGS308" s="127"/>
      <c r="OGT308" s="127"/>
      <c r="OGU308" s="127"/>
      <c r="OGV308" s="127"/>
      <c r="OGW308" s="127"/>
      <c r="OGX308" s="127"/>
      <c r="OGY308" s="127"/>
      <c r="OGZ308" s="127"/>
      <c r="OHA308" s="127"/>
      <c r="OHB308" s="127"/>
      <c r="OHC308" s="127"/>
      <c r="OHD308" s="127"/>
      <c r="OHE308" s="127"/>
      <c r="OHF308" s="127"/>
      <c r="OHG308" s="127"/>
      <c r="OHH308" s="127"/>
      <c r="OHI308" s="127"/>
      <c r="OHJ308" s="127"/>
      <c r="OHK308" s="127"/>
      <c r="OHL308" s="127"/>
      <c r="OHM308" s="127"/>
      <c r="OHN308" s="127"/>
      <c r="OHO308" s="127"/>
      <c r="OHP308" s="127"/>
      <c r="OHQ308" s="127"/>
      <c r="OHR308" s="127"/>
      <c r="OHS308" s="127"/>
      <c r="OHT308" s="127"/>
      <c r="OHU308" s="127"/>
      <c r="OHV308" s="127"/>
      <c r="OHW308" s="127"/>
      <c r="OHX308" s="127"/>
      <c r="OHY308" s="127"/>
      <c r="OHZ308" s="127"/>
      <c r="OIA308" s="127"/>
      <c r="OIB308" s="127"/>
      <c r="OIC308" s="127"/>
      <c r="OID308" s="127"/>
      <c r="OIE308" s="127"/>
      <c r="OIF308" s="127"/>
      <c r="OIG308" s="127"/>
      <c r="OIH308" s="127"/>
      <c r="OII308" s="127"/>
      <c r="OIJ308" s="127"/>
      <c r="OIK308" s="127"/>
      <c r="OIL308" s="127"/>
      <c r="OIM308" s="127"/>
      <c r="OIN308" s="127"/>
      <c r="OIO308" s="127"/>
      <c r="OIP308" s="127"/>
      <c r="OIQ308" s="127"/>
      <c r="OIR308" s="127"/>
      <c r="OIS308" s="127"/>
      <c r="OIT308" s="127"/>
      <c r="OIU308" s="127"/>
      <c r="OIV308" s="127"/>
      <c r="OIW308" s="127"/>
      <c r="OIX308" s="127"/>
      <c r="OIY308" s="127"/>
      <c r="OIZ308" s="127"/>
      <c r="OJA308" s="127"/>
      <c r="OJB308" s="127"/>
      <c r="OJC308" s="127"/>
      <c r="OJD308" s="127"/>
      <c r="OJE308" s="127"/>
      <c r="OJF308" s="127"/>
      <c r="OJG308" s="127"/>
      <c r="OJH308" s="127"/>
      <c r="OJI308" s="127"/>
      <c r="OJJ308" s="127"/>
      <c r="OJK308" s="127"/>
      <c r="OJL308" s="127"/>
      <c r="OJM308" s="127"/>
      <c r="OJN308" s="127"/>
      <c r="OJO308" s="127"/>
      <c r="OJP308" s="127"/>
      <c r="OJQ308" s="127"/>
      <c r="OJR308" s="127"/>
      <c r="OJS308" s="127"/>
      <c r="OJT308" s="127"/>
      <c r="OJU308" s="127"/>
      <c r="OJV308" s="127"/>
      <c r="OJW308" s="127"/>
      <c r="OJX308" s="127"/>
      <c r="OJY308" s="127"/>
      <c r="OJZ308" s="127"/>
      <c r="OKA308" s="127"/>
      <c r="OKB308" s="127"/>
      <c r="OKC308" s="127"/>
      <c r="OKD308" s="127"/>
      <c r="OKE308" s="127"/>
      <c r="OKF308" s="127"/>
      <c r="OKG308" s="127"/>
      <c r="OKH308" s="127"/>
      <c r="OKI308" s="127"/>
      <c r="OKJ308" s="127"/>
      <c r="OKK308" s="127"/>
      <c r="OKL308" s="127"/>
      <c r="OKM308" s="127"/>
      <c r="OKN308" s="127"/>
      <c r="OKO308" s="127"/>
      <c r="OKP308" s="127"/>
      <c r="OKQ308" s="127"/>
      <c r="OKR308" s="127"/>
      <c r="OKS308" s="127"/>
      <c r="OKT308" s="127"/>
      <c r="OKU308" s="127"/>
      <c r="OKV308" s="127"/>
      <c r="OKW308" s="127"/>
      <c r="OKX308" s="127"/>
      <c r="OKY308" s="127"/>
      <c r="OKZ308" s="127"/>
      <c r="OLA308" s="127"/>
      <c r="OLB308" s="127"/>
      <c r="OLC308" s="127"/>
      <c r="OLD308" s="127"/>
      <c r="OLE308" s="127"/>
      <c r="OLF308" s="127"/>
      <c r="OLG308" s="127"/>
      <c r="OLH308" s="127"/>
      <c r="OLI308" s="127"/>
      <c r="OLJ308" s="127"/>
      <c r="OLK308" s="127"/>
      <c r="OLL308" s="127"/>
      <c r="OLM308" s="127"/>
      <c r="OLN308" s="127"/>
      <c r="OLO308" s="127"/>
      <c r="OLP308" s="127"/>
      <c r="OLQ308" s="127"/>
      <c r="OLR308" s="127"/>
      <c r="OLS308" s="127"/>
      <c r="OLT308" s="127"/>
      <c r="OLU308" s="127"/>
      <c r="OLV308" s="127"/>
      <c r="OLW308" s="127"/>
      <c r="OLX308" s="127"/>
      <c r="OLY308" s="127"/>
      <c r="OLZ308" s="127"/>
      <c r="OMA308" s="127"/>
      <c r="OMB308" s="127"/>
      <c r="OMC308" s="127"/>
      <c r="OMD308" s="127"/>
      <c r="OME308" s="127"/>
      <c r="OMF308" s="127"/>
      <c r="OMG308" s="127"/>
      <c r="OMH308" s="127"/>
      <c r="OMI308" s="127"/>
      <c r="OMJ308" s="127"/>
      <c r="OMK308" s="127"/>
      <c r="OML308" s="127"/>
      <c r="OMM308" s="127"/>
      <c r="OMN308" s="127"/>
      <c r="OMO308" s="127"/>
      <c r="OMP308" s="127"/>
      <c r="OMQ308" s="127"/>
      <c r="OMR308" s="127"/>
      <c r="OMS308" s="127"/>
      <c r="OMT308" s="127"/>
      <c r="OMU308" s="127"/>
      <c r="OMV308" s="127"/>
      <c r="OMW308" s="127"/>
      <c r="OMX308" s="127"/>
      <c r="OMY308" s="127"/>
      <c r="OMZ308" s="127"/>
      <c r="ONA308" s="127"/>
      <c r="ONB308" s="127"/>
      <c r="ONC308" s="127"/>
      <c r="OND308" s="127"/>
      <c r="ONE308" s="127"/>
      <c r="ONF308" s="127"/>
      <c r="ONG308" s="127"/>
      <c r="ONH308" s="127"/>
      <c r="ONI308" s="127"/>
      <c r="ONJ308" s="127"/>
      <c r="ONK308" s="127"/>
      <c r="ONL308" s="127"/>
      <c r="ONM308" s="127"/>
      <c r="ONN308" s="127"/>
      <c r="ONO308" s="127"/>
      <c r="ONP308" s="127"/>
      <c r="ONQ308" s="127"/>
      <c r="ONR308" s="127"/>
      <c r="ONS308" s="127"/>
      <c r="ONT308" s="127"/>
      <c r="ONU308" s="127"/>
      <c r="ONV308" s="127"/>
      <c r="ONW308" s="127"/>
      <c r="ONX308" s="127"/>
      <c r="ONY308" s="127"/>
      <c r="ONZ308" s="127"/>
      <c r="OOA308" s="127"/>
      <c r="OOB308" s="127"/>
      <c r="OOC308" s="127"/>
      <c r="OOD308" s="127"/>
      <c r="OOE308" s="127"/>
      <c r="OOF308" s="127"/>
      <c r="OOG308" s="127"/>
      <c r="OOH308" s="127"/>
      <c r="OOI308" s="127"/>
      <c r="OOJ308" s="127"/>
      <c r="OOK308" s="127"/>
      <c r="OOL308" s="127"/>
      <c r="OOM308" s="127"/>
      <c r="OON308" s="127"/>
      <c r="OOO308" s="127"/>
      <c r="OOP308" s="127"/>
      <c r="OOQ308" s="127"/>
      <c r="OOR308" s="127"/>
      <c r="OOS308" s="127"/>
      <c r="OOT308" s="127"/>
      <c r="OOU308" s="127"/>
      <c r="OOV308" s="127"/>
      <c r="OOW308" s="127"/>
      <c r="OOX308" s="127"/>
      <c r="OOY308" s="127"/>
      <c r="OOZ308" s="127"/>
      <c r="OPA308" s="127"/>
      <c r="OPB308" s="127"/>
      <c r="OPC308" s="127"/>
      <c r="OPD308" s="127"/>
      <c r="OPE308" s="127"/>
      <c r="OPF308" s="127"/>
      <c r="OPG308" s="127"/>
      <c r="OPH308" s="127"/>
      <c r="OPI308" s="127"/>
      <c r="OPJ308" s="127"/>
      <c r="OPK308" s="127"/>
      <c r="OPL308" s="127"/>
      <c r="OPM308" s="127"/>
      <c r="OPN308" s="127"/>
      <c r="OPO308" s="127"/>
      <c r="OPP308" s="127"/>
      <c r="OPQ308" s="127"/>
      <c r="OPR308" s="127"/>
      <c r="OPS308" s="127"/>
      <c r="OPT308" s="127"/>
      <c r="OPU308" s="127"/>
      <c r="OPV308" s="127"/>
      <c r="OPW308" s="127"/>
      <c r="OPX308" s="127"/>
      <c r="OPY308" s="127"/>
      <c r="OPZ308" s="127"/>
      <c r="OQA308" s="127"/>
      <c r="OQB308" s="127"/>
      <c r="OQC308" s="127"/>
      <c r="OQD308" s="127"/>
      <c r="OQE308" s="127"/>
      <c r="OQF308" s="127"/>
      <c r="OQG308" s="127"/>
      <c r="OQH308" s="127"/>
      <c r="OQI308" s="127"/>
      <c r="OQJ308" s="127"/>
      <c r="OQK308" s="127"/>
      <c r="OQL308" s="127"/>
      <c r="OQM308" s="127"/>
      <c r="OQN308" s="127"/>
      <c r="OQO308" s="127"/>
      <c r="OQP308" s="127"/>
      <c r="OQQ308" s="127"/>
      <c r="OQR308" s="127"/>
      <c r="OQS308" s="127"/>
      <c r="OQT308" s="127"/>
      <c r="OQU308" s="127"/>
      <c r="OQV308" s="127"/>
      <c r="OQW308" s="127"/>
      <c r="OQX308" s="127"/>
      <c r="OQY308" s="127"/>
      <c r="OQZ308" s="127"/>
      <c r="ORA308" s="127"/>
      <c r="ORB308" s="127"/>
      <c r="ORC308" s="127"/>
      <c r="ORD308" s="127"/>
      <c r="ORE308" s="127"/>
      <c r="ORF308" s="127"/>
      <c r="ORG308" s="127"/>
      <c r="ORH308" s="127"/>
      <c r="ORI308" s="127"/>
      <c r="ORJ308" s="127"/>
      <c r="ORK308" s="127"/>
      <c r="ORL308" s="127"/>
      <c r="ORM308" s="127"/>
      <c r="ORN308" s="127"/>
      <c r="ORO308" s="127"/>
      <c r="ORP308" s="127"/>
      <c r="ORQ308" s="127"/>
      <c r="ORR308" s="127"/>
      <c r="ORS308" s="127"/>
      <c r="ORT308" s="127"/>
      <c r="ORU308" s="127"/>
      <c r="ORV308" s="127"/>
      <c r="ORW308" s="127"/>
      <c r="ORX308" s="127"/>
      <c r="ORY308" s="127"/>
      <c r="ORZ308" s="127"/>
      <c r="OSA308" s="127"/>
      <c r="OSB308" s="127"/>
      <c r="OSC308" s="127"/>
      <c r="OSD308" s="127"/>
      <c r="OSE308" s="127"/>
      <c r="OSF308" s="127"/>
      <c r="OSG308" s="127"/>
      <c r="OSH308" s="127"/>
      <c r="OSI308" s="127"/>
      <c r="OSJ308" s="127"/>
      <c r="OSK308" s="127"/>
      <c r="OSL308" s="127"/>
      <c r="OSM308" s="127"/>
      <c r="OSN308" s="127"/>
      <c r="OSO308" s="127"/>
      <c r="OSP308" s="127"/>
      <c r="OSQ308" s="127"/>
      <c r="OSR308" s="127"/>
      <c r="OSS308" s="127"/>
      <c r="OST308" s="127"/>
      <c r="OSU308" s="127"/>
      <c r="OSV308" s="127"/>
      <c r="OSW308" s="127"/>
      <c r="OSX308" s="127"/>
      <c r="OSY308" s="127"/>
      <c r="OSZ308" s="127"/>
      <c r="OTA308" s="127"/>
      <c r="OTB308" s="127"/>
      <c r="OTC308" s="127"/>
      <c r="OTD308" s="127"/>
      <c r="OTE308" s="127"/>
      <c r="OTF308" s="127"/>
      <c r="OTG308" s="127"/>
      <c r="OTH308" s="127"/>
      <c r="OTI308" s="127"/>
      <c r="OTJ308" s="127"/>
      <c r="OTK308" s="127"/>
      <c r="OTL308" s="127"/>
      <c r="OTM308" s="127"/>
      <c r="OTN308" s="127"/>
      <c r="OTO308" s="127"/>
      <c r="OTP308" s="127"/>
      <c r="OTQ308" s="127"/>
      <c r="OTR308" s="127"/>
      <c r="OTS308" s="127"/>
      <c r="OTT308" s="127"/>
      <c r="OTU308" s="127"/>
      <c r="OTV308" s="127"/>
      <c r="OTW308" s="127"/>
      <c r="OTX308" s="127"/>
      <c r="OTY308" s="127"/>
      <c r="OTZ308" s="127"/>
      <c r="OUA308" s="127"/>
      <c r="OUB308" s="127"/>
      <c r="OUC308" s="127"/>
      <c r="OUD308" s="127"/>
      <c r="OUE308" s="127"/>
      <c r="OUF308" s="127"/>
      <c r="OUG308" s="127"/>
      <c r="OUH308" s="127"/>
      <c r="OUI308" s="127"/>
      <c r="OUJ308" s="127"/>
      <c r="OUK308" s="127"/>
      <c r="OUL308" s="127"/>
      <c r="OUM308" s="127"/>
      <c r="OUN308" s="127"/>
      <c r="OUO308" s="127"/>
      <c r="OUP308" s="127"/>
      <c r="OUQ308" s="127"/>
      <c r="OUR308" s="127"/>
      <c r="OUS308" s="127"/>
      <c r="OUT308" s="127"/>
      <c r="OUU308" s="127"/>
      <c r="OUV308" s="127"/>
      <c r="OUW308" s="127"/>
      <c r="OUX308" s="127"/>
      <c r="OUY308" s="127"/>
      <c r="OUZ308" s="127"/>
      <c r="OVA308" s="127"/>
      <c r="OVB308" s="127"/>
      <c r="OVC308" s="127"/>
      <c r="OVD308" s="127"/>
      <c r="OVE308" s="127"/>
      <c r="OVF308" s="127"/>
      <c r="OVG308" s="127"/>
      <c r="OVH308" s="127"/>
      <c r="OVI308" s="127"/>
      <c r="OVJ308" s="127"/>
      <c r="OVK308" s="127"/>
      <c r="OVL308" s="127"/>
      <c r="OVM308" s="127"/>
      <c r="OVN308" s="127"/>
      <c r="OVO308" s="127"/>
      <c r="OVP308" s="127"/>
      <c r="OVQ308" s="127"/>
      <c r="OVR308" s="127"/>
      <c r="OVS308" s="127"/>
      <c r="OVT308" s="127"/>
      <c r="OVU308" s="127"/>
      <c r="OVV308" s="127"/>
      <c r="OVW308" s="127"/>
      <c r="OVX308" s="127"/>
      <c r="OVY308" s="127"/>
      <c r="OVZ308" s="127"/>
      <c r="OWA308" s="127"/>
      <c r="OWB308" s="127"/>
      <c r="OWC308" s="127"/>
      <c r="OWD308" s="127"/>
      <c r="OWE308" s="127"/>
      <c r="OWF308" s="127"/>
      <c r="OWG308" s="127"/>
      <c r="OWH308" s="127"/>
      <c r="OWI308" s="127"/>
      <c r="OWJ308" s="127"/>
      <c r="OWK308" s="127"/>
      <c r="OWL308" s="127"/>
      <c r="OWM308" s="127"/>
      <c r="OWN308" s="127"/>
      <c r="OWO308" s="127"/>
      <c r="OWP308" s="127"/>
      <c r="OWQ308" s="127"/>
      <c r="OWR308" s="127"/>
      <c r="OWS308" s="127"/>
      <c r="OWT308" s="127"/>
      <c r="OWU308" s="127"/>
      <c r="OWV308" s="127"/>
      <c r="OWW308" s="127"/>
      <c r="OWX308" s="127"/>
      <c r="OWY308" s="127"/>
      <c r="OWZ308" s="127"/>
      <c r="OXA308" s="127"/>
      <c r="OXB308" s="127"/>
      <c r="OXC308" s="127"/>
      <c r="OXD308" s="127"/>
      <c r="OXE308" s="127"/>
      <c r="OXF308" s="127"/>
      <c r="OXG308" s="127"/>
      <c r="OXH308" s="127"/>
      <c r="OXI308" s="127"/>
      <c r="OXJ308" s="127"/>
      <c r="OXK308" s="127"/>
      <c r="OXL308" s="127"/>
      <c r="OXM308" s="127"/>
      <c r="OXN308" s="127"/>
      <c r="OXO308" s="127"/>
      <c r="OXP308" s="127"/>
      <c r="OXQ308" s="127"/>
      <c r="OXR308" s="127"/>
      <c r="OXS308" s="127"/>
      <c r="OXT308" s="127"/>
      <c r="OXU308" s="127"/>
      <c r="OXV308" s="127"/>
      <c r="OXW308" s="127"/>
      <c r="OXX308" s="127"/>
      <c r="OXY308" s="127"/>
      <c r="OXZ308" s="127"/>
      <c r="OYA308" s="127"/>
      <c r="OYB308" s="127"/>
      <c r="OYC308" s="127"/>
      <c r="OYD308" s="127"/>
      <c r="OYE308" s="127"/>
      <c r="OYF308" s="127"/>
      <c r="OYG308" s="127"/>
      <c r="OYH308" s="127"/>
      <c r="OYI308" s="127"/>
      <c r="OYJ308" s="127"/>
      <c r="OYK308" s="127"/>
      <c r="OYL308" s="127"/>
      <c r="OYM308" s="127"/>
      <c r="OYN308" s="127"/>
      <c r="OYO308" s="127"/>
      <c r="OYP308" s="127"/>
      <c r="OYQ308" s="127"/>
      <c r="OYR308" s="127"/>
      <c r="OYS308" s="127"/>
      <c r="OYT308" s="127"/>
      <c r="OYU308" s="127"/>
      <c r="OYV308" s="127"/>
      <c r="OYW308" s="127"/>
      <c r="OYX308" s="127"/>
      <c r="OYY308" s="127"/>
      <c r="OYZ308" s="127"/>
      <c r="OZA308" s="127"/>
      <c r="OZB308" s="127"/>
      <c r="OZC308" s="127"/>
      <c r="OZD308" s="127"/>
      <c r="OZE308" s="127"/>
      <c r="OZF308" s="127"/>
      <c r="OZG308" s="127"/>
      <c r="OZH308" s="127"/>
      <c r="OZI308" s="127"/>
      <c r="OZJ308" s="127"/>
      <c r="OZK308" s="127"/>
      <c r="OZL308" s="127"/>
      <c r="OZM308" s="127"/>
      <c r="OZN308" s="127"/>
      <c r="OZO308" s="127"/>
      <c r="OZP308" s="127"/>
      <c r="OZQ308" s="127"/>
      <c r="OZR308" s="127"/>
      <c r="OZS308" s="127"/>
      <c r="OZT308" s="127"/>
      <c r="OZU308" s="127"/>
      <c r="OZV308" s="127"/>
      <c r="OZW308" s="127"/>
      <c r="OZX308" s="127"/>
      <c r="OZY308" s="127"/>
      <c r="OZZ308" s="127"/>
      <c r="PAA308" s="127"/>
      <c r="PAB308" s="127"/>
      <c r="PAC308" s="127"/>
      <c r="PAD308" s="127"/>
      <c r="PAE308" s="127"/>
      <c r="PAF308" s="127"/>
      <c r="PAG308" s="127"/>
      <c r="PAH308" s="127"/>
      <c r="PAI308" s="127"/>
      <c r="PAJ308" s="127"/>
      <c r="PAK308" s="127"/>
      <c r="PAL308" s="127"/>
      <c r="PAM308" s="127"/>
      <c r="PAN308" s="127"/>
      <c r="PAO308" s="127"/>
      <c r="PAP308" s="127"/>
      <c r="PAQ308" s="127"/>
      <c r="PAR308" s="127"/>
      <c r="PAS308" s="127"/>
      <c r="PAT308" s="127"/>
      <c r="PAU308" s="127"/>
      <c r="PAV308" s="127"/>
      <c r="PAW308" s="127"/>
      <c r="PAX308" s="127"/>
      <c r="PAY308" s="127"/>
      <c r="PAZ308" s="127"/>
      <c r="PBA308" s="127"/>
      <c r="PBB308" s="127"/>
      <c r="PBC308" s="127"/>
      <c r="PBD308" s="127"/>
      <c r="PBE308" s="127"/>
      <c r="PBF308" s="127"/>
      <c r="PBG308" s="127"/>
      <c r="PBH308" s="127"/>
      <c r="PBI308" s="127"/>
      <c r="PBJ308" s="127"/>
      <c r="PBK308" s="127"/>
      <c r="PBL308" s="127"/>
      <c r="PBM308" s="127"/>
      <c r="PBN308" s="127"/>
      <c r="PBO308" s="127"/>
      <c r="PBP308" s="127"/>
      <c r="PBQ308" s="127"/>
      <c r="PBR308" s="127"/>
      <c r="PBS308" s="127"/>
      <c r="PBT308" s="127"/>
      <c r="PBU308" s="127"/>
      <c r="PBV308" s="127"/>
      <c r="PBW308" s="127"/>
      <c r="PBX308" s="127"/>
      <c r="PBY308" s="127"/>
      <c r="PBZ308" s="127"/>
      <c r="PCA308" s="127"/>
      <c r="PCB308" s="127"/>
      <c r="PCC308" s="127"/>
      <c r="PCD308" s="127"/>
      <c r="PCE308" s="127"/>
      <c r="PCF308" s="127"/>
      <c r="PCG308" s="127"/>
      <c r="PCH308" s="127"/>
      <c r="PCI308" s="127"/>
      <c r="PCJ308" s="127"/>
      <c r="PCK308" s="127"/>
      <c r="PCL308" s="127"/>
      <c r="PCM308" s="127"/>
      <c r="PCN308" s="127"/>
      <c r="PCO308" s="127"/>
      <c r="PCP308" s="127"/>
      <c r="PCQ308" s="127"/>
      <c r="PCR308" s="127"/>
      <c r="PCS308" s="127"/>
      <c r="PCT308" s="127"/>
      <c r="PCU308" s="127"/>
      <c r="PCV308" s="127"/>
      <c r="PCW308" s="127"/>
      <c r="PCX308" s="127"/>
      <c r="PCY308" s="127"/>
      <c r="PCZ308" s="127"/>
      <c r="PDA308" s="127"/>
      <c r="PDB308" s="127"/>
      <c r="PDC308" s="127"/>
      <c r="PDD308" s="127"/>
      <c r="PDE308" s="127"/>
      <c r="PDF308" s="127"/>
      <c r="PDG308" s="127"/>
      <c r="PDH308" s="127"/>
      <c r="PDI308" s="127"/>
      <c r="PDJ308" s="127"/>
      <c r="PDK308" s="127"/>
      <c r="PDL308" s="127"/>
      <c r="PDM308" s="127"/>
      <c r="PDN308" s="127"/>
      <c r="PDO308" s="127"/>
      <c r="PDP308" s="127"/>
      <c r="PDQ308" s="127"/>
      <c r="PDR308" s="127"/>
      <c r="PDS308" s="127"/>
      <c r="PDT308" s="127"/>
      <c r="PDU308" s="127"/>
      <c r="PDV308" s="127"/>
      <c r="PDW308" s="127"/>
      <c r="PDX308" s="127"/>
      <c r="PDY308" s="127"/>
      <c r="PDZ308" s="127"/>
      <c r="PEA308" s="127"/>
      <c r="PEB308" s="127"/>
      <c r="PEC308" s="127"/>
      <c r="PED308" s="127"/>
      <c r="PEE308" s="127"/>
      <c r="PEF308" s="127"/>
      <c r="PEG308" s="127"/>
      <c r="PEH308" s="127"/>
      <c r="PEI308" s="127"/>
      <c r="PEJ308" s="127"/>
      <c r="PEK308" s="127"/>
      <c r="PEL308" s="127"/>
      <c r="PEM308" s="127"/>
      <c r="PEN308" s="127"/>
      <c r="PEO308" s="127"/>
      <c r="PEP308" s="127"/>
      <c r="PEQ308" s="127"/>
      <c r="PER308" s="127"/>
      <c r="PES308" s="127"/>
      <c r="PET308" s="127"/>
      <c r="PEU308" s="127"/>
      <c r="PEV308" s="127"/>
      <c r="PEW308" s="127"/>
      <c r="PEX308" s="127"/>
      <c r="PEY308" s="127"/>
      <c r="PEZ308" s="127"/>
      <c r="PFA308" s="127"/>
      <c r="PFB308" s="127"/>
      <c r="PFC308" s="127"/>
      <c r="PFD308" s="127"/>
      <c r="PFE308" s="127"/>
      <c r="PFF308" s="127"/>
      <c r="PFG308" s="127"/>
      <c r="PFH308" s="127"/>
      <c r="PFI308" s="127"/>
      <c r="PFJ308" s="127"/>
      <c r="PFK308" s="127"/>
      <c r="PFL308" s="127"/>
      <c r="PFM308" s="127"/>
      <c r="PFN308" s="127"/>
      <c r="PFO308" s="127"/>
      <c r="PFP308" s="127"/>
      <c r="PFQ308" s="127"/>
      <c r="PFR308" s="127"/>
      <c r="PFS308" s="127"/>
      <c r="PFT308" s="127"/>
      <c r="PFU308" s="127"/>
      <c r="PFV308" s="127"/>
      <c r="PFW308" s="127"/>
      <c r="PFX308" s="127"/>
      <c r="PFY308" s="127"/>
      <c r="PFZ308" s="127"/>
      <c r="PGA308" s="127"/>
      <c r="PGB308" s="127"/>
      <c r="PGC308" s="127"/>
      <c r="PGD308" s="127"/>
      <c r="PGE308" s="127"/>
      <c r="PGF308" s="127"/>
      <c r="PGG308" s="127"/>
      <c r="PGH308" s="127"/>
      <c r="PGI308" s="127"/>
      <c r="PGJ308" s="127"/>
      <c r="PGK308" s="127"/>
      <c r="PGL308" s="127"/>
      <c r="PGM308" s="127"/>
      <c r="PGN308" s="127"/>
      <c r="PGO308" s="127"/>
      <c r="PGP308" s="127"/>
      <c r="PGQ308" s="127"/>
      <c r="PGR308" s="127"/>
      <c r="PGS308" s="127"/>
      <c r="PGT308" s="127"/>
      <c r="PGU308" s="127"/>
      <c r="PGV308" s="127"/>
      <c r="PGW308" s="127"/>
      <c r="PGX308" s="127"/>
      <c r="PGY308" s="127"/>
      <c r="PGZ308" s="127"/>
      <c r="PHA308" s="127"/>
      <c r="PHB308" s="127"/>
      <c r="PHC308" s="127"/>
      <c r="PHD308" s="127"/>
      <c r="PHE308" s="127"/>
      <c r="PHF308" s="127"/>
      <c r="PHG308" s="127"/>
      <c r="PHH308" s="127"/>
      <c r="PHI308" s="127"/>
      <c r="PHJ308" s="127"/>
      <c r="PHK308" s="127"/>
      <c r="PHL308" s="127"/>
      <c r="PHM308" s="127"/>
      <c r="PHN308" s="127"/>
      <c r="PHO308" s="127"/>
      <c r="PHP308" s="127"/>
      <c r="PHQ308" s="127"/>
      <c r="PHR308" s="127"/>
      <c r="PHS308" s="127"/>
      <c r="PHT308" s="127"/>
      <c r="PHU308" s="127"/>
      <c r="PHV308" s="127"/>
      <c r="PHW308" s="127"/>
      <c r="PHX308" s="127"/>
      <c r="PHY308" s="127"/>
      <c r="PHZ308" s="127"/>
      <c r="PIA308" s="127"/>
      <c r="PIB308" s="127"/>
      <c r="PIC308" s="127"/>
      <c r="PID308" s="127"/>
      <c r="PIE308" s="127"/>
      <c r="PIF308" s="127"/>
      <c r="PIG308" s="127"/>
      <c r="PIH308" s="127"/>
      <c r="PII308" s="127"/>
      <c r="PIJ308" s="127"/>
      <c r="PIK308" s="127"/>
      <c r="PIL308" s="127"/>
      <c r="PIM308" s="127"/>
      <c r="PIN308" s="127"/>
      <c r="PIO308" s="127"/>
      <c r="PIP308" s="127"/>
      <c r="PIQ308" s="127"/>
      <c r="PIR308" s="127"/>
      <c r="PIS308" s="127"/>
      <c r="PIT308" s="127"/>
      <c r="PIU308" s="127"/>
      <c r="PIV308" s="127"/>
      <c r="PIW308" s="127"/>
      <c r="PIX308" s="127"/>
      <c r="PIY308" s="127"/>
      <c r="PIZ308" s="127"/>
      <c r="PJA308" s="127"/>
      <c r="PJB308" s="127"/>
      <c r="PJC308" s="127"/>
      <c r="PJD308" s="127"/>
      <c r="PJE308" s="127"/>
      <c r="PJF308" s="127"/>
      <c r="PJG308" s="127"/>
      <c r="PJH308" s="127"/>
      <c r="PJI308" s="127"/>
      <c r="PJJ308" s="127"/>
      <c r="PJK308" s="127"/>
      <c r="PJL308" s="127"/>
      <c r="PJM308" s="127"/>
      <c r="PJN308" s="127"/>
      <c r="PJO308" s="127"/>
      <c r="PJP308" s="127"/>
      <c r="PJQ308" s="127"/>
      <c r="PJR308" s="127"/>
      <c r="PJS308" s="127"/>
      <c r="PJT308" s="127"/>
      <c r="PJU308" s="127"/>
      <c r="PJV308" s="127"/>
      <c r="PJW308" s="127"/>
      <c r="PJX308" s="127"/>
      <c r="PJY308" s="127"/>
      <c r="PJZ308" s="127"/>
      <c r="PKA308" s="127"/>
      <c r="PKB308" s="127"/>
      <c r="PKC308" s="127"/>
      <c r="PKD308" s="127"/>
      <c r="PKE308" s="127"/>
      <c r="PKF308" s="127"/>
      <c r="PKG308" s="127"/>
      <c r="PKH308" s="127"/>
      <c r="PKI308" s="127"/>
      <c r="PKJ308" s="127"/>
      <c r="PKK308" s="127"/>
      <c r="PKL308" s="127"/>
      <c r="PKM308" s="127"/>
      <c r="PKN308" s="127"/>
      <c r="PKO308" s="127"/>
      <c r="PKP308" s="127"/>
      <c r="PKQ308" s="127"/>
      <c r="PKR308" s="127"/>
      <c r="PKS308" s="127"/>
      <c r="PKT308" s="127"/>
      <c r="PKU308" s="127"/>
      <c r="PKV308" s="127"/>
      <c r="PKW308" s="127"/>
      <c r="PKX308" s="127"/>
      <c r="PKY308" s="127"/>
      <c r="PKZ308" s="127"/>
      <c r="PLA308" s="127"/>
      <c r="PLB308" s="127"/>
      <c r="PLC308" s="127"/>
      <c r="PLD308" s="127"/>
      <c r="PLE308" s="127"/>
      <c r="PLF308" s="127"/>
      <c r="PLG308" s="127"/>
      <c r="PLH308" s="127"/>
      <c r="PLI308" s="127"/>
      <c r="PLJ308" s="127"/>
      <c r="PLK308" s="127"/>
      <c r="PLL308" s="127"/>
      <c r="PLM308" s="127"/>
      <c r="PLN308" s="127"/>
      <c r="PLO308" s="127"/>
      <c r="PLP308" s="127"/>
      <c r="PLQ308" s="127"/>
      <c r="PLR308" s="127"/>
      <c r="PLS308" s="127"/>
      <c r="PLT308" s="127"/>
      <c r="PLU308" s="127"/>
      <c r="PLV308" s="127"/>
      <c r="PLW308" s="127"/>
      <c r="PLX308" s="127"/>
      <c r="PLY308" s="127"/>
      <c r="PLZ308" s="127"/>
      <c r="PMA308" s="127"/>
      <c r="PMB308" s="127"/>
      <c r="PMC308" s="127"/>
      <c r="PMD308" s="127"/>
      <c r="PME308" s="127"/>
      <c r="PMF308" s="127"/>
      <c r="PMG308" s="127"/>
      <c r="PMH308" s="127"/>
      <c r="PMI308" s="127"/>
      <c r="PMJ308" s="127"/>
      <c r="PMK308" s="127"/>
      <c r="PML308" s="127"/>
      <c r="PMM308" s="127"/>
      <c r="PMN308" s="127"/>
      <c r="PMO308" s="127"/>
      <c r="PMP308" s="127"/>
      <c r="PMQ308" s="127"/>
      <c r="PMR308" s="127"/>
      <c r="PMS308" s="127"/>
      <c r="PMT308" s="127"/>
      <c r="PMU308" s="127"/>
      <c r="PMV308" s="127"/>
      <c r="PMW308" s="127"/>
      <c r="PMX308" s="127"/>
      <c r="PMY308" s="127"/>
      <c r="PMZ308" s="127"/>
      <c r="PNA308" s="127"/>
      <c r="PNB308" s="127"/>
      <c r="PNC308" s="127"/>
      <c r="PND308" s="127"/>
      <c r="PNE308" s="127"/>
      <c r="PNF308" s="127"/>
      <c r="PNG308" s="127"/>
      <c r="PNH308" s="127"/>
      <c r="PNI308" s="127"/>
      <c r="PNJ308" s="127"/>
      <c r="PNK308" s="127"/>
      <c r="PNL308" s="127"/>
      <c r="PNM308" s="127"/>
      <c r="PNN308" s="127"/>
      <c r="PNO308" s="127"/>
      <c r="PNP308" s="127"/>
      <c r="PNQ308" s="127"/>
      <c r="PNR308" s="127"/>
      <c r="PNS308" s="127"/>
      <c r="PNT308" s="127"/>
      <c r="PNU308" s="127"/>
      <c r="PNV308" s="127"/>
      <c r="PNW308" s="127"/>
      <c r="PNX308" s="127"/>
      <c r="PNY308" s="127"/>
      <c r="PNZ308" s="127"/>
      <c r="POA308" s="127"/>
      <c r="POB308" s="127"/>
      <c r="POC308" s="127"/>
      <c r="POD308" s="127"/>
      <c r="POE308" s="127"/>
      <c r="POF308" s="127"/>
      <c r="POG308" s="127"/>
      <c r="POH308" s="127"/>
      <c r="POI308" s="127"/>
      <c r="POJ308" s="127"/>
      <c r="POK308" s="127"/>
      <c r="POL308" s="127"/>
      <c r="POM308" s="127"/>
      <c r="PON308" s="127"/>
      <c r="POO308" s="127"/>
      <c r="POP308" s="127"/>
      <c r="POQ308" s="127"/>
      <c r="POR308" s="127"/>
      <c r="POS308" s="127"/>
      <c r="POT308" s="127"/>
      <c r="POU308" s="127"/>
      <c r="POV308" s="127"/>
      <c r="POW308" s="127"/>
      <c r="POX308" s="127"/>
      <c r="POY308" s="127"/>
      <c r="POZ308" s="127"/>
      <c r="PPA308" s="127"/>
      <c r="PPB308" s="127"/>
      <c r="PPC308" s="127"/>
      <c r="PPD308" s="127"/>
      <c r="PPE308" s="127"/>
      <c r="PPF308" s="127"/>
      <c r="PPG308" s="127"/>
      <c r="PPH308" s="127"/>
      <c r="PPI308" s="127"/>
      <c r="PPJ308" s="127"/>
      <c r="PPK308" s="127"/>
      <c r="PPL308" s="127"/>
      <c r="PPM308" s="127"/>
      <c r="PPN308" s="127"/>
      <c r="PPO308" s="127"/>
      <c r="PPP308" s="127"/>
      <c r="PPQ308" s="127"/>
      <c r="PPR308" s="127"/>
      <c r="PPS308" s="127"/>
      <c r="PPT308" s="127"/>
      <c r="PPU308" s="127"/>
      <c r="PPV308" s="127"/>
      <c r="PPW308" s="127"/>
      <c r="PPX308" s="127"/>
      <c r="PPY308" s="127"/>
      <c r="PPZ308" s="127"/>
      <c r="PQA308" s="127"/>
      <c r="PQB308" s="127"/>
      <c r="PQC308" s="127"/>
      <c r="PQD308" s="127"/>
      <c r="PQE308" s="127"/>
      <c r="PQF308" s="127"/>
      <c r="PQG308" s="127"/>
      <c r="PQH308" s="127"/>
      <c r="PQI308" s="127"/>
      <c r="PQJ308" s="127"/>
      <c r="PQK308" s="127"/>
      <c r="PQL308" s="127"/>
      <c r="PQM308" s="127"/>
      <c r="PQN308" s="127"/>
      <c r="PQO308" s="127"/>
      <c r="PQP308" s="127"/>
      <c r="PQQ308" s="127"/>
      <c r="PQR308" s="127"/>
      <c r="PQS308" s="127"/>
      <c r="PQT308" s="127"/>
      <c r="PQU308" s="127"/>
      <c r="PQV308" s="127"/>
      <c r="PQW308" s="127"/>
      <c r="PQX308" s="127"/>
      <c r="PQY308" s="127"/>
      <c r="PQZ308" s="127"/>
      <c r="PRA308" s="127"/>
      <c r="PRB308" s="127"/>
      <c r="PRC308" s="127"/>
      <c r="PRD308" s="127"/>
      <c r="PRE308" s="127"/>
      <c r="PRF308" s="127"/>
      <c r="PRG308" s="127"/>
      <c r="PRH308" s="127"/>
      <c r="PRI308" s="127"/>
      <c r="PRJ308" s="127"/>
      <c r="PRK308" s="127"/>
      <c r="PRL308" s="127"/>
      <c r="PRM308" s="127"/>
      <c r="PRN308" s="127"/>
      <c r="PRO308" s="127"/>
      <c r="PRP308" s="127"/>
      <c r="PRQ308" s="127"/>
      <c r="PRR308" s="127"/>
      <c r="PRS308" s="127"/>
      <c r="PRT308" s="127"/>
      <c r="PRU308" s="127"/>
      <c r="PRV308" s="127"/>
      <c r="PRW308" s="127"/>
      <c r="PRX308" s="127"/>
      <c r="PRY308" s="127"/>
      <c r="PRZ308" s="127"/>
      <c r="PSA308" s="127"/>
      <c r="PSB308" s="127"/>
      <c r="PSC308" s="127"/>
      <c r="PSD308" s="127"/>
      <c r="PSE308" s="127"/>
      <c r="PSF308" s="127"/>
      <c r="PSG308" s="127"/>
      <c r="PSH308" s="127"/>
      <c r="PSI308" s="127"/>
      <c r="PSJ308" s="127"/>
      <c r="PSK308" s="127"/>
      <c r="PSL308" s="127"/>
      <c r="PSM308" s="127"/>
      <c r="PSN308" s="127"/>
      <c r="PSO308" s="127"/>
      <c r="PSP308" s="127"/>
      <c r="PSQ308" s="127"/>
      <c r="PSR308" s="127"/>
      <c r="PSS308" s="127"/>
      <c r="PST308" s="127"/>
      <c r="PSU308" s="127"/>
      <c r="PSV308" s="127"/>
      <c r="PSW308" s="127"/>
      <c r="PSX308" s="127"/>
      <c r="PSY308" s="127"/>
      <c r="PSZ308" s="127"/>
      <c r="PTA308" s="127"/>
      <c r="PTB308" s="127"/>
      <c r="PTC308" s="127"/>
      <c r="PTD308" s="127"/>
      <c r="PTE308" s="127"/>
      <c r="PTF308" s="127"/>
      <c r="PTG308" s="127"/>
      <c r="PTH308" s="127"/>
      <c r="PTI308" s="127"/>
      <c r="PTJ308" s="127"/>
      <c r="PTK308" s="127"/>
      <c r="PTL308" s="127"/>
      <c r="PTM308" s="127"/>
      <c r="PTN308" s="127"/>
      <c r="PTO308" s="127"/>
      <c r="PTP308" s="127"/>
      <c r="PTQ308" s="127"/>
      <c r="PTR308" s="127"/>
      <c r="PTS308" s="127"/>
      <c r="PTT308" s="127"/>
      <c r="PTU308" s="127"/>
      <c r="PTV308" s="127"/>
      <c r="PTW308" s="127"/>
      <c r="PTX308" s="127"/>
      <c r="PTY308" s="127"/>
      <c r="PTZ308" s="127"/>
      <c r="PUA308" s="127"/>
      <c r="PUB308" s="127"/>
      <c r="PUC308" s="127"/>
      <c r="PUD308" s="127"/>
      <c r="PUE308" s="127"/>
      <c r="PUF308" s="127"/>
      <c r="PUG308" s="127"/>
      <c r="PUH308" s="127"/>
      <c r="PUI308" s="127"/>
      <c r="PUJ308" s="127"/>
      <c r="PUK308" s="127"/>
      <c r="PUL308" s="127"/>
      <c r="PUM308" s="127"/>
      <c r="PUN308" s="127"/>
      <c r="PUO308" s="127"/>
      <c r="PUP308" s="127"/>
      <c r="PUQ308" s="127"/>
      <c r="PUR308" s="127"/>
      <c r="PUS308" s="127"/>
      <c r="PUT308" s="127"/>
      <c r="PUU308" s="127"/>
      <c r="PUV308" s="127"/>
      <c r="PUW308" s="127"/>
      <c r="PUX308" s="127"/>
      <c r="PUY308" s="127"/>
      <c r="PUZ308" s="127"/>
      <c r="PVA308" s="127"/>
      <c r="PVB308" s="127"/>
      <c r="PVC308" s="127"/>
      <c r="PVD308" s="127"/>
      <c r="PVE308" s="127"/>
      <c r="PVF308" s="127"/>
      <c r="PVG308" s="127"/>
      <c r="PVH308" s="127"/>
      <c r="PVI308" s="127"/>
      <c r="PVJ308" s="127"/>
      <c r="PVK308" s="127"/>
      <c r="PVL308" s="127"/>
      <c r="PVM308" s="127"/>
      <c r="PVN308" s="127"/>
      <c r="PVO308" s="127"/>
      <c r="PVP308" s="127"/>
      <c r="PVQ308" s="127"/>
      <c r="PVR308" s="127"/>
      <c r="PVS308" s="127"/>
      <c r="PVT308" s="127"/>
      <c r="PVU308" s="127"/>
      <c r="PVV308" s="127"/>
      <c r="PVW308" s="127"/>
      <c r="PVX308" s="127"/>
      <c r="PVY308" s="127"/>
      <c r="PVZ308" s="127"/>
      <c r="PWA308" s="127"/>
      <c r="PWB308" s="127"/>
      <c r="PWC308" s="127"/>
      <c r="PWD308" s="127"/>
      <c r="PWE308" s="127"/>
      <c r="PWF308" s="127"/>
      <c r="PWG308" s="127"/>
      <c r="PWH308" s="127"/>
      <c r="PWI308" s="127"/>
      <c r="PWJ308" s="127"/>
      <c r="PWK308" s="127"/>
      <c r="PWL308" s="127"/>
      <c r="PWM308" s="127"/>
      <c r="PWN308" s="127"/>
      <c r="PWO308" s="127"/>
      <c r="PWP308" s="127"/>
      <c r="PWQ308" s="127"/>
      <c r="PWR308" s="127"/>
      <c r="PWS308" s="127"/>
      <c r="PWT308" s="127"/>
      <c r="PWU308" s="127"/>
      <c r="PWV308" s="127"/>
      <c r="PWW308" s="127"/>
      <c r="PWX308" s="127"/>
      <c r="PWY308" s="127"/>
      <c r="PWZ308" s="127"/>
      <c r="PXA308" s="127"/>
      <c r="PXB308" s="127"/>
      <c r="PXC308" s="127"/>
      <c r="PXD308" s="127"/>
      <c r="PXE308" s="127"/>
      <c r="PXF308" s="127"/>
      <c r="PXG308" s="127"/>
      <c r="PXH308" s="127"/>
      <c r="PXI308" s="127"/>
      <c r="PXJ308" s="127"/>
      <c r="PXK308" s="127"/>
      <c r="PXL308" s="127"/>
      <c r="PXM308" s="127"/>
      <c r="PXN308" s="127"/>
      <c r="PXO308" s="127"/>
      <c r="PXP308" s="127"/>
      <c r="PXQ308" s="127"/>
      <c r="PXR308" s="127"/>
      <c r="PXS308" s="127"/>
      <c r="PXT308" s="127"/>
      <c r="PXU308" s="127"/>
      <c r="PXV308" s="127"/>
      <c r="PXW308" s="127"/>
      <c r="PXX308" s="127"/>
      <c r="PXY308" s="127"/>
      <c r="PXZ308" s="127"/>
      <c r="PYA308" s="127"/>
      <c r="PYB308" s="127"/>
      <c r="PYC308" s="127"/>
      <c r="PYD308" s="127"/>
      <c r="PYE308" s="127"/>
      <c r="PYF308" s="127"/>
      <c r="PYG308" s="127"/>
      <c r="PYH308" s="127"/>
      <c r="PYI308" s="127"/>
      <c r="PYJ308" s="127"/>
      <c r="PYK308" s="127"/>
      <c r="PYL308" s="127"/>
      <c r="PYM308" s="127"/>
      <c r="PYN308" s="127"/>
      <c r="PYO308" s="127"/>
      <c r="PYP308" s="127"/>
      <c r="PYQ308" s="127"/>
      <c r="PYR308" s="127"/>
      <c r="PYS308" s="127"/>
      <c r="PYT308" s="127"/>
      <c r="PYU308" s="127"/>
      <c r="PYV308" s="127"/>
      <c r="PYW308" s="127"/>
      <c r="PYX308" s="127"/>
      <c r="PYY308" s="127"/>
      <c r="PYZ308" s="127"/>
      <c r="PZA308" s="127"/>
      <c r="PZB308" s="127"/>
      <c r="PZC308" s="127"/>
      <c r="PZD308" s="127"/>
      <c r="PZE308" s="127"/>
      <c r="PZF308" s="127"/>
      <c r="PZG308" s="127"/>
      <c r="PZH308" s="127"/>
      <c r="PZI308" s="127"/>
      <c r="PZJ308" s="127"/>
      <c r="PZK308" s="127"/>
      <c r="PZL308" s="127"/>
      <c r="PZM308" s="127"/>
      <c r="PZN308" s="127"/>
      <c r="PZO308" s="127"/>
      <c r="PZP308" s="127"/>
      <c r="PZQ308" s="127"/>
      <c r="PZR308" s="127"/>
      <c r="PZS308" s="127"/>
      <c r="PZT308" s="127"/>
      <c r="PZU308" s="127"/>
      <c r="PZV308" s="127"/>
      <c r="PZW308" s="127"/>
      <c r="PZX308" s="127"/>
      <c r="PZY308" s="127"/>
      <c r="PZZ308" s="127"/>
      <c r="QAA308" s="127"/>
      <c r="QAB308" s="127"/>
      <c r="QAC308" s="127"/>
      <c r="QAD308" s="127"/>
      <c r="QAE308" s="127"/>
      <c r="QAF308" s="127"/>
      <c r="QAG308" s="127"/>
      <c r="QAH308" s="127"/>
      <c r="QAI308" s="127"/>
      <c r="QAJ308" s="127"/>
      <c r="QAK308" s="127"/>
      <c r="QAL308" s="127"/>
      <c r="QAM308" s="127"/>
      <c r="QAN308" s="127"/>
      <c r="QAO308" s="127"/>
      <c r="QAP308" s="127"/>
      <c r="QAQ308" s="127"/>
      <c r="QAR308" s="127"/>
      <c r="QAS308" s="127"/>
      <c r="QAT308" s="127"/>
      <c r="QAU308" s="127"/>
      <c r="QAV308" s="127"/>
      <c r="QAW308" s="127"/>
      <c r="QAX308" s="127"/>
      <c r="QAY308" s="127"/>
      <c r="QAZ308" s="127"/>
      <c r="QBA308" s="127"/>
      <c r="QBB308" s="127"/>
      <c r="QBC308" s="127"/>
      <c r="QBD308" s="127"/>
      <c r="QBE308" s="127"/>
      <c r="QBF308" s="127"/>
      <c r="QBG308" s="127"/>
      <c r="QBH308" s="127"/>
      <c r="QBI308" s="127"/>
      <c r="QBJ308" s="127"/>
      <c r="QBK308" s="127"/>
      <c r="QBL308" s="127"/>
      <c r="QBM308" s="127"/>
      <c r="QBN308" s="127"/>
      <c r="QBO308" s="127"/>
      <c r="QBP308" s="127"/>
      <c r="QBQ308" s="127"/>
      <c r="QBR308" s="127"/>
      <c r="QBS308" s="127"/>
      <c r="QBT308" s="127"/>
      <c r="QBU308" s="127"/>
      <c r="QBV308" s="127"/>
      <c r="QBW308" s="127"/>
      <c r="QBX308" s="127"/>
      <c r="QBY308" s="127"/>
      <c r="QBZ308" s="127"/>
      <c r="QCA308" s="127"/>
      <c r="QCB308" s="127"/>
      <c r="QCC308" s="127"/>
      <c r="QCD308" s="127"/>
      <c r="QCE308" s="127"/>
      <c r="QCF308" s="127"/>
      <c r="QCG308" s="127"/>
      <c r="QCH308" s="127"/>
      <c r="QCI308" s="127"/>
      <c r="QCJ308" s="127"/>
      <c r="QCK308" s="127"/>
      <c r="QCL308" s="127"/>
      <c r="QCM308" s="127"/>
      <c r="QCN308" s="127"/>
      <c r="QCO308" s="127"/>
      <c r="QCP308" s="127"/>
      <c r="QCQ308" s="127"/>
      <c r="QCR308" s="127"/>
      <c r="QCS308" s="127"/>
      <c r="QCT308" s="127"/>
      <c r="QCU308" s="127"/>
      <c r="QCV308" s="127"/>
      <c r="QCW308" s="127"/>
      <c r="QCX308" s="127"/>
      <c r="QCY308" s="127"/>
      <c r="QCZ308" s="127"/>
      <c r="QDA308" s="127"/>
      <c r="QDB308" s="127"/>
      <c r="QDC308" s="127"/>
      <c r="QDD308" s="127"/>
      <c r="QDE308" s="127"/>
      <c r="QDF308" s="127"/>
      <c r="QDG308" s="127"/>
      <c r="QDH308" s="127"/>
      <c r="QDI308" s="127"/>
      <c r="QDJ308" s="127"/>
      <c r="QDK308" s="127"/>
      <c r="QDL308" s="127"/>
      <c r="QDM308" s="127"/>
      <c r="QDN308" s="127"/>
      <c r="QDO308" s="127"/>
      <c r="QDP308" s="127"/>
      <c r="QDQ308" s="127"/>
      <c r="QDR308" s="127"/>
      <c r="QDS308" s="127"/>
      <c r="QDT308" s="127"/>
      <c r="QDU308" s="127"/>
      <c r="QDV308" s="127"/>
      <c r="QDW308" s="127"/>
      <c r="QDX308" s="127"/>
      <c r="QDY308" s="127"/>
      <c r="QDZ308" s="127"/>
      <c r="QEA308" s="127"/>
      <c r="QEB308" s="127"/>
      <c r="QEC308" s="127"/>
      <c r="QED308" s="127"/>
      <c r="QEE308" s="127"/>
      <c r="QEF308" s="127"/>
      <c r="QEG308" s="127"/>
      <c r="QEH308" s="127"/>
      <c r="QEI308" s="127"/>
      <c r="QEJ308" s="127"/>
      <c r="QEK308" s="127"/>
      <c r="QEL308" s="127"/>
      <c r="QEM308" s="127"/>
      <c r="QEN308" s="127"/>
      <c r="QEO308" s="127"/>
      <c r="QEP308" s="127"/>
      <c r="QEQ308" s="127"/>
      <c r="QER308" s="127"/>
      <c r="QES308" s="127"/>
      <c r="QET308" s="127"/>
      <c r="QEU308" s="127"/>
      <c r="QEV308" s="127"/>
      <c r="QEW308" s="127"/>
      <c r="QEX308" s="127"/>
      <c r="QEY308" s="127"/>
      <c r="QEZ308" s="127"/>
      <c r="QFA308" s="127"/>
      <c r="QFB308" s="127"/>
      <c r="QFC308" s="127"/>
      <c r="QFD308" s="127"/>
      <c r="QFE308" s="127"/>
      <c r="QFF308" s="127"/>
      <c r="QFG308" s="127"/>
      <c r="QFH308" s="127"/>
      <c r="QFI308" s="127"/>
      <c r="QFJ308" s="127"/>
      <c r="QFK308" s="127"/>
      <c r="QFL308" s="127"/>
      <c r="QFM308" s="127"/>
      <c r="QFN308" s="127"/>
      <c r="QFO308" s="127"/>
      <c r="QFP308" s="127"/>
      <c r="QFQ308" s="127"/>
      <c r="QFR308" s="127"/>
      <c r="QFS308" s="127"/>
      <c r="QFT308" s="127"/>
      <c r="QFU308" s="127"/>
      <c r="QFV308" s="127"/>
      <c r="QFW308" s="127"/>
      <c r="QFX308" s="127"/>
      <c r="QFY308" s="127"/>
      <c r="QFZ308" s="127"/>
      <c r="QGA308" s="127"/>
      <c r="QGB308" s="127"/>
      <c r="QGC308" s="127"/>
      <c r="QGD308" s="127"/>
      <c r="QGE308" s="127"/>
      <c r="QGF308" s="127"/>
      <c r="QGG308" s="127"/>
      <c r="QGH308" s="127"/>
      <c r="QGI308" s="127"/>
      <c r="QGJ308" s="127"/>
      <c r="QGK308" s="127"/>
      <c r="QGL308" s="127"/>
      <c r="QGM308" s="127"/>
      <c r="QGN308" s="127"/>
      <c r="QGO308" s="127"/>
      <c r="QGP308" s="127"/>
      <c r="QGQ308" s="127"/>
      <c r="QGR308" s="127"/>
      <c r="QGS308" s="127"/>
      <c r="QGT308" s="127"/>
      <c r="QGU308" s="127"/>
      <c r="QGV308" s="127"/>
      <c r="QGW308" s="127"/>
      <c r="QGX308" s="127"/>
      <c r="QGY308" s="127"/>
      <c r="QGZ308" s="127"/>
      <c r="QHA308" s="127"/>
      <c r="QHB308" s="127"/>
      <c r="QHC308" s="127"/>
      <c r="QHD308" s="127"/>
      <c r="QHE308" s="127"/>
      <c r="QHF308" s="127"/>
      <c r="QHG308" s="127"/>
      <c r="QHH308" s="127"/>
      <c r="QHI308" s="127"/>
      <c r="QHJ308" s="127"/>
      <c r="QHK308" s="127"/>
      <c r="QHL308" s="127"/>
      <c r="QHM308" s="127"/>
      <c r="QHN308" s="127"/>
      <c r="QHO308" s="127"/>
      <c r="QHP308" s="127"/>
      <c r="QHQ308" s="127"/>
      <c r="QHR308" s="127"/>
      <c r="QHS308" s="127"/>
      <c r="QHT308" s="127"/>
      <c r="QHU308" s="127"/>
      <c r="QHV308" s="127"/>
      <c r="QHW308" s="127"/>
      <c r="QHX308" s="127"/>
      <c r="QHY308" s="127"/>
      <c r="QHZ308" s="127"/>
      <c r="QIA308" s="127"/>
      <c r="QIB308" s="127"/>
      <c r="QIC308" s="127"/>
      <c r="QID308" s="127"/>
      <c r="QIE308" s="127"/>
      <c r="QIF308" s="127"/>
      <c r="QIG308" s="127"/>
      <c r="QIH308" s="127"/>
      <c r="QII308" s="127"/>
      <c r="QIJ308" s="127"/>
      <c r="QIK308" s="127"/>
      <c r="QIL308" s="127"/>
      <c r="QIM308" s="127"/>
      <c r="QIN308" s="127"/>
      <c r="QIO308" s="127"/>
      <c r="QIP308" s="127"/>
      <c r="QIQ308" s="127"/>
      <c r="QIR308" s="127"/>
      <c r="QIS308" s="127"/>
      <c r="QIT308" s="127"/>
      <c r="QIU308" s="127"/>
      <c r="QIV308" s="127"/>
      <c r="QIW308" s="127"/>
      <c r="QIX308" s="127"/>
      <c r="QIY308" s="127"/>
      <c r="QIZ308" s="127"/>
      <c r="QJA308" s="127"/>
      <c r="QJB308" s="127"/>
      <c r="QJC308" s="127"/>
      <c r="QJD308" s="127"/>
      <c r="QJE308" s="127"/>
      <c r="QJF308" s="127"/>
      <c r="QJG308" s="127"/>
      <c r="QJH308" s="127"/>
      <c r="QJI308" s="127"/>
      <c r="QJJ308" s="127"/>
      <c r="QJK308" s="127"/>
      <c r="QJL308" s="127"/>
      <c r="QJM308" s="127"/>
      <c r="QJN308" s="127"/>
      <c r="QJO308" s="127"/>
      <c r="QJP308" s="127"/>
      <c r="QJQ308" s="127"/>
      <c r="QJR308" s="127"/>
      <c r="QJS308" s="127"/>
      <c r="QJT308" s="127"/>
      <c r="QJU308" s="127"/>
      <c r="QJV308" s="127"/>
      <c r="QJW308" s="127"/>
      <c r="QJX308" s="127"/>
      <c r="QJY308" s="127"/>
      <c r="QJZ308" s="127"/>
      <c r="QKA308" s="127"/>
      <c r="QKB308" s="127"/>
      <c r="QKC308" s="127"/>
      <c r="QKD308" s="127"/>
      <c r="QKE308" s="127"/>
      <c r="QKF308" s="127"/>
      <c r="QKG308" s="127"/>
      <c r="QKH308" s="127"/>
      <c r="QKI308" s="127"/>
      <c r="QKJ308" s="127"/>
      <c r="QKK308" s="127"/>
      <c r="QKL308" s="127"/>
      <c r="QKM308" s="127"/>
      <c r="QKN308" s="127"/>
      <c r="QKO308" s="127"/>
      <c r="QKP308" s="127"/>
      <c r="QKQ308" s="127"/>
      <c r="QKR308" s="127"/>
      <c r="QKS308" s="127"/>
      <c r="QKT308" s="127"/>
      <c r="QKU308" s="127"/>
      <c r="QKV308" s="127"/>
      <c r="QKW308" s="127"/>
      <c r="QKX308" s="127"/>
      <c r="QKY308" s="127"/>
      <c r="QKZ308" s="127"/>
      <c r="QLA308" s="127"/>
      <c r="QLB308" s="127"/>
      <c r="QLC308" s="127"/>
      <c r="QLD308" s="127"/>
      <c r="QLE308" s="127"/>
      <c r="QLF308" s="127"/>
      <c r="QLG308" s="127"/>
      <c r="QLH308" s="127"/>
      <c r="QLI308" s="127"/>
      <c r="QLJ308" s="127"/>
      <c r="QLK308" s="127"/>
      <c r="QLL308" s="127"/>
      <c r="QLM308" s="127"/>
      <c r="QLN308" s="127"/>
      <c r="QLO308" s="127"/>
      <c r="QLP308" s="127"/>
      <c r="QLQ308" s="127"/>
      <c r="QLR308" s="127"/>
      <c r="QLS308" s="127"/>
      <c r="QLT308" s="127"/>
      <c r="QLU308" s="127"/>
      <c r="QLV308" s="127"/>
      <c r="QLW308" s="127"/>
      <c r="QLX308" s="127"/>
      <c r="QLY308" s="127"/>
      <c r="QLZ308" s="127"/>
      <c r="QMA308" s="127"/>
      <c r="QMB308" s="127"/>
      <c r="QMC308" s="127"/>
      <c r="QMD308" s="127"/>
      <c r="QME308" s="127"/>
      <c r="QMF308" s="127"/>
      <c r="QMG308" s="127"/>
      <c r="QMH308" s="127"/>
      <c r="QMI308" s="127"/>
      <c r="QMJ308" s="127"/>
      <c r="QMK308" s="127"/>
      <c r="QML308" s="127"/>
      <c r="QMM308" s="127"/>
      <c r="QMN308" s="127"/>
      <c r="QMO308" s="127"/>
      <c r="QMP308" s="127"/>
      <c r="QMQ308" s="127"/>
      <c r="QMR308" s="127"/>
      <c r="QMS308" s="127"/>
      <c r="QMT308" s="127"/>
      <c r="QMU308" s="127"/>
      <c r="QMV308" s="127"/>
      <c r="QMW308" s="127"/>
      <c r="QMX308" s="127"/>
      <c r="QMY308" s="127"/>
      <c r="QMZ308" s="127"/>
      <c r="QNA308" s="127"/>
      <c r="QNB308" s="127"/>
      <c r="QNC308" s="127"/>
      <c r="QND308" s="127"/>
      <c r="QNE308" s="127"/>
      <c r="QNF308" s="127"/>
      <c r="QNG308" s="127"/>
      <c r="QNH308" s="127"/>
      <c r="QNI308" s="127"/>
      <c r="QNJ308" s="127"/>
      <c r="QNK308" s="127"/>
      <c r="QNL308" s="127"/>
      <c r="QNM308" s="127"/>
      <c r="QNN308" s="127"/>
      <c r="QNO308" s="127"/>
      <c r="QNP308" s="127"/>
      <c r="QNQ308" s="127"/>
      <c r="QNR308" s="127"/>
      <c r="QNS308" s="127"/>
      <c r="QNT308" s="127"/>
      <c r="QNU308" s="127"/>
      <c r="QNV308" s="127"/>
      <c r="QNW308" s="127"/>
      <c r="QNX308" s="127"/>
      <c r="QNY308" s="127"/>
      <c r="QNZ308" s="127"/>
      <c r="QOA308" s="127"/>
      <c r="QOB308" s="127"/>
      <c r="QOC308" s="127"/>
      <c r="QOD308" s="127"/>
      <c r="QOE308" s="127"/>
      <c r="QOF308" s="127"/>
      <c r="QOG308" s="127"/>
      <c r="QOH308" s="127"/>
      <c r="QOI308" s="127"/>
      <c r="QOJ308" s="127"/>
      <c r="QOK308" s="127"/>
      <c r="QOL308" s="127"/>
      <c r="QOM308" s="127"/>
      <c r="QON308" s="127"/>
      <c r="QOO308" s="127"/>
      <c r="QOP308" s="127"/>
      <c r="QOQ308" s="127"/>
      <c r="QOR308" s="127"/>
      <c r="QOS308" s="127"/>
      <c r="QOT308" s="127"/>
      <c r="QOU308" s="127"/>
      <c r="QOV308" s="127"/>
      <c r="QOW308" s="127"/>
      <c r="QOX308" s="127"/>
      <c r="QOY308" s="127"/>
      <c r="QOZ308" s="127"/>
      <c r="QPA308" s="127"/>
      <c r="QPB308" s="127"/>
      <c r="QPC308" s="127"/>
      <c r="QPD308" s="127"/>
      <c r="QPE308" s="127"/>
      <c r="QPF308" s="127"/>
      <c r="QPG308" s="127"/>
      <c r="QPH308" s="127"/>
      <c r="QPI308" s="127"/>
      <c r="QPJ308" s="127"/>
      <c r="QPK308" s="127"/>
      <c r="QPL308" s="127"/>
      <c r="QPM308" s="127"/>
      <c r="QPN308" s="127"/>
      <c r="QPO308" s="127"/>
      <c r="QPP308" s="127"/>
      <c r="QPQ308" s="127"/>
      <c r="QPR308" s="127"/>
      <c r="QPS308" s="127"/>
      <c r="QPT308" s="127"/>
      <c r="QPU308" s="127"/>
      <c r="QPV308" s="127"/>
      <c r="QPW308" s="127"/>
      <c r="QPX308" s="127"/>
      <c r="QPY308" s="127"/>
      <c r="QPZ308" s="127"/>
      <c r="QQA308" s="127"/>
      <c r="QQB308" s="127"/>
      <c r="QQC308" s="127"/>
      <c r="QQD308" s="127"/>
      <c r="QQE308" s="127"/>
      <c r="QQF308" s="127"/>
      <c r="QQG308" s="127"/>
      <c r="QQH308" s="127"/>
      <c r="QQI308" s="127"/>
      <c r="QQJ308" s="127"/>
      <c r="QQK308" s="127"/>
      <c r="QQL308" s="127"/>
      <c r="QQM308" s="127"/>
      <c r="QQN308" s="127"/>
      <c r="QQO308" s="127"/>
      <c r="QQP308" s="127"/>
      <c r="QQQ308" s="127"/>
      <c r="QQR308" s="127"/>
      <c r="QQS308" s="127"/>
      <c r="QQT308" s="127"/>
      <c r="QQU308" s="127"/>
      <c r="QQV308" s="127"/>
      <c r="QQW308" s="127"/>
      <c r="QQX308" s="127"/>
      <c r="QQY308" s="127"/>
      <c r="QQZ308" s="127"/>
      <c r="QRA308" s="127"/>
      <c r="QRB308" s="127"/>
      <c r="QRC308" s="127"/>
      <c r="QRD308" s="127"/>
      <c r="QRE308" s="127"/>
      <c r="QRF308" s="127"/>
      <c r="QRG308" s="127"/>
      <c r="QRH308" s="127"/>
      <c r="QRI308" s="127"/>
      <c r="QRJ308" s="127"/>
      <c r="QRK308" s="127"/>
      <c r="QRL308" s="127"/>
      <c r="QRM308" s="127"/>
      <c r="QRN308" s="127"/>
      <c r="QRO308" s="127"/>
      <c r="QRP308" s="127"/>
      <c r="QRQ308" s="127"/>
      <c r="QRR308" s="127"/>
      <c r="QRS308" s="127"/>
      <c r="QRT308" s="127"/>
      <c r="QRU308" s="127"/>
      <c r="QRV308" s="127"/>
      <c r="QRW308" s="127"/>
      <c r="QRX308" s="127"/>
      <c r="QRY308" s="127"/>
      <c r="QRZ308" s="127"/>
      <c r="QSA308" s="127"/>
      <c r="QSB308" s="127"/>
      <c r="QSC308" s="127"/>
      <c r="QSD308" s="127"/>
      <c r="QSE308" s="127"/>
      <c r="QSF308" s="127"/>
      <c r="QSG308" s="127"/>
      <c r="QSH308" s="127"/>
      <c r="QSI308" s="127"/>
      <c r="QSJ308" s="127"/>
      <c r="QSK308" s="127"/>
      <c r="QSL308" s="127"/>
      <c r="QSM308" s="127"/>
      <c r="QSN308" s="127"/>
      <c r="QSO308" s="127"/>
      <c r="QSP308" s="127"/>
      <c r="QSQ308" s="127"/>
      <c r="QSR308" s="127"/>
      <c r="QSS308" s="127"/>
      <c r="QST308" s="127"/>
      <c r="QSU308" s="127"/>
      <c r="QSV308" s="127"/>
      <c r="QSW308" s="127"/>
      <c r="QSX308" s="127"/>
      <c r="QSY308" s="127"/>
      <c r="QSZ308" s="127"/>
      <c r="QTA308" s="127"/>
      <c r="QTB308" s="127"/>
      <c r="QTC308" s="127"/>
      <c r="QTD308" s="127"/>
      <c r="QTE308" s="127"/>
      <c r="QTF308" s="127"/>
      <c r="QTG308" s="127"/>
      <c r="QTH308" s="127"/>
      <c r="QTI308" s="127"/>
      <c r="QTJ308" s="127"/>
      <c r="QTK308" s="127"/>
      <c r="QTL308" s="127"/>
      <c r="QTM308" s="127"/>
      <c r="QTN308" s="127"/>
      <c r="QTO308" s="127"/>
      <c r="QTP308" s="127"/>
      <c r="QTQ308" s="127"/>
      <c r="QTR308" s="127"/>
      <c r="QTS308" s="127"/>
      <c r="QTT308" s="127"/>
      <c r="QTU308" s="127"/>
      <c r="QTV308" s="127"/>
      <c r="QTW308" s="127"/>
      <c r="QTX308" s="127"/>
      <c r="QTY308" s="127"/>
      <c r="QTZ308" s="127"/>
      <c r="QUA308" s="127"/>
      <c r="QUB308" s="127"/>
      <c r="QUC308" s="127"/>
      <c r="QUD308" s="127"/>
      <c r="QUE308" s="127"/>
      <c r="QUF308" s="127"/>
      <c r="QUG308" s="127"/>
      <c r="QUH308" s="127"/>
      <c r="QUI308" s="127"/>
      <c r="QUJ308" s="127"/>
      <c r="QUK308" s="127"/>
      <c r="QUL308" s="127"/>
      <c r="QUM308" s="127"/>
      <c r="QUN308" s="127"/>
      <c r="QUO308" s="127"/>
      <c r="QUP308" s="127"/>
      <c r="QUQ308" s="127"/>
      <c r="QUR308" s="127"/>
      <c r="QUS308" s="127"/>
      <c r="QUT308" s="127"/>
      <c r="QUU308" s="127"/>
      <c r="QUV308" s="127"/>
      <c r="QUW308" s="127"/>
      <c r="QUX308" s="127"/>
      <c r="QUY308" s="127"/>
      <c r="QUZ308" s="127"/>
      <c r="QVA308" s="127"/>
      <c r="QVB308" s="127"/>
      <c r="QVC308" s="127"/>
      <c r="QVD308" s="127"/>
      <c r="QVE308" s="127"/>
      <c r="QVF308" s="127"/>
      <c r="QVG308" s="127"/>
      <c r="QVH308" s="127"/>
      <c r="QVI308" s="127"/>
      <c r="QVJ308" s="127"/>
      <c r="QVK308" s="127"/>
      <c r="QVL308" s="127"/>
      <c r="QVM308" s="127"/>
      <c r="QVN308" s="127"/>
      <c r="QVO308" s="127"/>
      <c r="QVP308" s="127"/>
      <c r="QVQ308" s="127"/>
      <c r="QVR308" s="127"/>
      <c r="QVS308" s="127"/>
      <c r="QVT308" s="127"/>
      <c r="QVU308" s="127"/>
      <c r="QVV308" s="127"/>
      <c r="QVW308" s="127"/>
      <c r="QVX308" s="127"/>
      <c r="QVY308" s="127"/>
      <c r="QVZ308" s="127"/>
      <c r="QWA308" s="127"/>
      <c r="QWB308" s="127"/>
      <c r="QWC308" s="127"/>
      <c r="QWD308" s="127"/>
      <c r="QWE308" s="127"/>
      <c r="QWF308" s="127"/>
      <c r="QWG308" s="127"/>
      <c r="QWH308" s="127"/>
      <c r="QWI308" s="127"/>
      <c r="QWJ308" s="127"/>
      <c r="QWK308" s="127"/>
      <c r="QWL308" s="127"/>
      <c r="QWM308" s="127"/>
      <c r="QWN308" s="127"/>
      <c r="QWO308" s="127"/>
      <c r="QWP308" s="127"/>
      <c r="QWQ308" s="127"/>
      <c r="QWR308" s="127"/>
      <c r="QWS308" s="127"/>
      <c r="QWT308" s="127"/>
      <c r="QWU308" s="127"/>
      <c r="QWV308" s="127"/>
      <c r="QWW308" s="127"/>
      <c r="QWX308" s="127"/>
      <c r="QWY308" s="127"/>
      <c r="QWZ308" s="127"/>
      <c r="QXA308" s="127"/>
      <c r="QXB308" s="127"/>
      <c r="QXC308" s="127"/>
      <c r="QXD308" s="127"/>
      <c r="QXE308" s="127"/>
      <c r="QXF308" s="127"/>
      <c r="QXG308" s="127"/>
      <c r="QXH308" s="127"/>
      <c r="QXI308" s="127"/>
      <c r="QXJ308" s="127"/>
      <c r="QXK308" s="127"/>
      <c r="QXL308" s="127"/>
      <c r="QXM308" s="127"/>
      <c r="QXN308" s="127"/>
      <c r="QXO308" s="127"/>
      <c r="QXP308" s="127"/>
      <c r="QXQ308" s="127"/>
      <c r="QXR308" s="127"/>
      <c r="QXS308" s="127"/>
      <c r="QXT308" s="127"/>
      <c r="QXU308" s="127"/>
      <c r="QXV308" s="127"/>
      <c r="QXW308" s="127"/>
      <c r="QXX308" s="127"/>
      <c r="QXY308" s="127"/>
      <c r="QXZ308" s="127"/>
      <c r="QYA308" s="127"/>
      <c r="QYB308" s="127"/>
      <c r="QYC308" s="127"/>
      <c r="QYD308" s="127"/>
      <c r="QYE308" s="127"/>
      <c r="QYF308" s="127"/>
      <c r="QYG308" s="127"/>
      <c r="QYH308" s="127"/>
      <c r="QYI308" s="127"/>
      <c r="QYJ308" s="127"/>
      <c r="QYK308" s="127"/>
      <c r="QYL308" s="127"/>
      <c r="QYM308" s="127"/>
      <c r="QYN308" s="127"/>
      <c r="QYO308" s="127"/>
      <c r="QYP308" s="127"/>
      <c r="QYQ308" s="127"/>
      <c r="QYR308" s="127"/>
      <c r="QYS308" s="127"/>
      <c r="QYT308" s="127"/>
      <c r="QYU308" s="127"/>
      <c r="QYV308" s="127"/>
      <c r="QYW308" s="127"/>
      <c r="QYX308" s="127"/>
      <c r="QYY308" s="127"/>
      <c r="QYZ308" s="127"/>
      <c r="QZA308" s="127"/>
      <c r="QZB308" s="127"/>
      <c r="QZC308" s="127"/>
      <c r="QZD308" s="127"/>
      <c r="QZE308" s="127"/>
      <c r="QZF308" s="127"/>
      <c r="QZG308" s="127"/>
      <c r="QZH308" s="127"/>
      <c r="QZI308" s="127"/>
      <c r="QZJ308" s="127"/>
      <c r="QZK308" s="127"/>
      <c r="QZL308" s="127"/>
      <c r="QZM308" s="127"/>
      <c r="QZN308" s="127"/>
      <c r="QZO308" s="127"/>
      <c r="QZP308" s="127"/>
      <c r="QZQ308" s="127"/>
      <c r="QZR308" s="127"/>
      <c r="QZS308" s="127"/>
      <c r="QZT308" s="127"/>
      <c r="QZU308" s="127"/>
      <c r="QZV308" s="127"/>
      <c r="QZW308" s="127"/>
      <c r="QZX308" s="127"/>
      <c r="QZY308" s="127"/>
      <c r="QZZ308" s="127"/>
      <c r="RAA308" s="127"/>
      <c r="RAB308" s="127"/>
      <c r="RAC308" s="127"/>
      <c r="RAD308" s="127"/>
      <c r="RAE308" s="127"/>
      <c r="RAF308" s="127"/>
      <c r="RAG308" s="127"/>
      <c r="RAH308" s="127"/>
      <c r="RAI308" s="127"/>
      <c r="RAJ308" s="127"/>
      <c r="RAK308" s="127"/>
      <c r="RAL308" s="127"/>
      <c r="RAM308" s="127"/>
      <c r="RAN308" s="127"/>
      <c r="RAO308" s="127"/>
      <c r="RAP308" s="127"/>
      <c r="RAQ308" s="127"/>
      <c r="RAR308" s="127"/>
      <c r="RAS308" s="127"/>
      <c r="RAT308" s="127"/>
      <c r="RAU308" s="127"/>
      <c r="RAV308" s="127"/>
      <c r="RAW308" s="127"/>
      <c r="RAX308" s="127"/>
      <c r="RAY308" s="127"/>
      <c r="RAZ308" s="127"/>
      <c r="RBA308" s="127"/>
      <c r="RBB308" s="127"/>
      <c r="RBC308" s="127"/>
      <c r="RBD308" s="127"/>
      <c r="RBE308" s="127"/>
      <c r="RBF308" s="127"/>
      <c r="RBG308" s="127"/>
      <c r="RBH308" s="127"/>
      <c r="RBI308" s="127"/>
      <c r="RBJ308" s="127"/>
      <c r="RBK308" s="127"/>
      <c r="RBL308" s="127"/>
      <c r="RBM308" s="127"/>
      <c r="RBN308" s="127"/>
      <c r="RBO308" s="127"/>
      <c r="RBP308" s="127"/>
      <c r="RBQ308" s="127"/>
      <c r="RBR308" s="127"/>
      <c r="RBS308" s="127"/>
      <c r="RBT308" s="127"/>
      <c r="RBU308" s="127"/>
      <c r="RBV308" s="127"/>
      <c r="RBW308" s="127"/>
      <c r="RBX308" s="127"/>
      <c r="RBY308" s="127"/>
      <c r="RBZ308" s="127"/>
      <c r="RCA308" s="127"/>
      <c r="RCB308" s="127"/>
      <c r="RCC308" s="127"/>
      <c r="RCD308" s="127"/>
      <c r="RCE308" s="127"/>
      <c r="RCF308" s="127"/>
      <c r="RCG308" s="127"/>
      <c r="RCH308" s="127"/>
      <c r="RCI308" s="127"/>
      <c r="RCJ308" s="127"/>
      <c r="RCK308" s="127"/>
      <c r="RCL308" s="127"/>
      <c r="RCM308" s="127"/>
      <c r="RCN308" s="127"/>
      <c r="RCO308" s="127"/>
      <c r="RCP308" s="127"/>
      <c r="RCQ308" s="127"/>
      <c r="RCR308" s="127"/>
      <c r="RCS308" s="127"/>
      <c r="RCT308" s="127"/>
      <c r="RCU308" s="127"/>
      <c r="RCV308" s="127"/>
      <c r="RCW308" s="127"/>
      <c r="RCX308" s="127"/>
      <c r="RCY308" s="127"/>
      <c r="RCZ308" s="127"/>
      <c r="RDA308" s="127"/>
      <c r="RDB308" s="127"/>
      <c r="RDC308" s="127"/>
      <c r="RDD308" s="127"/>
      <c r="RDE308" s="127"/>
      <c r="RDF308" s="127"/>
      <c r="RDG308" s="127"/>
      <c r="RDH308" s="127"/>
      <c r="RDI308" s="127"/>
      <c r="RDJ308" s="127"/>
      <c r="RDK308" s="127"/>
      <c r="RDL308" s="127"/>
      <c r="RDM308" s="127"/>
      <c r="RDN308" s="127"/>
      <c r="RDO308" s="127"/>
      <c r="RDP308" s="127"/>
      <c r="RDQ308" s="127"/>
      <c r="RDR308" s="127"/>
      <c r="RDS308" s="127"/>
      <c r="RDT308" s="127"/>
      <c r="RDU308" s="127"/>
      <c r="RDV308" s="127"/>
      <c r="RDW308" s="127"/>
      <c r="RDX308" s="127"/>
      <c r="RDY308" s="127"/>
      <c r="RDZ308" s="127"/>
      <c r="REA308" s="127"/>
      <c r="REB308" s="127"/>
      <c r="REC308" s="127"/>
      <c r="RED308" s="127"/>
      <c r="REE308" s="127"/>
      <c r="REF308" s="127"/>
      <c r="REG308" s="127"/>
      <c r="REH308" s="127"/>
      <c r="REI308" s="127"/>
      <c r="REJ308" s="127"/>
      <c r="REK308" s="127"/>
      <c r="REL308" s="127"/>
      <c r="REM308" s="127"/>
      <c r="REN308" s="127"/>
      <c r="REO308" s="127"/>
      <c r="REP308" s="127"/>
      <c r="REQ308" s="127"/>
      <c r="RER308" s="127"/>
      <c r="RES308" s="127"/>
      <c r="RET308" s="127"/>
      <c r="REU308" s="127"/>
      <c r="REV308" s="127"/>
      <c r="REW308" s="127"/>
      <c r="REX308" s="127"/>
      <c r="REY308" s="127"/>
      <c r="REZ308" s="127"/>
      <c r="RFA308" s="127"/>
      <c r="RFB308" s="127"/>
      <c r="RFC308" s="127"/>
      <c r="RFD308" s="127"/>
      <c r="RFE308" s="127"/>
      <c r="RFF308" s="127"/>
      <c r="RFG308" s="127"/>
      <c r="RFH308" s="127"/>
      <c r="RFI308" s="127"/>
      <c r="RFJ308" s="127"/>
      <c r="RFK308" s="127"/>
      <c r="RFL308" s="127"/>
      <c r="RFM308" s="127"/>
      <c r="RFN308" s="127"/>
      <c r="RFO308" s="127"/>
      <c r="RFP308" s="127"/>
      <c r="RFQ308" s="127"/>
      <c r="RFR308" s="127"/>
      <c r="RFS308" s="127"/>
      <c r="RFT308" s="127"/>
      <c r="RFU308" s="127"/>
      <c r="RFV308" s="127"/>
      <c r="RFW308" s="127"/>
      <c r="RFX308" s="127"/>
      <c r="RFY308" s="127"/>
      <c r="RFZ308" s="127"/>
      <c r="RGA308" s="127"/>
      <c r="RGB308" s="127"/>
      <c r="RGC308" s="127"/>
      <c r="RGD308" s="127"/>
      <c r="RGE308" s="127"/>
      <c r="RGF308" s="127"/>
      <c r="RGG308" s="127"/>
      <c r="RGH308" s="127"/>
      <c r="RGI308" s="127"/>
      <c r="RGJ308" s="127"/>
      <c r="RGK308" s="127"/>
      <c r="RGL308" s="127"/>
      <c r="RGM308" s="127"/>
      <c r="RGN308" s="127"/>
      <c r="RGO308" s="127"/>
      <c r="RGP308" s="127"/>
      <c r="RGQ308" s="127"/>
      <c r="RGR308" s="127"/>
      <c r="RGS308" s="127"/>
      <c r="RGT308" s="127"/>
      <c r="RGU308" s="127"/>
      <c r="RGV308" s="127"/>
      <c r="RGW308" s="127"/>
      <c r="RGX308" s="127"/>
      <c r="RGY308" s="127"/>
      <c r="RGZ308" s="127"/>
      <c r="RHA308" s="127"/>
      <c r="RHB308" s="127"/>
      <c r="RHC308" s="127"/>
      <c r="RHD308" s="127"/>
      <c r="RHE308" s="127"/>
      <c r="RHF308" s="127"/>
      <c r="RHG308" s="127"/>
      <c r="RHH308" s="127"/>
      <c r="RHI308" s="127"/>
      <c r="RHJ308" s="127"/>
      <c r="RHK308" s="127"/>
      <c r="RHL308" s="127"/>
      <c r="RHM308" s="127"/>
      <c r="RHN308" s="127"/>
      <c r="RHO308" s="127"/>
      <c r="RHP308" s="127"/>
      <c r="RHQ308" s="127"/>
      <c r="RHR308" s="127"/>
      <c r="RHS308" s="127"/>
      <c r="RHT308" s="127"/>
      <c r="RHU308" s="127"/>
      <c r="RHV308" s="127"/>
      <c r="RHW308" s="127"/>
      <c r="RHX308" s="127"/>
      <c r="RHY308" s="127"/>
      <c r="RHZ308" s="127"/>
      <c r="RIA308" s="127"/>
      <c r="RIB308" s="127"/>
      <c r="RIC308" s="127"/>
      <c r="RID308" s="127"/>
      <c r="RIE308" s="127"/>
      <c r="RIF308" s="127"/>
      <c r="RIG308" s="127"/>
      <c r="RIH308" s="127"/>
      <c r="RII308" s="127"/>
      <c r="RIJ308" s="127"/>
      <c r="RIK308" s="127"/>
      <c r="RIL308" s="127"/>
      <c r="RIM308" s="127"/>
      <c r="RIN308" s="127"/>
      <c r="RIO308" s="127"/>
      <c r="RIP308" s="127"/>
      <c r="RIQ308" s="127"/>
      <c r="RIR308" s="127"/>
      <c r="RIS308" s="127"/>
      <c r="RIT308" s="127"/>
      <c r="RIU308" s="127"/>
      <c r="RIV308" s="127"/>
      <c r="RIW308" s="127"/>
      <c r="RIX308" s="127"/>
      <c r="RIY308" s="127"/>
      <c r="RIZ308" s="127"/>
      <c r="RJA308" s="127"/>
      <c r="RJB308" s="127"/>
      <c r="RJC308" s="127"/>
      <c r="RJD308" s="127"/>
      <c r="RJE308" s="127"/>
      <c r="RJF308" s="127"/>
      <c r="RJG308" s="127"/>
      <c r="RJH308" s="127"/>
      <c r="RJI308" s="127"/>
      <c r="RJJ308" s="127"/>
      <c r="RJK308" s="127"/>
      <c r="RJL308" s="127"/>
      <c r="RJM308" s="127"/>
      <c r="RJN308" s="127"/>
      <c r="RJO308" s="127"/>
      <c r="RJP308" s="127"/>
      <c r="RJQ308" s="127"/>
      <c r="RJR308" s="127"/>
      <c r="RJS308" s="127"/>
      <c r="RJT308" s="127"/>
      <c r="RJU308" s="127"/>
      <c r="RJV308" s="127"/>
      <c r="RJW308" s="127"/>
      <c r="RJX308" s="127"/>
      <c r="RJY308" s="127"/>
      <c r="RJZ308" s="127"/>
      <c r="RKA308" s="127"/>
      <c r="RKB308" s="127"/>
      <c r="RKC308" s="127"/>
      <c r="RKD308" s="127"/>
      <c r="RKE308" s="127"/>
      <c r="RKF308" s="127"/>
      <c r="RKG308" s="127"/>
      <c r="RKH308" s="127"/>
      <c r="RKI308" s="127"/>
      <c r="RKJ308" s="127"/>
      <c r="RKK308" s="127"/>
      <c r="RKL308" s="127"/>
      <c r="RKM308" s="127"/>
      <c r="RKN308" s="127"/>
      <c r="RKO308" s="127"/>
      <c r="RKP308" s="127"/>
      <c r="RKQ308" s="127"/>
      <c r="RKR308" s="127"/>
      <c r="RKS308" s="127"/>
      <c r="RKT308" s="127"/>
      <c r="RKU308" s="127"/>
      <c r="RKV308" s="127"/>
      <c r="RKW308" s="127"/>
      <c r="RKX308" s="127"/>
      <c r="RKY308" s="127"/>
      <c r="RKZ308" s="127"/>
      <c r="RLA308" s="127"/>
      <c r="RLB308" s="127"/>
      <c r="RLC308" s="127"/>
      <c r="RLD308" s="127"/>
      <c r="RLE308" s="127"/>
      <c r="RLF308" s="127"/>
      <c r="RLG308" s="127"/>
      <c r="RLH308" s="127"/>
      <c r="RLI308" s="127"/>
      <c r="RLJ308" s="127"/>
      <c r="RLK308" s="127"/>
      <c r="RLL308" s="127"/>
      <c r="RLM308" s="127"/>
      <c r="RLN308" s="127"/>
      <c r="RLO308" s="127"/>
      <c r="RLP308" s="127"/>
      <c r="RLQ308" s="127"/>
      <c r="RLR308" s="127"/>
      <c r="RLS308" s="127"/>
      <c r="RLT308" s="127"/>
      <c r="RLU308" s="127"/>
      <c r="RLV308" s="127"/>
      <c r="RLW308" s="127"/>
      <c r="RLX308" s="127"/>
      <c r="RLY308" s="127"/>
      <c r="RLZ308" s="127"/>
      <c r="RMA308" s="127"/>
      <c r="RMB308" s="127"/>
      <c r="RMC308" s="127"/>
      <c r="RMD308" s="127"/>
      <c r="RME308" s="127"/>
      <c r="RMF308" s="127"/>
      <c r="RMG308" s="127"/>
      <c r="RMH308" s="127"/>
      <c r="RMI308" s="127"/>
      <c r="RMJ308" s="127"/>
      <c r="RMK308" s="127"/>
      <c r="RML308" s="127"/>
      <c r="RMM308" s="127"/>
      <c r="RMN308" s="127"/>
      <c r="RMO308" s="127"/>
      <c r="RMP308" s="127"/>
      <c r="RMQ308" s="127"/>
      <c r="RMR308" s="127"/>
      <c r="RMS308" s="127"/>
      <c r="RMT308" s="127"/>
      <c r="RMU308" s="127"/>
      <c r="RMV308" s="127"/>
      <c r="RMW308" s="127"/>
      <c r="RMX308" s="127"/>
      <c r="RMY308" s="127"/>
      <c r="RMZ308" s="127"/>
      <c r="RNA308" s="127"/>
      <c r="RNB308" s="127"/>
      <c r="RNC308" s="127"/>
      <c r="RND308" s="127"/>
      <c r="RNE308" s="127"/>
      <c r="RNF308" s="127"/>
      <c r="RNG308" s="127"/>
      <c r="RNH308" s="127"/>
      <c r="RNI308" s="127"/>
      <c r="RNJ308" s="127"/>
      <c r="RNK308" s="127"/>
      <c r="RNL308" s="127"/>
      <c r="RNM308" s="127"/>
      <c r="RNN308" s="127"/>
      <c r="RNO308" s="127"/>
      <c r="RNP308" s="127"/>
      <c r="RNQ308" s="127"/>
      <c r="RNR308" s="127"/>
      <c r="RNS308" s="127"/>
      <c r="RNT308" s="127"/>
      <c r="RNU308" s="127"/>
      <c r="RNV308" s="127"/>
      <c r="RNW308" s="127"/>
      <c r="RNX308" s="127"/>
      <c r="RNY308" s="127"/>
      <c r="RNZ308" s="127"/>
      <c r="ROA308" s="127"/>
      <c r="ROB308" s="127"/>
      <c r="ROC308" s="127"/>
      <c r="ROD308" s="127"/>
      <c r="ROE308" s="127"/>
      <c r="ROF308" s="127"/>
      <c r="ROG308" s="127"/>
      <c r="ROH308" s="127"/>
      <c r="ROI308" s="127"/>
      <c r="ROJ308" s="127"/>
      <c r="ROK308" s="127"/>
      <c r="ROL308" s="127"/>
      <c r="ROM308" s="127"/>
      <c r="RON308" s="127"/>
      <c r="ROO308" s="127"/>
      <c r="ROP308" s="127"/>
      <c r="ROQ308" s="127"/>
      <c r="ROR308" s="127"/>
      <c r="ROS308" s="127"/>
      <c r="ROT308" s="127"/>
      <c r="ROU308" s="127"/>
      <c r="ROV308" s="127"/>
      <c r="ROW308" s="127"/>
      <c r="ROX308" s="127"/>
      <c r="ROY308" s="127"/>
      <c r="ROZ308" s="127"/>
      <c r="RPA308" s="127"/>
      <c r="RPB308" s="127"/>
      <c r="RPC308" s="127"/>
      <c r="RPD308" s="127"/>
      <c r="RPE308" s="127"/>
      <c r="RPF308" s="127"/>
      <c r="RPG308" s="127"/>
      <c r="RPH308" s="127"/>
      <c r="RPI308" s="127"/>
      <c r="RPJ308" s="127"/>
      <c r="RPK308" s="127"/>
      <c r="RPL308" s="127"/>
      <c r="RPM308" s="127"/>
      <c r="RPN308" s="127"/>
      <c r="RPO308" s="127"/>
      <c r="RPP308" s="127"/>
      <c r="RPQ308" s="127"/>
      <c r="RPR308" s="127"/>
      <c r="RPS308" s="127"/>
      <c r="RPT308" s="127"/>
      <c r="RPU308" s="127"/>
      <c r="RPV308" s="127"/>
      <c r="RPW308" s="127"/>
      <c r="RPX308" s="127"/>
      <c r="RPY308" s="127"/>
      <c r="RPZ308" s="127"/>
      <c r="RQA308" s="127"/>
      <c r="RQB308" s="127"/>
      <c r="RQC308" s="127"/>
      <c r="RQD308" s="127"/>
      <c r="RQE308" s="127"/>
      <c r="RQF308" s="127"/>
      <c r="RQG308" s="127"/>
      <c r="RQH308" s="127"/>
      <c r="RQI308" s="127"/>
      <c r="RQJ308" s="127"/>
      <c r="RQK308" s="127"/>
      <c r="RQL308" s="127"/>
      <c r="RQM308" s="127"/>
      <c r="RQN308" s="127"/>
      <c r="RQO308" s="127"/>
      <c r="RQP308" s="127"/>
      <c r="RQQ308" s="127"/>
      <c r="RQR308" s="127"/>
      <c r="RQS308" s="127"/>
      <c r="RQT308" s="127"/>
      <c r="RQU308" s="127"/>
      <c r="RQV308" s="127"/>
      <c r="RQW308" s="127"/>
      <c r="RQX308" s="127"/>
      <c r="RQY308" s="127"/>
      <c r="RQZ308" s="127"/>
      <c r="RRA308" s="127"/>
      <c r="RRB308" s="127"/>
      <c r="RRC308" s="127"/>
      <c r="RRD308" s="127"/>
      <c r="RRE308" s="127"/>
      <c r="RRF308" s="127"/>
      <c r="RRG308" s="127"/>
      <c r="RRH308" s="127"/>
      <c r="RRI308" s="127"/>
      <c r="RRJ308" s="127"/>
      <c r="RRK308" s="127"/>
      <c r="RRL308" s="127"/>
      <c r="RRM308" s="127"/>
      <c r="RRN308" s="127"/>
      <c r="RRO308" s="127"/>
      <c r="RRP308" s="127"/>
      <c r="RRQ308" s="127"/>
      <c r="RRR308" s="127"/>
      <c r="RRS308" s="127"/>
      <c r="RRT308" s="127"/>
      <c r="RRU308" s="127"/>
      <c r="RRV308" s="127"/>
      <c r="RRW308" s="127"/>
      <c r="RRX308" s="127"/>
      <c r="RRY308" s="127"/>
      <c r="RRZ308" s="127"/>
      <c r="RSA308" s="127"/>
      <c r="RSB308" s="127"/>
      <c r="RSC308" s="127"/>
      <c r="RSD308" s="127"/>
      <c r="RSE308" s="127"/>
      <c r="RSF308" s="127"/>
      <c r="RSG308" s="127"/>
      <c r="RSH308" s="127"/>
      <c r="RSI308" s="127"/>
      <c r="RSJ308" s="127"/>
      <c r="RSK308" s="127"/>
      <c r="RSL308" s="127"/>
      <c r="RSM308" s="127"/>
      <c r="RSN308" s="127"/>
      <c r="RSO308" s="127"/>
      <c r="RSP308" s="127"/>
      <c r="RSQ308" s="127"/>
      <c r="RSR308" s="127"/>
      <c r="RSS308" s="127"/>
      <c r="RST308" s="127"/>
      <c r="RSU308" s="127"/>
      <c r="RSV308" s="127"/>
      <c r="RSW308" s="127"/>
      <c r="RSX308" s="127"/>
      <c r="RSY308" s="127"/>
      <c r="RSZ308" s="127"/>
      <c r="RTA308" s="127"/>
      <c r="RTB308" s="127"/>
      <c r="RTC308" s="127"/>
      <c r="RTD308" s="127"/>
      <c r="RTE308" s="127"/>
      <c r="RTF308" s="127"/>
      <c r="RTG308" s="127"/>
      <c r="RTH308" s="127"/>
      <c r="RTI308" s="127"/>
      <c r="RTJ308" s="127"/>
      <c r="RTK308" s="127"/>
      <c r="RTL308" s="127"/>
      <c r="RTM308" s="127"/>
      <c r="RTN308" s="127"/>
      <c r="RTO308" s="127"/>
      <c r="RTP308" s="127"/>
      <c r="RTQ308" s="127"/>
      <c r="RTR308" s="127"/>
      <c r="RTS308" s="127"/>
      <c r="RTT308" s="127"/>
      <c r="RTU308" s="127"/>
      <c r="RTV308" s="127"/>
      <c r="RTW308" s="127"/>
      <c r="RTX308" s="127"/>
      <c r="RTY308" s="127"/>
      <c r="RTZ308" s="127"/>
      <c r="RUA308" s="127"/>
      <c r="RUB308" s="127"/>
      <c r="RUC308" s="127"/>
      <c r="RUD308" s="127"/>
      <c r="RUE308" s="127"/>
      <c r="RUF308" s="127"/>
      <c r="RUG308" s="127"/>
      <c r="RUH308" s="127"/>
      <c r="RUI308" s="127"/>
      <c r="RUJ308" s="127"/>
      <c r="RUK308" s="127"/>
      <c r="RUL308" s="127"/>
      <c r="RUM308" s="127"/>
      <c r="RUN308" s="127"/>
      <c r="RUO308" s="127"/>
      <c r="RUP308" s="127"/>
      <c r="RUQ308" s="127"/>
      <c r="RUR308" s="127"/>
      <c r="RUS308" s="127"/>
      <c r="RUT308" s="127"/>
      <c r="RUU308" s="127"/>
      <c r="RUV308" s="127"/>
      <c r="RUW308" s="127"/>
      <c r="RUX308" s="127"/>
      <c r="RUY308" s="127"/>
      <c r="RUZ308" s="127"/>
      <c r="RVA308" s="127"/>
      <c r="RVB308" s="127"/>
      <c r="RVC308" s="127"/>
      <c r="RVD308" s="127"/>
      <c r="RVE308" s="127"/>
      <c r="RVF308" s="127"/>
      <c r="RVG308" s="127"/>
      <c r="RVH308" s="127"/>
      <c r="RVI308" s="127"/>
      <c r="RVJ308" s="127"/>
      <c r="RVK308" s="127"/>
      <c r="RVL308" s="127"/>
      <c r="RVM308" s="127"/>
      <c r="RVN308" s="127"/>
      <c r="RVO308" s="127"/>
      <c r="RVP308" s="127"/>
      <c r="RVQ308" s="127"/>
      <c r="RVR308" s="127"/>
      <c r="RVS308" s="127"/>
      <c r="RVT308" s="127"/>
      <c r="RVU308" s="127"/>
      <c r="RVV308" s="127"/>
      <c r="RVW308" s="127"/>
      <c r="RVX308" s="127"/>
      <c r="RVY308" s="127"/>
      <c r="RVZ308" s="127"/>
      <c r="RWA308" s="127"/>
      <c r="RWB308" s="127"/>
      <c r="RWC308" s="127"/>
      <c r="RWD308" s="127"/>
      <c r="RWE308" s="127"/>
      <c r="RWF308" s="127"/>
      <c r="RWG308" s="127"/>
      <c r="RWH308" s="127"/>
      <c r="RWI308" s="127"/>
      <c r="RWJ308" s="127"/>
      <c r="RWK308" s="127"/>
      <c r="RWL308" s="127"/>
      <c r="RWM308" s="127"/>
      <c r="RWN308" s="127"/>
      <c r="RWO308" s="127"/>
      <c r="RWP308" s="127"/>
      <c r="RWQ308" s="127"/>
      <c r="RWR308" s="127"/>
      <c r="RWS308" s="127"/>
      <c r="RWT308" s="127"/>
      <c r="RWU308" s="127"/>
      <c r="RWV308" s="127"/>
      <c r="RWW308" s="127"/>
      <c r="RWX308" s="127"/>
      <c r="RWY308" s="127"/>
      <c r="RWZ308" s="127"/>
      <c r="RXA308" s="127"/>
      <c r="RXB308" s="127"/>
      <c r="RXC308" s="127"/>
      <c r="RXD308" s="127"/>
      <c r="RXE308" s="127"/>
      <c r="RXF308" s="127"/>
      <c r="RXG308" s="127"/>
      <c r="RXH308" s="127"/>
      <c r="RXI308" s="127"/>
      <c r="RXJ308" s="127"/>
      <c r="RXK308" s="127"/>
      <c r="RXL308" s="127"/>
      <c r="RXM308" s="127"/>
      <c r="RXN308" s="127"/>
      <c r="RXO308" s="127"/>
      <c r="RXP308" s="127"/>
      <c r="RXQ308" s="127"/>
      <c r="RXR308" s="127"/>
      <c r="RXS308" s="127"/>
      <c r="RXT308" s="127"/>
      <c r="RXU308" s="127"/>
      <c r="RXV308" s="127"/>
      <c r="RXW308" s="127"/>
      <c r="RXX308" s="127"/>
      <c r="RXY308" s="127"/>
      <c r="RXZ308" s="127"/>
      <c r="RYA308" s="127"/>
      <c r="RYB308" s="127"/>
      <c r="RYC308" s="127"/>
      <c r="RYD308" s="127"/>
      <c r="RYE308" s="127"/>
      <c r="RYF308" s="127"/>
      <c r="RYG308" s="127"/>
      <c r="RYH308" s="127"/>
      <c r="RYI308" s="127"/>
      <c r="RYJ308" s="127"/>
      <c r="RYK308" s="127"/>
      <c r="RYL308" s="127"/>
      <c r="RYM308" s="127"/>
      <c r="RYN308" s="127"/>
      <c r="RYO308" s="127"/>
      <c r="RYP308" s="127"/>
      <c r="RYQ308" s="127"/>
      <c r="RYR308" s="127"/>
      <c r="RYS308" s="127"/>
      <c r="RYT308" s="127"/>
      <c r="RYU308" s="127"/>
      <c r="RYV308" s="127"/>
      <c r="RYW308" s="127"/>
      <c r="RYX308" s="127"/>
      <c r="RYY308" s="127"/>
      <c r="RYZ308" s="127"/>
      <c r="RZA308" s="127"/>
      <c r="RZB308" s="127"/>
      <c r="RZC308" s="127"/>
      <c r="RZD308" s="127"/>
      <c r="RZE308" s="127"/>
      <c r="RZF308" s="127"/>
      <c r="RZG308" s="127"/>
      <c r="RZH308" s="127"/>
      <c r="RZI308" s="127"/>
      <c r="RZJ308" s="127"/>
      <c r="RZK308" s="127"/>
      <c r="RZL308" s="127"/>
      <c r="RZM308" s="127"/>
      <c r="RZN308" s="127"/>
      <c r="RZO308" s="127"/>
      <c r="RZP308" s="127"/>
      <c r="RZQ308" s="127"/>
      <c r="RZR308" s="127"/>
      <c r="RZS308" s="127"/>
      <c r="RZT308" s="127"/>
      <c r="RZU308" s="127"/>
      <c r="RZV308" s="127"/>
      <c r="RZW308" s="127"/>
      <c r="RZX308" s="127"/>
      <c r="RZY308" s="127"/>
      <c r="RZZ308" s="127"/>
      <c r="SAA308" s="127"/>
      <c r="SAB308" s="127"/>
      <c r="SAC308" s="127"/>
      <c r="SAD308" s="127"/>
      <c r="SAE308" s="127"/>
      <c r="SAF308" s="127"/>
      <c r="SAG308" s="127"/>
      <c r="SAH308" s="127"/>
      <c r="SAI308" s="127"/>
      <c r="SAJ308" s="127"/>
      <c r="SAK308" s="127"/>
      <c r="SAL308" s="127"/>
      <c r="SAM308" s="127"/>
      <c r="SAN308" s="127"/>
      <c r="SAO308" s="127"/>
      <c r="SAP308" s="127"/>
      <c r="SAQ308" s="127"/>
      <c r="SAR308" s="127"/>
      <c r="SAS308" s="127"/>
      <c r="SAT308" s="127"/>
      <c r="SAU308" s="127"/>
      <c r="SAV308" s="127"/>
      <c r="SAW308" s="127"/>
      <c r="SAX308" s="127"/>
      <c r="SAY308" s="127"/>
      <c r="SAZ308" s="127"/>
      <c r="SBA308" s="127"/>
      <c r="SBB308" s="127"/>
      <c r="SBC308" s="127"/>
      <c r="SBD308" s="127"/>
      <c r="SBE308" s="127"/>
      <c r="SBF308" s="127"/>
      <c r="SBG308" s="127"/>
      <c r="SBH308" s="127"/>
      <c r="SBI308" s="127"/>
      <c r="SBJ308" s="127"/>
      <c r="SBK308" s="127"/>
      <c r="SBL308" s="127"/>
      <c r="SBM308" s="127"/>
      <c r="SBN308" s="127"/>
      <c r="SBO308" s="127"/>
      <c r="SBP308" s="127"/>
      <c r="SBQ308" s="127"/>
      <c r="SBR308" s="127"/>
      <c r="SBS308" s="127"/>
      <c r="SBT308" s="127"/>
      <c r="SBU308" s="127"/>
      <c r="SBV308" s="127"/>
      <c r="SBW308" s="127"/>
      <c r="SBX308" s="127"/>
      <c r="SBY308" s="127"/>
      <c r="SBZ308" s="127"/>
      <c r="SCA308" s="127"/>
      <c r="SCB308" s="127"/>
      <c r="SCC308" s="127"/>
      <c r="SCD308" s="127"/>
      <c r="SCE308" s="127"/>
      <c r="SCF308" s="127"/>
      <c r="SCG308" s="127"/>
      <c r="SCH308" s="127"/>
      <c r="SCI308" s="127"/>
      <c r="SCJ308" s="127"/>
      <c r="SCK308" s="127"/>
      <c r="SCL308" s="127"/>
      <c r="SCM308" s="127"/>
      <c r="SCN308" s="127"/>
      <c r="SCO308" s="127"/>
      <c r="SCP308" s="127"/>
      <c r="SCQ308" s="127"/>
      <c r="SCR308" s="127"/>
      <c r="SCS308" s="127"/>
      <c r="SCT308" s="127"/>
      <c r="SCU308" s="127"/>
      <c r="SCV308" s="127"/>
      <c r="SCW308" s="127"/>
      <c r="SCX308" s="127"/>
      <c r="SCY308" s="127"/>
      <c r="SCZ308" s="127"/>
      <c r="SDA308" s="127"/>
      <c r="SDB308" s="127"/>
      <c r="SDC308" s="127"/>
      <c r="SDD308" s="127"/>
      <c r="SDE308" s="127"/>
      <c r="SDF308" s="127"/>
      <c r="SDG308" s="127"/>
      <c r="SDH308" s="127"/>
      <c r="SDI308" s="127"/>
      <c r="SDJ308" s="127"/>
      <c r="SDK308" s="127"/>
      <c r="SDL308" s="127"/>
      <c r="SDM308" s="127"/>
      <c r="SDN308" s="127"/>
      <c r="SDO308" s="127"/>
      <c r="SDP308" s="127"/>
      <c r="SDQ308" s="127"/>
      <c r="SDR308" s="127"/>
      <c r="SDS308" s="127"/>
      <c r="SDT308" s="127"/>
      <c r="SDU308" s="127"/>
      <c r="SDV308" s="127"/>
      <c r="SDW308" s="127"/>
      <c r="SDX308" s="127"/>
      <c r="SDY308" s="127"/>
      <c r="SDZ308" s="127"/>
      <c r="SEA308" s="127"/>
      <c r="SEB308" s="127"/>
      <c r="SEC308" s="127"/>
      <c r="SED308" s="127"/>
      <c r="SEE308" s="127"/>
      <c r="SEF308" s="127"/>
      <c r="SEG308" s="127"/>
      <c r="SEH308" s="127"/>
      <c r="SEI308" s="127"/>
      <c r="SEJ308" s="127"/>
      <c r="SEK308" s="127"/>
      <c r="SEL308" s="127"/>
      <c r="SEM308" s="127"/>
      <c r="SEN308" s="127"/>
      <c r="SEO308" s="127"/>
      <c r="SEP308" s="127"/>
      <c r="SEQ308" s="127"/>
      <c r="SER308" s="127"/>
      <c r="SES308" s="127"/>
      <c r="SET308" s="127"/>
      <c r="SEU308" s="127"/>
      <c r="SEV308" s="127"/>
      <c r="SEW308" s="127"/>
      <c r="SEX308" s="127"/>
      <c r="SEY308" s="127"/>
      <c r="SEZ308" s="127"/>
      <c r="SFA308" s="127"/>
      <c r="SFB308" s="127"/>
      <c r="SFC308" s="127"/>
      <c r="SFD308" s="127"/>
      <c r="SFE308" s="127"/>
      <c r="SFF308" s="127"/>
      <c r="SFG308" s="127"/>
      <c r="SFH308" s="127"/>
      <c r="SFI308" s="127"/>
      <c r="SFJ308" s="127"/>
      <c r="SFK308" s="127"/>
      <c r="SFL308" s="127"/>
      <c r="SFM308" s="127"/>
      <c r="SFN308" s="127"/>
      <c r="SFO308" s="127"/>
      <c r="SFP308" s="127"/>
      <c r="SFQ308" s="127"/>
      <c r="SFR308" s="127"/>
      <c r="SFS308" s="127"/>
      <c r="SFT308" s="127"/>
      <c r="SFU308" s="127"/>
      <c r="SFV308" s="127"/>
      <c r="SFW308" s="127"/>
      <c r="SFX308" s="127"/>
      <c r="SFY308" s="127"/>
      <c r="SFZ308" s="127"/>
      <c r="SGA308" s="127"/>
      <c r="SGB308" s="127"/>
      <c r="SGC308" s="127"/>
      <c r="SGD308" s="127"/>
      <c r="SGE308" s="127"/>
      <c r="SGF308" s="127"/>
      <c r="SGG308" s="127"/>
      <c r="SGH308" s="127"/>
      <c r="SGI308" s="127"/>
      <c r="SGJ308" s="127"/>
      <c r="SGK308" s="127"/>
      <c r="SGL308" s="127"/>
      <c r="SGM308" s="127"/>
      <c r="SGN308" s="127"/>
      <c r="SGO308" s="127"/>
      <c r="SGP308" s="127"/>
      <c r="SGQ308" s="127"/>
      <c r="SGR308" s="127"/>
      <c r="SGS308" s="127"/>
      <c r="SGT308" s="127"/>
      <c r="SGU308" s="127"/>
      <c r="SGV308" s="127"/>
      <c r="SGW308" s="127"/>
      <c r="SGX308" s="127"/>
      <c r="SGY308" s="127"/>
      <c r="SGZ308" s="127"/>
      <c r="SHA308" s="127"/>
      <c r="SHB308" s="127"/>
      <c r="SHC308" s="127"/>
      <c r="SHD308" s="127"/>
      <c r="SHE308" s="127"/>
      <c r="SHF308" s="127"/>
      <c r="SHG308" s="127"/>
      <c r="SHH308" s="127"/>
      <c r="SHI308" s="127"/>
      <c r="SHJ308" s="127"/>
      <c r="SHK308" s="127"/>
      <c r="SHL308" s="127"/>
      <c r="SHM308" s="127"/>
      <c r="SHN308" s="127"/>
      <c r="SHO308" s="127"/>
      <c r="SHP308" s="127"/>
      <c r="SHQ308" s="127"/>
      <c r="SHR308" s="127"/>
      <c r="SHS308" s="127"/>
      <c r="SHT308" s="127"/>
      <c r="SHU308" s="127"/>
      <c r="SHV308" s="127"/>
      <c r="SHW308" s="127"/>
      <c r="SHX308" s="127"/>
      <c r="SHY308" s="127"/>
      <c r="SHZ308" s="127"/>
      <c r="SIA308" s="127"/>
      <c r="SIB308" s="127"/>
      <c r="SIC308" s="127"/>
      <c r="SID308" s="127"/>
      <c r="SIE308" s="127"/>
      <c r="SIF308" s="127"/>
      <c r="SIG308" s="127"/>
      <c r="SIH308" s="127"/>
      <c r="SII308" s="127"/>
      <c r="SIJ308" s="127"/>
      <c r="SIK308" s="127"/>
      <c r="SIL308" s="127"/>
      <c r="SIM308" s="127"/>
      <c r="SIN308" s="127"/>
      <c r="SIO308" s="127"/>
      <c r="SIP308" s="127"/>
      <c r="SIQ308" s="127"/>
      <c r="SIR308" s="127"/>
      <c r="SIS308" s="127"/>
      <c r="SIT308" s="127"/>
      <c r="SIU308" s="127"/>
      <c r="SIV308" s="127"/>
      <c r="SIW308" s="127"/>
      <c r="SIX308" s="127"/>
      <c r="SIY308" s="127"/>
      <c r="SIZ308" s="127"/>
      <c r="SJA308" s="127"/>
      <c r="SJB308" s="127"/>
      <c r="SJC308" s="127"/>
      <c r="SJD308" s="127"/>
      <c r="SJE308" s="127"/>
      <c r="SJF308" s="127"/>
      <c r="SJG308" s="127"/>
      <c r="SJH308" s="127"/>
      <c r="SJI308" s="127"/>
      <c r="SJJ308" s="127"/>
      <c r="SJK308" s="127"/>
      <c r="SJL308" s="127"/>
      <c r="SJM308" s="127"/>
      <c r="SJN308" s="127"/>
      <c r="SJO308" s="127"/>
      <c r="SJP308" s="127"/>
      <c r="SJQ308" s="127"/>
      <c r="SJR308" s="127"/>
      <c r="SJS308" s="127"/>
      <c r="SJT308" s="127"/>
      <c r="SJU308" s="127"/>
      <c r="SJV308" s="127"/>
      <c r="SJW308" s="127"/>
      <c r="SJX308" s="127"/>
      <c r="SJY308" s="127"/>
      <c r="SJZ308" s="127"/>
      <c r="SKA308" s="127"/>
      <c r="SKB308" s="127"/>
      <c r="SKC308" s="127"/>
      <c r="SKD308" s="127"/>
      <c r="SKE308" s="127"/>
      <c r="SKF308" s="127"/>
      <c r="SKG308" s="127"/>
      <c r="SKH308" s="127"/>
      <c r="SKI308" s="127"/>
      <c r="SKJ308" s="127"/>
      <c r="SKK308" s="127"/>
      <c r="SKL308" s="127"/>
      <c r="SKM308" s="127"/>
      <c r="SKN308" s="127"/>
      <c r="SKO308" s="127"/>
      <c r="SKP308" s="127"/>
      <c r="SKQ308" s="127"/>
      <c r="SKR308" s="127"/>
      <c r="SKS308" s="127"/>
      <c r="SKT308" s="127"/>
      <c r="SKU308" s="127"/>
      <c r="SKV308" s="127"/>
      <c r="SKW308" s="127"/>
      <c r="SKX308" s="127"/>
      <c r="SKY308" s="127"/>
      <c r="SKZ308" s="127"/>
      <c r="SLA308" s="127"/>
      <c r="SLB308" s="127"/>
      <c r="SLC308" s="127"/>
      <c r="SLD308" s="127"/>
      <c r="SLE308" s="127"/>
      <c r="SLF308" s="127"/>
      <c r="SLG308" s="127"/>
      <c r="SLH308" s="127"/>
      <c r="SLI308" s="127"/>
      <c r="SLJ308" s="127"/>
      <c r="SLK308" s="127"/>
      <c r="SLL308" s="127"/>
      <c r="SLM308" s="127"/>
      <c r="SLN308" s="127"/>
      <c r="SLO308" s="127"/>
      <c r="SLP308" s="127"/>
      <c r="SLQ308" s="127"/>
      <c r="SLR308" s="127"/>
      <c r="SLS308" s="127"/>
      <c r="SLT308" s="127"/>
      <c r="SLU308" s="127"/>
      <c r="SLV308" s="127"/>
      <c r="SLW308" s="127"/>
      <c r="SLX308" s="127"/>
      <c r="SLY308" s="127"/>
      <c r="SLZ308" s="127"/>
      <c r="SMA308" s="127"/>
      <c r="SMB308" s="127"/>
      <c r="SMC308" s="127"/>
      <c r="SMD308" s="127"/>
      <c r="SME308" s="127"/>
      <c r="SMF308" s="127"/>
      <c r="SMG308" s="127"/>
      <c r="SMH308" s="127"/>
      <c r="SMI308" s="127"/>
      <c r="SMJ308" s="127"/>
      <c r="SMK308" s="127"/>
      <c r="SML308" s="127"/>
      <c r="SMM308" s="127"/>
      <c r="SMN308" s="127"/>
      <c r="SMO308" s="127"/>
      <c r="SMP308" s="127"/>
      <c r="SMQ308" s="127"/>
      <c r="SMR308" s="127"/>
      <c r="SMS308" s="127"/>
      <c r="SMT308" s="127"/>
      <c r="SMU308" s="127"/>
      <c r="SMV308" s="127"/>
      <c r="SMW308" s="127"/>
      <c r="SMX308" s="127"/>
      <c r="SMY308" s="127"/>
      <c r="SMZ308" s="127"/>
      <c r="SNA308" s="127"/>
      <c r="SNB308" s="127"/>
      <c r="SNC308" s="127"/>
      <c r="SND308" s="127"/>
      <c r="SNE308" s="127"/>
      <c r="SNF308" s="127"/>
      <c r="SNG308" s="127"/>
      <c r="SNH308" s="127"/>
      <c r="SNI308" s="127"/>
      <c r="SNJ308" s="127"/>
      <c r="SNK308" s="127"/>
      <c r="SNL308" s="127"/>
      <c r="SNM308" s="127"/>
      <c r="SNN308" s="127"/>
      <c r="SNO308" s="127"/>
      <c r="SNP308" s="127"/>
      <c r="SNQ308" s="127"/>
      <c r="SNR308" s="127"/>
      <c r="SNS308" s="127"/>
      <c r="SNT308" s="127"/>
      <c r="SNU308" s="127"/>
      <c r="SNV308" s="127"/>
      <c r="SNW308" s="127"/>
      <c r="SNX308" s="127"/>
      <c r="SNY308" s="127"/>
      <c r="SNZ308" s="127"/>
      <c r="SOA308" s="127"/>
      <c r="SOB308" s="127"/>
      <c r="SOC308" s="127"/>
      <c r="SOD308" s="127"/>
      <c r="SOE308" s="127"/>
      <c r="SOF308" s="127"/>
      <c r="SOG308" s="127"/>
      <c r="SOH308" s="127"/>
      <c r="SOI308" s="127"/>
      <c r="SOJ308" s="127"/>
      <c r="SOK308" s="127"/>
      <c r="SOL308" s="127"/>
      <c r="SOM308" s="127"/>
      <c r="SON308" s="127"/>
      <c r="SOO308" s="127"/>
      <c r="SOP308" s="127"/>
      <c r="SOQ308" s="127"/>
      <c r="SOR308" s="127"/>
      <c r="SOS308" s="127"/>
      <c r="SOT308" s="127"/>
      <c r="SOU308" s="127"/>
      <c r="SOV308" s="127"/>
      <c r="SOW308" s="127"/>
      <c r="SOX308" s="127"/>
      <c r="SOY308" s="127"/>
      <c r="SOZ308" s="127"/>
      <c r="SPA308" s="127"/>
      <c r="SPB308" s="127"/>
      <c r="SPC308" s="127"/>
      <c r="SPD308" s="127"/>
      <c r="SPE308" s="127"/>
      <c r="SPF308" s="127"/>
      <c r="SPG308" s="127"/>
      <c r="SPH308" s="127"/>
      <c r="SPI308" s="127"/>
      <c r="SPJ308" s="127"/>
      <c r="SPK308" s="127"/>
      <c r="SPL308" s="127"/>
      <c r="SPM308" s="127"/>
      <c r="SPN308" s="127"/>
      <c r="SPO308" s="127"/>
      <c r="SPP308" s="127"/>
      <c r="SPQ308" s="127"/>
      <c r="SPR308" s="127"/>
      <c r="SPS308" s="127"/>
      <c r="SPT308" s="127"/>
      <c r="SPU308" s="127"/>
      <c r="SPV308" s="127"/>
      <c r="SPW308" s="127"/>
      <c r="SPX308" s="127"/>
      <c r="SPY308" s="127"/>
      <c r="SPZ308" s="127"/>
      <c r="SQA308" s="127"/>
      <c r="SQB308" s="127"/>
      <c r="SQC308" s="127"/>
      <c r="SQD308" s="127"/>
      <c r="SQE308" s="127"/>
      <c r="SQF308" s="127"/>
      <c r="SQG308" s="127"/>
      <c r="SQH308" s="127"/>
      <c r="SQI308" s="127"/>
      <c r="SQJ308" s="127"/>
      <c r="SQK308" s="127"/>
      <c r="SQL308" s="127"/>
      <c r="SQM308" s="127"/>
      <c r="SQN308" s="127"/>
      <c r="SQO308" s="127"/>
      <c r="SQP308" s="127"/>
      <c r="SQQ308" s="127"/>
      <c r="SQR308" s="127"/>
      <c r="SQS308" s="127"/>
      <c r="SQT308" s="127"/>
      <c r="SQU308" s="127"/>
      <c r="SQV308" s="127"/>
      <c r="SQW308" s="127"/>
      <c r="SQX308" s="127"/>
      <c r="SQY308" s="127"/>
      <c r="SQZ308" s="127"/>
      <c r="SRA308" s="127"/>
      <c r="SRB308" s="127"/>
      <c r="SRC308" s="127"/>
      <c r="SRD308" s="127"/>
      <c r="SRE308" s="127"/>
      <c r="SRF308" s="127"/>
      <c r="SRG308" s="127"/>
      <c r="SRH308" s="127"/>
      <c r="SRI308" s="127"/>
      <c r="SRJ308" s="127"/>
      <c r="SRK308" s="127"/>
      <c r="SRL308" s="127"/>
      <c r="SRM308" s="127"/>
      <c r="SRN308" s="127"/>
      <c r="SRO308" s="127"/>
      <c r="SRP308" s="127"/>
      <c r="SRQ308" s="127"/>
      <c r="SRR308" s="127"/>
      <c r="SRS308" s="127"/>
      <c r="SRT308" s="127"/>
      <c r="SRU308" s="127"/>
      <c r="SRV308" s="127"/>
      <c r="SRW308" s="127"/>
      <c r="SRX308" s="127"/>
      <c r="SRY308" s="127"/>
      <c r="SRZ308" s="127"/>
      <c r="SSA308" s="127"/>
      <c r="SSB308" s="127"/>
      <c r="SSC308" s="127"/>
      <c r="SSD308" s="127"/>
      <c r="SSE308" s="127"/>
      <c r="SSF308" s="127"/>
      <c r="SSG308" s="127"/>
      <c r="SSH308" s="127"/>
      <c r="SSI308" s="127"/>
      <c r="SSJ308" s="127"/>
      <c r="SSK308" s="127"/>
      <c r="SSL308" s="127"/>
      <c r="SSM308" s="127"/>
      <c r="SSN308" s="127"/>
      <c r="SSO308" s="127"/>
      <c r="SSP308" s="127"/>
      <c r="SSQ308" s="127"/>
      <c r="SSR308" s="127"/>
      <c r="SSS308" s="127"/>
      <c r="SST308" s="127"/>
      <c r="SSU308" s="127"/>
      <c r="SSV308" s="127"/>
      <c r="SSW308" s="127"/>
      <c r="SSX308" s="127"/>
      <c r="SSY308" s="127"/>
      <c r="SSZ308" s="127"/>
      <c r="STA308" s="127"/>
      <c r="STB308" s="127"/>
      <c r="STC308" s="127"/>
      <c r="STD308" s="127"/>
      <c r="STE308" s="127"/>
      <c r="STF308" s="127"/>
      <c r="STG308" s="127"/>
      <c r="STH308" s="127"/>
      <c r="STI308" s="127"/>
      <c r="STJ308" s="127"/>
      <c r="STK308" s="127"/>
      <c r="STL308" s="127"/>
      <c r="STM308" s="127"/>
      <c r="STN308" s="127"/>
      <c r="STO308" s="127"/>
      <c r="STP308" s="127"/>
      <c r="STQ308" s="127"/>
      <c r="STR308" s="127"/>
      <c r="STS308" s="127"/>
      <c r="STT308" s="127"/>
      <c r="STU308" s="127"/>
      <c r="STV308" s="127"/>
      <c r="STW308" s="127"/>
      <c r="STX308" s="127"/>
      <c r="STY308" s="127"/>
      <c r="STZ308" s="127"/>
      <c r="SUA308" s="127"/>
      <c r="SUB308" s="127"/>
      <c r="SUC308" s="127"/>
      <c r="SUD308" s="127"/>
      <c r="SUE308" s="127"/>
      <c r="SUF308" s="127"/>
      <c r="SUG308" s="127"/>
      <c r="SUH308" s="127"/>
      <c r="SUI308" s="127"/>
      <c r="SUJ308" s="127"/>
      <c r="SUK308" s="127"/>
      <c r="SUL308" s="127"/>
      <c r="SUM308" s="127"/>
      <c r="SUN308" s="127"/>
      <c r="SUO308" s="127"/>
      <c r="SUP308" s="127"/>
      <c r="SUQ308" s="127"/>
      <c r="SUR308" s="127"/>
      <c r="SUS308" s="127"/>
      <c r="SUT308" s="127"/>
      <c r="SUU308" s="127"/>
      <c r="SUV308" s="127"/>
      <c r="SUW308" s="127"/>
      <c r="SUX308" s="127"/>
      <c r="SUY308" s="127"/>
      <c r="SUZ308" s="127"/>
      <c r="SVA308" s="127"/>
      <c r="SVB308" s="127"/>
      <c r="SVC308" s="127"/>
      <c r="SVD308" s="127"/>
      <c r="SVE308" s="127"/>
      <c r="SVF308" s="127"/>
      <c r="SVG308" s="127"/>
      <c r="SVH308" s="127"/>
      <c r="SVI308" s="127"/>
      <c r="SVJ308" s="127"/>
      <c r="SVK308" s="127"/>
      <c r="SVL308" s="127"/>
      <c r="SVM308" s="127"/>
      <c r="SVN308" s="127"/>
      <c r="SVO308" s="127"/>
      <c r="SVP308" s="127"/>
      <c r="SVQ308" s="127"/>
      <c r="SVR308" s="127"/>
      <c r="SVS308" s="127"/>
      <c r="SVT308" s="127"/>
      <c r="SVU308" s="127"/>
      <c r="SVV308" s="127"/>
      <c r="SVW308" s="127"/>
      <c r="SVX308" s="127"/>
      <c r="SVY308" s="127"/>
      <c r="SVZ308" s="127"/>
      <c r="SWA308" s="127"/>
      <c r="SWB308" s="127"/>
      <c r="SWC308" s="127"/>
      <c r="SWD308" s="127"/>
      <c r="SWE308" s="127"/>
      <c r="SWF308" s="127"/>
      <c r="SWG308" s="127"/>
      <c r="SWH308" s="127"/>
      <c r="SWI308" s="127"/>
      <c r="SWJ308" s="127"/>
      <c r="SWK308" s="127"/>
      <c r="SWL308" s="127"/>
      <c r="SWM308" s="127"/>
      <c r="SWN308" s="127"/>
      <c r="SWO308" s="127"/>
      <c r="SWP308" s="127"/>
      <c r="SWQ308" s="127"/>
      <c r="SWR308" s="127"/>
      <c r="SWS308" s="127"/>
      <c r="SWT308" s="127"/>
      <c r="SWU308" s="127"/>
      <c r="SWV308" s="127"/>
      <c r="SWW308" s="127"/>
      <c r="SWX308" s="127"/>
      <c r="SWY308" s="127"/>
      <c r="SWZ308" s="127"/>
      <c r="SXA308" s="127"/>
      <c r="SXB308" s="127"/>
      <c r="SXC308" s="127"/>
      <c r="SXD308" s="127"/>
      <c r="SXE308" s="127"/>
      <c r="SXF308" s="127"/>
      <c r="SXG308" s="127"/>
      <c r="SXH308" s="127"/>
      <c r="SXI308" s="127"/>
      <c r="SXJ308" s="127"/>
      <c r="SXK308" s="127"/>
      <c r="SXL308" s="127"/>
      <c r="SXM308" s="127"/>
      <c r="SXN308" s="127"/>
      <c r="SXO308" s="127"/>
      <c r="SXP308" s="127"/>
      <c r="SXQ308" s="127"/>
      <c r="SXR308" s="127"/>
      <c r="SXS308" s="127"/>
      <c r="SXT308" s="127"/>
      <c r="SXU308" s="127"/>
      <c r="SXV308" s="127"/>
      <c r="SXW308" s="127"/>
      <c r="SXX308" s="127"/>
      <c r="SXY308" s="127"/>
      <c r="SXZ308" s="127"/>
      <c r="SYA308" s="127"/>
      <c r="SYB308" s="127"/>
      <c r="SYC308" s="127"/>
      <c r="SYD308" s="127"/>
      <c r="SYE308" s="127"/>
      <c r="SYF308" s="127"/>
      <c r="SYG308" s="127"/>
      <c r="SYH308" s="127"/>
      <c r="SYI308" s="127"/>
      <c r="SYJ308" s="127"/>
      <c r="SYK308" s="127"/>
      <c r="SYL308" s="127"/>
      <c r="SYM308" s="127"/>
      <c r="SYN308" s="127"/>
      <c r="SYO308" s="127"/>
      <c r="SYP308" s="127"/>
      <c r="SYQ308" s="127"/>
      <c r="SYR308" s="127"/>
      <c r="SYS308" s="127"/>
      <c r="SYT308" s="127"/>
      <c r="SYU308" s="127"/>
      <c r="SYV308" s="127"/>
      <c r="SYW308" s="127"/>
      <c r="SYX308" s="127"/>
      <c r="SYY308" s="127"/>
      <c r="SYZ308" s="127"/>
      <c r="SZA308" s="127"/>
      <c r="SZB308" s="127"/>
      <c r="SZC308" s="127"/>
      <c r="SZD308" s="127"/>
      <c r="SZE308" s="127"/>
      <c r="SZF308" s="127"/>
      <c r="SZG308" s="127"/>
      <c r="SZH308" s="127"/>
      <c r="SZI308" s="127"/>
      <c r="SZJ308" s="127"/>
      <c r="SZK308" s="127"/>
      <c r="SZL308" s="127"/>
      <c r="SZM308" s="127"/>
      <c r="SZN308" s="127"/>
      <c r="SZO308" s="127"/>
      <c r="SZP308" s="127"/>
      <c r="SZQ308" s="127"/>
      <c r="SZR308" s="127"/>
      <c r="SZS308" s="127"/>
      <c r="SZT308" s="127"/>
      <c r="SZU308" s="127"/>
      <c r="SZV308" s="127"/>
      <c r="SZW308" s="127"/>
      <c r="SZX308" s="127"/>
      <c r="SZY308" s="127"/>
      <c r="SZZ308" s="127"/>
      <c r="TAA308" s="127"/>
      <c r="TAB308" s="127"/>
      <c r="TAC308" s="127"/>
      <c r="TAD308" s="127"/>
      <c r="TAE308" s="127"/>
      <c r="TAF308" s="127"/>
      <c r="TAG308" s="127"/>
      <c r="TAH308" s="127"/>
      <c r="TAI308" s="127"/>
      <c r="TAJ308" s="127"/>
      <c r="TAK308" s="127"/>
      <c r="TAL308" s="127"/>
      <c r="TAM308" s="127"/>
      <c r="TAN308" s="127"/>
      <c r="TAO308" s="127"/>
      <c r="TAP308" s="127"/>
      <c r="TAQ308" s="127"/>
      <c r="TAR308" s="127"/>
      <c r="TAS308" s="127"/>
      <c r="TAT308" s="127"/>
      <c r="TAU308" s="127"/>
      <c r="TAV308" s="127"/>
      <c r="TAW308" s="127"/>
      <c r="TAX308" s="127"/>
      <c r="TAY308" s="127"/>
      <c r="TAZ308" s="127"/>
      <c r="TBA308" s="127"/>
      <c r="TBB308" s="127"/>
      <c r="TBC308" s="127"/>
      <c r="TBD308" s="127"/>
      <c r="TBE308" s="127"/>
      <c r="TBF308" s="127"/>
      <c r="TBG308" s="127"/>
      <c r="TBH308" s="127"/>
      <c r="TBI308" s="127"/>
      <c r="TBJ308" s="127"/>
      <c r="TBK308" s="127"/>
      <c r="TBL308" s="127"/>
      <c r="TBM308" s="127"/>
      <c r="TBN308" s="127"/>
      <c r="TBO308" s="127"/>
      <c r="TBP308" s="127"/>
      <c r="TBQ308" s="127"/>
      <c r="TBR308" s="127"/>
      <c r="TBS308" s="127"/>
      <c r="TBT308" s="127"/>
      <c r="TBU308" s="127"/>
      <c r="TBV308" s="127"/>
      <c r="TBW308" s="127"/>
      <c r="TBX308" s="127"/>
      <c r="TBY308" s="127"/>
      <c r="TBZ308" s="127"/>
      <c r="TCA308" s="127"/>
      <c r="TCB308" s="127"/>
      <c r="TCC308" s="127"/>
      <c r="TCD308" s="127"/>
      <c r="TCE308" s="127"/>
      <c r="TCF308" s="127"/>
      <c r="TCG308" s="127"/>
      <c r="TCH308" s="127"/>
      <c r="TCI308" s="127"/>
      <c r="TCJ308" s="127"/>
      <c r="TCK308" s="127"/>
      <c r="TCL308" s="127"/>
      <c r="TCM308" s="127"/>
      <c r="TCN308" s="127"/>
      <c r="TCO308" s="127"/>
      <c r="TCP308" s="127"/>
      <c r="TCQ308" s="127"/>
      <c r="TCR308" s="127"/>
      <c r="TCS308" s="127"/>
      <c r="TCT308" s="127"/>
      <c r="TCU308" s="127"/>
      <c r="TCV308" s="127"/>
      <c r="TCW308" s="127"/>
      <c r="TCX308" s="127"/>
      <c r="TCY308" s="127"/>
      <c r="TCZ308" s="127"/>
      <c r="TDA308" s="127"/>
      <c r="TDB308" s="127"/>
      <c r="TDC308" s="127"/>
      <c r="TDD308" s="127"/>
      <c r="TDE308" s="127"/>
      <c r="TDF308" s="127"/>
      <c r="TDG308" s="127"/>
      <c r="TDH308" s="127"/>
      <c r="TDI308" s="127"/>
      <c r="TDJ308" s="127"/>
      <c r="TDK308" s="127"/>
      <c r="TDL308" s="127"/>
      <c r="TDM308" s="127"/>
      <c r="TDN308" s="127"/>
      <c r="TDO308" s="127"/>
      <c r="TDP308" s="127"/>
      <c r="TDQ308" s="127"/>
      <c r="TDR308" s="127"/>
      <c r="TDS308" s="127"/>
      <c r="TDT308" s="127"/>
      <c r="TDU308" s="127"/>
      <c r="TDV308" s="127"/>
      <c r="TDW308" s="127"/>
      <c r="TDX308" s="127"/>
      <c r="TDY308" s="127"/>
      <c r="TDZ308" s="127"/>
      <c r="TEA308" s="127"/>
      <c r="TEB308" s="127"/>
      <c r="TEC308" s="127"/>
      <c r="TED308" s="127"/>
      <c r="TEE308" s="127"/>
      <c r="TEF308" s="127"/>
      <c r="TEG308" s="127"/>
      <c r="TEH308" s="127"/>
      <c r="TEI308" s="127"/>
      <c r="TEJ308" s="127"/>
      <c r="TEK308" s="127"/>
      <c r="TEL308" s="127"/>
      <c r="TEM308" s="127"/>
      <c r="TEN308" s="127"/>
      <c r="TEO308" s="127"/>
      <c r="TEP308" s="127"/>
      <c r="TEQ308" s="127"/>
      <c r="TER308" s="127"/>
      <c r="TES308" s="127"/>
      <c r="TET308" s="127"/>
      <c r="TEU308" s="127"/>
      <c r="TEV308" s="127"/>
      <c r="TEW308" s="127"/>
      <c r="TEX308" s="127"/>
      <c r="TEY308" s="127"/>
      <c r="TEZ308" s="127"/>
      <c r="TFA308" s="127"/>
      <c r="TFB308" s="127"/>
      <c r="TFC308" s="127"/>
      <c r="TFD308" s="127"/>
      <c r="TFE308" s="127"/>
      <c r="TFF308" s="127"/>
      <c r="TFG308" s="127"/>
      <c r="TFH308" s="127"/>
      <c r="TFI308" s="127"/>
      <c r="TFJ308" s="127"/>
      <c r="TFK308" s="127"/>
      <c r="TFL308" s="127"/>
      <c r="TFM308" s="127"/>
      <c r="TFN308" s="127"/>
      <c r="TFO308" s="127"/>
      <c r="TFP308" s="127"/>
      <c r="TFQ308" s="127"/>
      <c r="TFR308" s="127"/>
      <c r="TFS308" s="127"/>
      <c r="TFT308" s="127"/>
      <c r="TFU308" s="127"/>
      <c r="TFV308" s="127"/>
      <c r="TFW308" s="127"/>
      <c r="TFX308" s="127"/>
      <c r="TFY308" s="127"/>
      <c r="TFZ308" s="127"/>
      <c r="TGA308" s="127"/>
      <c r="TGB308" s="127"/>
      <c r="TGC308" s="127"/>
      <c r="TGD308" s="127"/>
      <c r="TGE308" s="127"/>
      <c r="TGF308" s="127"/>
      <c r="TGG308" s="127"/>
      <c r="TGH308" s="127"/>
      <c r="TGI308" s="127"/>
      <c r="TGJ308" s="127"/>
      <c r="TGK308" s="127"/>
      <c r="TGL308" s="127"/>
      <c r="TGM308" s="127"/>
      <c r="TGN308" s="127"/>
      <c r="TGO308" s="127"/>
      <c r="TGP308" s="127"/>
      <c r="TGQ308" s="127"/>
      <c r="TGR308" s="127"/>
      <c r="TGS308" s="127"/>
      <c r="TGT308" s="127"/>
      <c r="TGU308" s="127"/>
      <c r="TGV308" s="127"/>
      <c r="TGW308" s="127"/>
      <c r="TGX308" s="127"/>
      <c r="TGY308" s="127"/>
      <c r="TGZ308" s="127"/>
      <c r="THA308" s="127"/>
      <c r="THB308" s="127"/>
      <c r="THC308" s="127"/>
      <c r="THD308" s="127"/>
      <c r="THE308" s="127"/>
      <c r="THF308" s="127"/>
      <c r="THG308" s="127"/>
      <c r="THH308" s="127"/>
      <c r="THI308" s="127"/>
      <c r="THJ308" s="127"/>
      <c r="THK308" s="127"/>
      <c r="THL308" s="127"/>
      <c r="THM308" s="127"/>
      <c r="THN308" s="127"/>
      <c r="THO308" s="127"/>
      <c r="THP308" s="127"/>
      <c r="THQ308" s="127"/>
      <c r="THR308" s="127"/>
      <c r="THS308" s="127"/>
      <c r="THT308" s="127"/>
      <c r="THU308" s="127"/>
      <c r="THV308" s="127"/>
      <c r="THW308" s="127"/>
      <c r="THX308" s="127"/>
      <c r="THY308" s="127"/>
      <c r="THZ308" s="127"/>
      <c r="TIA308" s="127"/>
      <c r="TIB308" s="127"/>
      <c r="TIC308" s="127"/>
      <c r="TID308" s="127"/>
      <c r="TIE308" s="127"/>
      <c r="TIF308" s="127"/>
      <c r="TIG308" s="127"/>
      <c r="TIH308" s="127"/>
      <c r="TII308" s="127"/>
      <c r="TIJ308" s="127"/>
      <c r="TIK308" s="127"/>
      <c r="TIL308" s="127"/>
      <c r="TIM308" s="127"/>
      <c r="TIN308" s="127"/>
      <c r="TIO308" s="127"/>
      <c r="TIP308" s="127"/>
      <c r="TIQ308" s="127"/>
      <c r="TIR308" s="127"/>
      <c r="TIS308" s="127"/>
      <c r="TIT308" s="127"/>
      <c r="TIU308" s="127"/>
      <c r="TIV308" s="127"/>
      <c r="TIW308" s="127"/>
      <c r="TIX308" s="127"/>
      <c r="TIY308" s="127"/>
      <c r="TIZ308" s="127"/>
      <c r="TJA308" s="127"/>
      <c r="TJB308" s="127"/>
      <c r="TJC308" s="127"/>
      <c r="TJD308" s="127"/>
      <c r="TJE308" s="127"/>
      <c r="TJF308" s="127"/>
      <c r="TJG308" s="127"/>
      <c r="TJH308" s="127"/>
      <c r="TJI308" s="127"/>
      <c r="TJJ308" s="127"/>
      <c r="TJK308" s="127"/>
      <c r="TJL308" s="127"/>
      <c r="TJM308" s="127"/>
      <c r="TJN308" s="127"/>
      <c r="TJO308" s="127"/>
      <c r="TJP308" s="127"/>
      <c r="TJQ308" s="127"/>
      <c r="TJR308" s="127"/>
      <c r="TJS308" s="127"/>
      <c r="TJT308" s="127"/>
      <c r="TJU308" s="127"/>
      <c r="TJV308" s="127"/>
      <c r="TJW308" s="127"/>
      <c r="TJX308" s="127"/>
      <c r="TJY308" s="127"/>
      <c r="TJZ308" s="127"/>
      <c r="TKA308" s="127"/>
      <c r="TKB308" s="127"/>
      <c r="TKC308" s="127"/>
      <c r="TKD308" s="127"/>
      <c r="TKE308" s="127"/>
      <c r="TKF308" s="127"/>
      <c r="TKG308" s="127"/>
      <c r="TKH308" s="127"/>
      <c r="TKI308" s="127"/>
      <c r="TKJ308" s="127"/>
      <c r="TKK308" s="127"/>
      <c r="TKL308" s="127"/>
      <c r="TKM308" s="127"/>
      <c r="TKN308" s="127"/>
      <c r="TKO308" s="127"/>
      <c r="TKP308" s="127"/>
      <c r="TKQ308" s="127"/>
      <c r="TKR308" s="127"/>
      <c r="TKS308" s="127"/>
      <c r="TKT308" s="127"/>
      <c r="TKU308" s="127"/>
      <c r="TKV308" s="127"/>
      <c r="TKW308" s="127"/>
      <c r="TKX308" s="127"/>
      <c r="TKY308" s="127"/>
      <c r="TKZ308" s="127"/>
      <c r="TLA308" s="127"/>
      <c r="TLB308" s="127"/>
      <c r="TLC308" s="127"/>
      <c r="TLD308" s="127"/>
      <c r="TLE308" s="127"/>
      <c r="TLF308" s="127"/>
      <c r="TLG308" s="127"/>
      <c r="TLH308" s="127"/>
      <c r="TLI308" s="127"/>
      <c r="TLJ308" s="127"/>
      <c r="TLK308" s="127"/>
      <c r="TLL308" s="127"/>
      <c r="TLM308" s="127"/>
      <c r="TLN308" s="127"/>
      <c r="TLO308" s="127"/>
      <c r="TLP308" s="127"/>
      <c r="TLQ308" s="127"/>
      <c r="TLR308" s="127"/>
      <c r="TLS308" s="127"/>
      <c r="TLT308" s="127"/>
      <c r="TLU308" s="127"/>
      <c r="TLV308" s="127"/>
      <c r="TLW308" s="127"/>
      <c r="TLX308" s="127"/>
      <c r="TLY308" s="127"/>
      <c r="TLZ308" s="127"/>
      <c r="TMA308" s="127"/>
      <c r="TMB308" s="127"/>
      <c r="TMC308" s="127"/>
      <c r="TMD308" s="127"/>
      <c r="TME308" s="127"/>
      <c r="TMF308" s="127"/>
      <c r="TMG308" s="127"/>
      <c r="TMH308" s="127"/>
      <c r="TMI308" s="127"/>
      <c r="TMJ308" s="127"/>
      <c r="TMK308" s="127"/>
      <c r="TML308" s="127"/>
      <c r="TMM308" s="127"/>
      <c r="TMN308" s="127"/>
      <c r="TMO308" s="127"/>
      <c r="TMP308" s="127"/>
      <c r="TMQ308" s="127"/>
      <c r="TMR308" s="127"/>
      <c r="TMS308" s="127"/>
      <c r="TMT308" s="127"/>
      <c r="TMU308" s="127"/>
      <c r="TMV308" s="127"/>
      <c r="TMW308" s="127"/>
      <c r="TMX308" s="127"/>
      <c r="TMY308" s="127"/>
      <c r="TMZ308" s="127"/>
      <c r="TNA308" s="127"/>
      <c r="TNB308" s="127"/>
      <c r="TNC308" s="127"/>
      <c r="TND308" s="127"/>
      <c r="TNE308" s="127"/>
      <c r="TNF308" s="127"/>
      <c r="TNG308" s="127"/>
      <c r="TNH308" s="127"/>
      <c r="TNI308" s="127"/>
      <c r="TNJ308" s="127"/>
      <c r="TNK308" s="127"/>
      <c r="TNL308" s="127"/>
      <c r="TNM308" s="127"/>
      <c r="TNN308" s="127"/>
      <c r="TNO308" s="127"/>
      <c r="TNP308" s="127"/>
      <c r="TNQ308" s="127"/>
      <c r="TNR308" s="127"/>
      <c r="TNS308" s="127"/>
      <c r="TNT308" s="127"/>
      <c r="TNU308" s="127"/>
      <c r="TNV308" s="127"/>
      <c r="TNW308" s="127"/>
      <c r="TNX308" s="127"/>
      <c r="TNY308" s="127"/>
      <c r="TNZ308" s="127"/>
      <c r="TOA308" s="127"/>
      <c r="TOB308" s="127"/>
      <c r="TOC308" s="127"/>
      <c r="TOD308" s="127"/>
      <c r="TOE308" s="127"/>
      <c r="TOF308" s="127"/>
      <c r="TOG308" s="127"/>
      <c r="TOH308" s="127"/>
      <c r="TOI308" s="127"/>
      <c r="TOJ308" s="127"/>
      <c r="TOK308" s="127"/>
      <c r="TOL308" s="127"/>
      <c r="TOM308" s="127"/>
      <c r="TON308" s="127"/>
      <c r="TOO308" s="127"/>
      <c r="TOP308" s="127"/>
      <c r="TOQ308" s="127"/>
      <c r="TOR308" s="127"/>
      <c r="TOS308" s="127"/>
      <c r="TOT308" s="127"/>
      <c r="TOU308" s="127"/>
      <c r="TOV308" s="127"/>
      <c r="TOW308" s="127"/>
      <c r="TOX308" s="127"/>
      <c r="TOY308" s="127"/>
      <c r="TOZ308" s="127"/>
      <c r="TPA308" s="127"/>
      <c r="TPB308" s="127"/>
      <c r="TPC308" s="127"/>
      <c r="TPD308" s="127"/>
      <c r="TPE308" s="127"/>
      <c r="TPF308" s="127"/>
      <c r="TPG308" s="127"/>
      <c r="TPH308" s="127"/>
      <c r="TPI308" s="127"/>
      <c r="TPJ308" s="127"/>
      <c r="TPK308" s="127"/>
      <c r="TPL308" s="127"/>
      <c r="TPM308" s="127"/>
      <c r="TPN308" s="127"/>
      <c r="TPO308" s="127"/>
      <c r="TPP308" s="127"/>
      <c r="TPQ308" s="127"/>
      <c r="TPR308" s="127"/>
      <c r="TPS308" s="127"/>
      <c r="TPT308" s="127"/>
      <c r="TPU308" s="127"/>
      <c r="TPV308" s="127"/>
      <c r="TPW308" s="127"/>
      <c r="TPX308" s="127"/>
      <c r="TPY308" s="127"/>
      <c r="TPZ308" s="127"/>
      <c r="TQA308" s="127"/>
      <c r="TQB308" s="127"/>
      <c r="TQC308" s="127"/>
      <c r="TQD308" s="127"/>
      <c r="TQE308" s="127"/>
      <c r="TQF308" s="127"/>
      <c r="TQG308" s="127"/>
      <c r="TQH308" s="127"/>
      <c r="TQI308" s="127"/>
      <c r="TQJ308" s="127"/>
      <c r="TQK308" s="127"/>
      <c r="TQL308" s="127"/>
      <c r="TQM308" s="127"/>
      <c r="TQN308" s="127"/>
      <c r="TQO308" s="127"/>
      <c r="TQP308" s="127"/>
      <c r="TQQ308" s="127"/>
      <c r="TQR308" s="127"/>
      <c r="TQS308" s="127"/>
      <c r="TQT308" s="127"/>
      <c r="TQU308" s="127"/>
      <c r="TQV308" s="127"/>
      <c r="TQW308" s="127"/>
      <c r="TQX308" s="127"/>
      <c r="TQY308" s="127"/>
      <c r="TQZ308" s="127"/>
      <c r="TRA308" s="127"/>
      <c r="TRB308" s="127"/>
      <c r="TRC308" s="127"/>
      <c r="TRD308" s="127"/>
      <c r="TRE308" s="127"/>
      <c r="TRF308" s="127"/>
      <c r="TRG308" s="127"/>
      <c r="TRH308" s="127"/>
      <c r="TRI308" s="127"/>
      <c r="TRJ308" s="127"/>
      <c r="TRK308" s="127"/>
      <c r="TRL308" s="127"/>
      <c r="TRM308" s="127"/>
      <c r="TRN308" s="127"/>
      <c r="TRO308" s="127"/>
      <c r="TRP308" s="127"/>
      <c r="TRQ308" s="127"/>
      <c r="TRR308" s="127"/>
      <c r="TRS308" s="127"/>
      <c r="TRT308" s="127"/>
      <c r="TRU308" s="127"/>
      <c r="TRV308" s="127"/>
      <c r="TRW308" s="127"/>
      <c r="TRX308" s="127"/>
      <c r="TRY308" s="127"/>
      <c r="TRZ308" s="127"/>
      <c r="TSA308" s="127"/>
      <c r="TSB308" s="127"/>
      <c r="TSC308" s="127"/>
      <c r="TSD308" s="127"/>
      <c r="TSE308" s="127"/>
      <c r="TSF308" s="127"/>
      <c r="TSG308" s="127"/>
      <c r="TSH308" s="127"/>
      <c r="TSI308" s="127"/>
      <c r="TSJ308" s="127"/>
      <c r="TSK308" s="127"/>
      <c r="TSL308" s="127"/>
      <c r="TSM308" s="127"/>
      <c r="TSN308" s="127"/>
      <c r="TSO308" s="127"/>
      <c r="TSP308" s="127"/>
      <c r="TSQ308" s="127"/>
      <c r="TSR308" s="127"/>
      <c r="TSS308" s="127"/>
      <c r="TST308" s="127"/>
      <c r="TSU308" s="127"/>
      <c r="TSV308" s="127"/>
      <c r="TSW308" s="127"/>
      <c r="TSX308" s="127"/>
      <c r="TSY308" s="127"/>
      <c r="TSZ308" s="127"/>
      <c r="TTA308" s="127"/>
      <c r="TTB308" s="127"/>
      <c r="TTC308" s="127"/>
      <c r="TTD308" s="127"/>
      <c r="TTE308" s="127"/>
      <c r="TTF308" s="127"/>
      <c r="TTG308" s="127"/>
      <c r="TTH308" s="127"/>
      <c r="TTI308" s="127"/>
      <c r="TTJ308" s="127"/>
      <c r="TTK308" s="127"/>
      <c r="TTL308" s="127"/>
      <c r="TTM308" s="127"/>
      <c r="TTN308" s="127"/>
      <c r="TTO308" s="127"/>
      <c r="TTP308" s="127"/>
      <c r="TTQ308" s="127"/>
      <c r="TTR308" s="127"/>
      <c r="TTS308" s="127"/>
      <c r="TTT308" s="127"/>
      <c r="TTU308" s="127"/>
      <c r="TTV308" s="127"/>
      <c r="TTW308" s="127"/>
      <c r="TTX308" s="127"/>
      <c r="TTY308" s="127"/>
      <c r="TTZ308" s="127"/>
      <c r="TUA308" s="127"/>
      <c r="TUB308" s="127"/>
      <c r="TUC308" s="127"/>
      <c r="TUD308" s="127"/>
      <c r="TUE308" s="127"/>
      <c r="TUF308" s="127"/>
      <c r="TUG308" s="127"/>
      <c r="TUH308" s="127"/>
      <c r="TUI308" s="127"/>
      <c r="TUJ308" s="127"/>
      <c r="TUK308" s="127"/>
      <c r="TUL308" s="127"/>
      <c r="TUM308" s="127"/>
      <c r="TUN308" s="127"/>
      <c r="TUO308" s="127"/>
      <c r="TUP308" s="127"/>
      <c r="TUQ308" s="127"/>
      <c r="TUR308" s="127"/>
      <c r="TUS308" s="127"/>
      <c r="TUT308" s="127"/>
      <c r="TUU308" s="127"/>
      <c r="TUV308" s="127"/>
      <c r="TUW308" s="127"/>
      <c r="TUX308" s="127"/>
      <c r="TUY308" s="127"/>
      <c r="TUZ308" s="127"/>
      <c r="TVA308" s="127"/>
      <c r="TVB308" s="127"/>
      <c r="TVC308" s="127"/>
      <c r="TVD308" s="127"/>
      <c r="TVE308" s="127"/>
      <c r="TVF308" s="127"/>
      <c r="TVG308" s="127"/>
      <c r="TVH308" s="127"/>
      <c r="TVI308" s="127"/>
      <c r="TVJ308" s="127"/>
      <c r="TVK308" s="127"/>
      <c r="TVL308" s="127"/>
      <c r="TVM308" s="127"/>
      <c r="TVN308" s="127"/>
      <c r="TVO308" s="127"/>
      <c r="TVP308" s="127"/>
      <c r="TVQ308" s="127"/>
      <c r="TVR308" s="127"/>
      <c r="TVS308" s="127"/>
      <c r="TVT308" s="127"/>
      <c r="TVU308" s="127"/>
      <c r="TVV308" s="127"/>
      <c r="TVW308" s="127"/>
      <c r="TVX308" s="127"/>
      <c r="TVY308" s="127"/>
      <c r="TVZ308" s="127"/>
      <c r="TWA308" s="127"/>
      <c r="TWB308" s="127"/>
      <c r="TWC308" s="127"/>
      <c r="TWD308" s="127"/>
      <c r="TWE308" s="127"/>
      <c r="TWF308" s="127"/>
      <c r="TWG308" s="127"/>
      <c r="TWH308" s="127"/>
      <c r="TWI308" s="127"/>
      <c r="TWJ308" s="127"/>
      <c r="TWK308" s="127"/>
      <c r="TWL308" s="127"/>
      <c r="TWM308" s="127"/>
      <c r="TWN308" s="127"/>
      <c r="TWO308" s="127"/>
      <c r="TWP308" s="127"/>
      <c r="TWQ308" s="127"/>
      <c r="TWR308" s="127"/>
      <c r="TWS308" s="127"/>
      <c r="TWT308" s="127"/>
      <c r="TWU308" s="127"/>
      <c r="TWV308" s="127"/>
      <c r="TWW308" s="127"/>
      <c r="TWX308" s="127"/>
      <c r="TWY308" s="127"/>
      <c r="TWZ308" s="127"/>
      <c r="TXA308" s="127"/>
      <c r="TXB308" s="127"/>
      <c r="TXC308" s="127"/>
      <c r="TXD308" s="127"/>
      <c r="TXE308" s="127"/>
      <c r="TXF308" s="127"/>
      <c r="TXG308" s="127"/>
      <c r="TXH308" s="127"/>
      <c r="TXI308" s="127"/>
      <c r="TXJ308" s="127"/>
      <c r="TXK308" s="127"/>
      <c r="TXL308" s="127"/>
      <c r="TXM308" s="127"/>
      <c r="TXN308" s="127"/>
      <c r="TXO308" s="127"/>
      <c r="TXP308" s="127"/>
      <c r="TXQ308" s="127"/>
      <c r="TXR308" s="127"/>
      <c r="TXS308" s="127"/>
      <c r="TXT308" s="127"/>
      <c r="TXU308" s="127"/>
      <c r="TXV308" s="127"/>
      <c r="TXW308" s="127"/>
      <c r="TXX308" s="127"/>
      <c r="TXY308" s="127"/>
      <c r="TXZ308" s="127"/>
      <c r="TYA308" s="127"/>
      <c r="TYB308" s="127"/>
      <c r="TYC308" s="127"/>
      <c r="TYD308" s="127"/>
      <c r="TYE308" s="127"/>
      <c r="TYF308" s="127"/>
      <c r="TYG308" s="127"/>
      <c r="TYH308" s="127"/>
      <c r="TYI308" s="127"/>
      <c r="TYJ308" s="127"/>
      <c r="TYK308" s="127"/>
      <c r="TYL308" s="127"/>
      <c r="TYM308" s="127"/>
      <c r="TYN308" s="127"/>
      <c r="TYO308" s="127"/>
      <c r="TYP308" s="127"/>
      <c r="TYQ308" s="127"/>
      <c r="TYR308" s="127"/>
      <c r="TYS308" s="127"/>
      <c r="TYT308" s="127"/>
      <c r="TYU308" s="127"/>
      <c r="TYV308" s="127"/>
      <c r="TYW308" s="127"/>
      <c r="TYX308" s="127"/>
      <c r="TYY308" s="127"/>
      <c r="TYZ308" s="127"/>
      <c r="TZA308" s="127"/>
      <c r="TZB308" s="127"/>
      <c r="TZC308" s="127"/>
      <c r="TZD308" s="127"/>
      <c r="TZE308" s="127"/>
      <c r="TZF308" s="127"/>
      <c r="TZG308" s="127"/>
      <c r="TZH308" s="127"/>
      <c r="TZI308" s="127"/>
      <c r="TZJ308" s="127"/>
      <c r="TZK308" s="127"/>
      <c r="TZL308" s="127"/>
      <c r="TZM308" s="127"/>
      <c r="TZN308" s="127"/>
      <c r="TZO308" s="127"/>
      <c r="TZP308" s="127"/>
      <c r="TZQ308" s="127"/>
      <c r="TZR308" s="127"/>
      <c r="TZS308" s="127"/>
      <c r="TZT308" s="127"/>
      <c r="TZU308" s="127"/>
      <c r="TZV308" s="127"/>
      <c r="TZW308" s="127"/>
      <c r="TZX308" s="127"/>
      <c r="TZY308" s="127"/>
      <c r="TZZ308" s="127"/>
      <c r="UAA308" s="127"/>
      <c r="UAB308" s="127"/>
      <c r="UAC308" s="127"/>
      <c r="UAD308" s="127"/>
      <c r="UAE308" s="127"/>
      <c r="UAF308" s="127"/>
      <c r="UAG308" s="127"/>
      <c r="UAH308" s="127"/>
      <c r="UAI308" s="127"/>
      <c r="UAJ308" s="127"/>
      <c r="UAK308" s="127"/>
      <c r="UAL308" s="127"/>
      <c r="UAM308" s="127"/>
      <c r="UAN308" s="127"/>
      <c r="UAO308" s="127"/>
      <c r="UAP308" s="127"/>
      <c r="UAQ308" s="127"/>
      <c r="UAR308" s="127"/>
      <c r="UAS308" s="127"/>
      <c r="UAT308" s="127"/>
      <c r="UAU308" s="127"/>
      <c r="UAV308" s="127"/>
      <c r="UAW308" s="127"/>
      <c r="UAX308" s="127"/>
      <c r="UAY308" s="127"/>
      <c r="UAZ308" s="127"/>
      <c r="UBA308" s="127"/>
      <c r="UBB308" s="127"/>
      <c r="UBC308" s="127"/>
      <c r="UBD308" s="127"/>
      <c r="UBE308" s="127"/>
      <c r="UBF308" s="127"/>
      <c r="UBG308" s="127"/>
      <c r="UBH308" s="127"/>
      <c r="UBI308" s="127"/>
      <c r="UBJ308" s="127"/>
      <c r="UBK308" s="127"/>
      <c r="UBL308" s="127"/>
      <c r="UBM308" s="127"/>
      <c r="UBN308" s="127"/>
      <c r="UBO308" s="127"/>
      <c r="UBP308" s="127"/>
      <c r="UBQ308" s="127"/>
      <c r="UBR308" s="127"/>
      <c r="UBS308" s="127"/>
      <c r="UBT308" s="127"/>
      <c r="UBU308" s="127"/>
      <c r="UBV308" s="127"/>
      <c r="UBW308" s="127"/>
      <c r="UBX308" s="127"/>
      <c r="UBY308" s="127"/>
      <c r="UBZ308" s="127"/>
      <c r="UCA308" s="127"/>
      <c r="UCB308" s="127"/>
      <c r="UCC308" s="127"/>
      <c r="UCD308" s="127"/>
      <c r="UCE308" s="127"/>
      <c r="UCF308" s="127"/>
      <c r="UCG308" s="127"/>
      <c r="UCH308" s="127"/>
      <c r="UCI308" s="127"/>
      <c r="UCJ308" s="127"/>
      <c r="UCK308" s="127"/>
      <c r="UCL308" s="127"/>
      <c r="UCM308" s="127"/>
      <c r="UCN308" s="127"/>
      <c r="UCO308" s="127"/>
      <c r="UCP308" s="127"/>
      <c r="UCQ308" s="127"/>
      <c r="UCR308" s="127"/>
      <c r="UCS308" s="127"/>
      <c r="UCT308" s="127"/>
      <c r="UCU308" s="127"/>
      <c r="UCV308" s="127"/>
      <c r="UCW308" s="127"/>
      <c r="UCX308" s="127"/>
      <c r="UCY308" s="127"/>
      <c r="UCZ308" s="127"/>
      <c r="UDA308" s="127"/>
      <c r="UDB308" s="127"/>
      <c r="UDC308" s="127"/>
      <c r="UDD308" s="127"/>
      <c r="UDE308" s="127"/>
      <c r="UDF308" s="127"/>
      <c r="UDG308" s="127"/>
      <c r="UDH308" s="127"/>
      <c r="UDI308" s="127"/>
      <c r="UDJ308" s="127"/>
      <c r="UDK308" s="127"/>
      <c r="UDL308" s="127"/>
      <c r="UDM308" s="127"/>
      <c r="UDN308" s="127"/>
      <c r="UDO308" s="127"/>
      <c r="UDP308" s="127"/>
      <c r="UDQ308" s="127"/>
      <c r="UDR308" s="127"/>
      <c r="UDS308" s="127"/>
      <c r="UDT308" s="127"/>
      <c r="UDU308" s="127"/>
      <c r="UDV308" s="127"/>
      <c r="UDW308" s="127"/>
      <c r="UDX308" s="127"/>
      <c r="UDY308" s="127"/>
      <c r="UDZ308" s="127"/>
      <c r="UEA308" s="127"/>
      <c r="UEB308" s="127"/>
      <c r="UEC308" s="127"/>
      <c r="UED308" s="127"/>
      <c r="UEE308" s="127"/>
      <c r="UEF308" s="127"/>
      <c r="UEG308" s="127"/>
      <c r="UEH308" s="127"/>
      <c r="UEI308" s="127"/>
      <c r="UEJ308" s="127"/>
      <c r="UEK308" s="127"/>
      <c r="UEL308" s="127"/>
      <c r="UEM308" s="127"/>
      <c r="UEN308" s="127"/>
      <c r="UEO308" s="127"/>
      <c r="UEP308" s="127"/>
      <c r="UEQ308" s="127"/>
      <c r="UER308" s="127"/>
      <c r="UES308" s="127"/>
      <c r="UET308" s="127"/>
      <c r="UEU308" s="127"/>
      <c r="UEV308" s="127"/>
      <c r="UEW308" s="127"/>
      <c r="UEX308" s="127"/>
      <c r="UEY308" s="127"/>
      <c r="UEZ308" s="127"/>
      <c r="UFA308" s="127"/>
      <c r="UFB308" s="127"/>
      <c r="UFC308" s="127"/>
      <c r="UFD308" s="127"/>
      <c r="UFE308" s="127"/>
      <c r="UFF308" s="127"/>
      <c r="UFG308" s="127"/>
      <c r="UFH308" s="127"/>
      <c r="UFI308" s="127"/>
      <c r="UFJ308" s="127"/>
      <c r="UFK308" s="127"/>
      <c r="UFL308" s="127"/>
      <c r="UFM308" s="127"/>
      <c r="UFN308" s="127"/>
      <c r="UFO308" s="127"/>
      <c r="UFP308" s="127"/>
      <c r="UFQ308" s="127"/>
      <c r="UFR308" s="127"/>
      <c r="UFS308" s="127"/>
      <c r="UFT308" s="127"/>
      <c r="UFU308" s="127"/>
      <c r="UFV308" s="127"/>
      <c r="UFW308" s="127"/>
      <c r="UFX308" s="127"/>
      <c r="UFY308" s="127"/>
      <c r="UFZ308" s="127"/>
      <c r="UGA308" s="127"/>
      <c r="UGB308" s="127"/>
      <c r="UGC308" s="127"/>
      <c r="UGD308" s="127"/>
      <c r="UGE308" s="127"/>
      <c r="UGF308" s="127"/>
      <c r="UGG308" s="127"/>
      <c r="UGH308" s="127"/>
      <c r="UGI308" s="127"/>
      <c r="UGJ308" s="127"/>
      <c r="UGK308" s="127"/>
      <c r="UGL308" s="127"/>
      <c r="UGM308" s="127"/>
      <c r="UGN308" s="127"/>
      <c r="UGO308" s="127"/>
      <c r="UGP308" s="127"/>
      <c r="UGQ308" s="127"/>
      <c r="UGR308" s="127"/>
      <c r="UGS308" s="127"/>
      <c r="UGT308" s="127"/>
      <c r="UGU308" s="127"/>
      <c r="UGV308" s="127"/>
      <c r="UGW308" s="127"/>
      <c r="UGX308" s="127"/>
      <c r="UGY308" s="127"/>
      <c r="UGZ308" s="127"/>
      <c r="UHA308" s="127"/>
      <c r="UHB308" s="127"/>
      <c r="UHC308" s="127"/>
      <c r="UHD308" s="127"/>
      <c r="UHE308" s="127"/>
      <c r="UHF308" s="127"/>
      <c r="UHG308" s="127"/>
      <c r="UHH308" s="127"/>
      <c r="UHI308" s="127"/>
      <c r="UHJ308" s="127"/>
      <c r="UHK308" s="127"/>
      <c r="UHL308" s="127"/>
      <c r="UHM308" s="127"/>
      <c r="UHN308" s="127"/>
      <c r="UHO308" s="127"/>
      <c r="UHP308" s="127"/>
      <c r="UHQ308" s="127"/>
      <c r="UHR308" s="127"/>
      <c r="UHS308" s="127"/>
      <c r="UHT308" s="127"/>
      <c r="UHU308" s="127"/>
      <c r="UHV308" s="127"/>
      <c r="UHW308" s="127"/>
      <c r="UHX308" s="127"/>
      <c r="UHY308" s="127"/>
      <c r="UHZ308" s="127"/>
      <c r="UIA308" s="127"/>
      <c r="UIB308" s="127"/>
      <c r="UIC308" s="127"/>
      <c r="UID308" s="127"/>
      <c r="UIE308" s="127"/>
      <c r="UIF308" s="127"/>
      <c r="UIG308" s="127"/>
      <c r="UIH308" s="127"/>
      <c r="UII308" s="127"/>
      <c r="UIJ308" s="127"/>
      <c r="UIK308" s="127"/>
      <c r="UIL308" s="127"/>
      <c r="UIM308" s="127"/>
      <c r="UIN308" s="127"/>
      <c r="UIO308" s="127"/>
      <c r="UIP308" s="127"/>
      <c r="UIQ308" s="127"/>
      <c r="UIR308" s="127"/>
      <c r="UIS308" s="127"/>
      <c r="UIT308" s="127"/>
      <c r="UIU308" s="127"/>
      <c r="UIV308" s="127"/>
      <c r="UIW308" s="127"/>
      <c r="UIX308" s="127"/>
      <c r="UIY308" s="127"/>
      <c r="UIZ308" s="127"/>
      <c r="UJA308" s="127"/>
      <c r="UJB308" s="127"/>
      <c r="UJC308" s="127"/>
      <c r="UJD308" s="127"/>
      <c r="UJE308" s="127"/>
      <c r="UJF308" s="127"/>
      <c r="UJG308" s="127"/>
      <c r="UJH308" s="127"/>
      <c r="UJI308" s="127"/>
      <c r="UJJ308" s="127"/>
      <c r="UJK308" s="127"/>
      <c r="UJL308" s="127"/>
      <c r="UJM308" s="127"/>
      <c r="UJN308" s="127"/>
      <c r="UJO308" s="127"/>
      <c r="UJP308" s="127"/>
      <c r="UJQ308" s="127"/>
      <c r="UJR308" s="127"/>
      <c r="UJS308" s="127"/>
      <c r="UJT308" s="127"/>
      <c r="UJU308" s="127"/>
      <c r="UJV308" s="127"/>
      <c r="UJW308" s="127"/>
      <c r="UJX308" s="127"/>
      <c r="UJY308" s="127"/>
      <c r="UJZ308" s="127"/>
      <c r="UKA308" s="127"/>
      <c r="UKB308" s="127"/>
      <c r="UKC308" s="127"/>
      <c r="UKD308" s="127"/>
      <c r="UKE308" s="127"/>
      <c r="UKF308" s="127"/>
      <c r="UKG308" s="127"/>
      <c r="UKH308" s="127"/>
      <c r="UKI308" s="127"/>
      <c r="UKJ308" s="127"/>
      <c r="UKK308" s="127"/>
      <c r="UKL308" s="127"/>
      <c r="UKM308" s="127"/>
      <c r="UKN308" s="127"/>
      <c r="UKO308" s="127"/>
      <c r="UKP308" s="127"/>
      <c r="UKQ308" s="127"/>
      <c r="UKR308" s="127"/>
      <c r="UKS308" s="127"/>
      <c r="UKT308" s="127"/>
      <c r="UKU308" s="127"/>
      <c r="UKV308" s="127"/>
      <c r="UKW308" s="127"/>
      <c r="UKX308" s="127"/>
      <c r="UKY308" s="127"/>
      <c r="UKZ308" s="127"/>
      <c r="ULA308" s="127"/>
      <c r="ULB308" s="127"/>
      <c r="ULC308" s="127"/>
      <c r="ULD308" s="127"/>
      <c r="ULE308" s="127"/>
      <c r="ULF308" s="127"/>
      <c r="ULG308" s="127"/>
      <c r="ULH308" s="127"/>
      <c r="ULI308" s="127"/>
      <c r="ULJ308" s="127"/>
      <c r="ULK308" s="127"/>
      <c r="ULL308" s="127"/>
      <c r="ULM308" s="127"/>
      <c r="ULN308" s="127"/>
      <c r="ULO308" s="127"/>
      <c r="ULP308" s="127"/>
      <c r="ULQ308" s="127"/>
      <c r="ULR308" s="127"/>
      <c r="ULS308" s="127"/>
      <c r="ULT308" s="127"/>
      <c r="ULU308" s="127"/>
      <c r="ULV308" s="127"/>
      <c r="ULW308" s="127"/>
      <c r="ULX308" s="127"/>
      <c r="ULY308" s="127"/>
      <c r="ULZ308" s="127"/>
      <c r="UMA308" s="127"/>
      <c r="UMB308" s="127"/>
      <c r="UMC308" s="127"/>
      <c r="UMD308" s="127"/>
      <c r="UME308" s="127"/>
      <c r="UMF308" s="127"/>
      <c r="UMG308" s="127"/>
      <c r="UMH308" s="127"/>
      <c r="UMI308" s="127"/>
      <c r="UMJ308" s="127"/>
      <c r="UMK308" s="127"/>
      <c r="UML308" s="127"/>
      <c r="UMM308" s="127"/>
      <c r="UMN308" s="127"/>
      <c r="UMO308" s="127"/>
      <c r="UMP308" s="127"/>
      <c r="UMQ308" s="127"/>
      <c r="UMR308" s="127"/>
      <c r="UMS308" s="127"/>
      <c r="UMT308" s="127"/>
      <c r="UMU308" s="127"/>
      <c r="UMV308" s="127"/>
      <c r="UMW308" s="127"/>
      <c r="UMX308" s="127"/>
      <c r="UMY308" s="127"/>
      <c r="UMZ308" s="127"/>
      <c r="UNA308" s="127"/>
      <c r="UNB308" s="127"/>
      <c r="UNC308" s="127"/>
      <c r="UND308" s="127"/>
      <c r="UNE308" s="127"/>
      <c r="UNF308" s="127"/>
      <c r="UNG308" s="127"/>
      <c r="UNH308" s="127"/>
      <c r="UNI308" s="127"/>
      <c r="UNJ308" s="127"/>
      <c r="UNK308" s="127"/>
      <c r="UNL308" s="127"/>
      <c r="UNM308" s="127"/>
      <c r="UNN308" s="127"/>
      <c r="UNO308" s="127"/>
      <c r="UNP308" s="127"/>
      <c r="UNQ308" s="127"/>
      <c r="UNR308" s="127"/>
      <c r="UNS308" s="127"/>
      <c r="UNT308" s="127"/>
      <c r="UNU308" s="127"/>
      <c r="UNV308" s="127"/>
      <c r="UNW308" s="127"/>
      <c r="UNX308" s="127"/>
      <c r="UNY308" s="127"/>
      <c r="UNZ308" s="127"/>
      <c r="UOA308" s="127"/>
      <c r="UOB308" s="127"/>
      <c r="UOC308" s="127"/>
      <c r="UOD308" s="127"/>
      <c r="UOE308" s="127"/>
      <c r="UOF308" s="127"/>
      <c r="UOG308" s="127"/>
      <c r="UOH308" s="127"/>
      <c r="UOI308" s="127"/>
      <c r="UOJ308" s="127"/>
      <c r="UOK308" s="127"/>
      <c r="UOL308" s="127"/>
      <c r="UOM308" s="127"/>
      <c r="UON308" s="127"/>
      <c r="UOO308" s="127"/>
      <c r="UOP308" s="127"/>
      <c r="UOQ308" s="127"/>
      <c r="UOR308" s="127"/>
      <c r="UOS308" s="127"/>
      <c r="UOT308" s="127"/>
      <c r="UOU308" s="127"/>
      <c r="UOV308" s="127"/>
      <c r="UOW308" s="127"/>
      <c r="UOX308" s="127"/>
      <c r="UOY308" s="127"/>
      <c r="UOZ308" s="127"/>
      <c r="UPA308" s="127"/>
      <c r="UPB308" s="127"/>
      <c r="UPC308" s="127"/>
      <c r="UPD308" s="127"/>
      <c r="UPE308" s="127"/>
      <c r="UPF308" s="127"/>
      <c r="UPG308" s="127"/>
      <c r="UPH308" s="127"/>
      <c r="UPI308" s="127"/>
      <c r="UPJ308" s="127"/>
      <c r="UPK308" s="127"/>
      <c r="UPL308" s="127"/>
      <c r="UPM308" s="127"/>
      <c r="UPN308" s="127"/>
      <c r="UPO308" s="127"/>
      <c r="UPP308" s="127"/>
      <c r="UPQ308" s="127"/>
      <c r="UPR308" s="127"/>
      <c r="UPS308" s="127"/>
      <c r="UPT308" s="127"/>
      <c r="UPU308" s="127"/>
      <c r="UPV308" s="127"/>
      <c r="UPW308" s="127"/>
      <c r="UPX308" s="127"/>
      <c r="UPY308" s="127"/>
      <c r="UPZ308" s="127"/>
      <c r="UQA308" s="127"/>
      <c r="UQB308" s="127"/>
      <c r="UQC308" s="127"/>
      <c r="UQD308" s="127"/>
      <c r="UQE308" s="127"/>
      <c r="UQF308" s="127"/>
      <c r="UQG308" s="127"/>
      <c r="UQH308" s="127"/>
      <c r="UQI308" s="127"/>
      <c r="UQJ308" s="127"/>
      <c r="UQK308" s="127"/>
      <c r="UQL308" s="127"/>
      <c r="UQM308" s="127"/>
      <c r="UQN308" s="127"/>
      <c r="UQO308" s="127"/>
      <c r="UQP308" s="127"/>
      <c r="UQQ308" s="127"/>
      <c r="UQR308" s="127"/>
      <c r="UQS308" s="127"/>
      <c r="UQT308" s="127"/>
      <c r="UQU308" s="127"/>
      <c r="UQV308" s="127"/>
      <c r="UQW308" s="127"/>
      <c r="UQX308" s="127"/>
      <c r="UQY308" s="127"/>
      <c r="UQZ308" s="127"/>
      <c r="URA308" s="127"/>
      <c r="URB308" s="127"/>
      <c r="URC308" s="127"/>
      <c r="URD308" s="127"/>
      <c r="URE308" s="127"/>
      <c r="URF308" s="127"/>
      <c r="URG308" s="127"/>
      <c r="URH308" s="127"/>
      <c r="URI308" s="127"/>
      <c r="URJ308" s="127"/>
      <c r="URK308" s="127"/>
      <c r="URL308" s="127"/>
      <c r="URM308" s="127"/>
      <c r="URN308" s="127"/>
      <c r="URO308" s="127"/>
      <c r="URP308" s="127"/>
      <c r="URQ308" s="127"/>
      <c r="URR308" s="127"/>
      <c r="URS308" s="127"/>
      <c r="URT308" s="127"/>
      <c r="URU308" s="127"/>
      <c r="URV308" s="127"/>
      <c r="URW308" s="127"/>
      <c r="URX308" s="127"/>
      <c r="URY308" s="127"/>
      <c r="URZ308" s="127"/>
      <c r="USA308" s="127"/>
      <c r="USB308" s="127"/>
      <c r="USC308" s="127"/>
      <c r="USD308" s="127"/>
      <c r="USE308" s="127"/>
      <c r="USF308" s="127"/>
      <c r="USG308" s="127"/>
      <c r="USH308" s="127"/>
      <c r="USI308" s="127"/>
      <c r="USJ308" s="127"/>
      <c r="USK308" s="127"/>
      <c r="USL308" s="127"/>
      <c r="USM308" s="127"/>
      <c r="USN308" s="127"/>
      <c r="USO308" s="127"/>
      <c r="USP308" s="127"/>
      <c r="USQ308" s="127"/>
      <c r="USR308" s="127"/>
      <c r="USS308" s="127"/>
      <c r="UST308" s="127"/>
      <c r="USU308" s="127"/>
      <c r="USV308" s="127"/>
      <c r="USW308" s="127"/>
      <c r="USX308" s="127"/>
      <c r="USY308" s="127"/>
      <c r="USZ308" s="127"/>
      <c r="UTA308" s="127"/>
      <c r="UTB308" s="127"/>
      <c r="UTC308" s="127"/>
      <c r="UTD308" s="127"/>
      <c r="UTE308" s="127"/>
      <c r="UTF308" s="127"/>
      <c r="UTG308" s="127"/>
      <c r="UTH308" s="127"/>
      <c r="UTI308" s="127"/>
      <c r="UTJ308" s="127"/>
      <c r="UTK308" s="127"/>
      <c r="UTL308" s="127"/>
      <c r="UTM308" s="127"/>
      <c r="UTN308" s="127"/>
      <c r="UTO308" s="127"/>
      <c r="UTP308" s="127"/>
      <c r="UTQ308" s="127"/>
      <c r="UTR308" s="127"/>
      <c r="UTS308" s="127"/>
      <c r="UTT308" s="127"/>
      <c r="UTU308" s="127"/>
      <c r="UTV308" s="127"/>
      <c r="UTW308" s="127"/>
      <c r="UTX308" s="127"/>
      <c r="UTY308" s="127"/>
      <c r="UTZ308" s="127"/>
      <c r="UUA308" s="127"/>
      <c r="UUB308" s="127"/>
      <c r="UUC308" s="127"/>
      <c r="UUD308" s="127"/>
      <c r="UUE308" s="127"/>
      <c r="UUF308" s="127"/>
      <c r="UUG308" s="127"/>
      <c r="UUH308" s="127"/>
      <c r="UUI308" s="127"/>
      <c r="UUJ308" s="127"/>
      <c r="UUK308" s="127"/>
      <c r="UUL308" s="127"/>
      <c r="UUM308" s="127"/>
      <c r="UUN308" s="127"/>
      <c r="UUO308" s="127"/>
      <c r="UUP308" s="127"/>
      <c r="UUQ308" s="127"/>
      <c r="UUR308" s="127"/>
      <c r="UUS308" s="127"/>
      <c r="UUT308" s="127"/>
      <c r="UUU308" s="127"/>
      <c r="UUV308" s="127"/>
      <c r="UUW308" s="127"/>
      <c r="UUX308" s="127"/>
      <c r="UUY308" s="127"/>
      <c r="UUZ308" s="127"/>
      <c r="UVA308" s="127"/>
      <c r="UVB308" s="127"/>
      <c r="UVC308" s="127"/>
      <c r="UVD308" s="127"/>
      <c r="UVE308" s="127"/>
      <c r="UVF308" s="127"/>
      <c r="UVG308" s="127"/>
      <c r="UVH308" s="127"/>
      <c r="UVI308" s="127"/>
      <c r="UVJ308" s="127"/>
      <c r="UVK308" s="127"/>
      <c r="UVL308" s="127"/>
      <c r="UVM308" s="127"/>
      <c r="UVN308" s="127"/>
      <c r="UVO308" s="127"/>
      <c r="UVP308" s="127"/>
      <c r="UVQ308" s="127"/>
      <c r="UVR308" s="127"/>
      <c r="UVS308" s="127"/>
      <c r="UVT308" s="127"/>
      <c r="UVU308" s="127"/>
      <c r="UVV308" s="127"/>
      <c r="UVW308" s="127"/>
      <c r="UVX308" s="127"/>
      <c r="UVY308" s="127"/>
      <c r="UVZ308" s="127"/>
      <c r="UWA308" s="127"/>
      <c r="UWB308" s="127"/>
      <c r="UWC308" s="127"/>
      <c r="UWD308" s="127"/>
      <c r="UWE308" s="127"/>
      <c r="UWF308" s="127"/>
      <c r="UWG308" s="127"/>
      <c r="UWH308" s="127"/>
      <c r="UWI308" s="127"/>
      <c r="UWJ308" s="127"/>
      <c r="UWK308" s="127"/>
      <c r="UWL308" s="127"/>
      <c r="UWM308" s="127"/>
      <c r="UWN308" s="127"/>
      <c r="UWO308" s="127"/>
      <c r="UWP308" s="127"/>
      <c r="UWQ308" s="127"/>
      <c r="UWR308" s="127"/>
      <c r="UWS308" s="127"/>
      <c r="UWT308" s="127"/>
      <c r="UWU308" s="127"/>
      <c r="UWV308" s="127"/>
      <c r="UWW308" s="127"/>
      <c r="UWX308" s="127"/>
      <c r="UWY308" s="127"/>
      <c r="UWZ308" s="127"/>
      <c r="UXA308" s="127"/>
      <c r="UXB308" s="127"/>
      <c r="UXC308" s="127"/>
      <c r="UXD308" s="127"/>
      <c r="UXE308" s="127"/>
      <c r="UXF308" s="127"/>
      <c r="UXG308" s="127"/>
      <c r="UXH308" s="127"/>
      <c r="UXI308" s="127"/>
      <c r="UXJ308" s="127"/>
      <c r="UXK308" s="127"/>
      <c r="UXL308" s="127"/>
      <c r="UXM308" s="127"/>
      <c r="UXN308" s="127"/>
      <c r="UXO308" s="127"/>
      <c r="UXP308" s="127"/>
      <c r="UXQ308" s="127"/>
      <c r="UXR308" s="127"/>
      <c r="UXS308" s="127"/>
      <c r="UXT308" s="127"/>
      <c r="UXU308" s="127"/>
      <c r="UXV308" s="127"/>
      <c r="UXW308" s="127"/>
      <c r="UXX308" s="127"/>
      <c r="UXY308" s="127"/>
      <c r="UXZ308" s="127"/>
      <c r="UYA308" s="127"/>
      <c r="UYB308" s="127"/>
      <c r="UYC308" s="127"/>
      <c r="UYD308" s="127"/>
      <c r="UYE308" s="127"/>
      <c r="UYF308" s="127"/>
      <c r="UYG308" s="127"/>
      <c r="UYH308" s="127"/>
      <c r="UYI308" s="127"/>
      <c r="UYJ308" s="127"/>
      <c r="UYK308" s="127"/>
      <c r="UYL308" s="127"/>
      <c r="UYM308" s="127"/>
      <c r="UYN308" s="127"/>
      <c r="UYO308" s="127"/>
      <c r="UYP308" s="127"/>
      <c r="UYQ308" s="127"/>
      <c r="UYR308" s="127"/>
      <c r="UYS308" s="127"/>
      <c r="UYT308" s="127"/>
      <c r="UYU308" s="127"/>
      <c r="UYV308" s="127"/>
      <c r="UYW308" s="127"/>
      <c r="UYX308" s="127"/>
      <c r="UYY308" s="127"/>
      <c r="UYZ308" s="127"/>
      <c r="UZA308" s="127"/>
      <c r="UZB308" s="127"/>
      <c r="UZC308" s="127"/>
      <c r="UZD308" s="127"/>
      <c r="UZE308" s="127"/>
      <c r="UZF308" s="127"/>
      <c r="UZG308" s="127"/>
      <c r="UZH308" s="127"/>
      <c r="UZI308" s="127"/>
      <c r="UZJ308" s="127"/>
      <c r="UZK308" s="127"/>
      <c r="UZL308" s="127"/>
      <c r="UZM308" s="127"/>
      <c r="UZN308" s="127"/>
      <c r="UZO308" s="127"/>
      <c r="UZP308" s="127"/>
      <c r="UZQ308" s="127"/>
      <c r="UZR308" s="127"/>
      <c r="UZS308" s="127"/>
      <c r="UZT308" s="127"/>
      <c r="UZU308" s="127"/>
      <c r="UZV308" s="127"/>
      <c r="UZW308" s="127"/>
      <c r="UZX308" s="127"/>
      <c r="UZY308" s="127"/>
      <c r="UZZ308" s="127"/>
      <c r="VAA308" s="127"/>
      <c r="VAB308" s="127"/>
      <c r="VAC308" s="127"/>
      <c r="VAD308" s="127"/>
      <c r="VAE308" s="127"/>
      <c r="VAF308" s="127"/>
      <c r="VAG308" s="127"/>
      <c r="VAH308" s="127"/>
      <c r="VAI308" s="127"/>
      <c r="VAJ308" s="127"/>
      <c r="VAK308" s="127"/>
      <c r="VAL308" s="127"/>
      <c r="VAM308" s="127"/>
      <c r="VAN308" s="127"/>
      <c r="VAO308" s="127"/>
      <c r="VAP308" s="127"/>
      <c r="VAQ308" s="127"/>
      <c r="VAR308" s="127"/>
      <c r="VAS308" s="127"/>
      <c r="VAT308" s="127"/>
      <c r="VAU308" s="127"/>
      <c r="VAV308" s="127"/>
      <c r="VAW308" s="127"/>
      <c r="VAX308" s="127"/>
      <c r="VAY308" s="127"/>
      <c r="VAZ308" s="127"/>
      <c r="VBA308" s="127"/>
      <c r="VBB308" s="127"/>
      <c r="VBC308" s="127"/>
      <c r="VBD308" s="127"/>
      <c r="VBE308" s="127"/>
      <c r="VBF308" s="127"/>
      <c r="VBG308" s="127"/>
      <c r="VBH308" s="127"/>
      <c r="VBI308" s="127"/>
      <c r="VBJ308" s="127"/>
      <c r="VBK308" s="127"/>
      <c r="VBL308" s="127"/>
      <c r="VBM308" s="127"/>
      <c r="VBN308" s="127"/>
      <c r="VBO308" s="127"/>
      <c r="VBP308" s="127"/>
      <c r="VBQ308" s="127"/>
      <c r="VBR308" s="127"/>
      <c r="VBS308" s="127"/>
      <c r="VBT308" s="127"/>
      <c r="VBU308" s="127"/>
      <c r="VBV308" s="127"/>
      <c r="VBW308" s="127"/>
      <c r="VBX308" s="127"/>
      <c r="VBY308" s="127"/>
      <c r="VBZ308" s="127"/>
      <c r="VCA308" s="127"/>
      <c r="VCB308" s="127"/>
      <c r="VCC308" s="127"/>
      <c r="VCD308" s="127"/>
      <c r="VCE308" s="127"/>
      <c r="VCF308" s="127"/>
      <c r="VCG308" s="127"/>
      <c r="VCH308" s="127"/>
      <c r="VCI308" s="127"/>
      <c r="VCJ308" s="127"/>
      <c r="VCK308" s="127"/>
      <c r="VCL308" s="127"/>
      <c r="VCM308" s="127"/>
      <c r="VCN308" s="127"/>
      <c r="VCO308" s="127"/>
      <c r="VCP308" s="127"/>
      <c r="VCQ308" s="127"/>
      <c r="VCR308" s="127"/>
      <c r="VCS308" s="127"/>
      <c r="VCT308" s="127"/>
      <c r="VCU308" s="127"/>
      <c r="VCV308" s="127"/>
      <c r="VCW308" s="127"/>
      <c r="VCX308" s="127"/>
      <c r="VCY308" s="127"/>
      <c r="VCZ308" s="127"/>
      <c r="VDA308" s="127"/>
      <c r="VDB308" s="127"/>
      <c r="VDC308" s="127"/>
      <c r="VDD308" s="127"/>
      <c r="VDE308" s="127"/>
      <c r="VDF308" s="127"/>
      <c r="VDG308" s="127"/>
      <c r="VDH308" s="127"/>
      <c r="VDI308" s="127"/>
      <c r="VDJ308" s="127"/>
      <c r="VDK308" s="127"/>
      <c r="VDL308" s="127"/>
      <c r="VDM308" s="127"/>
      <c r="VDN308" s="127"/>
      <c r="VDO308" s="127"/>
      <c r="VDP308" s="127"/>
      <c r="VDQ308" s="127"/>
      <c r="VDR308" s="127"/>
      <c r="VDS308" s="127"/>
      <c r="VDT308" s="127"/>
      <c r="VDU308" s="127"/>
      <c r="VDV308" s="127"/>
      <c r="VDW308" s="127"/>
      <c r="VDX308" s="127"/>
      <c r="VDY308" s="127"/>
      <c r="VDZ308" s="127"/>
      <c r="VEA308" s="127"/>
      <c r="VEB308" s="127"/>
      <c r="VEC308" s="127"/>
      <c r="VED308" s="127"/>
      <c r="VEE308" s="127"/>
      <c r="VEF308" s="127"/>
      <c r="VEG308" s="127"/>
      <c r="VEH308" s="127"/>
      <c r="VEI308" s="127"/>
      <c r="VEJ308" s="127"/>
      <c r="VEK308" s="127"/>
      <c r="VEL308" s="127"/>
      <c r="VEM308" s="127"/>
      <c r="VEN308" s="127"/>
      <c r="VEO308" s="127"/>
      <c r="VEP308" s="127"/>
      <c r="VEQ308" s="127"/>
      <c r="VER308" s="127"/>
      <c r="VES308" s="127"/>
      <c r="VET308" s="127"/>
      <c r="VEU308" s="127"/>
      <c r="VEV308" s="127"/>
      <c r="VEW308" s="127"/>
      <c r="VEX308" s="127"/>
      <c r="VEY308" s="127"/>
      <c r="VEZ308" s="127"/>
      <c r="VFA308" s="127"/>
      <c r="VFB308" s="127"/>
      <c r="VFC308" s="127"/>
      <c r="VFD308" s="127"/>
      <c r="VFE308" s="127"/>
      <c r="VFF308" s="127"/>
      <c r="VFG308" s="127"/>
      <c r="VFH308" s="127"/>
      <c r="VFI308" s="127"/>
      <c r="VFJ308" s="127"/>
      <c r="VFK308" s="127"/>
      <c r="VFL308" s="127"/>
      <c r="VFM308" s="127"/>
      <c r="VFN308" s="127"/>
      <c r="VFO308" s="127"/>
      <c r="VFP308" s="127"/>
      <c r="VFQ308" s="127"/>
      <c r="VFR308" s="127"/>
      <c r="VFS308" s="127"/>
      <c r="VFT308" s="127"/>
      <c r="VFU308" s="127"/>
      <c r="VFV308" s="127"/>
      <c r="VFW308" s="127"/>
      <c r="VFX308" s="127"/>
      <c r="VFY308" s="127"/>
      <c r="VFZ308" s="127"/>
      <c r="VGA308" s="127"/>
      <c r="VGB308" s="127"/>
      <c r="VGC308" s="127"/>
      <c r="VGD308" s="127"/>
      <c r="VGE308" s="127"/>
      <c r="VGF308" s="127"/>
      <c r="VGG308" s="127"/>
      <c r="VGH308" s="127"/>
      <c r="VGI308" s="127"/>
      <c r="VGJ308" s="127"/>
      <c r="VGK308" s="127"/>
      <c r="VGL308" s="127"/>
      <c r="VGM308" s="127"/>
      <c r="VGN308" s="127"/>
      <c r="VGO308" s="127"/>
      <c r="VGP308" s="127"/>
      <c r="VGQ308" s="127"/>
      <c r="VGR308" s="127"/>
      <c r="VGS308" s="127"/>
      <c r="VGT308" s="127"/>
      <c r="VGU308" s="127"/>
      <c r="VGV308" s="127"/>
      <c r="VGW308" s="127"/>
      <c r="VGX308" s="127"/>
      <c r="VGY308" s="127"/>
      <c r="VGZ308" s="127"/>
      <c r="VHA308" s="127"/>
      <c r="VHB308" s="127"/>
      <c r="VHC308" s="127"/>
      <c r="VHD308" s="127"/>
      <c r="VHE308" s="127"/>
      <c r="VHF308" s="127"/>
      <c r="VHG308" s="127"/>
      <c r="VHH308" s="127"/>
      <c r="VHI308" s="127"/>
      <c r="VHJ308" s="127"/>
      <c r="VHK308" s="127"/>
      <c r="VHL308" s="127"/>
      <c r="VHM308" s="127"/>
      <c r="VHN308" s="127"/>
      <c r="VHO308" s="127"/>
      <c r="VHP308" s="127"/>
      <c r="VHQ308" s="127"/>
      <c r="VHR308" s="127"/>
      <c r="VHS308" s="127"/>
      <c r="VHT308" s="127"/>
      <c r="VHU308" s="127"/>
      <c r="VHV308" s="127"/>
      <c r="VHW308" s="127"/>
      <c r="VHX308" s="127"/>
      <c r="VHY308" s="127"/>
      <c r="VHZ308" s="127"/>
      <c r="VIA308" s="127"/>
      <c r="VIB308" s="127"/>
      <c r="VIC308" s="127"/>
      <c r="VID308" s="127"/>
      <c r="VIE308" s="127"/>
      <c r="VIF308" s="127"/>
      <c r="VIG308" s="127"/>
      <c r="VIH308" s="127"/>
      <c r="VII308" s="127"/>
      <c r="VIJ308" s="127"/>
      <c r="VIK308" s="127"/>
      <c r="VIL308" s="127"/>
      <c r="VIM308" s="127"/>
      <c r="VIN308" s="127"/>
      <c r="VIO308" s="127"/>
      <c r="VIP308" s="127"/>
      <c r="VIQ308" s="127"/>
      <c r="VIR308" s="127"/>
      <c r="VIS308" s="127"/>
      <c r="VIT308" s="127"/>
      <c r="VIU308" s="127"/>
      <c r="VIV308" s="127"/>
      <c r="VIW308" s="127"/>
      <c r="VIX308" s="127"/>
      <c r="VIY308" s="127"/>
      <c r="VIZ308" s="127"/>
      <c r="VJA308" s="127"/>
      <c r="VJB308" s="127"/>
      <c r="VJC308" s="127"/>
      <c r="VJD308" s="127"/>
      <c r="VJE308" s="127"/>
      <c r="VJF308" s="127"/>
      <c r="VJG308" s="127"/>
      <c r="VJH308" s="127"/>
      <c r="VJI308" s="127"/>
      <c r="VJJ308" s="127"/>
      <c r="VJK308" s="127"/>
      <c r="VJL308" s="127"/>
      <c r="VJM308" s="127"/>
      <c r="VJN308" s="127"/>
      <c r="VJO308" s="127"/>
      <c r="VJP308" s="127"/>
      <c r="VJQ308" s="127"/>
      <c r="VJR308" s="127"/>
      <c r="VJS308" s="127"/>
      <c r="VJT308" s="127"/>
      <c r="VJU308" s="127"/>
      <c r="VJV308" s="127"/>
      <c r="VJW308" s="127"/>
      <c r="VJX308" s="127"/>
      <c r="VJY308" s="127"/>
      <c r="VJZ308" s="127"/>
      <c r="VKA308" s="127"/>
      <c r="VKB308" s="127"/>
      <c r="VKC308" s="127"/>
      <c r="VKD308" s="127"/>
      <c r="VKE308" s="127"/>
      <c r="VKF308" s="127"/>
      <c r="VKG308" s="127"/>
      <c r="VKH308" s="127"/>
      <c r="VKI308" s="127"/>
      <c r="VKJ308" s="127"/>
      <c r="VKK308" s="127"/>
      <c r="VKL308" s="127"/>
      <c r="VKM308" s="127"/>
      <c r="VKN308" s="127"/>
      <c r="VKO308" s="127"/>
      <c r="VKP308" s="127"/>
      <c r="VKQ308" s="127"/>
      <c r="VKR308" s="127"/>
      <c r="VKS308" s="127"/>
      <c r="VKT308" s="127"/>
      <c r="VKU308" s="127"/>
      <c r="VKV308" s="127"/>
      <c r="VKW308" s="127"/>
      <c r="VKX308" s="127"/>
      <c r="VKY308" s="127"/>
      <c r="VKZ308" s="127"/>
      <c r="VLA308" s="127"/>
      <c r="VLB308" s="127"/>
      <c r="VLC308" s="127"/>
      <c r="VLD308" s="127"/>
      <c r="VLE308" s="127"/>
      <c r="VLF308" s="127"/>
      <c r="VLG308" s="127"/>
      <c r="VLH308" s="127"/>
      <c r="VLI308" s="127"/>
      <c r="VLJ308" s="127"/>
      <c r="VLK308" s="127"/>
      <c r="VLL308" s="127"/>
      <c r="VLM308" s="127"/>
      <c r="VLN308" s="127"/>
      <c r="VLO308" s="127"/>
      <c r="VLP308" s="127"/>
      <c r="VLQ308" s="127"/>
      <c r="VLR308" s="127"/>
      <c r="VLS308" s="127"/>
      <c r="VLT308" s="127"/>
      <c r="VLU308" s="127"/>
      <c r="VLV308" s="127"/>
      <c r="VLW308" s="127"/>
      <c r="VLX308" s="127"/>
      <c r="VLY308" s="127"/>
      <c r="VLZ308" s="127"/>
      <c r="VMA308" s="127"/>
      <c r="VMB308" s="127"/>
      <c r="VMC308" s="127"/>
      <c r="VMD308" s="127"/>
      <c r="VME308" s="127"/>
      <c r="VMF308" s="127"/>
      <c r="VMG308" s="127"/>
      <c r="VMH308" s="127"/>
      <c r="VMI308" s="127"/>
      <c r="VMJ308" s="127"/>
      <c r="VMK308" s="127"/>
      <c r="VML308" s="127"/>
      <c r="VMM308" s="127"/>
      <c r="VMN308" s="127"/>
      <c r="VMO308" s="127"/>
      <c r="VMP308" s="127"/>
      <c r="VMQ308" s="127"/>
      <c r="VMR308" s="127"/>
      <c r="VMS308" s="127"/>
      <c r="VMT308" s="127"/>
      <c r="VMU308" s="127"/>
      <c r="VMV308" s="127"/>
      <c r="VMW308" s="127"/>
      <c r="VMX308" s="127"/>
      <c r="VMY308" s="127"/>
      <c r="VMZ308" s="127"/>
      <c r="VNA308" s="127"/>
      <c r="VNB308" s="127"/>
      <c r="VNC308" s="127"/>
      <c r="VND308" s="127"/>
      <c r="VNE308" s="127"/>
      <c r="VNF308" s="127"/>
      <c r="VNG308" s="127"/>
      <c r="VNH308" s="127"/>
      <c r="VNI308" s="127"/>
      <c r="VNJ308" s="127"/>
      <c r="VNK308" s="127"/>
      <c r="VNL308" s="127"/>
      <c r="VNM308" s="127"/>
      <c r="VNN308" s="127"/>
      <c r="VNO308" s="127"/>
      <c r="VNP308" s="127"/>
      <c r="VNQ308" s="127"/>
      <c r="VNR308" s="127"/>
      <c r="VNS308" s="127"/>
      <c r="VNT308" s="127"/>
      <c r="VNU308" s="127"/>
      <c r="VNV308" s="127"/>
      <c r="VNW308" s="127"/>
      <c r="VNX308" s="127"/>
      <c r="VNY308" s="127"/>
      <c r="VNZ308" s="127"/>
      <c r="VOA308" s="127"/>
      <c r="VOB308" s="127"/>
      <c r="VOC308" s="127"/>
      <c r="VOD308" s="127"/>
      <c r="VOE308" s="127"/>
      <c r="VOF308" s="127"/>
      <c r="VOG308" s="127"/>
      <c r="VOH308" s="127"/>
      <c r="VOI308" s="127"/>
      <c r="VOJ308" s="127"/>
      <c r="VOK308" s="127"/>
      <c r="VOL308" s="127"/>
      <c r="VOM308" s="127"/>
      <c r="VON308" s="127"/>
      <c r="VOO308" s="127"/>
      <c r="VOP308" s="127"/>
      <c r="VOQ308" s="127"/>
      <c r="VOR308" s="127"/>
      <c r="VOS308" s="127"/>
      <c r="VOT308" s="127"/>
      <c r="VOU308" s="127"/>
      <c r="VOV308" s="127"/>
      <c r="VOW308" s="127"/>
      <c r="VOX308" s="127"/>
      <c r="VOY308" s="127"/>
      <c r="VOZ308" s="127"/>
      <c r="VPA308" s="127"/>
      <c r="VPB308" s="127"/>
      <c r="VPC308" s="127"/>
      <c r="VPD308" s="127"/>
      <c r="VPE308" s="127"/>
      <c r="VPF308" s="127"/>
      <c r="VPG308" s="127"/>
      <c r="VPH308" s="127"/>
      <c r="VPI308" s="127"/>
      <c r="VPJ308" s="127"/>
      <c r="VPK308" s="127"/>
      <c r="VPL308" s="127"/>
      <c r="VPM308" s="127"/>
      <c r="VPN308" s="127"/>
      <c r="VPO308" s="127"/>
      <c r="VPP308" s="127"/>
      <c r="VPQ308" s="127"/>
      <c r="VPR308" s="127"/>
      <c r="VPS308" s="127"/>
      <c r="VPT308" s="127"/>
      <c r="VPU308" s="127"/>
      <c r="VPV308" s="127"/>
      <c r="VPW308" s="127"/>
      <c r="VPX308" s="127"/>
      <c r="VPY308" s="127"/>
      <c r="VPZ308" s="127"/>
      <c r="VQA308" s="127"/>
      <c r="VQB308" s="127"/>
      <c r="VQC308" s="127"/>
      <c r="VQD308" s="127"/>
      <c r="VQE308" s="127"/>
      <c r="VQF308" s="127"/>
      <c r="VQG308" s="127"/>
      <c r="VQH308" s="127"/>
      <c r="VQI308" s="127"/>
      <c r="VQJ308" s="127"/>
      <c r="VQK308" s="127"/>
      <c r="VQL308" s="127"/>
      <c r="VQM308" s="127"/>
      <c r="VQN308" s="127"/>
      <c r="VQO308" s="127"/>
      <c r="VQP308" s="127"/>
      <c r="VQQ308" s="127"/>
      <c r="VQR308" s="127"/>
      <c r="VQS308" s="127"/>
      <c r="VQT308" s="127"/>
      <c r="VQU308" s="127"/>
      <c r="VQV308" s="127"/>
      <c r="VQW308" s="127"/>
      <c r="VQX308" s="127"/>
      <c r="VQY308" s="127"/>
      <c r="VQZ308" s="127"/>
      <c r="VRA308" s="127"/>
      <c r="VRB308" s="127"/>
      <c r="VRC308" s="127"/>
      <c r="VRD308" s="127"/>
      <c r="VRE308" s="127"/>
      <c r="VRF308" s="127"/>
      <c r="VRG308" s="127"/>
      <c r="VRH308" s="127"/>
      <c r="VRI308" s="127"/>
      <c r="VRJ308" s="127"/>
      <c r="VRK308" s="127"/>
      <c r="VRL308" s="127"/>
      <c r="VRM308" s="127"/>
      <c r="VRN308" s="127"/>
      <c r="VRO308" s="127"/>
      <c r="VRP308" s="127"/>
      <c r="VRQ308" s="127"/>
      <c r="VRR308" s="127"/>
      <c r="VRS308" s="127"/>
      <c r="VRT308" s="127"/>
      <c r="VRU308" s="127"/>
      <c r="VRV308" s="127"/>
      <c r="VRW308" s="127"/>
      <c r="VRX308" s="127"/>
      <c r="VRY308" s="127"/>
      <c r="VRZ308" s="127"/>
      <c r="VSA308" s="127"/>
      <c r="VSB308" s="127"/>
      <c r="VSC308" s="127"/>
      <c r="VSD308" s="127"/>
      <c r="VSE308" s="127"/>
      <c r="VSF308" s="127"/>
      <c r="VSG308" s="127"/>
      <c r="VSH308" s="127"/>
      <c r="VSI308" s="127"/>
      <c r="VSJ308" s="127"/>
      <c r="VSK308" s="127"/>
      <c r="VSL308" s="127"/>
      <c r="VSM308" s="127"/>
      <c r="VSN308" s="127"/>
      <c r="VSO308" s="127"/>
      <c r="VSP308" s="127"/>
      <c r="VSQ308" s="127"/>
      <c r="VSR308" s="127"/>
      <c r="VSS308" s="127"/>
      <c r="VST308" s="127"/>
      <c r="VSU308" s="127"/>
      <c r="VSV308" s="127"/>
      <c r="VSW308" s="127"/>
      <c r="VSX308" s="127"/>
      <c r="VSY308" s="127"/>
      <c r="VSZ308" s="127"/>
      <c r="VTA308" s="127"/>
      <c r="VTB308" s="127"/>
      <c r="VTC308" s="127"/>
      <c r="VTD308" s="127"/>
      <c r="VTE308" s="127"/>
      <c r="VTF308" s="127"/>
      <c r="VTG308" s="127"/>
      <c r="VTH308" s="127"/>
      <c r="VTI308" s="127"/>
      <c r="VTJ308" s="127"/>
      <c r="VTK308" s="127"/>
      <c r="VTL308" s="127"/>
      <c r="VTM308" s="127"/>
      <c r="VTN308" s="127"/>
      <c r="VTO308" s="127"/>
      <c r="VTP308" s="127"/>
      <c r="VTQ308" s="127"/>
      <c r="VTR308" s="127"/>
      <c r="VTS308" s="127"/>
      <c r="VTT308" s="127"/>
      <c r="VTU308" s="127"/>
      <c r="VTV308" s="127"/>
      <c r="VTW308" s="127"/>
      <c r="VTX308" s="127"/>
      <c r="VTY308" s="127"/>
      <c r="VTZ308" s="127"/>
      <c r="VUA308" s="127"/>
      <c r="VUB308" s="127"/>
      <c r="VUC308" s="127"/>
      <c r="VUD308" s="127"/>
      <c r="VUE308" s="127"/>
      <c r="VUF308" s="127"/>
      <c r="VUG308" s="127"/>
      <c r="VUH308" s="127"/>
      <c r="VUI308" s="127"/>
      <c r="VUJ308" s="127"/>
      <c r="VUK308" s="127"/>
      <c r="VUL308" s="127"/>
      <c r="VUM308" s="127"/>
      <c r="VUN308" s="127"/>
      <c r="VUO308" s="127"/>
      <c r="VUP308" s="127"/>
      <c r="VUQ308" s="127"/>
      <c r="VUR308" s="127"/>
      <c r="VUS308" s="127"/>
      <c r="VUT308" s="127"/>
      <c r="VUU308" s="127"/>
      <c r="VUV308" s="127"/>
      <c r="VUW308" s="127"/>
      <c r="VUX308" s="127"/>
      <c r="VUY308" s="127"/>
      <c r="VUZ308" s="127"/>
      <c r="VVA308" s="127"/>
      <c r="VVB308" s="127"/>
      <c r="VVC308" s="127"/>
      <c r="VVD308" s="127"/>
      <c r="VVE308" s="127"/>
      <c r="VVF308" s="127"/>
      <c r="VVG308" s="127"/>
      <c r="VVH308" s="127"/>
      <c r="VVI308" s="127"/>
      <c r="VVJ308" s="127"/>
      <c r="VVK308" s="127"/>
      <c r="VVL308" s="127"/>
      <c r="VVM308" s="127"/>
      <c r="VVN308" s="127"/>
      <c r="VVO308" s="127"/>
      <c r="VVP308" s="127"/>
      <c r="VVQ308" s="127"/>
      <c r="VVR308" s="127"/>
      <c r="VVS308" s="127"/>
      <c r="VVT308" s="127"/>
      <c r="VVU308" s="127"/>
      <c r="VVV308" s="127"/>
      <c r="VVW308" s="127"/>
      <c r="VVX308" s="127"/>
      <c r="VVY308" s="127"/>
      <c r="VVZ308" s="127"/>
      <c r="VWA308" s="127"/>
      <c r="VWB308" s="127"/>
      <c r="VWC308" s="127"/>
      <c r="VWD308" s="127"/>
      <c r="VWE308" s="127"/>
      <c r="VWF308" s="127"/>
      <c r="VWG308" s="127"/>
      <c r="VWH308" s="127"/>
      <c r="VWI308" s="127"/>
      <c r="VWJ308" s="127"/>
      <c r="VWK308" s="127"/>
      <c r="VWL308" s="127"/>
      <c r="VWM308" s="127"/>
      <c r="VWN308" s="127"/>
      <c r="VWO308" s="127"/>
      <c r="VWP308" s="127"/>
      <c r="VWQ308" s="127"/>
      <c r="VWR308" s="127"/>
      <c r="VWS308" s="127"/>
      <c r="VWT308" s="127"/>
      <c r="VWU308" s="127"/>
      <c r="VWV308" s="127"/>
      <c r="VWW308" s="127"/>
      <c r="VWX308" s="127"/>
      <c r="VWY308" s="127"/>
      <c r="VWZ308" s="127"/>
      <c r="VXA308" s="127"/>
      <c r="VXB308" s="127"/>
      <c r="VXC308" s="127"/>
      <c r="VXD308" s="127"/>
      <c r="VXE308" s="127"/>
      <c r="VXF308" s="127"/>
      <c r="VXG308" s="127"/>
      <c r="VXH308" s="127"/>
      <c r="VXI308" s="127"/>
      <c r="VXJ308" s="127"/>
      <c r="VXK308" s="127"/>
      <c r="VXL308" s="127"/>
      <c r="VXM308" s="127"/>
      <c r="VXN308" s="127"/>
      <c r="VXO308" s="127"/>
      <c r="VXP308" s="127"/>
      <c r="VXQ308" s="127"/>
      <c r="VXR308" s="127"/>
      <c r="VXS308" s="127"/>
      <c r="VXT308" s="127"/>
      <c r="VXU308" s="127"/>
      <c r="VXV308" s="127"/>
      <c r="VXW308" s="127"/>
      <c r="VXX308" s="127"/>
      <c r="VXY308" s="127"/>
      <c r="VXZ308" s="127"/>
      <c r="VYA308" s="127"/>
      <c r="VYB308" s="127"/>
      <c r="VYC308" s="127"/>
      <c r="VYD308" s="127"/>
      <c r="VYE308" s="127"/>
      <c r="VYF308" s="127"/>
      <c r="VYG308" s="127"/>
      <c r="VYH308" s="127"/>
      <c r="VYI308" s="127"/>
      <c r="VYJ308" s="127"/>
      <c r="VYK308" s="127"/>
      <c r="VYL308" s="127"/>
      <c r="VYM308" s="127"/>
      <c r="VYN308" s="127"/>
      <c r="VYO308" s="127"/>
      <c r="VYP308" s="127"/>
      <c r="VYQ308" s="127"/>
      <c r="VYR308" s="127"/>
      <c r="VYS308" s="127"/>
      <c r="VYT308" s="127"/>
      <c r="VYU308" s="127"/>
      <c r="VYV308" s="127"/>
      <c r="VYW308" s="127"/>
      <c r="VYX308" s="127"/>
      <c r="VYY308" s="127"/>
      <c r="VYZ308" s="127"/>
      <c r="VZA308" s="127"/>
      <c r="VZB308" s="127"/>
      <c r="VZC308" s="127"/>
      <c r="VZD308" s="127"/>
      <c r="VZE308" s="127"/>
      <c r="VZF308" s="127"/>
      <c r="VZG308" s="127"/>
      <c r="VZH308" s="127"/>
      <c r="VZI308" s="127"/>
      <c r="VZJ308" s="127"/>
      <c r="VZK308" s="127"/>
      <c r="VZL308" s="127"/>
      <c r="VZM308" s="127"/>
      <c r="VZN308" s="127"/>
      <c r="VZO308" s="127"/>
      <c r="VZP308" s="127"/>
      <c r="VZQ308" s="127"/>
      <c r="VZR308" s="127"/>
      <c r="VZS308" s="127"/>
      <c r="VZT308" s="127"/>
      <c r="VZU308" s="127"/>
      <c r="VZV308" s="127"/>
      <c r="VZW308" s="127"/>
      <c r="VZX308" s="127"/>
      <c r="VZY308" s="127"/>
      <c r="VZZ308" s="127"/>
      <c r="WAA308" s="127"/>
      <c r="WAB308" s="127"/>
      <c r="WAC308" s="127"/>
      <c r="WAD308" s="127"/>
      <c r="WAE308" s="127"/>
      <c r="WAF308" s="127"/>
      <c r="WAG308" s="127"/>
      <c r="WAH308" s="127"/>
      <c r="WAI308" s="127"/>
      <c r="WAJ308" s="127"/>
      <c r="WAK308" s="127"/>
      <c r="WAL308" s="127"/>
      <c r="WAM308" s="127"/>
      <c r="WAN308" s="127"/>
      <c r="WAO308" s="127"/>
      <c r="WAP308" s="127"/>
      <c r="WAQ308" s="127"/>
      <c r="WAR308" s="127"/>
      <c r="WAS308" s="127"/>
      <c r="WAT308" s="127"/>
      <c r="WAU308" s="127"/>
      <c r="WAV308" s="127"/>
      <c r="WAW308" s="127"/>
      <c r="WAX308" s="127"/>
      <c r="WAY308" s="127"/>
      <c r="WAZ308" s="127"/>
      <c r="WBA308" s="127"/>
      <c r="WBB308" s="127"/>
      <c r="WBC308" s="127"/>
      <c r="WBD308" s="127"/>
      <c r="WBE308" s="127"/>
      <c r="WBF308" s="127"/>
      <c r="WBG308" s="127"/>
      <c r="WBH308" s="127"/>
      <c r="WBI308" s="127"/>
      <c r="WBJ308" s="127"/>
      <c r="WBK308" s="127"/>
      <c r="WBL308" s="127"/>
      <c r="WBM308" s="127"/>
      <c r="WBN308" s="127"/>
      <c r="WBO308" s="127"/>
      <c r="WBP308" s="127"/>
      <c r="WBQ308" s="127"/>
      <c r="WBR308" s="127"/>
      <c r="WBS308" s="127"/>
      <c r="WBT308" s="127"/>
      <c r="WBU308" s="127"/>
      <c r="WBV308" s="127"/>
      <c r="WBW308" s="127"/>
      <c r="WBX308" s="127"/>
      <c r="WBY308" s="127"/>
      <c r="WBZ308" s="127"/>
      <c r="WCA308" s="127"/>
      <c r="WCB308" s="127"/>
      <c r="WCC308" s="127"/>
      <c r="WCD308" s="127"/>
      <c r="WCE308" s="127"/>
      <c r="WCF308" s="127"/>
      <c r="WCG308" s="127"/>
      <c r="WCH308" s="127"/>
      <c r="WCI308" s="127"/>
      <c r="WCJ308" s="127"/>
      <c r="WCK308" s="127"/>
      <c r="WCL308" s="127"/>
      <c r="WCM308" s="127"/>
      <c r="WCN308" s="127"/>
      <c r="WCO308" s="127"/>
      <c r="WCP308" s="127"/>
      <c r="WCQ308" s="127"/>
      <c r="WCR308" s="127"/>
      <c r="WCS308" s="127"/>
      <c r="WCT308" s="127"/>
      <c r="WCU308" s="127"/>
      <c r="WCV308" s="127"/>
      <c r="WCW308" s="127"/>
      <c r="WCX308" s="127"/>
      <c r="WCY308" s="127"/>
      <c r="WCZ308" s="127"/>
      <c r="WDA308" s="127"/>
      <c r="WDB308" s="127"/>
      <c r="WDC308" s="127"/>
      <c r="WDD308" s="127"/>
      <c r="WDE308" s="127"/>
      <c r="WDF308" s="127"/>
      <c r="WDG308" s="127"/>
      <c r="WDH308" s="127"/>
      <c r="WDI308" s="127"/>
      <c r="WDJ308" s="127"/>
      <c r="WDK308" s="127"/>
      <c r="WDL308" s="127"/>
      <c r="WDM308" s="127"/>
      <c r="WDN308" s="127"/>
      <c r="WDO308" s="127"/>
      <c r="WDP308" s="127"/>
      <c r="WDQ308" s="127"/>
      <c r="WDR308" s="127"/>
      <c r="WDS308" s="127"/>
      <c r="WDT308" s="127"/>
      <c r="WDU308" s="127"/>
      <c r="WDV308" s="127"/>
      <c r="WDW308" s="127"/>
      <c r="WDX308" s="127"/>
      <c r="WDY308" s="127"/>
      <c r="WDZ308" s="127"/>
      <c r="WEA308" s="127"/>
      <c r="WEB308" s="127"/>
      <c r="WEC308" s="127"/>
      <c r="WED308" s="127"/>
      <c r="WEE308" s="127"/>
      <c r="WEF308" s="127"/>
      <c r="WEG308" s="127"/>
      <c r="WEH308" s="127"/>
      <c r="WEI308" s="127"/>
      <c r="WEJ308" s="127"/>
      <c r="WEK308" s="127"/>
      <c r="WEL308" s="127"/>
      <c r="WEM308" s="127"/>
      <c r="WEN308" s="127"/>
      <c r="WEO308" s="127"/>
      <c r="WEP308" s="127"/>
      <c r="WEQ308" s="127"/>
      <c r="WER308" s="127"/>
      <c r="WES308" s="127"/>
      <c r="WET308" s="127"/>
      <c r="WEU308" s="127"/>
      <c r="WEV308" s="127"/>
      <c r="WEW308" s="127"/>
      <c r="WEX308" s="127"/>
      <c r="WEY308" s="127"/>
      <c r="WEZ308" s="127"/>
      <c r="WFA308" s="127"/>
      <c r="WFB308" s="127"/>
      <c r="WFC308" s="127"/>
      <c r="WFD308" s="127"/>
      <c r="WFE308" s="127"/>
      <c r="WFF308" s="127"/>
      <c r="WFG308" s="127"/>
      <c r="WFH308" s="127"/>
      <c r="WFI308" s="127"/>
      <c r="WFJ308" s="127"/>
      <c r="WFK308" s="127"/>
      <c r="WFL308" s="127"/>
      <c r="WFM308" s="127"/>
      <c r="WFN308" s="127"/>
      <c r="WFO308" s="127"/>
      <c r="WFP308" s="127"/>
      <c r="WFQ308" s="127"/>
      <c r="WFR308" s="127"/>
      <c r="WFS308" s="127"/>
      <c r="WFT308" s="127"/>
      <c r="WFU308" s="127"/>
      <c r="WFV308" s="127"/>
      <c r="WFW308" s="127"/>
      <c r="WFX308" s="127"/>
      <c r="WFY308" s="127"/>
      <c r="WFZ308" s="127"/>
      <c r="WGA308" s="127"/>
      <c r="WGB308" s="127"/>
      <c r="WGC308" s="127"/>
      <c r="WGD308" s="127"/>
      <c r="WGE308" s="127"/>
      <c r="WGF308" s="127"/>
      <c r="WGG308" s="127"/>
      <c r="WGH308" s="127"/>
      <c r="WGI308" s="127"/>
      <c r="WGJ308" s="127"/>
      <c r="WGK308" s="127"/>
      <c r="WGL308" s="127"/>
      <c r="WGM308" s="127"/>
      <c r="WGN308" s="127"/>
      <c r="WGO308" s="127"/>
      <c r="WGP308" s="127"/>
      <c r="WGQ308" s="127"/>
      <c r="WGR308" s="127"/>
      <c r="WGS308" s="127"/>
      <c r="WGT308" s="127"/>
      <c r="WGU308" s="127"/>
      <c r="WGV308" s="127"/>
      <c r="WGW308" s="127"/>
      <c r="WGX308" s="127"/>
      <c r="WGY308" s="127"/>
      <c r="WGZ308" s="127"/>
      <c r="WHA308" s="127"/>
      <c r="WHB308" s="127"/>
      <c r="WHC308" s="127"/>
      <c r="WHD308" s="127"/>
      <c r="WHE308" s="127"/>
      <c r="WHF308" s="127"/>
      <c r="WHG308" s="127"/>
      <c r="WHH308" s="127"/>
      <c r="WHI308" s="127"/>
      <c r="WHJ308" s="127"/>
      <c r="WHK308" s="127"/>
      <c r="WHL308" s="127"/>
      <c r="WHM308" s="127"/>
      <c r="WHN308" s="127"/>
      <c r="WHO308" s="127"/>
      <c r="WHP308" s="127"/>
      <c r="WHQ308" s="127"/>
      <c r="WHR308" s="127"/>
      <c r="WHS308" s="127"/>
      <c r="WHT308" s="127"/>
      <c r="WHU308" s="127"/>
      <c r="WHV308" s="127"/>
      <c r="WHW308" s="127"/>
      <c r="WHX308" s="127"/>
      <c r="WHY308" s="127"/>
      <c r="WHZ308" s="127"/>
      <c r="WIA308" s="127"/>
      <c r="WIB308" s="127"/>
      <c r="WIC308" s="127"/>
      <c r="WID308" s="127"/>
      <c r="WIE308" s="127"/>
      <c r="WIF308" s="127"/>
      <c r="WIG308" s="127"/>
      <c r="WIH308" s="127"/>
      <c r="WII308" s="127"/>
      <c r="WIJ308" s="127"/>
      <c r="WIK308" s="127"/>
      <c r="WIL308" s="127"/>
      <c r="WIM308" s="127"/>
      <c r="WIN308" s="127"/>
      <c r="WIO308" s="127"/>
      <c r="WIP308" s="127"/>
      <c r="WIQ308" s="127"/>
      <c r="WIR308" s="127"/>
      <c r="WIS308" s="127"/>
      <c r="WIT308" s="127"/>
      <c r="WIU308" s="127"/>
      <c r="WIV308" s="127"/>
      <c r="WIW308" s="127"/>
      <c r="WIX308" s="127"/>
      <c r="WIY308" s="127"/>
      <c r="WIZ308" s="127"/>
      <c r="WJA308" s="127"/>
      <c r="WJB308" s="127"/>
      <c r="WJC308" s="127"/>
      <c r="WJD308" s="127"/>
      <c r="WJE308" s="127"/>
      <c r="WJF308" s="127"/>
      <c r="WJG308" s="127"/>
      <c r="WJH308" s="127"/>
      <c r="WJI308" s="127"/>
      <c r="WJJ308" s="127"/>
      <c r="WJK308" s="127"/>
      <c r="WJL308" s="127"/>
      <c r="WJM308" s="127"/>
      <c r="WJN308" s="127"/>
      <c r="WJO308" s="127"/>
      <c r="WJP308" s="127"/>
      <c r="WJQ308" s="127"/>
      <c r="WJR308" s="127"/>
      <c r="WJS308" s="127"/>
      <c r="WJT308" s="127"/>
      <c r="WJU308" s="127"/>
      <c r="WJV308" s="127"/>
      <c r="WJW308" s="127"/>
      <c r="WJX308" s="127"/>
      <c r="WJY308" s="127"/>
      <c r="WJZ308" s="127"/>
      <c r="WKA308" s="127"/>
      <c r="WKB308" s="127"/>
      <c r="WKC308" s="127"/>
      <c r="WKD308" s="127"/>
      <c r="WKE308" s="127"/>
      <c r="WKF308" s="127"/>
      <c r="WKG308" s="127"/>
      <c r="WKH308" s="127"/>
      <c r="WKI308" s="127"/>
      <c r="WKJ308" s="127"/>
      <c r="WKK308" s="127"/>
      <c r="WKL308" s="127"/>
      <c r="WKM308" s="127"/>
      <c r="WKN308" s="127"/>
      <c r="WKO308" s="127"/>
      <c r="WKP308" s="127"/>
      <c r="WKQ308" s="127"/>
      <c r="WKR308" s="127"/>
      <c r="WKS308" s="127"/>
      <c r="WKT308" s="127"/>
      <c r="WKU308" s="127"/>
      <c r="WKV308" s="127"/>
      <c r="WKW308" s="127"/>
      <c r="WKX308" s="127"/>
      <c r="WKY308" s="127"/>
      <c r="WKZ308" s="127"/>
      <c r="WLA308" s="127"/>
      <c r="WLB308" s="127"/>
      <c r="WLC308" s="127"/>
      <c r="WLD308" s="127"/>
      <c r="WLE308" s="127"/>
      <c r="WLF308" s="127"/>
      <c r="WLG308" s="127"/>
      <c r="WLH308" s="127"/>
      <c r="WLI308" s="127"/>
      <c r="WLJ308" s="127"/>
      <c r="WLK308" s="127"/>
      <c r="WLL308" s="127"/>
      <c r="WLM308" s="127"/>
      <c r="WLN308" s="127"/>
      <c r="WLO308" s="127"/>
      <c r="WLP308" s="127"/>
      <c r="WLQ308" s="127"/>
      <c r="WLR308" s="127"/>
      <c r="WLS308" s="127"/>
      <c r="WLT308" s="127"/>
      <c r="WLU308" s="127"/>
      <c r="WLV308" s="127"/>
      <c r="WLW308" s="127"/>
      <c r="WLX308" s="127"/>
      <c r="WLY308" s="127"/>
      <c r="WLZ308" s="127"/>
      <c r="WMA308" s="127"/>
      <c r="WMB308" s="127"/>
      <c r="WMC308" s="127"/>
      <c r="WMD308" s="127"/>
      <c r="WME308" s="127"/>
      <c r="WMF308" s="127"/>
      <c r="WMG308" s="127"/>
      <c r="WMH308" s="127"/>
      <c r="WMI308" s="127"/>
      <c r="WMJ308" s="127"/>
      <c r="WMK308" s="127"/>
      <c r="WML308" s="127"/>
      <c r="WMM308" s="127"/>
      <c r="WMN308" s="127"/>
      <c r="WMO308" s="127"/>
      <c r="WMP308" s="127"/>
      <c r="WMQ308" s="127"/>
      <c r="WMR308" s="127"/>
      <c r="WMS308" s="127"/>
      <c r="WMT308" s="127"/>
      <c r="WMU308" s="127"/>
      <c r="WMV308" s="127"/>
      <c r="WMW308" s="127"/>
      <c r="WMX308" s="127"/>
      <c r="WMY308" s="127"/>
      <c r="WMZ308" s="127"/>
      <c r="WNA308" s="127"/>
      <c r="WNB308" s="127"/>
      <c r="WNC308" s="127"/>
      <c r="WND308" s="127"/>
      <c r="WNE308" s="127"/>
      <c r="WNF308" s="127"/>
      <c r="WNG308" s="127"/>
      <c r="WNH308" s="127"/>
      <c r="WNI308" s="127"/>
      <c r="WNJ308" s="127"/>
      <c r="WNK308" s="127"/>
      <c r="WNL308" s="127"/>
      <c r="WNM308" s="127"/>
      <c r="WNN308" s="127"/>
      <c r="WNO308" s="127"/>
      <c r="WNP308" s="127"/>
      <c r="WNQ308" s="127"/>
      <c r="WNR308" s="127"/>
      <c r="WNS308" s="127"/>
      <c r="WNT308" s="127"/>
      <c r="WNU308" s="127"/>
      <c r="WNV308" s="127"/>
      <c r="WNW308" s="127"/>
      <c r="WNX308" s="127"/>
      <c r="WNY308" s="127"/>
      <c r="WNZ308" s="127"/>
      <c r="WOA308" s="127"/>
      <c r="WOB308" s="127"/>
      <c r="WOC308" s="127"/>
      <c r="WOD308" s="127"/>
      <c r="WOE308" s="127"/>
      <c r="WOF308" s="127"/>
      <c r="WOG308" s="127"/>
      <c r="WOH308" s="127"/>
      <c r="WOI308" s="127"/>
      <c r="WOJ308" s="127"/>
      <c r="WOK308" s="127"/>
      <c r="WOL308" s="127"/>
      <c r="WOM308" s="127"/>
      <c r="WON308" s="127"/>
      <c r="WOO308" s="127"/>
      <c r="WOP308" s="127"/>
      <c r="WOQ308" s="127"/>
      <c r="WOR308" s="127"/>
      <c r="WOS308" s="127"/>
      <c r="WOT308" s="127"/>
      <c r="WOU308" s="127"/>
      <c r="WOV308" s="127"/>
      <c r="WOW308" s="127"/>
      <c r="WOX308" s="127"/>
      <c r="WOY308" s="127"/>
      <c r="WOZ308" s="127"/>
      <c r="WPA308" s="127"/>
      <c r="WPB308" s="127"/>
      <c r="WPC308" s="127"/>
      <c r="WPD308" s="127"/>
      <c r="WPE308" s="127"/>
      <c r="WPF308" s="127"/>
      <c r="WPG308" s="127"/>
      <c r="WPH308" s="127"/>
      <c r="WPI308" s="127"/>
      <c r="WPJ308" s="127"/>
      <c r="WPK308" s="127"/>
      <c r="WPL308" s="127"/>
      <c r="WPM308" s="127"/>
      <c r="WPN308" s="127"/>
      <c r="WPO308" s="127"/>
      <c r="WPP308" s="127"/>
      <c r="WPQ308" s="127"/>
      <c r="WPR308" s="127"/>
      <c r="WPS308" s="127"/>
      <c r="WPT308" s="127"/>
      <c r="WPU308" s="127"/>
      <c r="WPV308" s="127"/>
      <c r="WPW308" s="127"/>
      <c r="WPX308" s="127"/>
      <c r="WPY308" s="127"/>
      <c r="WPZ308" s="127"/>
      <c r="WQA308" s="127"/>
      <c r="WQB308" s="127"/>
      <c r="WQC308" s="127"/>
      <c r="WQD308" s="127"/>
      <c r="WQE308" s="127"/>
      <c r="WQF308" s="127"/>
      <c r="WQG308" s="127"/>
      <c r="WQH308" s="127"/>
      <c r="WQI308" s="127"/>
      <c r="WQJ308" s="127"/>
      <c r="WQK308" s="127"/>
      <c r="WQL308" s="127"/>
      <c r="WQM308" s="127"/>
      <c r="WQN308" s="127"/>
      <c r="WQO308" s="127"/>
      <c r="WQP308" s="127"/>
      <c r="WQQ308" s="127"/>
      <c r="WQR308" s="127"/>
      <c r="WQS308" s="127"/>
      <c r="WQT308" s="127"/>
      <c r="WQU308" s="127"/>
      <c r="WQV308" s="127"/>
      <c r="WQW308" s="127"/>
      <c r="WQX308" s="127"/>
      <c r="WQY308" s="127"/>
      <c r="WQZ308" s="127"/>
      <c r="WRA308" s="127"/>
      <c r="WRB308" s="127"/>
      <c r="WRC308" s="127"/>
      <c r="WRD308" s="127"/>
      <c r="WRE308" s="127"/>
      <c r="WRF308" s="127"/>
      <c r="WRG308" s="127"/>
      <c r="WRH308" s="127"/>
      <c r="WRI308" s="127"/>
      <c r="WRJ308" s="127"/>
      <c r="WRK308" s="127"/>
      <c r="WRL308" s="127"/>
      <c r="WRM308" s="127"/>
      <c r="WRN308" s="127"/>
      <c r="WRO308" s="127"/>
      <c r="WRP308" s="127"/>
      <c r="WRQ308" s="127"/>
      <c r="WRR308" s="127"/>
      <c r="WRS308" s="127"/>
      <c r="WRT308" s="127"/>
      <c r="WRU308" s="127"/>
      <c r="WRV308" s="127"/>
      <c r="WRW308" s="127"/>
      <c r="WRX308" s="127"/>
      <c r="WRY308" s="127"/>
      <c r="WRZ308" s="127"/>
      <c r="WSA308" s="127"/>
      <c r="WSB308" s="127"/>
      <c r="WSC308" s="127"/>
      <c r="WSD308" s="127"/>
      <c r="WSE308" s="127"/>
      <c r="WSF308" s="127"/>
      <c r="WSG308" s="127"/>
      <c r="WSH308" s="127"/>
      <c r="WSI308" s="127"/>
      <c r="WSJ308" s="127"/>
      <c r="WSK308" s="127"/>
      <c r="WSL308" s="127"/>
      <c r="WSM308" s="127"/>
      <c r="WSN308" s="127"/>
      <c r="WSO308" s="127"/>
      <c r="WSP308" s="127"/>
      <c r="WSQ308" s="127"/>
      <c r="WSR308" s="127"/>
      <c r="WSS308" s="127"/>
      <c r="WST308" s="127"/>
      <c r="WSU308" s="127"/>
      <c r="WSV308" s="127"/>
      <c r="WSW308" s="127"/>
      <c r="WSX308" s="127"/>
      <c r="WSY308" s="127"/>
      <c r="WSZ308" s="127"/>
      <c r="WTA308" s="127"/>
      <c r="WTB308" s="127"/>
      <c r="WTC308" s="127"/>
      <c r="WTD308" s="127"/>
      <c r="WTE308" s="127"/>
      <c r="WTF308" s="127"/>
      <c r="WTG308" s="127"/>
      <c r="WTH308" s="127"/>
      <c r="WTI308" s="127"/>
      <c r="WTJ308" s="127"/>
      <c r="WTK308" s="127"/>
      <c r="WTL308" s="127"/>
      <c r="WTM308" s="127"/>
      <c r="WTN308" s="127"/>
      <c r="WTO308" s="127"/>
      <c r="WTP308" s="127"/>
      <c r="WTQ308" s="127"/>
      <c r="WTR308" s="127"/>
      <c r="WTS308" s="127"/>
      <c r="WTT308" s="127"/>
      <c r="WTU308" s="127"/>
      <c r="WTV308" s="127"/>
      <c r="WTW308" s="127"/>
      <c r="WTX308" s="127"/>
      <c r="WTY308" s="127"/>
      <c r="WTZ308" s="127"/>
      <c r="WUA308" s="127"/>
      <c r="WUB308" s="127"/>
      <c r="WUC308" s="127"/>
      <c r="WUD308" s="127"/>
      <c r="WUE308" s="127"/>
      <c r="WUF308" s="127"/>
      <c r="WUG308" s="127"/>
      <c r="WUH308" s="127"/>
      <c r="WUI308" s="127"/>
      <c r="WUJ308" s="127"/>
      <c r="WUK308" s="127"/>
      <c r="WUL308" s="127"/>
      <c r="WUM308" s="127"/>
      <c r="WUN308" s="127"/>
      <c r="WUO308" s="127"/>
      <c r="WUP308" s="127"/>
      <c r="WUQ308" s="127"/>
      <c r="WUR308" s="127"/>
      <c r="WUS308" s="127"/>
      <c r="WUT308" s="127"/>
      <c r="WUU308" s="127"/>
      <c r="WUV308" s="127"/>
      <c r="WUW308" s="127"/>
      <c r="WUX308" s="127"/>
      <c r="WUY308" s="127"/>
      <c r="WUZ308" s="127"/>
      <c r="WVA308" s="127"/>
      <c r="WVB308" s="127"/>
      <c r="WVC308" s="127"/>
      <c r="WVD308" s="127"/>
      <c r="WVE308" s="127"/>
      <c r="WVF308" s="127"/>
      <c r="WVG308" s="127"/>
      <c r="WVH308" s="127"/>
      <c r="WVI308" s="127"/>
      <c r="WVJ308" s="127"/>
      <c r="WVK308" s="127"/>
      <c r="WVL308" s="127"/>
      <c r="WVM308" s="127"/>
      <c r="WVN308" s="127"/>
      <c r="WVO308" s="127"/>
      <c r="WVP308" s="127"/>
      <c r="WVQ308" s="127"/>
      <c r="WVR308" s="127"/>
      <c r="WVS308" s="127"/>
      <c r="WVT308" s="127"/>
      <c r="WVU308" s="127"/>
      <c r="WVV308" s="127"/>
      <c r="WVW308" s="127"/>
      <c r="WVX308" s="127"/>
      <c r="WVY308" s="127"/>
      <c r="WVZ308" s="127"/>
      <c r="WWA308" s="127"/>
      <c r="WWB308" s="127"/>
      <c r="WWC308" s="127"/>
      <c r="WWD308" s="127"/>
      <c r="WWE308" s="127"/>
      <c r="WWF308" s="127"/>
      <c r="WWG308" s="127"/>
      <c r="WWH308" s="127"/>
      <c r="WWI308" s="127"/>
      <c r="WWJ308" s="127"/>
      <c r="WWK308" s="127"/>
      <c r="WWL308" s="127"/>
      <c r="WWM308" s="127"/>
      <c r="WWN308" s="127"/>
      <c r="WWO308" s="127"/>
      <c r="WWP308" s="127"/>
      <c r="WWQ308" s="127"/>
      <c r="WWR308" s="127"/>
      <c r="WWS308" s="127"/>
      <c r="WWT308" s="127"/>
      <c r="WWU308" s="127"/>
      <c r="WWV308" s="127"/>
      <c r="WWW308" s="127"/>
      <c r="WWX308" s="127"/>
      <c r="WWY308" s="127"/>
      <c r="WWZ308" s="127"/>
      <c r="WXA308" s="127"/>
      <c r="WXB308" s="127"/>
      <c r="WXC308" s="127"/>
      <c r="WXD308" s="127"/>
      <c r="WXE308" s="127"/>
      <c r="WXF308" s="127"/>
      <c r="WXG308" s="127"/>
      <c r="WXH308" s="127"/>
      <c r="WXI308" s="127"/>
      <c r="WXJ308" s="127"/>
      <c r="WXK308" s="127"/>
      <c r="WXL308" s="127"/>
      <c r="WXM308" s="127"/>
      <c r="WXN308" s="127"/>
      <c r="WXO308" s="127"/>
      <c r="WXP308" s="127"/>
      <c r="WXQ308" s="127"/>
      <c r="WXR308" s="127"/>
      <c r="WXS308" s="127"/>
      <c r="WXT308" s="127"/>
      <c r="WXU308" s="127"/>
      <c r="WXV308" s="127"/>
      <c r="WXW308" s="127"/>
      <c r="WXX308" s="127"/>
      <c r="WXY308" s="127"/>
      <c r="WXZ308" s="127"/>
      <c r="WYA308" s="127"/>
      <c r="WYB308" s="127"/>
      <c r="WYC308" s="127"/>
      <c r="WYD308" s="127"/>
      <c r="WYE308" s="127"/>
      <c r="WYF308" s="127"/>
      <c r="WYG308" s="127"/>
      <c r="WYH308" s="127"/>
      <c r="WYI308" s="127"/>
      <c r="WYJ308" s="127"/>
      <c r="WYK308" s="127"/>
      <c r="WYL308" s="127"/>
      <c r="WYM308" s="127"/>
      <c r="WYN308" s="127"/>
      <c r="WYO308" s="127"/>
      <c r="WYP308" s="127"/>
      <c r="WYQ308" s="127"/>
      <c r="WYR308" s="127"/>
      <c r="WYS308" s="127"/>
      <c r="WYT308" s="127"/>
      <c r="WYU308" s="127"/>
      <c r="WYV308" s="127"/>
      <c r="WYW308" s="127"/>
      <c r="WYX308" s="127"/>
      <c r="WYY308" s="127"/>
      <c r="WYZ308" s="127"/>
      <c r="WZA308" s="127"/>
      <c r="WZB308" s="127"/>
      <c r="WZC308" s="127"/>
      <c r="WZD308" s="127"/>
      <c r="WZE308" s="127"/>
      <c r="WZF308" s="127"/>
      <c r="WZG308" s="127"/>
      <c r="WZH308" s="127"/>
      <c r="WZI308" s="127"/>
      <c r="WZJ308" s="127"/>
      <c r="WZK308" s="127"/>
      <c r="WZL308" s="127"/>
      <c r="WZM308" s="127"/>
      <c r="WZN308" s="127"/>
      <c r="WZO308" s="127"/>
      <c r="WZP308" s="127"/>
      <c r="WZQ308" s="127"/>
      <c r="WZR308" s="127"/>
      <c r="WZS308" s="127"/>
      <c r="WZT308" s="127"/>
      <c r="WZU308" s="127"/>
      <c r="WZV308" s="127"/>
      <c r="WZW308" s="127"/>
      <c r="WZX308" s="127"/>
      <c r="WZY308" s="127"/>
      <c r="WZZ308" s="127"/>
      <c r="XAA308" s="127"/>
      <c r="XAB308" s="127"/>
      <c r="XAC308" s="127"/>
      <c r="XAD308" s="127"/>
      <c r="XAE308" s="127"/>
      <c r="XAF308" s="127"/>
      <c r="XAG308" s="127"/>
      <c r="XAH308" s="127"/>
      <c r="XAI308" s="127"/>
      <c r="XAJ308" s="127"/>
      <c r="XAK308" s="127"/>
      <c r="XAL308" s="127"/>
      <c r="XAM308" s="127"/>
      <c r="XAN308" s="127"/>
      <c r="XAO308" s="127"/>
      <c r="XAP308" s="127"/>
      <c r="XAQ308" s="127"/>
      <c r="XAR308" s="127"/>
      <c r="XAS308" s="127"/>
      <c r="XAT308" s="127"/>
      <c r="XAU308" s="127"/>
      <c r="XAV308" s="127"/>
      <c r="XAW308" s="127"/>
      <c r="XAX308" s="127"/>
      <c r="XAY308" s="127"/>
      <c r="XAZ308" s="127"/>
      <c r="XBA308" s="127"/>
      <c r="XBB308" s="127"/>
      <c r="XBC308" s="127"/>
      <c r="XBD308" s="127"/>
      <c r="XBE308" s="127"/>
      <c r="XBF308" s="127"/>
      <c r="XBG308" s="127"/>
      <c r="XBH308" s="127"/>
      <c r="XBI308" s="127"/>
      <c r="XBJ308" s="127"/>
      <c r="XBK308" s="127"/>
      <c r="XBL308" s="127"/>
      <c r="XBM308" s="127"/>
      <c r="XBN308" s="127"/>
      <c r="XBO308" s="127"/>
      <c r="XBP308" s="127"/>
      <c r="XBQ308" s="127"/>
      <c r="XBR308" s="127"/>
      <c r="XBS308" s="127"/>
      <c r="XBT308" s="127"/>
      <c r="XBU308" s="127"/>
      <c r="XBV308" s="127"/>
      <c r="XBW308" s="127"/>
      <c r="XBX308" s="127"/>
      <c r="XBY308" s="127"/>
      <c r="XBZ308" s="127"/>
      <c r="XCA308" s="127"/>
      <c r="XCB308" s="127"/>
      <c r="XCC308" s="127"/>
      <c r="XCD308" s="127"/>
      <c r="XCE308" s="127"/>
      <c r="XCF308" s="127"/>
      <c r="XCG308" s="127"/>
      <c r="XCH308" s="127"/>
      <c r="XCI308" s="127"/>
      <c r="XCJ308" s="127"/>
      <c r="XCK308" s="127"/>
      <c r="XCL308" s="127"/>
      <c r="XCM308" s="127"/>
      <c r="XCN308" s="127"/>
      <c r="XCO308" s="127"/>
      <c r="XCP308" s="127"/>
      <c r="XCQ308" s="127"/>
      <c r="XCR308" s="127"/>
      <c r="XCS308" s="127"/>
      <c r="XCT308" s="127"/>
      <c r="XCU308" s="127"/>
      <c r="XCV308" s="127"/>
      <c r="XCW308" s="127"/>
      <c r="XCX308" s="127"/>
      <c r="XCY308" s="127"/>
      <c r="XCZ308" s="127"/>
      <c r="XDA308" s="127"/>
      <c r="XDB308" s="127"/>
      <c r="XDC308" s="127"/>
      <c r="XDD308" s="127"/>
      <c r="XDE308" s="127"/>
      <c r="XDF308" s="127"/>
      <c r="XDG308" s="127"/>
      <c r="XDH308" s="127"/>
      <c r="XDI308" s="127"/>
      <c r="XDJ308" s="127"/>
      <c r="XDK308" s="127"/>
      <c r="XDL308" s="127"/>
      <c r="XDM308" s="127"/>
      <c r="XDN308" s="127"/>
      <c r="XDO308" s="127"/>
      <c r="XDP308" s="127"/>
      <c r="XDQ308" s="127"/>
      <c r="XDR308" s="127"/>
      <c r="XDS308" s="127"/>
      <c r="XDT308" s="127"/>
      <c r="XDU308" s="127"/>
      <c r="XDV308" s="127"/>
      <c r="XDW308" s="127"/>
      <c r="XDX308" s="127"/>
      <c r="XDY308" s="127"/>
      <c r="XDZ308" s="127"/>
      <c r="XEA308" s="127"/>
      <c r="XEB308" s="127"/>
      <c r="XEC308" s="127"/>
      <c r="XED308" s="127"/>
      <c r="XEE308" s="127"/>
      <c r="XEF308" s="127"/>
      <c r="XEG308" s="127"/>
      <c r="XEH308" s="127"/>
      <c r="XEI308" s="127"/>
      <c r="XEJ308" s="127"/>
      <c r="XEK308" s="127"/>
      <c r="XEL308" s="127"/>
      <c r="XEM308" s="127"/>
      <c r="XEN308" s="127"/>
      <c r="XEO308" s="127"/>
      <c r="XEP308" s="127"/>
      <c r="XEQ308" s="127"/>
      <c r="XER308" s="127"/>
      <c r="XES308" s="127"/>
      <c r="XET308" s="127"/>
      <c r="XEU308" s="127"/>
      <c r="XEV308" s="127"/>
      <c r="XEW308" s="127"/>
      <c r="XEX308" s="127"/>
      <c r="XEY308" s="127"/>
      <c r="XEZ308" s="127"/>
      <c r="XFA308" s="127"/>
      <c r="XFB308" s="127"/>
      <c r="XFC308" s="127"/>
      <c r="XFD308" s="127"/>
    </row>
    <row r="309" spans="1:16384" x14ac:dyDescent="0.3">
      <c r="A309" s="127" t="s">
        <v>786</v>
      </c>
      <c r="B309" s="127" t="s">
        <v>2082</v>
      </c>
      <c r="C309" s="128" t="str">
        <f>'Register Configuration'!L362</f>
        <v>0xA01C0000</v>
      </c>
      <c r="D309" s="127" t="s">
        <v>2142</v>
      </c>
    </row>
    <row r="310" spans="1:16384" x14ac:dyDescent="0.3">
      <c r="A310" s="127" t="s">
        <v>780</v>
      </c>
      <c r="B310" s="127" t="s">
        <v>933</v>
      </c>
      <c r="C310" s="128" t="str">
        <f>'Register Configuration'!L362</f>
        <v>0xA01C0000</v>
      </c>
    </row>
    <row r="311" spans="1:16384" x14ac:dyDescent="0.3">
      <c r="A311" s="127" t="s">
        <v>2076</v>
      </c>
    </row>
    <row r="312" spans="1:16384" s="127" customFormat="1" x14ac:dyDescent="0.3">
      <c r="A312" s="127" t="s">
        <v>780</v>
      </c>
      <c r="B312" s="127" t="s">
        <v>781</v>
      </c>
      <c r="C312" s="127" t="s">
        <v>785</v>
      </c>
      <c r="D312" s="127" t="s">
        <v>2143</v>
      </c>
      <c r="E312"/>
      <c r="F312"/>
      <c r="G312"/>
      <c r="H312"/>
      <c r="I312"/>
    </row>
    <row r="313" spans="1:16384" s="127" customFormat="1" x14ac:dyDescent="0.3">
      <c r="A313" s="127" t="s">
        <v>786</v>
      </c>
      <c r="B313" s="127" t="s">
        <v>2084</v>
      </c>
      <c r="C313" s="127" t="s">
        <v>2085</v>
      </c>
      <c r="D313" s="127" t="s">
        <v>2144</v>
      </c>
      <c r="E313"/>
      <c r="F313"/>
      <c r="G313"/>
      <c r="H313"/>
      <c r="I313"/>
    </row>
    <row r="314" spans="1:16384" x14ac:dyDescent="0.3">
      <c r="A314" s="127" t="s">
        <v>786</v>
      </c>
      <c r="B314" s="127" t="s">
        <v>783</v>
      </c>
      <c r="C314" s="127" t="s">
        <v>785</v>
      </c>
      <c r="D314" s="127" t="s">
        <v>2145</v>
      </c>
    </row>
    <row r="315" spans="1:16384" x14ac:dyDescent="0.3">
      <c r="A315" s="127" t="s">
        <v>2086</v>
      </c>
    </row>
    <row r="316" spans="1:16384" x14ac:dyDescent="0.3">
      <c r="A316" s="127" t="s">
        <v>780</v>
      </c>
      <c r="B316" s="127" t="s">
        <v>917</v>
      </c>
      <c r="C316" s="128" t="str">
        <f>'Register Configuration'!K350</f>
        <v>0x03201901</v>
      </c>
    </row>
    <row r="317" spans="1:16384" x14ac:dyDescent="0.3">
      <c r="A317" s="127" t="s">
        <v>780</v>
      </c>
      <c r="B317" s="127" t="s">
        <v>918</v>
      </c>
      <c r="C317" s="128" t="str">
        <f>'Register Configuration'!K357</f>
        <v>0x027100E1</v>
      </c>
    </row>
    <row r="318" spans="1:16384" s="127" customFormat="1" x14ac:dyDescent="0.3">
      <c r="A318" s="127" t="s">
        <v>2089</v>
      </c>
      <c r="E318"/>
      <c r="F318"/>
      <c r="G318"/>
      <c r="H318"/>
      <c r="I318"/>
    </row>
    <row r="319" spans="1:16384" s="127" customFormat="1" x14ac:dyDescent="0.3">
      <c r="A319" s="127" t="s">
        <v>786</v>
      </c>
      <c r="B319" s="127" t="s">
        <v>925</v>
      </c>
      <c r="C319" s="127" t="s">
        <v>2090</v>
      </c>
      <c r="E319"/>
      <c r="F319"/>
      <c r="G319"/>
      <c r="H319"/>
      <c r="I319"/>
    </row>
    <row r="320" spans="1:16384" s="127" customFormat="1" x14ac:dyDescent="0.3">
      <c r="A320" s="127" t="s">
        <v>786</v>
      </c>
      <c r="B320" s="127" t="s">
        <v>925</v>
      </c>
      <c r="C320" s="127" t="s">
        <v>2091</v>
      </c>
      <c r="E320"/>
      <c r="F320"/>
      <c r="G320"/>
      <c r="H320"/>
      <c r="I320"/>
    </row>
    <row r="322" spans="1:9" s="127" customFormat="1" x14ac:dyDescent="0.3">
      <c r="A322" s="127" t="s">
        <v>2092</v>
      </c>
    </row>
    <row r="323" spans="1:9" x14ac:dyDescent="0.3">
      <c r="A323" s="127" t="str">
        <f>IF('Register Configuration'!F19 = 2,"", "//") &amp; "DATA 4"</f>
        <v>DATA 4</v>
      </c>
      <c r="B323" s="127" t="s">
        <v>953</v>
      </c>
      <c r="C323" s="128" t="str">
        <f>'Register Configuration'!L362</f>
        <v>0xA01C0000</v>
      </c>
      <c r="D323" s="127" t="s">
        <v>2142</v>
      </c>
    </row>
    <row r="324" spans="1:9" x14ac:dyDescent="0.3">
      <c r="A324" s="127" t="str">
        <f>IF('Register Configuration'!F19 = 2,"", "//") &amp; "DATA 4"</f>
        <v>DATA 4</v>
      </c>
      <c r="B324" s="127" t="s">
        <v>954</v>
      </c>
      <c r="C324" s="128" t="str">
        <f>'Register Configuration'!L362</f>
        <v>0xA01C0000</v>
      </c>
    </row>
    <row r="325" spans="1:9" x14ac:dyDescent="0.3">
      <c r="A325" s="127" t="s">
        <v>2076</v>
      </c>
    </row>
    <row r="326" spans="1:9" s="127" customFormat="1" x14ac:dyDescent="0.3">
      <c r="A326" s="127" t="str">
        <f>IF('Register Configuration'!F19 = 2,"", "//") &amp; "DATA 4"</f>
        <v>DATA 4</v>
      </c>
      <c r="B326" s="127" t="s">
        <v>782</v>
      </c>
      <c r="C326" s="127" t="s">
        <v>785</v>
      </c>
      <c r="E326"/>
      <c r="F326"/>
      <c r="G326"/>
      <c r="H326"/>
      <c r="I326"/>
    </row>
    <row r="327" spans="1:9" x14ac:dyDescent="0.3">
      <c r="A327" s="127" t="str">
        <f>IF('Register Configuration'!F19 = 2,"", "//") &amp; "DATA 4"</f>
        <v>DATA 4</v>
      </c>
      <c r="B327" s="127" t="s">
        <v>2083</v>
      </c>
      <c r="C327" s="127" t="s">
        <v>2085</v>
      </c>
    </row>
    <row r="328" spans="1:9" x14ac:dyDescent="0.3">
      <c r="A328" s="127" t="str">
        <f>IF('Register Configuration'!F19 = 2,"", "//") &amp; "DATA 4"</f>
        <v>DATA 4</v>
      </c>
      <c r="B328" s="127" t="s">
        <v>784</v>
      </c>
      <c r="C328" s="127" t="s">
        <v>785</v>
      </c>
    </row>
    <row r="329" spans="1:9" x14ac:dyDescent="0.3">
      <c r="A329" s="127" t="s">
        <v>2086</v>
      </c>
    </row>
    <row r="330" spans="1:9" x14ac:dyDescent="0.3">
      <c r="A330" s="127" t="str">
        <f>IF('Register Configuration'!F19 = 2,"", "//") &amp; "DATA 4"</f>
        <v>DATA 4</v>
      </c>
      <c r="B330" s="127" t="s">
        <v>951</v>
      </c>
      <c r="C330" s="128" t="str">
        <f>'Register Configuration'!K350</f>
        <v>0x03201901</v>
      </c>
    </row>
    <row r="331" spans="1:9" x14ac:dyDescent="0.3">
      <c r="A331" s="127" t="str">
        <f>IF('Register Configuration'!F19 = 2,"", "//") &amp; "DATA 4"</f>
        <v>DATA 4</v>
      </c>
      <c r="B331" s="127" t="s">
        <v>952</v>
      </c>
      <c r="C331" s="128" t="str">
        <f>'Register Configuration'!K357</f>
        <v>0x027100E1</v>
      </c>
    </row>
    <row r="332" spans="1:9" s="127" customFormat="1" x14ac:dyDescent="0.3">
      <c r="A332" s="127" t="s">
        <v>2089</v>
      </c>
      <c r="E332"/>
      <c r="F332"/>
      <c r="G332"/>
      <c r="H332"/>
      <c r="I332"/>
    </row>
    <row r="333" spans="1:9" s="127" customFormat="1" x14ac:dyDescent="0.3">
      <c r="A333" s="127" t="str">
        <f>IF('Register Configuration'!F19 = 2,"", "//") &amp; "DATA 4"</f>
        <v>DATA 4</v>
      </c>
      <c r="B333" s="127" t="s">
        <v>958</v>
      </c>
      <c r="C333" s="127" t="s">
        <v>2090</v>
      </c>
      <c r="E333"/>
      <c r="F333"/>
      <c r="G333"/>
      <c r="H333"/>
      <c r="I333"/>
    </row>
    <row r="334" spans="1:9" s="127" customFormat="1" x14ac:dyDescent="0.3">
      <c r="A334" s="127" t="str">
        <f>IF('Register Configuration'!F19 = 2,"", "//") &amp; "DATA 4"</f>
        <v>DATA 4</v>
      </c>
      <c r="B334" s="127" t="s">
        <v>958</v>
      </c>
      <c r="C334" s="127" t="s">
        <v>2091</v>
      </c>
      <c r="E334"/>
      <c r="F334"/>
      <c r="G334"/>
      <c r="H334"/>
      <c r="I334"/>
    </row>
    <row r="335" spans="1:9" s="127" customFormat="1" x14ac:dyDescent="0.3">
      <c r="E335"/>
      <c r="F335"/>
      <c r="G335"/>
      <c r="H335"/>
      <c r="I335"/>
    </row>
    <row r="336" spans="1:9" x14ac:dyDescent="0.3">
      <c r="A336" s="127" t="s">
        <v>887</v>
      </c>
    </row>
    <row r="337" spans="1:4" x14ac:dyDescent="0.3">
      <c r="A337" s="127" t="s">
        <v>960</v>
      </c>
    </row>
    <row r="338" spans="1:4" x14ac:dyDescent="0.3">
      <c r="A338" s="127" t="s">
        <v>887</v>
      </c>
    </row>
    <row r="339" spans="1:4" s="127" customFormat="1" x14ac:dyDescent="0.3">
      <c r="A339" s="127" t="s">
        <v>2088</v>
      </c>
    </row>
    <row r="340" spans="1:4" x14ac:dyDescent="0.3">
      <c r="A340" s="127" t="s">
        <v>961</v>
      </c>
    </row>
    <row r="341" spans="1:4" x14ac:dyDescent="0.3">
      <c r="A341" s="127" t="s">
        <v>1031</v>
      </c>
    </row>
    <row r="342" spans="1:4" x14ac:dyDescent="0.3">
      <c r="A342" s="127" t="s">
        <v>780</v>
      </c>
      <c r="B342" s="127" t="s">
        <v>962</v>
      </c>
      <c r="C342" s="128" t="str">
        <f>'Register Configuration'!J391</f>
        <v>0x54</v>
      </c>
      <c r="D342" s="127" t="s">
        <v>1032</v>
      </c>
    </row>
    <row r="343" spans="1:4" x14ac:dyDescent="0.3">
      <c r="A343" s="127" t="s">
        <v>780</v>
      </c>
      <c r="B343" s="127" t="s">
        <v>963</v>
      </c>
      <c r="C343" s="128" t="str">
        <f>'Register Configuration'!J398</f>
        <v>0x2D</v>
      </c>
      <c r="D343" s="127" t="s">
        <v>1812</v>
      </c>
    </row>
    <row r="344" spans="1:4" x14ac:dyDescent="0.3">
      <c r="A344" s="127" t="s">
        <v>780</v>
      </c>
      <c r="B344" s="127" t="s">
        <v>964</v>
      </c>
      <c r="C344" s="128" t="str">
        <f>'Register Configuration'!J404</f>
        <v>0xF1</v>
      </c>
      <c r="D344" s="127" t="s">
        <v>1813</v>
      </c>
    </row>
    <row r="346" spans="1:4" x14ac:dyDescent="0.3">
      <c r="A346" s="127" t="s">
        <v>780</v>
      </c>
      <c r="B346" s="127" t="s">
        <v>965</v>
      </c>
      <c r="C346" s="128" t="str">
        <f>'Register Configuration'!J410</f>
        <v>0x54</v>
      </c>
      <c r="D346" s="127" t="s">
        <v>1814</v>
      </c>
    </row>
    <row r="347" spans="1:4" x14ac:dyDescent="0.3">
      <c r="A347" s="127" t="s">
        <v>780</v>
      </c>
      <c r="B347" s="127" t="s">
        <v>2074</v>
      </c>
      <c r="C347" s="128" t="str">
        <f>'Register Configuration'!J414</f>
        <v>0x40</v>
      </c>
    </row>
    <row r="348" spans="1:4" x14ac:dyDescent="0.3">
      <c r="A348" s="127" t="s">
        <v>780</v>
      </c>
      <c r="B348" s="127" t="s">
        <v>966</v>
      </c>
      <c r="C348" s="128" t="str">
        <f>'Register Configuration'!J423</f>
        <v>0x16</v>
      </c>
      <c r="D348" s="127" t="s">
        <v>967</v>
      </c>
    </row>
    <row r="349" spans="1:4" x14ac:dyDescent="0.3">
      <c r="A349" s="127" t="s">
        <v>1866</v>
      </c>
    </row>
    <row r="350" spans="1:4" x14ac:dyDescent="0.3">
      <c r="A350" s="127" t="s">
        <v>780</v>
      </c>
      <c r="B350" s="127" t="s">
        <v>968</v>
      </c>
      <c r="C350" s="127" t="s">
        <v>969</v>
      </c>
    </row>
    <row r="351" spans="1:4" x14ac:dyDescent="0.3">
      <c r="A351" s="127" t="s">
        <v>780</v>
      </c>
      <c r="B351" s="127" t="s">
        <v>970</v>
      </c>
      <c r="C351" s="127" t="s">
        <v>969</v>
      </c>
    </row>
    <row r="352" spans="1:4" x14ac:dyDescent="0.3">
      <c r="A352" s="127" t="s">
        <v>971</v>
      </c>
    </row>
    <row r="353" spans="1:4" x14ac:dyDescent="0.3">
      <c r="A353" s="127" t="s">
        <v>972</v>
      </c>
    </row>
    <row r="354" spans="1:4" x14ac:dyDescent="0.3">
      <c r="A354" s="127" t="s">
        <v>780</v>
      </c>
      <c r="B354" s="127" t="s">
        <v>973</v>
      </c>
      <c r="C354" s="128" t="str">
        <f>'Register Configuration'!J429</f>
        <v>0x1044220C</v>
      </c>
      <c r="D354" s="127" t="s">
        <v>979</v>
      </c>
    </row>
    <row r="355" spans="1:4" x14ac:dyDescent="0.3">
      <c r="A355" s="127" t="s">
        <v>780</v>
      </c>
      <c r="B355" s="127" t="s">
        <v>974</v>
      </c>
      <c r="C355" s="128" t="str">
        <f>'Register Configuration'!J435</f>
        <v>0x28400417</v>
      </c>
      <c r="D355" s="127" t="s">
        <v>980</v>
      </c>
    </row>
    <row r="356" spans="1:4" x14ac:dyDescent="0.3">
      <c r="A356" s="127" t="s">
        <v>780</v>
      </c>
      <c r="B356" s="127" t="s">
        <v>975</v>
      </c>
      <c r="C356" s="128" t="str">
        <f>'Register Configuration'!J440</f>
        <v>0x006CA1CC</v>
      </c>
      <c r="D356" s="127" t="s">
        <v>981</v>
      </c>
    </row>
    <row r="357" spans="1:4" x14ac:dyDescent="0.3">
      <c r="A357" s="127" t="s">
        <v>780</v>
      </c>
      <c r="B357" s="127" t="s">
        <v>976</v>
      </c>
      <c r="C357" s="128" t="str">
        <f>'Register Configuration'!J447</f>
        <v>0x01800602</v>
      </c>
      <c r="D357" s="127" t="s">
        <v>2171</v>
      </c>
    </row>
    <row r="358" spans="1:4" x14ac:dyDescent="0.3">
      <c r="A358" s="127" t="s">
        <v>780</v>
      </c>
      <c r="B358" s="127" t="s">
        <v>977</v>
      </c>
      <c r="C358" s="128" t="str">
        <f>'Register Configuration'!J453</f>
        <v>0x01C02B0F</v>
      </c>
      <c r="D358" s="127" t="s">
        <v>982</v>
      </c>
    </row>
    <row r="359" spans="1:4" x14ac:dyDescent="0.3">
      <c r="A359" s="127" t="s">
        <v>780</v>
      </c>
      <c r="B359" s="127" t="s">
        <v>978</v>
      </c>
      <c r="C359" s="128" t="str">
        <f>'Register Configuration'!J458</f>
        <v>0x21651D11</v>
      </c>
      <c r="D359" s="127" t="s">
        <v>983</v>
      </c>
    </row>
    <row r="360" spans="1:4" x14ac:dyDescent="0.3">
      <c r="A360" s="127" t="s">
        <v>916</v>
      </c>
    </row>
    <row r="361" spans="1:4" x14ac:dyDescent="0.3">
      <c r="A361" s="127" t="s">
        <v>780</v>
      </c>
      <c r="B361" s="127" t="s">
        <v>2104</v>
      </c>
      <c r="C361" s="128" t="str">
        <f>'Register Configuration'!J463</f>
        <v>0x000A3DEF</v>
      </c>
      <c r="D361" s="127" t="s">
        <v>2189</v>
      </c>
    </row>
    <row r="362" spans="1:4" x14ac:dyDescent="0.3">
      <c r="A362" s="127" t="s">
        <v>780</v>
      </c>
      <c r="B362" s="127" t="s">
        <v>984</v>
      </c>
      <c r="C362" s="128" t="str">
        <f>'Register Configuration'!J468</f>
        <v>0x000186A0</v>
      </c>
      <c r="D362" s="127" t="s">
        <v>1853</v>
      </c>
    </row>
    <row r="363" spans="1:4" x14ac:dyDescent="0.3">
      <c r="A363" s="127" t="s">
        <v>780</v>
      </c>
      <c r="B363" s="127" t="s">
        <v>985</v>
      </c>
      <c r="C363" s="128" t="str">
        <f>'Register Configuration'!J471</f>
        <v>0x00000064</v>
      </c>
      <c r="D363" s="127" t="s">
        <v>1854</v>
      </c>
    </row>
    <row r="364" spans="1:4" x14ac:dyDescent="0.3">
      <c r="A364" s="127" t="s">
        <v>780</v>
      </c>
      <c r="B364" s="127" t="s">
        <v>986</v>
      </c>
      <c r="C364" s="128" t="str">
        <f>'Register Configuration'!J474</f>
        <v>0x00002710</v>
      </c>
      <c r="D364" s="127" t="s">
        <v>1855</v>
      </c>
    </row>
    <row r="365" spans="1:4" x14ac:dyDescent="0.3">
      <c r="A365" s="127" t="s">
        <v>780</v>
      </c>
      <c r="B365" s="127" t="s">
        <v>987</v>
      </c>
      <c r="C365" s="128" t="str">
        <f>'Register Configuration'!J477</f>
        <v>0x00B00032</v>
      </c>
      <c r="D365" s="127" t="s">
        <v>1869</v>
      </c>
    </row>
    <row r="366" spans="1:4" x14ac:dyDescent="0.3">
      <c r="A366" s="127" t="s">
        <v>988</v>
      </c>
    </row>
    <row r="367" spans="1:4" x14ac:dyDescent="0.3">
      <c r="A367" s="127" t="s">
        <v>989</v>
      </c>
    </row>
    <row r="368" spans="1:4" x14ac:dyDescent="0.3">
      <c r="A368" s="127" t="s">
        <v>780</v>
      </c>
      <c r="B368" s="127" t="s">
        <v>990</v>
      </c>
      <c r="C368" s="127" t="s">
        <v>821</v>
      </c>
      <c r="D368" s="127" t="s">
        <v>993</v>
      </c>
    </row>
    <row r="369" spans="1:9" x14ac:dyDescent="0.3">
      <c r="A369" s="127" t="s">
        <v>780</v>
      </c>
      <c r="B369" s="127" t="s">
        <v>991</v>
      </c>
      <c r="C369" s="127" t="s">
        <v>992</v>
      </c>
      <c r="D369" s="127" t="s">
        <v>994</v>
      </c>
    </row>
    <row r="370" spans="1:9" x14ac:dyDescent="0.3">
      <c r="A370" s="127" t="s">
        <v>780</v>
      </c>
      <c r="B370" s="127" t="s">
        <v>990</v>
      </c>
      <c r="C370" s="127" t="s">
        <v>992</v>
      </c>
      <c r="D370" s="127" t="s">
        <v>995</v>
      </c>
    </row>
    <row r="371" spans="1:9" x14ac:dyDescent="0.3">
      <c r="A371" s="127" t="s">
        <v>780</v>
      </c>
      <c r="B371" s="127" t="s">
        <v>991</v>
      </c>
      <c r="C371" s="127" t="s">
        <v>992</v>
      </c>
      <c r="D371" s="127" t="s">
        <v>996</v>
      </c>
    </row>
    <row r="372" spans="1:9" x14ac:dyDescent="0.3">
      <c r="A372" s="127" t="s">
        <v>997</v>
      </c>
    </row>
    <row r="373" spans="1:9" x14ac:dyDescent="0.3">
      <c r="A373" s="127" t="s">
        <v>998</v>
      </c>
    </row>
    <row r="374" spans="1:9" x14ac:dyDescent="0.3">
      <c r="A374" s="127" t="s">
        <v>780</v>
      </c>
      <c r="B374" s="127" t="s">
        <v>999</v>
      </c>
      <c r="C374" s="128" t="str">
        <f>'Register Configuration'!J482</f>
        <v>0x30070801</v>
      </c>
      <c r="D374" s="127" t="s">
        <v>1001</v>
      </c>
    </row>
    <row r="375" spans="1:9" x14ac:dyDescent="0.3">
      <c r="A375" s="127" t="s">
        <v>780</v>
      </c>
      <c r="B375" s="127" t="s">
        <v>1000</v>
      </c>
      <c r="C375" s="128" t="str">
        <f>'Register Configuration'!J494</f>
        <v>0x09000000</v>
      </c>
      <c r="D375" s="127" t="s">
        <v>1002</v>
      </c>
    </row>
    <row r="376" spans="1:9" x14ac:dyDescent="0.3">
      <c r="A376" s="127" t="s">
        <v>1003</v>
      </c>
    </row>
    <row r="377" spans="1:9" x14ac:dyDescent="0.3">
      <c r="A377" s="127" t="s">
        <v>780</v>
      </c>
      <c r="B377" s="127" t="s">
        <v>1004</v>
      </c>
      <c r="C377" s="128" t="str">
        <f>'Register Configuration'!J499</f>
        <v>0x44000000</v>
      </c>
    </row>
    <row r="378" spans="1:9" x14ac:dyDescent="0.3">
      <c r="A378" s="127" t="s">
        <v>1005</v>
      </c>
    </row>
    <row r="379" spans="1:9" x14ac:dyDescent="0.3">
      <c r="A379" s="127" t="s">
        <v>780</v>
      </c>
      <c r="B379" s="127" t="s">
        <v>1006</v>
      </c>
      <c r="C379" s="128" t="str">
        <f>'Register Configuration'!J516</f>
        <v>0xF0032008</v>
      </c>
      <c r="D379" s="127" t="s">
        <v>1008</v>
      </c>
    </row>
    <row r="380" spans="1:9" x14ac:dyDescent="0.3">
      <c r="A380" s="127" t="s">
        <v>780</v>
      </c>
      <c r="B380" s="127" t="s">
        <v>1007</v>
      </c>
      <c r="C380" s="128" t="str">
        <f>'Register Configuration'!J525</f>
        <v>0x07F001AB</v>
      </c>
      <c r="D380" s="127" t="s">
        <v>1009</v>
      </c>
    </row>
    <row r="381" spans="1:9" x14ac:dyDescent="0.3">
      <c r="A381" s="127" t="s">
        <v>776</v>
      </c>
    </row>
    <row r="382" spans="1:9" x14ac:dyDescent="0.3">
      <c r="A382" s="127" t="s">
        <v>1010</v>
      </c>
    </row>
    <row r="383" spans="1:9" x14ac:dyDescent="0.3">
      <c r="A383" s="127" t="s">
        <v>959</v>
      </c>
      <c r="B383" s="127" t="s">
        <v>1011</v>
      </c>
      <c r="C383" s="127" t="s">
        <v>1012</v>
      </c>
    </row>
    <row r="384" spans="1:9" x14ac:dyDescent="0.3">
      <c r="A384" s="127" t="s">
        <v>780</v>
      </c>
      <c r="B384" s="127" t="s">
        <v>1013</v>
      </c>
      <c r="C384" s="127" t="s">
        <v>1014</v>
      </c>
      <c r="D384" s="127" t="s">
        <v>1069</v>
      </c>
      <c r="I384" s="127"/>
    </row>
    <row r="385" spans="1:6" x14ac:dyDescent="0.3">
      <c r="A385" s="127" t="s">
        <v>776</v>
      </c>
    </row>
    <row r="386" spans="1:6" x14ac:dyDescent="0.3">
      <c r="A386" s="127" t="s">
        <v>780</v>
      </c>
      <c r="B386" s="127" t="s">
        <v>1015</v>
      </c>
      <c r="C386" s="127" t="s">
        <v>1016</v>
      </c>
      <c r="D386" s="127" t="s">
        <v>1025</v>
      </c>
    </row>
    <row r="387" spans="1:6" x14ac:dyDescent="0.3">
      <c r="A387" s="127" t="s">
        <v>780</v>
      </c>
      <c r="B387" s="127" t="s">
        <v>1017</v>
      </c>
      <c r="C387" s="127" t="s">
        <v>1016</v>
      </c>
      <c r="D387" s="127" t="s">
        <v>1025</v>
      </c>
      <c r="F387" s="127"/>
    </row>
    <row r="388" spans="1:6" x14ac:dyDescent="0.3">
      <c r="A388" s="127" t="s">
        <v>780</v>
      </c>
      <c r="B388" s="127" t="s">
        <v>1018</v>
      </c>
      <c r="C388" s="127" t="s">
        <v>1016</v>
      </c>
      <c r="D388" s="127" t="s">
        <v>1025</v>
      </c>
    </row>
    <row r="389" spans="1:6" x14ac:dyDescent="0.3">
      <c r="A389" s="127" t="s">
        <v>780</v>
      </c>
      <c r="B389" s="127" t="s">
        <v>1019</v>
      </c>
      <c r="C389" s="127" t="s">
        <v>1016</v>
      </c>
      <c r="D389" s="127" t="s">
        <v>1025</v>
      </c>
    </row>
    <row r="390" spans="1:6" x14ac:dyDescent="0.3">
      <c r="A390" s="127" t="s">
        <v>780</v>
      </c>
      <c r="B390" s="127" t="s">
        <v>1020</v>
      </c>
      <c r="C390" s="127" t="s">
        <v>1021</v>
      </c>
      <c r="D390" s="127" t="s">
        <v>1026</v>
      </c>
    </row>
    <row r="391" spans="1:6" x14ac:dyDescent="0.3">
      <c r="A391" s="127" t="s">
        <v>780</v>
      </c>
      <c r="B391" s="127" t="s">
        <v>1022</v>
      </c>
      <c r="C391" s="127" t="s">
        <v>1021</v>
      </c>
      <c r="D391" s="127" t="s">
        <v>1026</v>
      </c>
    </row>
    <row r="392" spans="1:6" x14ac:dyDescent="0.3">
      <c r="A392" s="127" t="s">
        <v>780</v>
      </c>
      <c r="B392" s="127" t="s">
        <v>1023</v>
      </c>
      <c r="C392" s="127" t="s">
        <v>1021</v>
      </c>
      <c r="D392" s="127" t="s">
        <v>1026</v>
      </c>
    </row>
    <row r="393" spans="1:6" x14ac:dyDescent="0.3">
      <c r="A393" s="127" t="s">
        <v>780</v>
      </c>
      <c r="B393" s="127" t="s">
        <v>1024</v>
      </c>
      <c r="C393" s="127" t="s">
        <v>1021</v>
      </c>
      <c r="D393" s="127" t="s">
        <v>1026</v>
      </c>
    </row>
    <row r="394" spans="1:6" x14ac:dyDescent="0.3">
      <c r="A394" s="127" t="s">
        <v>1027</v>
      </c>
    </row>
    <row r="395" spans="1:6" x14ac:dyDescent="0.3">
      <c r="A395" s="127" t="s">
        <v>2099</v>
      </c>
    </row>
    <row r="396" spans="1:6" x14ac:dyDescent="0.3">
      <c r="A396" s="127" t="s">
        <v>780</v>
      </c>
      <c r="B396" s="127" t="s">
        <v>1028</v>
      </c>
      <c r="C396" s="128" t="str">
        <f>'Register Configuration'!J536</f>
        <v>0x001C1600</v>
      </c>
    </row>
    <row r="397" spans="1:6" x14ac:dyDescent="0.3">
      <c r="A397" s="127" t="s">
        <v>780</v>
      </c>
      <c r="B397" s="127" t="s">
        <v>2013</v>
      </c>
      <c r="C397" s="128" t="str">
        <f>'Register Configuration'!J336</f>
        <v>0x001900B1</v>
      </c>
    </row>
    <row r="398" spans="1:6" x14ac:dyDescent="0.3">
      <c r="A398" s="127" t="s">
        <v>1029</v>
      </c>
    </row>
    <row r="399" spans="1:6" x14ac:dyDescent="0.3">
      <c r="A399" s="127" t="s">
        <v>780</v>
      </c>
      <c r="B399" s="127" t="s">
        <v>1030</v>
      </c>
      <c r="C399" s="128" t="str">
        <f>'Register Configuration'!J549</f>
        <v>0x79000000</v>
      </c>
      <c r="D399" s="127" t="s">
        <v>1002</v>
      </c>
    </row>
    <row r="400" spans="1:6" x14ac:dyDescent="0.3">
      <c r="C400" s="129"/>
    </row>
    <row r="401" spans="1:4" s="127" customFormat="1" x14ac:dyDescent="0.3">
      <c r="A401" s="127" t="s">
        <v>2092</v>
      </c>
    </row>
    <row r="402" spans="1:4" x14ac:dyDescent="0.3">
      <c r="A402" s="127" t="s">
        <v>961</v>
      </c>
    </row>
    <row r="403" spans="1:4" x14ac:dyDescent="0.3">
      <c r="A403" s="127" t="s">
        <v>1031</v>
      </c>
    </row>
    <row r="404" spans="1:4" x14ac:dyDescent="0.3">
      <c r="A404" s="127" t="str">
        <f>IF('Register Configuration'!F19 = 2,"", "//") &amp; "DATA 4"</f>
        <v>DATA 4</v>
      </c>
      <c r="B404" s="127" t="s">
        <v>1033</v>
      </c>
      <c r="C404" s="128" t="str">
        <f>'Register Configuration'!J391</f>
        <v>0x54</v>
      </c>
      <c r="D404" s="127" t="s">
        <v>1032</v>
      </c>
    </row>
    <row r="405" spans="1:4" x14ac:dyDescent="0.3">
      <c r="A405" s="127" t="str">
        <f>IF('Register Configuration'!F19 = 2,"", "//") &amp; "DATA 4"</f>
        <v>DATA 4</v>
      </c>
      <c r="B405" s="127" t="s">
        <v>1034</v>
      </c>
      <c r="C405" s="128" t="str">
        <f>'Register Configuration'!J398</f>
        <v>0x2D</v>
      </c>
      <c r="D405" s="127" t="s">
        <v>1812</v>
      </c>
    </row>
    <row r="406" spans="1:4" x14ac:dyDescent="0.3">
      <c r="A406" s="127" t="str">
        <f>IF('Register Configuration'!F19 = 2,"", "//") &amp; "DATA 4"</f>
        <v>DATA 4</v>
      </c>
      <c r="B406" s="127" t="s">
        <v>1035</v>
      </c>
      <c r="C406" s="128" t="str">
        <f>'Register Configuration'!J404</f>
        <v>0xF1</v>
      </c>
      <c r="D406" s="127" t="s">
        <v>1813</v>
      </c>
    </row>
    <row r="407" spans="1:4" x14ac:dyDescent="0.3">
      <c r="C407" s="129"/>
    </row>
    <row r="408" spans="1:4" x14ac:dyDescent="0.3">
      <c r="A408" s="127" t="str">
        <f>IF('Register Configuration'!F19 = 2,"", "//") &amp; "DATA 4"</f>
        <v>DATA 4</v>
      </c>
      <c r="B408" s="127" t="s">
        <v>1036</v>
      </c>
      <c r="C408" s="128" t="str">
        <f>'Register Configuration'!J410</f>
        <v>0x54</v>
      </c>
      <c r="D408" s="127" t="s">
        <v>1814</v>
      </c>
    </row>
    <row r="409" spans="1:4" x14ac:dyDescent="0.3">
      <c r="A409" s="127" t="str">
        <f>IF('Register Configuration'!F19 = 2,"", "//") &amp; "DATA 4"</f>
        <v>DATA 4</v>
      </c>
      <c r="B409" s="127" t="s">
        <v>2075</v>
      </c>
      <c r="C409" s="128" t="str">
        <f>'Register Configuration'!J414</f>
        <v>0x40</v>
      </c>
    </row>
    <row r="410" spans="1:4" x14ac:dyDescent="0.3">
      <c r="A410" s="127" t="str">
        <f>IF('Register Configuration'!F19 = 2,"", "//") &amp; "DATA 4"</f>
        <v>DATA 4</v>
      </c>
      <c r="B410" s="127" t="s">
        <v>1037</v>
      </c>
      <c r="C410" s="128" t="str">
        <f>'Register Configuration'!J423</f>
        <v>0x16</v>
      </c>
      <c r="D410" s="127" t="s">
        <v>967</v>
      </c>
    </row>
    <row r="411" spans="1:4" x14ac:dyDescent="0.3">
      <c r="A411" s="127" t="s">
        <v>1866</v>
      </c>
    </row>
    <row r="412" spans="1:4" x14ac:dyDescent="0.3">
      <c r="A412" s="127" t="str">
        <f>IF('Register Configuration'!F19 = 2,"", "//") &amp; "DATA 4"</f>
        <v>DATA 4</v>
      </c>
      <c r="B412" s="127" t="s">
        <v>1038</v>
      </c>
      <c r="C412" s="127" t="s">
        <v>969</v>
      </c>
    </row>
    <row r="413" spans="1:4" x14ac:dyDescent="0.3">
      <c r="A413" s="127" t="str">
        <f>IF('Register Configuration'!F19 = 2,"", "//") &amp; "DATA 4"</f>
        <v>DATA 4</v>
      </c>
      <c r="B413" s="127" t="s">
        <v>1039</v>
      </c>
      <c r="C413" s="127" t="s">
        <v>969</v>
      </c>
    </row>
    <row r="414" spans="1:4" x14ac:dyDescent="0.3">
      <c r="A414" s="127" t="s">
        <v>971</v>
      </c>
    </row>
    <row r="415" spans="1:4" x14ac:dyDescent="0.3">
      <c r="A415" s="127" t="s">
        <v>972</v>
      </c>
    </row>
    <row r="416" spans="1:4" x14ac:dyDescent="0.3">
      <c r="A416" s="127" t="str">
        <f>IF('Register Configuration'!F19 = 2,"", "//") &amp; "DATA 4"</f>
        <v>DATA 4</v>
      </c>
      <c r="B416" s="127" t="s">
        <v>1040</v>
      </c>
      <c r="C416" s="128" t="str">
        <f>'Register Configuration'!J429</f>
        <v>0x1044220C</v>
      </c>
      <c r="D416" s="127" t="s">
        <v>979</v>
      </c>
    </row>
    <row r="417" spans="1:4" x14ac:dyDescent="0.3">
      <c r="A417" s="127" t="str">
        <f>IF('Register Configuration'!F19 = 2,"", "//") &amp; "DATA 4"</f>
        <v>DATA 4</v>
      </c>
      <c r="B417" s="127" t="s">
        <v>1041</v>
      </c>
      <c r="C417" s="128" t="str">
        <f>'Register Configuration'!J435</f>
        <v>0x28400417</v>
      </c>
      <c r="D417" s="127" t="s">
        <v>980</v>
      </c>
    </row>
    <row r="418" spans="1:4" x14ac:dyDescent="0.3">
      <c r="A418" s="127" t="str">
        <f>IF('Register Configuration'!F19 = 2,"", "//") &amp; "DATA 4"</f>
        <v>DATA 4</v>
      </c>
      <c r="B418" s="127" t="s">
        <v>1042</v>
      </c>
      <c r="C418" s="128" t="str">
        <f>'Register Configuration'!J440</f>
        <v>0x006CA1CC</v>
      </c>
      <c r="D418" s="127" t="s">
        <v>981</v>
      </c>
    </row>
    <row r="419" spans="1:4" x14ac:dyDescent="0.3">
      <c r="A419" s="127" t="str">
        <f>IF('Register Configuration'!F19 = 2,"", "//") &amp; "DATA 4"</f>
        <v>DATA 4</v>
      </c>
      <c r="B419" s="127" t="s">
        <v>1043</v>
      </c>
      <c r="C419" s="128" t="str">
        <f>'Register Configuration'!J447</f>
        <v>0x01800602</v>
      </c>
      <c r="D419" s="127" t="s">
        <v>2171</v>
      </c>
    </row>
    <row r="420" spans="1:4" x14ac:dyDescent="0.3">
      <c r="A420" s="127" t="str">
        <f>IF('Register Configuration'!F19 = 2,"", "//") &amp; "DATA 4"</f>
        <v>DATA 4</v>
      </c>
      <c r="B420" s="127" t="s">
        <v>1044</v>
      </c>
      <c r="C420" s="128" t="str">
        <f>'Register Configuration'!J453</f>
        <v>0x01C02B0F</v>
      </c>
      <c r="D420" s="127" t="s">
        <v>982</v>
      </c>
    </row>
    <row r="421" spans="1:4" x14ac:dyDescent="0.3">
      <c r="A421" s="127" t="str">
        <f>IF('Register Configuration'!F19 = 2,"", "//") &amp; "DATA 4"</f>
        <v>DATA 4</v>
      </c>
      <c r="B421" s="127" t="s">
        <v>1045</v>
      </c>
      <c r="C421" s="128" t="str">
        <f>'Register Configuration'!J458</f>
        <v>0x21651D11</v>
      </c>
      <c r="D421" s="127" t="s">
        <v>983</v>
      </c>
    </row>
    <row r="422" spans="1:4" x14ac:dyDescent="0.3">
      <c r="A422" s="127" t="s">
        <v>916</v>
      </c>
    </row>
    <row r="423" spans="1:4" x14ac:dyDescent="0.3">
      <c r="A423" s="127" t="str">
        <f>IF('Register Configuration'!F19 = 2,"", "//") &amp; "DATA 4"</f>
        <v>DATA 4</v>
      </c>
      <c r="B423" s="127" t="s">
        <v>2105</v>
      </c>
      <c r="C423" s="128" t="str">
        <f>'Register Configuration'!J463</f>
        <v>0x000A3DEF</v>
      </c>
    </row>
    <row r="424" spans="1:4" x14ac:dyDescent="0.3">
      <c r="A424" s="127" t="str">
        <f>IF('Register Configuration'!F19 = 2,"", "//") &amp; "DATA 4"</f>
        <v>DATA 4</v>
      </c>
      <c r="B424" s="127" t="s">
        <v>1046</v>
      </c>
      <c r="C424" s="128" t="str">
        <f>'Register Configuration'!J468</f>
        <v>0x000186A0</v>
      </c>
      <c r="D424" s="127" t="s">
        <v>1853</v>
      </c>
    </row>
    <row r="425" spans="1:4" x14ac:dyDescent="0.3">
      <c r="A425" s="127" t="str">
        <f>IF('Register Configuration'!F19 = 2,"", "//") &amp; "DATA 4"</f>
        <v>DATA 4</v>
      </c>
      <c r="B425" s="127" t="s">
        <v>1047</v>
      </c>
      <c r="C425" s="128" t="str">
        <f>'Register Configuration'!J471</f>
        <v>0x00000064</v>
      </c>
      <c r="D425" s="127" t="s">
        <v>1854</v>
      </c>
    </row>
    <row r="426" spans="1:4" x14ac:dyDescent="0.3">
      <c r="A426" s="127" t="str">
        <f>IF('Register Configuration'!F19 = 2,"", "//") &amp; "DATA 4"</f>
        <v>DATA 4</v>
      </c>
      <c r="B426" s="127" t="s">
        <v>1048</v>
      </c>
      <c r="C426" s="128" t="str">
        <f>'Register Configuration'!J474</f>
        <v>0x00002710</v>
      </c>
      <c r="D426" s="127" t="s">
        <v>1855</v>
      </c>
    </row>
    <row r="427" spans="1:4" x14ac:dyDescent="0.3">
      <c r="A427" s="127" t="str">
        <f>IF('Register Configuration'!F19 = 2,"", "//") &amp; "DATA 4"</f>
        <v>DATA 4</v>
      </c>
      <c r="B427" s="127" t="s">
        <v>1049</v>
      </c>
      <c r="C427" s="128" t="str">
        <f>'Register Configuration'!J477</f>
        <v>0x00B00032</v>
      </c>
      <c r="D427" s="127" t="s">
        <v>1856</v>
      </c>
    </row>
    <row r="428" spans="1:4" x14ac:dyDescent="0.3">
      <c r="A428" s="127" t="s">
        <v>988</v>
      </c>
    </row>
    <row r="429" spans="1:4" x14ac:dyDescent="0.3">
      <c r="A429" s="127" t="s">
        <v>989</v>
      </c>
    </row>
    <row r="430" spans="1:4" x14ac:dyDescent="0.3">
      <c r="A430" s="127" t="str">
        <f>IF('Register Configuration'!F19 = 2,"", "//") &amp; "DATA 4"</f>
        <v>DATA 4</v>
      </c>
      <c r="B430" s="127" t="s">
        <v>1050</v>
      </c>
      <c r="C430" s="127" t="s">
        <v>821</v>
      </c>
      <c r="D430" s="127" t="s">
        <v>993</v>
      </c>
    </row>
    <row r="431" spans="1:4" x14ac:dyDescent="0.3">
      <c r="A431" s="127" t="str">
        <f>IF('Register Configuration'!F19 = 2,"", "//") &amp; "DATA 4"</f>
        <v>DATA 4</v>
      </c>
      <c r="B431" s="127" t="s">
        <v>1051</v>
      </c>
      <c r="C431" s="127" t="s">
        <v>992</v>
      </c>
      <c r="D431" s="127" t="s">
        <v>994</v>
      </c>
    </row>
    <row r="432" spans="1:4" x14ac:dyDescent="0.3">
      <c r="A432" s="127" t="str">
        <f>IF('Register Configuration'!F19 = 2,"", "//") &amp; "DATA 4"</f>
        <v>DATA 4</v>
      </c>
      <c r="B432" s="127" t="s">
        <v>1050</v>
      </c>
      <c r="C432" s="127" t="s">
        <v>992</v>
      </c>
      <c r="D432" s="127" t="s">
        <v>995</v>
      </c>
    </row>
    <row r="433" spans="1:4" x14ac:dyDescent="0.3">
      <c r="A433" s="127" t="str">
        <f>IF('Register Configuration'!F19 = 2,"", "//") &amp; "DATA 4"</f>
        <v>DATA 4</v>
      </c>
      <c r="B433" s="127" t="s">
        <v>1051</v>
      </c>
      <c r="C433" s="127" t="s">
        <v>992</v>
      </c>
      <c r="D433" s="127" t="s">
        <v>996</v>
      </c>
    </row>
    <row r="434" spans="1:4" x14ac:dyDescent="0.3">
      <c r="A434" s="127" t="s">
        <v>997</v>
      </c>
    </row>
    <row r="435" spans="1:4" x14ac:dyDescent="0.3">
      <c r="A435" s="127" t="s">
        <v>998</v>
      </c>
    </row>
    <row r="436" spans="1:4" x14ac:dyDescent="0.3">
      <c r="A436" s="127" t="str">
        <f>IF('Register Configuration'!F19 = 2,"", "//") &amp; "DATA 4"</f>
        <v>DATA 4</v>
      </c>
      <c r="B436" s="127" t="s">
        <v>1052</v>
      </c>
      <c r="C436" s="128" t="str">
        <f>'Register Configuration'!J482</f>
        <v>0x30070801</v>
      </c>
      <c r="D436" s="127" t="s">
        <v>1001</v>
      </c>
    </row>
    <row r="437" spans="1:4" x14ac:dyDescent="0.3">
      <c r="A437" s="127" t="str">
        <f>IF('Register Configuration'!F19 = 2,"", "//") &amp; "DATA 4"</f>
        <v>DATA 4</v>
      </c>
      <c r="B437" s="127" t="s">
        <v>1053</v>
      </c>
      <c r="C437" s="128" t="str">
        <f>'Register Configuration'!J494</f>
        <v>0x09000000</v>
      </c>
      <c r="D437" s="127" t="s">
        <v>1002</v>
      </c>
    </row>
    <row r="438" spans="1:4" x14ac:dyDescent="0.3">
      <c r="A438" s="127" t="s">
        <v>1003</v>
      </c>
    </row>
    <row r="439" spans="1:4" x14ac:dyDescent="0.3">
      <c r="A439" s="127" t="str">
        <f>IF('Register Configuration'!F19 = 2,"", "//") &amp; "DATA 4"</f>
        <v>DATA 4</v>
      </c>
      <c r="B439" s="127" t="s">
        <v>1054</v>
      </c>
      <c r="C439" s="128" t="str">
        <f>'Register Configuration'!J499</f>
        <v>0x44000000</v>
      </c>
    </row>
    <row r="440" spans="1:4" x14ac:dyDescent="0.3">
      <c r="A440" s="127" t="s">
        <v>1005</v>
      </c>
    </row>
    <row r="441" spans="1:4" x14ac:dyDescent="0.3">
      <c r="A441" s="127" t="str">
        <f>IF('Register Configuration'!F19 = 2,"", "//") &amp; "DATA 4"</f>
        <v>DATA 4</v>
      </c>
      <c r="B441" s="127" t="s">
        <v>1055</v>
      </c>
      <c r="C441" s="128" t="str">
        <f>'Register Configuration'!J516</f>
        <v>0xF0032008</v>
      </c>
      <c r="D441" s="127" t="s">
        <v>1008</v>
      </c>
    </row>
    <row r="442" spans="1:4" x14ac:dyDescent="0.3">
      <c r="A442" s="127" t="str">
        <f>IF('Register Configuration'!F19 = 2,"", "//") &amp; "DATA 4"</f>
        <v>DATA 4</v>
      </c>
      <c r="B442" s="127" t="s">
        <v>1056</v>
      </c>
      <c r="C442" s="128" t="str">
        <f>'Register Configuration'!J525</f>
        <v>0x07F001AB</v>
      </c>
      <c r="D442" s="127" t="s">
        <v>1009</v>
      </c>
    </row>
    <row r="443" spans="1:4" x14ac:dyDescent="0.3">
      <c r="A443" s="127" t="s">
        <v>776</v>
      </c>
    </row>
    <row r="444" spans="1:4" x14ac:dyDescent="0.3">
      <c r="A444" s="127" t="s">
        <v>1010</v>
      </c>
    </row>
    <row r="445" spans="1:4" x14ac:dyDescent="0.3">
      <c r="A445" s="127" t="str">
        <f>IF('Register Configuration'!F19 = 2,"", "//") &amp; "SET_BIT 4"</f>
        <v>SET_BIT 4</v>
      </c>
      <c r="B445" s="127" t="s">
        <v>1057</v>
      </c>
      <c r="C445" s="127" t="s">
        <v>1012</v>
      </c>
    </row>
    <row r="446" spans="1:4" x14ac:dyDescent="0.3">
      <c r="A446" s="127" t="str">
        <f>IF('Register Configuration'!F19 = 2,"", "//") &amp; "DATA 4"</f>
        <v>DATA 4</v>
      </c>
      <c r="B446" s="127" t="s">
        <v>1058</v>
      </c>
      <c r="C446" s="127" t="s">
        <v>1014</v>
      </c>
      <c r="D446" s="127" t="s">
        <v>1069</v>
      </c>
    </row>
    <row r="447" spans="1:4" x14ac:dyDescent="0.3">
      <c r="A447" s="127" t="s">
        <v>776</v>
      </c>
    </row>
    <row r="448" spans="1:4" x14ac:dyDescent="0.3">
      <c r="A448" s="127" t="str">
        <f>IF('Register Configuration'!F19 = 2,"", "//") &amp; "DATA 4"</f>
        <v>DATA 4</v>
      </c>
      <c r="B448" s="127" t="s">
        <v>1059</v>
      </c>
      <c r="C448" s="127" t="s">
        <v>1016</v>
      </c>
      <c r="D448" s="127" t="s">
        <v>1025</v>
      </c>
    </row>
    <row r="449" spans="1:4" x14ac:dyDescent="0.3">
      <c r="A449" s="127" t="str">
        <f>IF('Register Configuration'!F19 = 2,"", "//") &amp; "DATA 4"</f>
        <v>DATA 4</v>
      </c>
      <c r="B449" s="127" t="s">
        <v>1060</v>
      </c>
      <c r="C449" s="127" t="s">
        <v>1016</v>
      </c>
      <c r="D449" s="127" t="s">
        <v>1025</v>
      </c>
    </row>
    <row r="450" spans="1:4" x14ac:dyDescent="0.3">
      <c r="A450" s="127" t="str">
        <f>IF('Register Configuration'!F19 = 2,"", "//") &amp; "DATA 4"</f>
        <v>DATA 4</v>
      </c>
      <c r="B450" s="127" t="s">
        <v>1061</v>
      </c>
      <c r="C450" s="127" t="s">
        <v>1016</v>
      </c>
      <c r="D450" s="127" t="s">
        <v>1025</v>
      </c>
    </row>
    <row r="451" spans="1:4" x14ac:dyDescent="0.3">
      <c r="A451" s="127" t="str">
        <f>IF('Register Configuration'!F19 = 2,"", "//") &amp; "DATA 4"</f>
        <v>DATA 4</v>
      </c>
      <c r="B451" s="127" t="s">
        <v>1062</v>
      </c>
      <c r="C451" s="127" t="s">
        <v>1016</v>
      </c>
      <c r="D451" s="127" t="s">
        <v>1025</v>
      </c>
    </row>
    <row r="452" spans="1:4" x14ac:dyDescent="0.3">
      <c r="A452" s="127" t="str">
        <f>IF('Register Configuration'!F19 = 2,"", "//") &amp; "DATA 4"</f>
        <v>DATA 4</v>
      </c>
      <c r="B452" s="127" t="s">
        <v>1063</v>
      </c>
      <c r="C452" s="127" t="s">
        <v>1021</v>
      </c>
      <c r="D452" s="127" t="s">
        <v>1026</v>
      </c>
    </row>
    <row r="453" spans="1:4" x14ac:dyDescent="0.3">
      <c r="A453" s="127" t="str">
        <f>IF('Register Configuration'!F19 = 2,"", "//") &amp; "DATA 4"</f>
        <v>DATA 4</v>
      </c>
      <c r="B453" s="127" t="s">
        <v>1064</v>
      </c>
      <c r="C453" s="127" t="s">
        <v>1021</v>
      </c>
      <c r="D453" s="127" t="s">
        <v>1026</v>
      </c>
    </row>
    <row r="454" spans="1:4" x14ac:dyDescent="0.3">
      <c r="A454" s="127" t="str">
        <f>IF('Register Configuration'!F19 = 2,"", "//") &amp; "DATA 4"</f>
        <v>DATA 4</v>
      </c>
      <c r="B454" s="127" t="s">
        <v>1065</v>
      </c>
      <c r="C454" s="127" t="s">
        <v>1021</v>
      </c>
      <c r="D454" s="127" t="s">
        <v>1026</v>
      </c>
    </row>
    <row r="455" spans="1:4" x14ac:dyDescent="0.3">
      <c r="A455" s="127" t="str">
        <f>IF('Register Configuration'!F19 = 2,"", "//") &amp; "DATA 4"</f>
        <v>DATA 4</v>
      </c>
      <c r="B455" s="127" t="s">
        <v>1066</v>
      </c>
      <c r="C455" s="127" t="s">
        <v>1021</v>
      </c>
      <c r="D455" s="127" t="s">
        <v>1026</v>
      </c>
    </row>
    <row r="456" spans="1:4" x14ac:dyDescent="0.3">
      <c r="A456" s="127" t="s">
        <v>1027</v>
      </c>
    </row>
    <row r="457" spans="1:4" x14ac:dyDescent="0.3">
      <c r="A457" s="127" t="s">
        <v>2099</v>
      </c>
    </row>
    <row r="458" spans="1:4" x14ac:dyDescent="0.3">
      <c r="A458" s="127" t="str">
        <f>IF('Register Configuration'!F19 = 2,"", "//") &amp; "DATA 4"</f>
        <v>DATA 4</v>
      </c>
      <c r="B458" s="127" t="s">
        <v>1067</v>
      </c>
      <c r="C458" s="128" t="str">
        <f>'Register Configuration'!J536</f>
        <v>0x001C1600</v>
      </c>
    </row>
    <row r="459" spans="1:4" x14ac:dyDescent="0.3">
      <c r="A459" s="127" t="str">
        <f>IF('Register Configuration'!F19 = 2,"", "//") &amp; "DATA 4"</f>
        <v>DATA 4</v>
      </c>
      <c r="B459" s="127" t="s">
        <v>2014</v>
      </c>
      <c r="C459" s="128" t="str">
        <f>'Register Configuration'!J336</f>
        <v>0x001900B1</v>
      </c>
    </row>
    <row r="460" spans="1:4" x14ac:dyDescent="0.3">
      <c r="A460" s="127" t="s">
        <v>1029</v>
      </c>
    </row>
    <row r="461" spans="1:4" x14ac:dyDescent="0.3">
      <c r="A461" s="127" t="str">
        <f>IF('Register Configuration'!F19 = 2,"", "//") &amp; "DATA 4"</f>
        <v>DATA 4</v>
      </c>
      <c r="B461" s="127" t="s">
        <v>1068</v>
      </c>
      <c r="C461" s="128" t="str">
        <f>'Register Configuration'!J549</f>
        <v>0x79000000</v>
      </c>
      <c r="D461" s="127" t="s">
        <v>1002</v>
      </c>
    </row>
    <row r="463" spans="1:4" x14ac:dyDescent="0.3">
      <c r="A463" s="127" t="s">
        <v>887</v>
      </c>
    </row>
    <row r="464" spans="1:4" x14ac:dyDescent="0.3">
      <c r="A464" s="127" t="s">
        <v>2093</v>
      </c>
    </row>
    <row r="465" spans="1:9" x14ac:dyDescent="0.3">
      <c r="A465" s="127" t="s">
        <v>887</v>
      </c>
    </row>
    <row r="466" spans="1:9" s="127" customFormat="1" x14ac:dyDescent="0.3">
      <c r="A466" s="127" t="s">
        <v>2088</v>
      </c>
    </row>
    <row r="467" spans="1:9" x14ac:dyDescent="0.3">
      <c r="A467" s="127" t="s">
        <v>1085</v>
      </c>
    </row>
    <row r="468" spans="1:9" x14ac:dyDescent="0.3">
      <c r="A468" s="127" t="s">
        <v>1086</v>
      </c>
      <c r="B468" s="127" t="s">
        <v>1088</v>
      </c>
      <c r="C468" s="127" t="s">
        <v>785</v>
      </c>
    </row>
    <row r="469" spans="1:9" s="127" customFormat="1" x14ac:dyDescent="0.3">
      <c r="A469" s="127" t="s">
        <v>2094</v>
      </c>
      <c r="E469"/>
      <c r="F469"/>
      <c r="G469"/>
      <c r="H469"/>
      <c r="I469"/>
    </row>
    <row r="470" spans="1:9" s="127" customFormat="1" x14ac:dyDescent="0.3">
      <c r="A470" s="127" t="s">
        <v>786</v>
      </c>
      <c r="B470" s="127" t="s">
        <v>925</v>
      </c>
      <c r="C470" s="127" t="s">
        <v>1092</v>
      </c>
      <c r="E470"/>
      <c r="F470"/>
      <c r="G470"/>
      <c r="H470"/>
      <c r="I470"/>
    </row>
    <row r="471" spans="1:9" s="127" customFormat="1" x14ac:dyDescent="0.3">
      <c r="A471" s="127" t="s">
        <v>786</v>
      </c>
      <c r="B471" s="127" t="s">
        <v>925</v>
      </c>
      <c r="C471" s="127" t="s">
        <v>1093</v>
      </c>
      <c r="E471"/>
      <c r="F471"/>
      <c r="G471"/>
      <c r="H471"/>
      <c r="I471"/>
    </row>
    <row r="473" spans="1:9" s="127" customFormat="1" x14ac:dyDescent="0.3">
      <c r="A473" s="127" t="s">
        <v>2092</v>
      </c>
    </row>
    <row r="474" spans="1:9" x14ac:dyDescent="0.3">
      <c r="A474" s="127" t="s">
        <v>1085</v>
      </c>
    </row>
    <row r="475" spans="1:9" x14ac:dyDescent="0.3">
      <c r="A475" s="127" t="str">
        <f>IF('Register Configuration'!F19 = 2,"", "//") &amp; "CHECK_BITS_SET 4 "</f>
        <v xml:space="preserve">CHECK_BITS_SET 4 </v>
      </c>
      <c r="B475" s="127" t="s">
        <v>1090</v>
      </c>
      <c r="C475" s="127" t="s">
        <v>785</v>
      </c>
    </row>
    <row r="476" spans="1:9" s="127" customFormat="1" x14ac:dyDescent="0.3">
      <c r="A476" s="127" t="s">
        <v>2094</v>
      </c>
      <c r="E476"/>
      <c r="F476"/>
      <c r="G476"/>
      <c r="H476"/>
      <c r="I476"/>
    </row>
    <row r="477" spans="1:9" s="127" customFormat="1" x14ac:dyDescent="0.3">
      <c r="A477" s="127" t="str">
        <f>IF('Register Configuration'!F19 = 2,"", "//") &amp; "DATA 4"</f>
        <v>DATA 4</v>
      </c>
      <c r="B477" s="127" t="s">
        <v>958</v>
      </c>
      <c r="C477" s="127" t="s">
        <v>1092</v>
      </c>
      <c r="E477"/>
      <c r="F477"/>
      <c r="G477"/>
      <c r="H477"/>
      <c r="I477"/>
    </row>
    <row r="478" spans="1:9" s="127" customFormat="1" x14ac:dyDescent="0.3">
      <c r="A478" s="127" t="str">
        <f>IF('Register Configuration'!F19 = 2,"", "//") &amp; "DATA 4"</f>
        <v>DATA 4</v>
      </c>
      <c r="B478" s="127" t="s">
        <v>958</v>
      </c>
      <c r="C478" s="127" t="s">
        <v>1093</v>
      </c>
      <c r="E478"/>
      <c r="F478"/>
      <c r="G478"/>
      <c r="H478"/>
      <c r="I478"/>
    </row>
    <row r="479" spans="1:9" s="127" customFormat="1" x14ac:dyDescent="0.3">
      <c r="E479"/>
      <c r="F479"/>
      <c r="G479"/>
      <c r="H479"/>
      <c r="I479"/>
    </row>
    <row r="480" spans="1:9" x14ac:dyDescent="0.3">
      <c r="A480" s="127" t="s">
        <v>887</v>
      </c>
    </row>
    <row r="481" spans="1:9" x14ac:dyDescent="0.3">
      <c r="A481" s="127" t="s">
        <v>2095</v>
      </c>
    </row>
    <row r="482" spans="1:9" s="127" customFormat="1" x14ac:dyDescent="0.3">
      <c r="A482" s="127" t="s">
        <v>2198</v>
      </c>
      <c r="E482"/>
      <c r="F482"/>
      <c r="G482"/>
      <c r="H482"/>
      <c r="I482"/>
    </row>
    <row r="483" spans="1:9" s="127" customFormat="1" x14ac:dyDescent="0.3">
      <c r="A483" s="127" t="s">
        <v>1097</v>
      </c>
      <c r="E483"/>
      <c r="F483"/>
      <c r="G483"/>
      <c r="H483"/>
      <c r="I483"/>
    </row>
    <row r="484" spans="1:9" s="127" customFormat="1" x14ac:dyDescent="0.3">
      <c r="A484" s="127" t="s">
        <v>1098</v>
      </c>
      <c r="E484"/>
      <c r="F484"/>
      <c r="G484"/>
      <c r="H484"/>
      <c r="I484"/>
    </row>
    <row r="485" spans="1:9" x14ac:dyDescent="0.3">
      <c r="A485" s="127" t="s">
        <v>887</v>
      </c>
    </row>
    <row r="486" spans="1:9" s="127" customFormat="1" x14ac:dyDescent="0.3">
      <c r="E486"/>
      <c r="F486"/>
      <c r="G486"/>
      <c r="H486"/>
      <c r="I486"/>
    </row>
    <row r="487" spans="1:9" s="127" customFormat="1" x14ac:dyDescent="0.3">
      <c r="A487" s="127" t="s">
        <v>2088</v>
      </c>
    </row>
    <row r="488" spans="1:9" x14ac:dyDescent="0.3">
      <c r="A488" s="127" t="s">
        <v>1085</v>
      </c>
    </row>
    <row r="489" spans="1:9" x14ac:dyDescent="0.3">
      <c r="A489" s="127" t="s">
        <v>1086</v>
      </c>
      <c r="B489" s="127" t="s">
        <v>1088</v>
      </c>
      <c r="C489" s="127" t="s">
        <v>785</v>
      </c>
    </row>
    <row r="490" spans="1:9" x14ac:dyDescent="0.3">
      <c r="A490" s="127" t="s">
        <v>2096</v>
      </c>
    </row>
    <row r="491" spans="1:9" x14ac:dyDescent="0.3">
      <c r="A491" s="127" t="s">
        <v>786</v>
      </c>
      <c r="B491" s="127" t="s">
        <v>984</v>
      </c>
      <c r="C491" s="128" t="str">
        <f>"0x"&amp;DEC2HEX((HEX2DEC('Register Configuration'!E468))/1000, 8)</f>
        <v>0x00000064</v>
      </c>
    </row>
    <row r="492" spans="1:9" s="127" customFormat="1" x14ac:dyDescent="0.3">
      <c r="A492" s="127" t="s">
        <v>2094</v>
      </c>
      <c r="E492"/>
      <c r="F492"/>
      <c r="G492"/>
      <c r="H492"/>
      <c r="I492"/>
    </row>
    <row r="493" spans="1:9" s="127" customFormat="1" x14ac:dyDescent="0.3">
      <c r="A493" s="127" t="s">
        <v>786</v>
      </c>
      <c r="B493" s="127" t="s">
        <v>925</v>
      </c>
      <c r="C493" s="127" t="s">
        <v>1099</v>
      </c>
      <c r="E493"/>
      <c r="F493"/>
      <c r="G493"/>
      <c r="H493"/>
      <c r="I493"/>
    </row>
    <row r="494" spans="1:9" s="127" customFormat="1" x14ac:dyDescent="0.3">
      <c r="A494" s="127" t="s">
        <v>786</v>
      </c>
      <c r="B494" s="127" t="s">
        <v>925</v>
      </c>
      <c r="C494" s="127" t="s">
        <v>1100</v>
      </c>
      <c r="E494"/>
      <c r="F494"/>
      <c r="G494"/>
      <c r="H494"/>
      <c r="I494"/>
    </row>
    <row r="496" spans="1:9" s="127" customFormat="1" x14ac:dyDescent="0.3">
      <c r="A496" s="127" t="s">
        <v>2092</v>
      </c>
    </row>
    <row r="497" spans="1:9" x14ac:dyDescent="0.3">
      <c r="A497" s="127" t="s">
        <v>1085</v>
      </c>
    </row>
    <row r="498" spans="1:9" x14ac:dyDescent="0.3">
      <c r="A498" s="127" t="str">
        <f>IF('Register Configuration'!F19 = 2,"", "//") &amp; "CHECK_BITS_SET 4 "</f>
        <v xml:space="preserve">CHECK_BITS_SET 4 </v>
      </c>
      <c r="B498" s="127" t="s">
        <v>1090</v>
      </c>
      <c r="C498" s="127" t="s">
        <v>785</v>
      </c>
    </row>
    <row r="499" spans="1:9" x14ac:dyDescent="0.3">
      <c r="A499" s="127" t="s">
        <v>2096</v>
      </c>
    </row>
    <row r="500" spans="1:9" x14ac:dyDescent="0.3">
      <c r="A500" s="127" t="str">
        <f>IF('Register Configuration'!F19 = 2,"", "//") &amp; "DATA 4"</f>
        <v>DATA 4</v>
      </c>
      <c r="B500" s="127" t="s">
        <v>1046</v>
      </c>
      <c r="C500" s="128" t="str">
        <f>"0x"&amp;DEC2HEX((HEX2DEC('Register Configuration'!E468))/1000, 8)</f>
        <v>0x00000064</v>
      </c>
    </row>
    <row r="501" spans="1:9" s="127" customFormat="1" x14ac:dyDescent="0.3">
      <c r="A501" s="127" t="s">
        <v>2094</v>
      </c>
      <c r="E501"/>
      <c r="F501"/>
      <c r="G501"/>
      <c r="H501"/>
      <c r="I501"/>
    </row>
    <row r="502" spans="1:9" s="127" customFormat="1" x14ac:dyDescent="0.3">
      <c r="A502" s="127" t="str">
        <f>IF('Register Configuration'!F19 = 2,"", "//") &amp; "DATA 4"</f>
        <v>DATA 4</v>
      </c>
      <c r="B502" s="127" t="s">
        <v>958</v>
      </c>
      <c r="C502" s="127" t="s">
        <v>1099</v>
      </c>
      <c r="E502"/>
      <c r="F502"/>
      <c r="G502"/>
      <c r="H502"/>
      <c r="I502"/>
    </row>
    <row r="503" spans="1:9" s="127" customFormat="1" x14ac:dyDescent="0.3">
      <c r="A503" s="127" t="str">
        <f>IF('Register Configuration'!F19 = 2,"", "//") &amp; "DATA 4"</f>
        <v>DATA 4</v>
      </c>
      <c r="B503" s="127" t="s">
        <v>958</v>
      </c>
      <c r="C503" s="127" t="s">
        <v>1100</v>
      </c>
      <c r="E503"/>
      <c r="F503"/>
      <c r="G503"/>
      <c r="H503"/>
      <c r="I503"/>
    </row>
    <row r="505" spans="1:9" x14ac:dyDescent="0.3">
      <c r="A505" s="127" t="s">
        <v>887</v>
      </c>
    </row>
    <row r="506" spans="1:9" x14ac:dyDescent="0.3">
      <c r="A506" s="127" t="s">
        <v>2097</v>
      </c>
    </row>
    <row r="507" spans="1:9" x14ac:dyDescent="0.3">
      <c r="A507" s="127" t="s">
        <v>887</v>
      </c>
    </row>
    <row r="508" spans="1:9" s="127" customFormat="1" x14ac:dyDescent="0.3">
      <c r="A508" s="127" t="s">
        <v>1095</v>
      </c>
      <c r="E508"/>
      <c r="F508"/>
      <c r="G508"/>
      <c r="H508"/>
      <c r="I508"/>
    </row>
    <row r="509" spans="1:9" s="127" customFormat="1" x14ac:dyDescent="0.3">
      <c r="A509" s="127" t="s">
        <v>1086</v>
      </c>
      <c r="B509" s="127" t="s">
        <v>1088</v>
      </c>
      <c r="C509" s="127" t="s">
        <v>785</v>
      </c>
      <c r="E509"/>
      <c r="F509"/>
      <c r="G509"/>
      <c r="H509"/>
      <c r="I509"/>
    </row>
    <row r="510" spans="1:9" s="127" customFormat="1" x14ac:dyDescent="0.3">
      <c r="A510" s="127" t="s">
        <v>1096</v>
      </c>
      <c r="E510"/>
      <c r="F510"/>
      <c r="G510"/>
      <c r="H510"/>
      <c r="I510"/>
    </row>
    <row r="511" spans="1:9" s="127" customFormat="1" x14ac:dyDescent="0.3">
      <c r="A511" s="127" t="str">
        <f>IF('Register Configuration'!F19 = 2,"", "//") &amp; "CHECK_BITS_SET 4 "</f>
        <v xml:space="preserve">CHECK_BITS_SET 4 </v>
      </c>
      <c r="B511" s="127" t="s">
        <v>1090</v>
      </c>
      <c r="C511" s="127" t="s">
        <v>785</v>
      </c>
      <c r="E511"/>
      <c r="F511"/>
      <c r="G511"/>
      <c r="H511"/>
      <c r="I511"/>
    </row>
    <row r="513" spans="1:4" x14ac:dyDescent="0.3">
      <c r="A513" s="127" t="s">
        <v>887</v>
      </c>
    </row>
    <row r="514" spans="1:4" x14ac:dyDescent="0.3">
      <c r="A514" s="127" t="s">
        <v>2098</v>
      </c>
    </row>
    <row r="515" spans="1:4" x14ac:dyDescent="0.3">
      <c r="A515" s="127" t="s">
        <v>887</v>
      </c>
    </row>
    <row r="516" spans="1:4" x14ac:dyDescent="0.3">
      <c r="A516" s="127" t="s">
        <v>2166</v>
      </c>
    </row>
    <row r="517" spans="1:4" x14ac:dyDescent="0.3">
      <c r="A517" s="128" t="str">
        <f>_xlfn.CONCAT("run_cbt(", 'Register Configuration'!J350, ", ", 'Register Configuration'!J357, ", ", 'Register Configuration'!F19, ");")</f>
        <v>run_cbt(0x64032010, 0x4E201C20, 2);</v>
      </c>
      <c r="B517" s="128"/>
    </row>
    <row r="519" spans="1:4" x14ac:dyDescent="0.3">
      <c r="A519" s="127" t="s">
        <v>1105</v>
      </c>
    </row>
    <row r="520" spans="1:4" x14ac:dyDescent="0.3">
      <c r="A520" s="127" t="s">
        <v>1106</v>
      </c>
    </row>
    <row r="521" spans="1:4" x14ac:dyDescent="0.3">
      <c r="A521" s="127" t="s">
        <v>1105</v>
      </c>
    </row>
    <row r="522" spans="1:4" x14ac:dyDescent="0.3">
      <c r="A522" s="127" t="s">
        <v>1107</v>
      </c>
    </row>
    <row r="523" spans="1:4" x14ac:dyDescent="0.3">
      <c r="A523" s="127" t="s">
        <v>1108</v>
      </c>
    </row>
    <row r="524" spans="1:4" x14ac:dyDescent="0.3">
      <c r="A524" s="127" t="s">
        <v>1109</v>
      </c>
      <c r="B524" s="127" t="s">
        <v>1110</v>
      </c>
      <c r="C524" s="127" t="s">
        <v>821</v>
      </c>
      <c r="D524" s="127" t="s">
        <v>1111</v>
      </c>
    </row>
    <row r="525" spans="1:4" x14ac:dyDescent="0.3">
      <c r="A525" s="127" t="s">
        <v>909</v>
      </c>
      <c r="B525" s="127" t="s">
        <v>1013</v>
      </c>
      <c r="C525" s="127" t="s">
        <v>821</v>
      </c>
      <c r="D525" s="127" t="s">
        <v>1112</v>
      </c>
    </row>
    <row r="526" spans="1:4" x14ac:dyDescent="0.3">
      <c r="A526" s="127" t="s">
        <v>1086</v>
      </c>
      <c r="B526" s="127" t="s">
        <v>1113</v>
      </c>
      <c r="C526" s="127" t="s">
        <v>1225</v>
      </c>
      <c r="D526" s="127" t="s">
        <v>1112</v>
      </c>
    </row>
    <row r="527" spans="1:4" x14ac:dyDescent="0.3">
      <c r="A527" s="127" t="s">
        <v>909</v>
      </c>
      <c r="B527" s="127" t="s">
        <v>910</v>
      </c>
      <c r="C527" s="127" t="s">
        <v>1114</v>
      </c>
      <c r="D527" s="127" t="s">
        <v>1115</v>
      </c>
    </row>
    <row r="528" spans="1:4" x14ac:dyDescent="0.3">
      <c r="A528" s="127" t="s">
        <v>1116</v>
      </c>
    </row>
    <row r="529" spans="1:4" x14ac:dyDescent="0.3">
      <c r="A529" s="127" t="s">
        <v>786</v>
      </c>
      <c r="B529" s="127" t="s">
        <v>1117</v>
      </c>
      <c r="C529" s="127" t="s">
        <v>1120</v>
      </c>
      <c r="D529" s="127" t="s">
        <v>1123</v>
      </c>
    </row>
    <row r="530" spans="1:4" x14ac:dyDescent="0.3">
      <c r="A530" s="127" t="s">
        <v>786</v>
      </c>
      <c r="B530" s="127" t="s">
        <v>1118</v>
      </c>
      <c r="C530" s="127" t="s">
        <v>1121</v>
      </c>
      <c r="D530" s="127" t="s">
        <v>1124</v>
      </c>
    </row>
    <row r="531" spans="1:4" x14ac:dyDescent="0.3">
      <c r="A531" s="127" t="s">
        <v>786</v>
      </c>
      <c r="B531" s="127" t="s">
        <v>1119</v>
      </c>
      <c r="C531" s="127" t="s">
        <v>1122</v>
      </c>
      <c r="D531" s="127" t="s">
        <v>1125</v>
      </c>
    </row>
    <row r="533" spans="1:4" x14ac:dyDescent="0.3">
      <c r="A533" s="127" t="str">
        <f>IF('Register Configuration'!F19 = 2,"", "//") &amp; "CLR_BIT 4 "</f>
        <v xml:space="preserve">CLR_BIT 4 </v>
      </c>
      <c r="B533" s="127" t="s">
        <v>1126</v>
      </c>
      <c r="C533" s="127" t="s">
        <v>821</v>
      </c>
      <c r="D533" s="127" t="s">
        <v>1111</v>
      </c>
    </row>
    <row r="534" spans="1:4" x14ac:dyDescent="0.3">
      <c r="A534" s="127" t="str">
        <f>IF('Register Configuration'!F19 = 2,"", "//") &amp; "SET_BIT 4 "</f>
        <v xml:space="preserve">SET_BIT 4 </v>
      </c>
      <c r="B534" s="127" t="s">
        <v>1058</v>
      </c>
      <c r="C534" s="127" t="s">
        <v>821</v>
      </c>
      <c r="D534" s="127" t="s">
        <v>1112</v>
      </c>
    </row>
    <row r="535" spans="1:4" x14ac:dyDescent="0.3">
      <c r="A535" s="127" t="str">
        <f>IF('Register Configuration'!F19 = 2,"", "//") &amp; "CHECK_BITS_SET 4 "</f>
        <v xml:space="preserve">CHECK_BITS_SET 4 </v>
      </c>
      <c r="B535" s="127" t="s">
        <v>1127</v>
      </c>
      <c r="C535" s="127" t="s">
        <v>1225</v>
      </c>
      <c r="D535" s="127" t="s">
        <v>1112</v>
      </c>
    </row>
    <row r="536" spans="1:4" x14ac:dyDescent="0.3">
      <c r="A536" s="127" t="str">
        <f>IF('Register Configuration'!F19 = 2,"", "//") &amp; "SET_BIT 4 "</f>
        <v xml:space="preserve">SET_BIT 4 </v>
      </c>
      <c r="B536" s="127" t="s">
        <v>947</v>
      </c>
      <c r="C536" s="127" t="s">
        <v>1114</v>
      </c>
      <c r="D536" s="127" t="s">
        <v>1115</v>
      </c>
    </row>
    <row r="537" spans="1:4" x14ac:dyDescent="0.3">
      <c r="A537" s="127" t="s">
        <v>1116</v>
      </c>
    </row>
    <row r="538" spans="1:4" x14ac:dyDescent="0.3">
      <c r="A538" s="127" t="str">
        <f>IF('Register Configuration'!F19 = 2,"", "//") &amp; "DATA 4"</f>
        <v>DATA 4</v>
      </c>
      <c r="B538" s="127" t="s">
        <v>1128</v>
      </c>
      <c r="C538" s="127" t="s">
        <v>1120</v>
      </c>
      <c r="D538" s="127" t="s">
        <v>1123</v>
      </c>
    </row>
    <row r="539" spans="1:4" x14ac:dyDescent="0.3">
      <c r="A539" s="127" t="str">
        <f>IF('Register Configuration'!F19 = 2,"", "//") &amp; "DATA 4"</f>
        <v>DATA 4</v>
      </c>
      <c r="B539" s="127" t="s">
        <v>1129</v>
      </c>
      <c r="C539" s="127" t="s">
        <v>1121</v>
      </c>
      <c r="D539" s="127" t="s">
        <v>1124</v>
      </c>
    </row>
    <row r="540" spans="1:4" x14ac:dyDescent="0.3">
      <c r="A540" s="127" t="str">
        <f>IF('Register Configuration'!F19 = 2,"", "//") &amp; "DATA 4"</f>
        <v>DATA 4</v>
      </c>
      <c r="B540" s="127" t="s">
        <v>1130</v>
      </c>
      <c r="C540" s="127" t="s">
        <v>1122</v>
      </c>
      <c r="D540" s="127" t="s">
        <v>1125</v>
      </c>
    </row>
    <row r="542" spans="1:4" x14ac:dyDescent="0.3">
      <c r="A542" s="127" t="s">
        <v>1131</v>
      </c>
    </row>
    <row r="543" spans="1:4" x14ac:dyDescent="0.3">
      <c r="A543" s="127" t="s">
        <v>2203</v>
      </c>
    </row>
    <row r="544" spans="1:4" x14ac:dyDescent="0.3">
      <c r="A544" s="127" t="s">
        <v>1132</v>
      </c>
    </row>
    <row r="545" spans="1:9" x14ac:dyDescent="0.3">
      <c r="A545" s="127" t="s">
        <v>786</v>
      </c>
      <c r="B545" s="127" t="s">
        <v>1133</v>
      </c>
      <c r="C545" s="128" t="str">
        <f>'Register Configuration'!J575</f>
        <v>0x000031C7</v>
      </c>
      <c r="D545" s="127" t="s">
        <v>1137</v>
      </c>
    </row>
    <row r="546" spans="1:9" x14ac:dyDescent="0.3">
      <c r="A546" s="127" t="s">
        <v>786</v>
      </c>
      <c r="B546" s="127" t="s">
        <v>1134</v>
      </c>
      <c r="C546" s="128" t="str">
        <f>'Register Configuration'!J567</f>
        <v>0x00030236</v>
      </c>
      <c r="D546" s="127" t="s">
        <v>1870</v>
      </c>
    </row>
    <row r="547" spans="1:9" x14ac:dyDescent="0.3">
      <c r="A547" s="127" t="str">
        <f>IF('Register Configuration'!F19 = 2,"", "//") &amp; "DATA 4"</f>
        <v>DATA 4</v>
      </c>
      <c r="B547" s="127" t="s">
        <v>1135</v>
      </c>
      <c r="C547" s="128" t="str">
        <f>'Register Configuration'!J575</f>
        <v>0x000031C7</v>
      </c>
      <c r="D547" s="127" t="s">
        <v>1137</v>
      </c>
    </row>
    <row r="548" spans="1:9" x14ac:dyDescent="0.3">
      <c r="A548" s="127" t="str">
        <f>IF('Register Configuration'!F19 = 2,"", "//") &amp; "DATA 4"</f>
        <v>DATA 4</v>
      </c>
      <c r="B548" s="127" t="s">
        <v>1136</v>
      </c>
      <c r="C548" s="128" t="str">
        <f>'Register Configuration'!J567</f>
        <v>0x00030236</v>
      </c>
      <c r="D548" s="127" t="s">
        <v>1870</v>
      </c>
    </row>
    <row r="550" spans="1:9" x14ac:dyDescent="0.3">
      <c r="A550" s="127" t="s">
        <v>1138</v>
      </c>
    </row>
    <row r="551" spans="1:9" x14ac:dyDescent="0.3">
      <c r="A551" s="127" t="s">
        <v>786</v>
      </c>
      <c r="B551" s="127" t="s">
        <v>925</v>
      </c>
      <c r="C551" s="127" t="s">
        <v>1139</v>
      </c>
    </row>
    <row r="552" spans="1:9" x14ac:dyDescent="0.3">
      <c r="A552" s="127" t="s">
        <v>786</v>
      </c>
      <c r="B552" s="127" t="s">
        <v>925</v>
      </c>
      <c r="C552" s="127" t="s">
        <v>1140</v>
      </c>
    </row>
    <row r="553" spans="1:9" x14ac:dyDescent="0.3">
      <c r="A553" s="127" t="str">
        <f>IF('Register Configuration'!F19 = 2,"", "//") &amp; "DATA 4"</f>
        <v>DATA 4</v>
      </c>
      <c r="B553" s="127" t="s">
        <v>958</v>
      </c>
      <c r="C553" s="127" t="s">
        <v>1139</v>
      </c>
    </row>
    <row r="554" spans="1:9" x14ac:dyDescent="0.3">
      <c r="A554" s="127" t="str">
        <f>IF('Register Configuration'!F19 = 2,"", "//") &amp; "DATA 4"</f>
        <v>DATA 4</v>
      </c>
      <c r="B554" s="127" t="s">
        <v>958</v>
      </c>
      <c r="C554" s="127" t="s">
        <v>1140</v>
      </c>
    </row>
    <row r="555" spans="1:9" x14ac:dyDescent="0.3">
      <c r="A555" s="127" t="s">
        <v>1141</v>
      </c>
    </row>
    <row r="556" spans="1:9" s="127" customFormat="1" x14ac:dyDescent="0.3">
      <c r="A556" s="127" t="s">
        <v>1102</v>
      </c>
      <c r="B556" s="127" t="s">
        <v>1088</v>
      </c>
      <c r="C556" s="127" t="s">
        <v>785</v>
      </c>
      <c r="E556"/>
      <c r="F556"/>
      <c r="G556"/>
      <c r="H556"/>
      <c r="I556"/>
    </row>
    <row r="557" spans="1:9" s="127" customFormat="1" x14ac:dyDescent="0.3">
      <c r="A557" s="127" t="s">
        <v>1103</v>
      </c>
      <c r="B557" s="127" t="s">
        <v>1088</v>
      </c>
      <c r="C557" s="127" t="s">
        <v>1142</v>
      </c>
      <c r="E557"/>
      <c r="F557"/>
      <c r="G557"/>
      <c r="H557"/>
      <c r="I557"/>
    </row>
    <row r="558" spans="1:9" s="127" customFormat="1" x14ac:dyDescent="0.3">
      <c r="A558" s="127" t="s">
        <v>2195</v>
      </c>
      <c r="E558"/>
      <c r="F558"/>
      <c r="G558"/>
      <c r="H558"/>
      <c r="I558"/>
    </row>
    <row r="559" spans="1:9" s="127" customFormat="1" x14ac:dyDescent="0.3">
      <c r="A559" s="127" t="s">
        <v>786</v>
      </c>
      <c r="B559" s="127" t="s">
        <v>1143</v>
      </c>
      <c r="C559" s="128" t="str">
        <f>'Register Configuration'!J555</f>
        <v>0x012240B3</v>
      </c>
      <c r="E559"/>
      <c r="F559"/>
      <c r="G559"/>
      <c r="H559"/>
      <c r="I559"/>
    </row>
    <row r="560" spans="1:9" s="127" customFormat="1" x14ac:dyDescent="0.3">
      <c r="A560" s="127" t="s">
        <v>1144</v>
      </c>
      <c r="E560"/>
      <c r="F560"/>
      <c r="G560"/>
      <c r="H560"/>
      <c r="I560"/>
    </row>
    <row r="561" spans="1:9" s="127" customFormat="1" x14ac:dyDescent="0.3">
      <c r="A561" s="127" t="s">
        <v>786</v>
      </c>
      <c r="B561" s="127" t="s">
        <v>925</v>
      </c>
      <c r="C561" s="127" t="s">
        <v>1145</v>
      </c>
      <c r="E561"/>
      <c r="F561"/>
      <c r="G561"/>
      <c r="H561"/>
      <c r="I561"/>
    </row>
    <row r="562" spans="1:9" s="127" customFormat="1" x14ac:dyDescent="0.3">
      <c r="A562" s="127" t="s">
        <v>786</v>
      </c>
      <c r="B562" s="127" t="s">
        <v>925</v>
      </c>
      <c r="C562" s="127" t="s">
        <v>1146</v>
      </c>
      <c r="E562"/>
      <c r="F562"/>
      <c r="G562"/>
      <c r="H562"/>
      <c r="I562"/>
    </row>
    <row r="563" spans="1:9" s="127" customFormat="1" x14ac:dyDescent="0.3">
      <c r="E563"/>
      <c r="F563"/>
      <c r="G563"/>
      <c r="H563"/>
      <c r="I563"/>
    </row>
    <row r="564" spans="1:9" x14ac:dyDescent="0.3">
      <c r="A564" s="127" t="s">
        <v>1141</v>
      </c>
    </row>
    <row r="565" spans="1:9" s="127" customFormat="1" x14ac:dyDescent="0.3">
      <c r="A565" s="127" t="str">
        <f>IF('Register Configuration'!F19 = 2,"", "//") &amp; "CHECK_BITS_SET 4"</f>
        <v>CHECK_BITS_SET 4</v>
      </c>
      <c r="B565" s="127" t="s">
        <v>1090</v>
      </c>
      <c r="C565" s="127" t="s">
        <v>785</v>
      </c>
      <c r="E565"/>
      <c r="F565"/>
      <c r="G565"/>
      <c r="H565"/>
      <c r="I565"/>
    </row>
    <row r="566" spans="1:9" s="127" customFormat="1" x14ac:dyDescent="0.3">
      <c r="A566" s="127" t="str">
        <f>IF('Register Configuration'!F19 = 2,"", "//") &amp; "CHECK_BITS_CLR 4"</f>
        <v>CHECK_BITS_CLR 4</v>
      </c>
      <c r="B566" s="127" t="s">
        <v>1090</v>
      </c>
      <c r="C566" s="127" t="s">
        <v>1142</v>
      </c>
      <c r="E566"/>
      <c r="F566"/>
      <c r="G566"/>
      <c r="H566"/>
      <c r="I566"/>
    </row>
    <row r="567" spans="1:9" s="127" customFormat="1" x14ac:dyDescent="0.3">
      <c r="A567" s="127" t="s">
        <v>2196</v>
      </c>
      <c r="E567"/>
      <c r="F567"/>
      <c r="G567"/>
      <c r="H567"/>
      <c r="I567"/>
    </row>
    <row r="568" spans="1:9" s="127" customFormat="1" x14ac:dyDescent="0.3">
      <c r="A568" s="127" t="str">
        <f>IF('Register Configuration'!F19 = 2,"", "//") &amp; "DATA 4"</f>
        <v>DATA 4</v>
      </c>
      <c r="B568" s="127" t="s">
        <v>1147</v>
      </c>
      <c r="C568" s="128" t="str">
        <f>'Register Configuration'!J555</f>
        <v>0x012240B3</v>
      </c>
      <c r="E568"/>
      <c r="F568"/>
      <c r="G568"/>
      <c r="H568"/>
      <c r="I568"/>
    </row>
    <row r="569" spans="1:9" s="127" customFormat="1" x14ac:dyDescent="0.3">
      <c r="A569" s="127" t="s">
        <v>1144</v>
      </c>
      <c r="E569"/>
      <c r="F569"/>
      <c r="G569"/>
      <c r="H569"/>
      <c r="I569"/>
    </row>
    <row r="570" spans="1:9" s="127" customFormat="1" x14ac:dyDescent="0.3">
      <c r="A570" s="127" t="str">
        <f>IF('Register Configuration'!F19 = 2,"", "//") &amp; "DATA 4"</f>
        <v>DATA 4</v>
      </c>
      <c r="B570" s="127" t="s">
        <v>958</v>
      </c>
      <c r="C570" s="127" t="s">
        <v>1145</v>
      </c>
      <c r="E570"/>
      <c r="F570"/>
      <c r="G570"/>
      <c r="H570"/>
      <c r="I570"/>
    </row>
    <row r="571" spans="1:9" s="127" customFormat="1" x14ac:dyDescent="0.3">
      <c r="A571" s="127" t="str">
        <f>IF('Register Configuration'!F19 = 2,"", "//") &amp; "DATA 4"</f>
        <v>DATA 4</v>
      </c>
      <c r="B571" s="127" t="s">
        <v>958</v>
      </c>
      <c r="C571" s="127" t="s">
        <v>1146</v>
      </c>
      <c r="E571"/>
      <c r="F571"/>
      <c r="G571"/>
      <c r="H571"/>
      <c r="I571"/>
    </row>
    <row r="572" spans="1:9" s="127" customFormat="1" x14ac:dyDescent="0.3">
      <c r="E572"/>
      <c r="F572"/>
      <c r="G572"/>
      <c r="H572"/>
      <c r="I572"/>
    </row>
    <row r="573" spans="1:9" s="127" customFormat="1" x14ac:dyDescent="0.3">
      <c r="A573" s="127" t="s">
        <v>1149</v>
      </c>
      <c r="E573"/>
      <c r="F573"/>
      <c r="G573"/>
      <c r="H573"/>
      <c r="I573"/>
    </row>
    <row r="574" spans="1:9" s="127" customFormat="1" x14ac:dyDescent="0.3">
      <c r="A574" s="127" t="s">
        <v>1086</v>
      </c>
      <c r="B574" s="127" t="s">
        <v>1088</v>
      </c>
      <c r="C574" s="127" t="s">
        <v>785</v>
      </c>
      <c r="E574"/>
      <c r="F574"/>
      <c r="G574"/>
      <c r="H574"/>
      <c r="I574"/>
    </row>
    <row r="575" spans="1:9" s="127" customFormat="1" x14ac:dyDescent="0.3">
      <c r="A575" s="127" t="s">
        <v>1087</v>
      </c>
      <c r="B575" s="127" t="s">
        <v>1088</v>
      </c>
      <c r="C575" s="127" t="s">
        <v>1148</v>
      </c>
      <c r="E575"/>
      <c r="F575"/>
      <c r="G575"/>
      <c r="H575"/>
      <c r="I575"/>
    </row>
    <row r="576" spans="1:9" s="127" customFormat="1" x14ac:dyDescent="0.3">
      <c r="A576" s="127" t="s">
        <v>1151</v>
      </c>
      <c r="E576"/>
      <c r="F576"/>
      <c r="G576"/>
      <c r="H576"/>
      <c r="I576"/>
    </row>
    <row r="577" spans="1:9" s="127" customFormat="1" x14ac:dyDescent="0.3">
      <c r="A577" s="127" t="s">
        <v>786</v>
      </c>
      <c r="B577" s="127" t="s">
        <v>1143</v>
      </c>
      <c r="C577" s="128" t="str">
        <f>'Register Configuration'!K555</f>
        <v>0x01224000</v>
      </c>
      <c r="E577"/>
      <c r="F577"/>
      <c r="G577"/>
      <c r="H577"/>
      <c r="I577"/>
    </row>
    <row r="578" spans="1:9" s="127" customFormat="1" x14ac:dyDescent="0.3">
      <c r="A578" s="127" t="s">
        <v>1153</v>
      </c>
      <c r="E578"/>
      <c r="F578"/>
      <c r="G578"/>
      <c r="H578"/>
      <c r="I578"/>
    </row>
    <row r="579" spans="1:9" s="127" customFormat="1" x14ac:dyDescent="0.3">
      <c r="A579" s="127" t="s">
        <v>780</v>
      </c>
      <c r="B579" s="127" t="s">
        <v>925</v>
      </c>
      <c r="C579" s="127" t="s">
        <v>1154</v>
      </c>
      <c r="E579"/>
      <c r="F579"/>
      <c r="G579"/>
      <c r="H579"/>
      <c r="I579"/>
    </row>
    <row r="580" spans="1:9" s="127" customFormat="1" x14ac:dyDescent="0.3">
      <c r="A580" s="127" t="s">
        <v>780</v>
      </c>
      <c r="B580" s="127" t="s">
        <v>925</v>
      </c>
      <c r="C580" s="127" t="s">
        <v>1155</v>
      </c>
      <c r="E580"/>
      <c r="F580"/>
      <c r="G580"/>
      <c r="H580"/>
      <c r="I580"/>
    </row>
    <row r="581" spans="1:9" s="127" customFormat="1" x14ac:dyDescent="0.3">
      <c r="E581"/>
      <c r="F581"/>
      <c r="G581"/>
      <c r="H581"/>
      <c r="I581"/>
    </row>
    <row r="582" spans="1:9" s="127" customFormat="1" x14ac:dyDescent="0.3">
      <c r="A582" s="127" t="s">
        <v>1150</v>
      </c>
      <c r="E582"/>
      <c r="F582"/>
      <c r="G582"/>
      <c r="H582"/>
      <c r="I582"/>
    </row>
    <row r="583" spans="1:9" s="127" customFormat="1" x14ac:dyDescent="0.3">
      <c r="A583" s="127" t="str">
        <f>IF('Register Configuration'!F19 = 2,"", "//") &amp; "CHECK_BITS_SET 4"</f>
        <v>CHECK_BITS_SET 4</v>
      </c>
      <c r="B583" s="127" t="s">
        <v>1090</v>
      </c>
      <c r="C583" s="127" t="s">
        <v>785</v>
      </c>
      <c r="E583"/>
      <c r="F583"/>
      <c r="G583"/>
      <c r="H583"/>
      <c r="I583"/>
    </row>
    <row r="584" spans="1:9" s="127" customFormat="1" x14ac:dyDescent="0.3">
      <c r="A584" s="127" t="str">
        <f>IF('Register Configuration'!F19 = 2,"", "//") &amp; "CHECK_BITS_CLR 4"</f>
        <v>CHECK_BITS_CLR 4</v>
      </c>
      <c r="B584" s="127" t="s">
        <v>1090</v>
      </c>
      <c r="C584" s="127" t="s">
        <v>1148</v>
      </c>
      <c r="E584"/>
      <c r="F584"/>
      <c r="G584"/>
      <c r="H584"/>
      <c r="I584"/>
    </row>
    <row r="585" spans="1:9" s="127" customFormat="1" x14ac:dyDescent="0.3">
      <c r="A585" s="127" t="s">
        <v>1152</v>
      </c>
      <c r="E585"/>
      <c r="F585"/>
      <c r="G585"/>
      <c r="H585"/>
      <c r="I585"/>
    </row>
    <row r="586" spans="1:9" s="127" customFormat="1" x14ac:dyDescent="0.3">
      <c r="A586" s="127" t="str">
        <f>IF('Register Configuration'!F19 = 2,"", "//") &amp; "DATA 4"</f>
        <v>DATA 4</v>
      </c>
      <c r="B586" s="127" t="s">
        <v>1147</v>
      </c>
      <c r="C586" s="128" t="str">
        <f>'Register Configuration'!K555</f>
        <v>0x01224000</v>
      </c>
      <c r="E586"/>
      <c r="F586"/>
      <c r="G586"/>
      <c r="H586"/>
      <c r="I586"/>
    </row>
    <row r="587" spans="1:9" s="127" customFormat="1" x14ac:dyDescent="0.3">
      <c r="A587" s="127" t="s">
        <v>1153</v>
      </c>
      <c r="E587"/>
      <c r="F587"/>
      <c r="G587"/>
      <c r="H587"/>
      <c r="I587"/>
    </row>
    <row r="588" spans="1:9" s="127" customFormat="1" x14ac:dyDescent="0.3">
      <c r="A588" s="127" t="str">
        <f>IF('Register Configuration'!F19 = 2,"", "//") &amp; "DATA 4"</f>
        <v>DATA 4</v>
      </c>
      <c r="B588" s="127" t="s">
        <v>958</v>
      </c>
      <c r="C588" s="127" t="s">
        <v>1154</v>
      </c>
      <c r="E588"/>
      <c r="F588"/>
      <c r="G588"/>
      <c r="H588"/>
      <c r="I588"/>
    </row>
    <row r="589" spans="1:9" s="127" customFormat="1" x14ac:dyDescent="0.3">
      <c r="A589" s="127" t="str">
        <f>IF('Register Configuration'!F19 = 2,"", "//") &amp; "DATA 4"</f>
        <v>DATA 4</v>
      </c>
      <c r="B589" s="127" t="s">
        <v>958</v>
      </c>
      <c r="C589" s="127" t="s">
        <v>1155</v>
      </c>
      <c r="E589"/>
      <c r="F589"/>
      <c r="G589"/>
      <c r="H589"/>
      <c r="I589"/>
    </row>
    <row r="590" spans="1:9" s="127" customFormat="1" x14ac:dyDescent="0.3">
      <c r="E590"/>
      <c r="F590"/>
      <c r="G590"/>
      <c r="H590"/>
      <c r="I590"/>
    </row>
    <row r="591" spans="1:9" s="127" customFormat="1" x14ac:dyDescent="0.3">
      <c r="A591" s="127" t="s">
        <v>1156</v>
      </c>
      <c r="E591"/>
      <c r="F591"/>
      <c r="G591"/>
      <c r="H591"/>
      <c r="I591"/>
    </row>
    <row r="592" spans="1:9" s="127" customFormat="1" x14ac:dyDescent="0.3">
      <c r="A592" s="127" t="s">
        <v>1102</v>
      </c>
      <c r="B592" s="127" t="s">
        <v>1157</v>
      </c>
      <c r="C592" s="127" t="s">
        <v>785</v>
      </c>
      <c r="E592"/>
      <c r="F592"/>
      <c r="G592"/>
      <c r="H592"/>
      <c r="I592"/>
    </row>
    <row r="593" spans="1:9" s="127" customFormat="1" x14ac:dyDescent="0.3">
      <c r="A593" s="127" t="s">
        <v>1103</v>
      </c>
      <c r="B593" s="127" t="s">
        <v>1157</v>
      </c>
      <c r="C593" s="127" t="s">
        <v>1089</v>
      </c>
      <c r="E593"/>
      <c r="F593"/>
      <c r="G593"/>
      <c r="H593"/>
      <c r="I593"/>
    </row>
    <row r="594" spans="1:9" s="127" customFormat="1" x14ac:dyDescent="0.3">
      <c r="A594" s="127" t="str">
        <f>IF('Register Configuration'!F19 = 2,"", "//") &amp; "CHECK_BITS_SET 4"</f>
        <v>CHECK_BITS_SET 4</v>
      </c>
      <c r="B594" s="127" t="s">
        <v>1158</v>
      </c>
      <c r="C594" s="127" t="s">
        <v>785</v>
      </c>
      <c r="E594"/>
      <c r="F594"/>
      <c r="G594"/>
      <c r="H594"/>
      <c r="I594"/>
    </row>
    <row r="595" spans="1:9" s="127" customFormat="1" x14ac:dyDescent="0.3">
      <c r="A595" s="127" t="str">
        <f>IF('Register Configuration'!F19 = 2,"", "//") &amp; "CHECK_BITS_CLR 4"</f>
        <v>CHECK_BITS_CLR 4</v>
      </c>
      <c r="B595" s="127" t="s">
        <v>1158</v>
      </c>
      <c r="C595" s="127" t="s">
        <v>1089</v>
      </c>
      <c r="E595"/>
      <c r="F595"/>
      <c r="G595"/>
      <c r="H595"/>
      <c r="I595"/>
    </row>
    <row r="597" spans="1:9" x14ac:dyDescent="0.3">
      <c r="A597" s="128" t="str">
        <f>IF('Register Configuration'!L31= "enable",  "// run rdbi deskew training", "")</f>
        <v>// run rdbi deskew training</v>
      </c>
      <c r="B597" s="128"/>
    </row>
    <row r="598" spans="1:9" x14ac:dyDescent="0.3">
      <c r="A598" s="128" t="str">
        <f>IF('Register Configuration'!L31= "enable",  "RDBI_bit_deskew(0);", "")</f>
        <v>RDBI_bit_deskew(0);</v>
      </c>
      <c r="B598" s="129"/>
    </row>
    <row r="599" spans="1:9" x14ac:dyDescent="0.3">
      <c r="A599" s="128" t="str">
        <f>IF('Register Configuration'!L31= "enable",  IF('Register Configuration'!F19=2,"RDBI_bit_deskew(1);", "//RDBI_bit_deskew(1);"), "")</f>
        <v>RDBI_bit_deskew(1);</v>
      </c>
      <c r="B599" s="129"/>
    </row>
    <row r="600" spans="1:9" x14ac:dyDescent="0.3">
      <c r="A600" s="129"/>
      <c r="B600" s="129"/>
    </row>
    <row r="601" spans="1:9" s="127" customFormat="1" x14ac:dyDescent="0.3">
      <c r="A601" s="127" t="s">
        <v>2222</v>
      </c>
      <c r="E601"/>
      <c r="F601"/>
      <c r="G601"/>
      <c r="H601"/>
      <c r="I601"/>
    </row>
    <row r="602" spans="1:9" s="127" customFormat="1" x14ac:dyDescent="0.3">
      <c r="A602" s="127" t="s">
        <v>1159</v>
      </c>
      <c r="E602"/>
      <c r="F602"/>
      <c r="G602"/>
      <c r="H602"/>
      <c r="I602"/>
    </row>
    <row r="603" spans="1:9" s="127" customFormat="1" x14ac:dyDescent="0.3">
      <c r="A603" s="127" t="s">
        <v>2223</v>
      </c>
      <c r="E603"/>
      <c r="F603"/>
      <c r="G603"/>
      <c r="H603"/>
      <c r="I603"/>
    </row>
    <row r="604" spans="1:9" s="127" customFormat="1" x14ac:dyDescent="0.3">
      <c r="A604" s="127" t="str">
        <f>IF('Register Configuration'!F19 = 2,"", "//") &amp; "DRAM_VREF_training_hw(1);"</f>
        <v>DRAM_VREF_training_hw(1);</v>
      </c>
      <c r="E604"/>
      <c r="F604"/>
      <c r="G604"/>
      <c r="H604"/>
      <c r="I604"/>
    </row>
    <row r="605" spans="1:9" s="127" customFormat="1" x14ac:dyDescent="0.3">
      <c r="A605" s="127" t="s">
        <v>1229</v>
      </c>
      <c r="E605"/>
      <c r="F605"/>
      <c r="G605"/>
      <c r="H605"/>
      <c r="I605"/>
    </row>
    <row r="606" spans="1:9" s="127" customFormat="1" x14ac:dyDescent="0.3">
      <c r="A606" s="127" t="s">
        <v>2225</v>
      </c>
      <c r="E606"/>
      <c r="F606"/>
      <c r="G606"/>
      <c r="H606"/>
      <c r="I606"/>
    </row>
    <row r="607" spans="1:9" s="127" customFormat="1" x14ac:dyDescent="0.3">
      <c r="A607" s="127" t="s">
        <v>2226</v>
      </c>
      <c r="E607"/>
      <c r="F607"/>
      <c r="G607"/>
      <c r="H607"/>
      <c r="I607"/>
    </row>
    <row r="608" spans="1:9" s="127" customFormat="1" x14ac:dyDescent="0.3">
      <c r="A608" s="127" t="str">
        <f>IF('Register Configuration'!F19 = 2,"", "//") &amp; "DRAM_VREF_training_sw(1);"</f>
        <v>DRAM_VREF_training_sw(1);</v>
      </c>
      <c r="E608"/>
      <c r="F608"/>
      <c r="G608"/>
      <c r="H608"/>
      <c r="I608"/>
    </row>
    <row r="609" spans="1:9" s="127" customFormat="1" x14ac:dyDescent="0.3">
      <c r="A609" s="127" t="s">
        <v>1188</v>
      </c>
      <c r="E609"/>
      <c r="F609"/>
      <c r="G609"/>
      <c r="H609"/>
      <c r="I609"/>
    </row>
    <row r="610" spans="1:9" s="127" customFormat="1" x14ac:dyDescent="0.3">
      <c r="E610"/>
      <c r="F610"/>
      <c r="G610"/>
      <c r="H610"/>
      <c r="I610"/>
    </row>
    <row r="611" spans="1:9" x14ac:dyDescent="0.3">
      <c r="A611" s="127" t="s">
        <v>780</v>
      </c>
      <c r="B611" s="127" t="s">
        <v>2205</v>
      </c>
      <c r="C611" s="127" t="s">
        <v>2206</v>
      </c>
    </row>
    <row r="612" spans="1:9" x14ac:dyDescent="0.3">
      <c r="A612" s="127" t="str">
        <f>IF('Register Configuration'!F19 = 2,"", "//") &amp; "DATA 4"</f>
        <v>DATA 4</v>
      </c>
      <c r="B612" s="127" t="s">
        <v>2207</v>
      </c>
      <c r="C612" s="127" t="s">
        <v>2206</v>
      </c>
    </row>
    <row r="613" spans="1:9" s="127" customFormat="1" x14ac:dyDescent="0.3">
      <c r="E613"/>
      <c r="F613"/>
      <c r="G613"/>
      <c r="H613"/>
      <c r="I613"/>
    </row>
    <row r="614" spans="1:9" x14ac:dyDescent="0.3">
      <c r="A614" s="127" t="s">
        <v>1160</v>
      </c>
    </row>
    <row r="615" spans="1:9" x14ac:dyDescent="0.3">
      <c r="A615" s="127" t="s">
        <v>1161</v>
      </c>
      <c r="B615" s="127" t="s">
        <v>910</v>
      </c>
      <c r="C615" s="127" t="s">
        <v>1114</v>
      </c>
      <c r="D615" s="127" t="s">
        <v>1162</v>
      </c>
    </row>
    <row r="616" spans="1:9" x14ac:dyDescent="0.3">
      <c r="A616" s="127" t="str">
        <f>IF('Register Configuration'!F19 = 2,"", "//") &amp; "CLR_BIT 4"</f>
        <v>CLR_BIT 4</v>
      </c>
      <c r="B616" s="127" t="s">
        <v>947</v>
      </c>
      <c r="C616" s="127" t="s">
        <v>1114</v>
      </c>
      <c r="D616" s="127" t="s">
        <v>1162</v>
      </c>
    </row>
    <row r="618" spans="1:9" x14ac:dyDescent="0.3">
      <c r="A618" s="127" t="s">
        <v>1173</v>
      </c>
    </row>
    <row r="619" spans="1:9" x14ac:dyDescent="0.3">
      <c r="A619" s="127" t="s">
        <v>1161</v>
      </c>
      <c r="B619" s="127" t="s">
        <v>1163</v>
      </c>
      <c r="C619" s="127" t="s">
        <v>1167</v>
      </c>
    </row>
    <row r="620" spans="1:9" x14ac:dyDescent="0.3">
      <c r="A620" s="127" t="s">
        <v>1161</v>
      </c>
      <c r="B620" s="127" t="s">
        <v>1164</v>
      </c>
      <c r="C620" s="127" t="s">
        <v>1167</v>
      </c>
    </row>
    <row r="621" spans="1:9" x14ac:dyDescent="0.3">
      <c r="A621" s="127" t="s">
        <v>1161</v>
      </c>
      <c r="B621" s="127" t="s">
        <v>1165</v>
      </c>
      <c r="C621" s="127" t="s">
        <v>1167</v>
      </c>
    </row>
    <row r="622" spans="1:9" x14ac:dyDescent="0.3">
      <c r="A622" s="127" t="s">
        <v>1161</v>
      </c>
      <c r="B622" s="127" t="s">
        <v>1166</v>
      </c>
      <c r="C622" s="127" t="s">
        <v>1167</v>
      </c>
    </row>
    <row r="623" spans="1:9" x14ac:dyDescent="0.3">
      <c r="A623" s="127" t="s">
        <v>1174</v>
      </c>
    </row>
    <row r="624" spans="1:9" x14ac:dyDescent="0.3">
      <c r="A624" s="127" t="s">
        <v>786</v>
      </c>
      <c r="B624" s="127" t="s">
        <v>1110</v>
      </c>
      <c r="C624" s="127" t="s">
        <v>1170</v>
      </c>
    </row>
    <row r="625" spans="1:9" x14ac:dyDescent="0.3">
      <c r="A625" s="127" t="s">
        <v>786</v>
      </c>
      <c r="B625" s="127" t="s">
        <v>1168</v>
      </c>
      <c r="C625" s="127" t="s">
        <v>1171</v>
      </c>
    </row>
    <row r="626" spans="1:9" x14ac:dyDescent="0.3">
      <c r="A626" s="127" t="s">
        <v>786</v>
      </c>
      <c r="B626" s="127" t="s">
        <v>1169</v>
      </c>
      <c r="C626" s="127" t="s">
        <v>1172</v>
      </c>
    </row>
    <row r="627" spans="1:9" x14ac:dyDescent="0.3">
      <c r="A627" s="127" t="s">
        <v>1175</v>
      </c>
    </row>
    <row r="628" spans="1:9" x14ac:dyDescent="0.3">
      <c r="A628" s="127" t="str">
        <f>IF('Register Configuration'!F19 = 2,"", "//") &amp; "CLR_BIT 4"</f>
        <v>CLR_BIT 4</v>
      </c>
      <c r="B628" s="127" t="s">
        <v>1177</v>
      </c>
      <c r="C628" s="127" t="s">
        <v>1167</v>
      </c>
    </row>
    <row r="629" spans="1:9" x14ac:dyDescent="0.3">
      <c r="A629" s="127" t="str">
        <f>IF('Register Configuration'!F19 = 2,"", "//") &amp; "CLR_BIT 4"</f>
        <v>CLR_BIT 4</v>
      </c>
      <c r="B629" s="127" t="s">
        <v>1178</v>
      </c>
      <c r="C629" s="127" t="s">
        <v>1167</v>
      </c>
    </row>
    <row r="630" spans="1:9" s="127" customFormat="1" x14ac:dyDescent="0.3">
      <c r="A630" s="127" t="str">
        <f>IF('Register Configuration'!F19 = 2,"", "//") &amp; "CLR_BIT 4"</f>
        <v>CLR_BIT 4</v>
      </c>
      <c r="B630" s="127" t="s">
        <v>1179</v>
      </c>
      <c r="C630" s="127" t="s">
        <v>1167</v>
      </c>
      <c r="E630"/>
      <c r="F630"/>
      <c r="G630"/>
      <c r="H630"/>
      <c r="I630"/>
    </row>
    <row r="631" spans="1:9" s="127" customFormat="1" x14ac:dyDescent="0.3">
      <c r="A631" s="127" t="str">
        <f>IF('Register Configuration'!F19 = 2,"", "//") &amp; "CLR_BIT 4"</f>
        <v>CLR_BIT 4</v>
      </c>
      <c r="B631" s="127" t="s">
        <v>1180</v>
      </c>
      <c r="C631" s="127" t="s">
        <v>1167</v>
      </c>
      <c r="E631"/>
      <c r="F631"/>
      <c r="G631"/>
      <c r="H631"/>
      <c r="I631"/>
    </row>
    <row r="632" spans="1:9" s="127" customFormat="1" x14ac:dyDescent="0.3">
      <c r="A632" s="127" t="s">
        <v>1176</v>
      </c>
      <c r="E632"/>
      <c r="F632"/>
      <c r="G632"/>
      <c r="H632"/>
      <c r="I632"/>
    </row>
    <row r="633" spans="1:9" s="127" customFormat="1" x14ac:dyDescent="0.3">
      <c r="A633" s="127" t="str">
        <f>IF('Register Configuration'!F19 = 2,"", "//") &amp; "DATA 4"</f>
        <v>DATA 4</v>
      </c>
      <c r="B633" s="127" t="s">
        <v>1126</v>
      </c>
      <c r="C633" s="127" t="s">
        <v>1170</v>
      </c>
      <c r="E633"/>
      <c r="F633"/>
      <c r="G633"/>
      <c r="H633"/>
      <c r="I633"/>
    </row>
    <row r="634" spans="1:9" s="127" customFormat="1" x14ac:dyDescent="0.3">
      <c r="A634" s="127" t="str">
        <f>IF('Register Configuration'!F19 = 2,"", "//") &amp; "DATA 4"</f>
        <v>DATA 4</v>
      </c>
      <c r="B634" s="127" t="s">
        <v>1181</v>
      </c>
      <c r="C634" s="127" t="s">
        <v>1171</v>
      </c>
      <c r="E634"/>
      <c r="F634"/>
      <c r="G634"/>
      <c r="H634"/>
      <c r="I634"/>
    </row>
    <row r="635" spans="1:9" s="127" customFormat="1" x14ac:dyDescent="0.3">
      <c r="A635" s="127" t="str">
        <f>IF('Register Configuration'!F19 = 2,"", "//") &amp; "DATA 4"</f>
        <v>DATA 4</v>
      </c>
      <c r="B635" s="127" t="s">
        <v>1182</v>
      </c>
      <c r="C635" s="127" t="s">
        <v>1172</v>
      </c>
      <c r="E635"/>
      <c r="F635"/>
      <c r="G635"/>
      <c r="H635"/>
      <c r="I635"/>
    </row>
    <row r="637" spans="1:9" s="127" customFormat="1" x14ac:dyDescent="0.3">
      <c r="A637" s="127" t="s">
        <v>2019</v>
      </c>
      <c r="E637"/>
      <c r="F637"/>
      <c r="G637"/>
      <c r="H637"/>
      <c r="I637"/>
    </row>
    <row r="638" spans="1:9" s="127" customFormat="1" x14ac:dyDescent="0.3">
      <c r="A638" s="127" t="s">
        <v>780</v>
      </c>
      <c r="B638" s="127" t="s">
        <v>2020</v>
      </c>
      <c r="C638" s="127" t="s">
        <v>1145</v>
      </c>
      <c r="E638"/>
      <c r="F638"/>
      <c r="G638"/>
      <c r="H638"/>
      <c r="I638"/>
    </row>
    <row r="639" spans="1:9" s="127" customFormat="1" x14ac:dyDescent="0.3">
      <c r="A639" s="127" t="str">
        <f>IF('Register Configuration'!F19 = 2,"", "//") &amp; "DATA 4"</f>
        <v>DATA 4</v>
      </c>
      <c r="B639" s="127" t="s">
        <v>2021</v>
      </c>
      <c r="C639" s="127" t="s">
        <v>1145</v>
      </c>
      <c r="E639"/>
      <c r="F639"/>
      <c r="G639"/>
      <c r="H639"/>
      <c r="I639"/>
    </row>
    <row r="641" spans="1:9" s="127" customFormat="1" x14ac:dyDescent="0.3">
      <c r="A641" s="127" t="s">
        <v>1183</v>
      </c>
      <c r="E641"/>
      <c r="F641"/>
      <c r="G641"/>
      <c r="H641"/>
      <c r="I641"/>
    </row>
    <row r="642" spans="1:9" s="127" customFormat="1" x14ac:dyDescent="0.3">
      <c r="A642" s="127" t="s">
        <v>1161</v>
      </c>
      <c r="B642" s="127" t="s">
        <v>1013</v>
      </c>
      <c r="C642" s="127" t="s">
        <v>1184</v>
      </c>
      <c r="E642"/>
      <c r="F642"/>
      <c r="G642"/>
      <c r="H642"/>
      <c r="I642"/>
    </row>
    <row r="643" spans="1:9" s="127" customFormat="1" x14ac:dyDescent="0.3">
      <c r="A643" s="127" t="str">
        <f>IF('Register Configuration'!F19 = 2,"", "//") &amp; "CLR_BIT 4"</f>
        <v>CLR_BIT 4</v>
      </c>
      <c r="B643" s="127" t="s">
        <v>1058</v>
      </c>
      <c r="C643" s="127" t="s">
        <v>1184</v>
      </c>
      <c r="E643"/>
      <c r="F643"/>
      <c r="G643"/>
      <c r="H643"/>
      <c r="I643"/>
    </row>
    <row r="645" spans="1:9" s="127" customFormat="1" x14ac:dyDescent="0.3">
      <c r="A645" s="127" t="s">
        <v>1185</v>
      </c>
      <c r="E645"/>
      <c r="F645"/>
      <c r="G645"/>
      <c r="H645"/>
      <c r="I645"/>
    </row>
    <row r="646" spans="1:9" s="127" customFormat="1" x14ac:dyDescent="0.3">
      <c r="A646" s="127" t="s">
        <v>1102</v>
      </c>
      <c r="B646" s="127" t="s">
        <v>1186</v>
      </c>
      <c r="C646" s="127" t="s">
        <v>785</v>
      </c>
      <c r="E646"/>
      <c r="F646"/>
      <c r="G646"/>
      <c r="H646"/>
      <c r="I646"/>
    </row>
    <row r="647" spans="1:9" s="127" customFormat="1" x14ac:dyDescent="0.3">
      <c r="A647" s="127" t="str">
        <f>IF('Register Configuration'!F19 = 2,"", "//") &amp; "CHECK_BITS_SET 4"</f>
        <v>CHECK_BITS_SET 4</v>
      </c>
      <c r="B647" s="127" t="s">
        <v>1187</v>
      </c>
      <c r="C647" s="127" t="s">
        <v>785</v>
      </c>
      <c r="E647"/>
      <c r="F647"/>
      <c r="G647"/>
      <c r="H647"/>
      <c r="I647"/>
    </row>
    <row r="648" spans="1:9" s="127" customFormat="1" x14ac:dyDescent="0.3">
      <c r="E648"/>
      <c r="F648"/>
      <c r="G648"/>
      <c r="H648"/>
      <c r="I648"/>
    </row>
    <row r="649" spans="1:9" x14ac:dyDescent="0.3">
      <c r="A649" s="128" t="str">
        <f>IF('Register Configuration'!F19 = 2,"", "// Following are needed when configuring for one DRC")</f>
        <v/>
      </c>
      <c r="B649" s="128"/>
      <c r="C649" s="128"/>
    </row>
    <row r="650" spans="1:9" x14ac:dyDescent="0.3">
      <c r="A650" s="128" t="str">
        <f>IF('Register Configuration'!F19 = 2,"", "DATA 4")</f>
        <v/>
      </c>
      <c r="B650" s="128" t="str">
        <f>IF('Register Configuration'!F19 = 2,"", "0x5C400000")</f>
        <v/>
      </c>
      <c r="C650" s="494" t="str">
        <f>IF('Register Configuration'!F19 = 2,"", "3")</f>
        <v/>
      </c>
    </row>
    <row r="651" spans="1:9" x14ac:dyDescent="0.3">
      <c r="A651" s="128" t="str">
        <f>IF('Register Configuration'!F19 = 2,"", "DATA 4")</f>
        <v/>
      </c>
      <c r="B651" s="128" t="str">
        <f>IF('Register Configuration'!F19 = 2,"", "0x5C410000")</f>
        <v/>
      </c>
      <c r="C651" s="494" t="str">
        <f>IF('Register Configuration'!F19 = 2,"", "3")</f>
        <v/>
      </c>
    </row>
    <row r="652" spans="1:9" x14ac:dyDescent="0.3">
      <c r="A652" s="128" t="str">
        <f>IF('Register Configuration'!F19 = 2,"", "DATA 4")</f>
        <v/>
      </c>
      <c r="B652" s="128" t="str">
        <f>IF('Register Configuration'!F19 = 2,"", "0x5C420000")</f>
        <v/>
      </c>
      <c r="C652" s="494" t="str">
        <f>IF('Register Configuration'!F19 = 2,"", "3")</f>
        <v/>
      </c>
    </row>
    <row r="653" spans="1:9" x14ac:dyDescent="0.3">
      <c r="A653" s="128" t="str">
        <f>IF('Register Configuration'!F19 = 2,"", "DATA 4")</f>
        <v/>
      </c>
      <c r="B653" s="128" t="str">
        <f>IF('Register Configuration'!F19 = 2,"", "0x5C430000")</f>
        <v/>
      </c>
      <c r="C653" s="494" t="str">
        <f>IF('Register Configuration'!F19 = 2,"", "3")</f>
        <v/>
      </c>
    </row>
    <row r="654" spans="1:9" x14ac:dyDescent="0.3">
      <c r="A654" s="128" t="str">
        <f>IF('Register Configuration'!F19 = 2,"", "DATA 4")</f>
        <v/>
      </c>
      <c r="B654" s="128" t="str">
        <f>IF('Register Configuration'!F19 = 2,"", "0x5C500000")</f>
        <v/>
      </c>
      <c r="C654" s="494" t="str">
        <f>IF('Register Configuration'!F19 = 2,"", "3")</f>
        <v/>
      </c>
    </row>
    <row r="655" spans="1:9" x14ac:dyDescent="0.3">
      <c r="A655" s="128" t="str">
        <f>IF('Register Configuration'!F19 = 2,"", "DATA 4")</f>
        <v/>
      </c>
      <c r="B655" s="128" t="str">
        <f>IF('Register Configuration'!F19 = 2,"", "0x5C510000")</f>
        <v/>
      </c>
      <c r="C655" s="494" t="str">
        <f>IF('Register Configuration'!F19 = 2,"", "3")</f>
        <v/>
      </c>
    </row>
    <row r="656" spans="1:9" x14ac:dyDescent="0.3">
      <c r="A656" s="128" t="str">
        <f>IF('Register Configuration'!F19 = 2,"", "DATA 4")</f>
        <v/>
      </c>
      <c r="B656" s="128" t="str">
        <f>IF('Register Configuration'!F19 = 2,"", "0x5C520000")</f>
        <v/>
      </c>
      <c r="C656" s="494" t="str">
        <f>IF('Register Configuration'!F19 = 2,"", "3")</f>
        <v/>
      </c>
    </row>
    <row r="657" spans="1:3" x14ac:dyDescent="0.3">
      <c r="A657" s="128" t="str">
        <f>IF('Register Configuration'!F19 = 2,"", "DATA 4")</f>
        <v/>
      </c>
      <c r="B657" s="128" t="str">
        <f>IF('Register Configuration'!F19 = 2,"", "0x5C530000")</f>
        <v/>
      </c>
      <c r="C657" s="494" t="str">
        <f>IF('Register Configuration'!F19 = 2,"", "3")</f>
        <v/>
      </c>
    </row>
    <row r="658" spans="1:3" x14ac:dyDescent="0.3">
      <c r="A658" s="128" t="str">
        <f>IF('Register Configuration'!F19 = 2,"", "DATA 4")</f>
        <v/>
      </c>
      <c r="B658" s="128" t="str">
        <f>IF('Register Configuration'!F19 = 2,"", "0x5C600000")</f>
        <v/>
      </c>
      <c r="C658" s="494" t="str">
        <f>IF('Register Configuration'!F19 = 2,"", "3")</f>
        <v/>
      </c>
    </row>
    <row r="659" spans="1:3" x14ac:dyDescent="0.3">
      <c r="A659" s="128" t="str">
        <f>IF('Register Configuration'!F19 = 2,"", "DATA 4")</f>
        <v/>
      </c>
      <c r="B659" s="128" t="str">
        <f>IF('Register Configuration'!F19 = 2,"", "0x5C610000")</f>
        <v/>
      </c>
      <c r="C659" s="494" t="str">
        <f>IF('Register Configuration'!F19 = 2,"", "3")</f>
        <v/>
      </c>
    </row>
    <row r="660" spans="1:3" x14ac:dyDescent="0.3">
      <c r="A660" s="128" t="str">
        <f>IF('Register Configuration'!F19 = 2,"", "DATA 4")</f>
        <v/>
      </c>
      <c r="B660" s="128" t="str">
        <f>IF('Register Configuration'!F19 = 2,"", "0x5C620000")</f>
        <v/>
      </c>
      <c r="C660" s="494" t="str">
        <f>IF('Register Configuration'!F19 = 2,"", "3")</f>
        <v/>
      </c>
    </row>
    <row r="661" spans="1:3" x14ac:dyDescent="0.3">
      <c r="A661" s="128" t="str">
        <f>IF('Register Configuration'!F19 = 2,"", "DATA 4")</f>
        <v/>
      </c>
      <c r="B661" s="128" t="str">
        <f>IF('Register Configuration'!F19 = 2,"", "0x5C630000")</f>
        <v/>
      </c>
      <c r="C661" s="494" t="str">
        <f>IF('Register Configuration'!F19 = 2,"", "3")</f>
        <v/>
      </c>
    </row>
    <row r="662" spans="1:3" x14ac:dyDescent="0.3">
      <c r="A662" s="128" t="str">
        <f>IF('Register Configuration'!F19 = 2,"", "DATA 4")</f>
        <v/>
      </c>
      <c r="B662" s="128" t="str">
        <f>IF('Register Configuration'!F19 = 2,"", "0x5C700000")</f>
        <v/>
      </c>
      <c r="C662" s="494" t="str">
        <f>IF('Register Configuration'!F19 = 2,"", "3")</f>
        <v/>
      </c>
    </row>
    <row r="663" spans="1:3" x14ac:dyDescent="0.3">
      <c r="A663" s="128" t="str">
        <f>IF('Register Configuration'!F19 = 2,"", "DATA 4")</f>
        <v/>
      </c>
      <c r="B663" s="128" t="str">
        <f>IF('Register Configuration'!F19 = 2,"", "0x5C710000")</f>
        <v/>
      </c>
      <c r="C663" s="494" t="str">
        <f>IF('Register Configuration'!F19 = 2,"", "3")</f>
        <v/>
      </c>
    </row>
    <row r="664" spans="1:3" x14ac:dyDescent="0.3">
      <c r="A664" s="128" t="str">
        <f>IF('Register Configuration'!F19 = 2,"", "DATA 4")</f>
        <v/>
      </c>
      <c r="B664" s="128" t="str">
        <f>IF('Register Configuration'!F19 = 2,"", "0x5C720000")</f>
        <v/>
      </c>
      <c r="C664" s="494" t="str">
        <f>IF('Register Configuration'!F19 = 2,"", "3")</f>
        <v/>
      </c>
    </row>
    <row r="665" spans="1:3" x14ac:dyDescent="0.3">
      <c r="A665" s="128" t="str">
        <f>IF('Register Configuration'!F19 = 2,"", "DATA 4")</f>
        <v/>
      </c>
      <c r="B665" s="128" t="str">
        <f>IF('Register Configuration'!F19 = 2,"", "0x5C730000")</f>
        <v/>
      </c>
      <c r="C665" s="494" t="str">
        <f>IF('Register Configuration'!F19 = 2,"", "3")</f>
        <v/>
      </c>
    </row>
    <row r="667" spans="1:3" x14ac:dyDescent="0.3">
      <c r="A667" s="128" t="str">
        <f>IF('Register Configuration'!G28="Apply MR4 manual de-rate workaround", "ddrc_lpddr4_derate_init(BD_DDR_RET_NUM_DRC);", "")</f>
        <v>ddrc_lpddr4_derate_init(BD_DDR_RET_NUM_DRC);</v>
      </c>
      <c r="B667" s="128"/>
      <c r="C667" s="128"/>
    </row>
  </sheetData>
  <dataConsolidate/>
  <pageMargins left="0.7" right="0.7" top="0.75" bottom="0.75" header="0.3" footer="0.3"/>
  <pageSetup orientation="portrait" r:id="rId1"/>
  <ignoredErrors>
    <ignoredError sqref="C546"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0C05-D723-4D53-BE96-70925BAA8ED2}">
  <dimension ref="A1:K584"/>
  <sheetViews>
    <sheetView topLeftCell="A351" zoomScale="85" zoomScaleNormal="85" workbookViewId="0">
      <selection activeCell="E367" sqref="E367"/>
    </sheetView>
  </sheetViews>
  <sheetFormatPr defaultRowHeight="13.8" x14ac:dyDescent="0.3"/>
  <cols>
    <col min="1" max="1" width="17" style="127" customWidth="1"/>
    <col min="2" max="2" width="13.44140625" style="127" customWidth="1"/>
    <col min="3" max="3" width="4.88671875" style="403" customWidth="1"/>
    <col min="4" max="4" width="13.33203125" style="127" customWidth="1"/>
    <col min="5" max="5" width="16.44140625" style="127" customWidth="1"/>
    <col min="6" max="11" width="9.109375" style="127"/>
  </cols>
  <sheetData>
    <row r="1" spans="1:5" x14ac:dyDescent="0.3">
      <c r="A1" s="128" t="str">
        <f>"#  Version "&amp;'Revision History'!B3</f>
        <v>#  Version 23</v>
      </c>
    </row>
    <row r="2" spans="1:5" x14ac:dyDescent="0.3">
      <c r="A2" s="127" t="s">
        <v>1253</v>
      </c>
    </row>
    <row r="3" spans="1:5" x14ac:dyDescent="0.3">
      <c r="A3" s="127" t="s">
        <v>1254</v>
      </c>
    </row>
    <row r="4" spans="1:5" x14ac:dyDescent="0.3">
      <c r="A4" s="127" t="s">
        <v>1255</v>
      </c>
    </row>
    <row r="5" spans="1:5" x14ac:dyDescent="0.3">
      <c r="A5" s="127" t="s">
        <v>1256</v>
      </c>
    </row>
    <row r="6" spans="1:5" x14ac:dyDescent="0.3">
      <c r="A6" s="127" t="s">
        <v>1257</v>
      </c>
    </row>
    <row r="7" spans="1:5" x14ac:dyDescent="0.3">
      <c r="A7" s="127" t="s">
        <v>1252</v>
      </c>
    </row>
    <row r="8" spans="1:5" x14ac:dyDescent="0.3">
      <c r="A8" s="127" t="s">
        <v>1258</v>
      </c>
    </row>
    <row r="9" spans="1:5" x14ac:dyDescent="0.3">
      <c r="A9" s="127" t="s">
        <v>1259</v>
      </c>
    </row>
    <row r="10" spans="1:5" x14ac:dyDescent="0.3">
      <c r="A10" s="127" t="s">
        <v>1260</v>
      </c>
    </row>
    <row r="11" spans="1:5" x14ac:dyDescent="0.3">
      <c r="A11" s="127" t="s">
        <v>1261</v>
      </c>
    </row>
    <row r="12" spans="1:5" x14ac:dyDescent="0.3">
      <c r="A12" s="127" t="s">
        <v>1262</v>
      </c>
    </row>
    <row r="13" spans="1:5" x14ac:dyDescent="0.3">
      <c r="A13" s="127" t="s">
        <v>1263</v>
      </c>
    </row>
    <row r="14" spans="1:5" x14ac:dyDescent="0.3">
      <c r="A14" s="127" t="s">
        <v>1264</v>
      </c>
    </row>
    <row r="16" spans="1:5" x14ac:dyDescent="0.3">
      <c r="A16" s="127" t="str">
        <f>IF('Register Configuration'!F30 = "no", "memory set", "")</f>
        <v/>
      </c>
      <c r="B16" s="127" t="str">
        <f>IF('Register Configuration'!F30 = "no", "0xff148000", "")</f>
        <v/>
      </c>
      <c r="C16" s="403" t="str">
        <f>IF('Register Configuration'!F30 = "no", "32", "")</f>
        <v/>
      </c>
      <c r="D16" s="128" t="str">
        <f>IF('Register Configuration'!F30="no",IF('Register Configuration'!C29=1600,"0x00000885",IF('Register Configuration'!C29=1200,"0x00000CC8","0x00000C85")),"")</f>
        <v/>
      </c>
      <c r="E16" s="127" t="str">
        <f>IF('Register Configuration'!F30 = "no", "# ROM DRC0 bringup", "")</f>
        <v/>
      </c>
    </row>
    <row r="17" spans="1:11" x14ac:dyDescent="0.3">
      <c r="A17" s="127" t="str">
        <f>IF('Register Configuration'!F30 = "no", "memory set", "")</f>
        <v/>
      </c>
      <c r="B17" s="127" t="str">
        <f>IF('Register Configuration'!F30 = "no", "0xff1a0000", "")</f>
        <v/>
      </c>
      <c r="C17" s="403" t="str">
        <f>IF('Register Configuration'!F30 = "no", "32", "")</f>
        <v/>
      </c>
      <c r="D17" s="128" t="str">
        <f>IF('Register Configuration'!F30="no",IF('Register Configuration'!C29=1600,"0x00000885",IF('Register Configuration'!C29=1200,"0x00000CC8","0x00000C85")),"")</f>
        <v/>
      </c>
      <c r="E17" s="127" t="str">
        <f>IF('Register Configuration'!F30 = "no", "# ROM DRC0 bringup", "")</f>
        <v/>
      </c>
    </row>
    <row r="18" spans="1:11" x14ac:dyDescent="0.3">
      <c r="A18" s="127" t="str">
        <f>IF('Register Configuration'!G30 = "no", "", "ddrparam set")</f>
        <v>ddrparam set</v>
      </c>
      <c r="B18" s="127" t="str">
        <f>IF('Register Configuration'!G30="no","","frequency0")</f>
        <v>frequency0</v>
      </c>
      <c r="D18" s="128">
        <f>IF('Register Configuration'!F30="no","", 'Register Configuration'!C29)</f>
        <v>1600</v>
      </c>
      <c r="I18"/>
      <c r="J18"/>
      <c r="K18"/>
    </row>
    <row r="20" spans="1:11" x14ac:dyDescent="0.3">
      <c r="A20" s="127" t="s">
        <v>1310</v>
      </c>
      <c r="B20" s="127" t="s">
        <v>781</v>
      </c>
      <c r="C20" s="403">
        <v>32</v>
      </c>
      <c r="D20" s="127" t="s">
        <v>821</v>
      </c>
      <c r="E20" s="127" t="s">
        <v>2256</v>
      </c>
    </row>
    <row r="21" spans="1:11" x14ac:dyDescent="0.3">
      <c r="A21" s="127" t="str">
        <f>IF('Register Configuration'!F19 = 2,"", "#") &amp; "memory set"</f>
        <v>memory set</v>
      </c>
      <c r="B21" s="127" t="s">
        <v>782</v>
      </c>
      <c r="C21" s="403">
        <v>32</v>
      </c>
      <c r="D21" s="127" t="s">
        <v>821</v>
      </c>
      <c r="E21" s="127" t="s">
        <v>2256</v>
      </c>
    </row>
    <row r="22" spans="1:11" x14ac:dyDescent="0.3">
      <c r="A22" s="127" t="s">
        <v>1310</v>
      </c>
      <c r="B22" s="127" t="s">
        <v>2249</v>
      </c>
      <c r="C22" s="403">
        <v>32</v>
      </c>
      <c r="D22" s="127" t="s">
        <v>2258</v>
      </c>
      <c r="E22" s="127" t="s">
        <v>2257</v>
      </c>
    </row>
    <row r="23" spans="1:11" x14ac:dyDescent="0.3">
      <c r="A23" s="127" t="str">
        <f>IF('Register Configuration'!F19 = 2,"", "#") &amp; "memory set"</f>
        <v>memory set</v>
      </c>
      <c r="B23" s="127" t="s">
        <v>2250</v>
      </c>
      <c r="C23" s="403">
        <v>32</v>
      </c>
      <c r="D23" s="127" t="s">
        <v>2258</v>
      </c>
      <c r="E23" s="127" t="s">
        <v>2257</v>
      </c>
    </row>
    <row r="24" spans="1:11" x14ac:dyDescent="0.3">
      <c r="A24" s="127" t="s">
        <v>1310</v>
      </c>
      <c r="B24" s="127" t="s">
        <v>783</v>
      </c>
      <c r="C24" s="403">
        <v>32</v>
      </c>
      <c r="D24" s="127" t="s">
        <v>821</v>
      </c>
      <c r="E24" s="127" t="s">
        <v>1311</v>
      </c>
    </row>
    <row r="25" spans="1:11" x14ac:dyDescent="0.3">
      <c r="A25" s="127" t="str">
        <f>IF('Register Configuration'!F19 = 2,"", "#") &amp; "memory set"</f>
        <v>memory set</v>
      </c>
      <c r="B25" s="127" t="s">
        <v>784</v>
      </c>
      <c r="C25" s="403">
        <v>32</v>
      </c>
      <c r="D25" s="127" t="s">
        <v>821</v>
      </c>
      <c r="E25" s="127" t="s">
        <v>1311</v>
      </c>
    </row>
    <row r="27" spans="1:11" x14ac:dyDescent="0.3">
      <c r="A27" s="127" t="s">
        <v>1265</v>
      </c>
    </row>
    <row r="28" spans="1:11" x14ac:dyDescent="0.3">
      <c r="A28" s="127" t="s">
        <v>2161</v>
      </c>
    </row>
    <row r="29" spans="1:11" x14ac:dyDescent="0.3">
      <c r="A29" s="127" t="s">
        <v>1265</v>
      </c>
    </row>
    <row r="30" spans="1:11" x14ac:dyDescent="0.3">
      <c r="A30" s="127" t="s">
        <v>1351</v>
      </c>
    </row>
    <row r="31" spans="1:11" x14ac:dyDescent="0.3">
      <c r="A31" s="127" t="s">
        <v>1310</v>
      </c>
      <c r="B31" s="127" t="s">
        <v>1312</v>
      </c>
      <c r="C31" s="403">
        <v>32</v>
      </c>
      <c r="D31" s="128" t="str">
        <f>'Register Configuration'!J41</f>
        <v>0xC3080020</v>
      </c>
      <c r="E31" s="127" t="s">
        <v>1692</v>
      </c>
    </row>
    <row r="32" spans="1:11" x14ac:dyDescent="0.3">
      <c r="A32" s="127" t="s">
        <v>1310</v>
      </c>
      <c r="B32" s="127" t="s">
        <v>1696</v>
      </c>
      <c r="C32" s="403">
        <v>32</v>
      </c>
      <c r="D32" s="128" t="str">
        <f>'Register Configuration'!J168</f>
        <v>0x00000213</v>
      </c>
      <c r="E32" s="127" t="s">
        <v>1698</v>
      </c>
    </row>
    <row r="33" spans="1:5" x14ac:dyDescent="0.3">
      <c r="A33" s="127" t="s">
        <v>1310</v>
      </c>
      <c r="B33" s="127" t="s">
        <v>1697</v>
      </c>
      <c r="C33" s="403">
        <v>32</v>
      </c>
      <c r="D33" s="128" t="str">
        <f>'Register Configuration'!J173</f>
        <v>0x0186A000</v>
      </c>
      <c r="E33" s="127" t="s">
        <v>1699</v>
      </c>
    </row>
    <row r="34" spans="1:5" x14ac:dyDescent="0.3">
      <c r="A34" s="127" t="s">
        <v>1310</v>
      </c>
      <c r="B34" s="127" t="s">
        <v>2030</v>
      </c>
      <c r="C34" s="403">
        <v>32</v>
      </c>
      <c r="D34" s="128" t="str">
        <f>'Register Configuration'!J86</f>
        <v>0x0021F000</v>
      </c>
      <c r="E34" s="127" t="s">
        <v>2031</v>
      </c>
    </row>
    <row r="35" spans="1:5" x14ac:dyDescent="0.3">
      <c r="A35" s="127" t="s">
        <v>1310</v>
      </c>
      <c r="B35" s="127" t="s">
        <v>1313</v>
      </c>
      <c r="C35" s="403">
        <v>32</v>
      </c>
      <c r="D35" s="128" t="str">
        <f>'Register Configuration'!J91</f>
        <v>0x006100E0</v>
      </c>
      <c r="E35" s="127" t="s">
        <v>1347</v>
      </c>
    </row>
    <row r="36" spans="1:5" s="127" customFormat="1" x14ac:dyDescent="0.3">
      <c r="A36" s="127" t="s">
        <v>1310</v>
      </c>
      <c r="B36" s="127" t="s">
        <v>1314</v>
      </c>
      <c r="C36" s="403">
        <v>32</v>
      </c>
      <c r="D36" s="128" t="str">
        <f>'Register Configuration'!J95</f>
        <v>0x4003061C</v>
      </c>
      <c r="E36" s="127" t="s">
        <v>1693</v>
      </c>
    </row>
    <row r="37" spans="1:5" s="127" customFormat="1" x14ac:dyDescent="0.3">
      <c r="A37" s="127" t="s">
        <v>1310</v>
      </c>
      <c r="B37" s="127" t="s">
        <v>1315</v>
      </c>
      <c r="C37" s="403">
        <v>32</v>
      </c>
      <c r="D37" s="128" t="str">
        <f>'Register Configuration'!J99</f>
        <v>0x009E0000</v>
      </c>
      <c r="E37" s="127" t="s">
        <v>1694</v>
      </c>
    </row>
    <row r="38" spans="1:5" s="127" customFormat="1" x14ac:dyDescent="0.3">
      <c r="A38" s="127" t="s">
        <v>1310</v>
      </c>
      <c r="B38" s="127" t="s">
        <v>1316</v>
      </c>
      <c r="C38" s="403">
        <v>32</v>
      </c>
      <c r="D38" s="128" t="str">
        <f>'Register Configuration'!J186</f>
        <v>0x0054002D</v>
      </c>
      <c r="E38" s="127" t="s">
        <v>1695</v>
      </c>
    </row>
    <row r="39" spans="1:5" s="127" customFormat="1" x14ac:dyDescent="0.3">
      <c r="A39" s="127" t="s">
        <v>1310</v>
      </c>
      <c r="B39" s="127" t="s">
        <v>1317</v>
      </c>
      <c r="C39" s="403">
        <v>32</v>
      </c>
      <c r="D39" s="128" t="str">
        <f>'Register Configuration'!J198</f>
        <v>0x00F10040</v>
      </c>
      <c r="E39" s="127" t="s">
        <v>1702</v>
      </c>
    </row>
    <row r="40" spans="1:5" s="127" customFormat="1" x14ac:dyDescent="0.3">
      <c r="A40" s="127" t="s">
        <v>1310</v>
      </c>
      <c r="B40" s="127" t="s">
        <v>1318</v>
      </c>
      <c r="C40" s="403">
        <v>32</v>
      </c>
      <c r="D40" s="128" t="str">
        <f>'Register Configuration'!J104</f>
        <v>0x0000066F</v>
      </c>
      <c r="E40" s="127" t="s">
        <v>1703</v>
      </c>
    </row>
    <row r="41" spans="1:5" s="127" customFormat="1" x14ac:dyDescent="0.3">
      <c r="A41" s="127" t="s">
        <v>1310</v>
      </c>
      <c r="B41" s="127" t="s">
        <v>1319</v>
      </c>
      <c r="C41" s="403">
        <v>32</v>
      </c>
      <c r="D41" s="128" t="str">
        <f>'Register Configuration'!J108</f>
        <v>0x1A201B22</v>
      </c>
      <c r="E41" s="127" t="s">
        <v>1704</v>
      </c>
    </row>
    <row r="42" spans="1:5" s="127" customFormat="1" x14ac:dyDescent="0.3">
      <c r="A42" s="127" t="s">
        <v>1310</v>
      </c>
      <c r="B42" s="127" t="s">
        <v>1320</v>
      </c>
      <c r="C42" s="403">
        <v>32</v>
      </c>
      <c r="D42" s="128" t="str">
        <f>'Register Configuration'!J113</f>
        <v>0x00060633</v>
      </c>
      <c r="E42" s="127" t="s">
        <v>1705</v>
      </c>
    </row>
    <row r="43" spans="1:5" s="127" customFormat="1" x14ac:dyDescent="0.3">
      <c r="A43" s="127" t="s">
        <v>1310</v>
      </c>
      <c r="B43" s="127" t="s">
        <v>1321</v>
      </c>
      <c r="C43" s="403">
        <v>32</v>
      </c>
      <c r="D43" s="128" t="str">
        <f>'Register Configuration'!J119</f>
        <v>0x07101617</v>
      </c>
      <c r="E43" s="127" t="s">
        <v>1706</v>
      </c>
    </row>
    <row r="44" spans="1:5" s="127" customFormat="1" x14ac:dyDescent="0.3">
      <c r="A44" s="127" t="s">
        <v>1310</v>
      </c>
      <c r="B44" s="127" t="s">
        <v>1322</v>
      </c>
      <c r="C44" s="403">
        <v>32</v>
      </c>
      <c r="D44" s="128" t="str">
        <f>'Register Configuration'!J124</f>
        <v>0x00C0C000</v>
      </c>
      <c r="E44" s="127" t="s">
        <v>1707</v>
      </c>
    </row>
    <row r="45" spans="1:5" s="127" customFormat="1" x14ac:dyDescent="0.3">
      <c r="A45" s="127" t="s">
        <v>1310</v>
      </c>
      <c r="B45" s="127" t="s">
        <v>1323</v>
      </c>
      <c r="C45" s="403">
        <v>32</v>
      </c>
      <c r="D45" s="128" t="str">
        <f>'Register Configuration'!J128</f>
        <v>0x0F04080F</v>
      </c>
      <c r="E45" s="127" t="s">
        <v>1708</v>
      </c>
    </row>
    <row r="46" spans="1:5" s="127" customFormat="1" x14ac:dyDescent="0.3">
      <c r="A46" s="127" t="s">
        <v>1310</v>
      </c>
      <c r="B46" s="127" t="s">
        <v>1324</v>
      </c>
      <c r="C46" s="403">
        <v>32</v>
      </c>
      <c r="D46" s="128" t="str">
        <f>'Register Configuration'!J133</f>
        <v>0x02040C0C</v>
      </c>
      <c r="E46" s="127" t="s">
        <v>1709</v>
      </c>
    </row>
    <row r="47" spans="1:5" s="127" customFormat="1" x14ac:dyDescent="0.3">
      <c r="A47" s="127" t="s">
        <v>1310</v>
      </c>
      <c r="B47" s="127" t="s">
        <v>1325</v>
      </c>
      <c r="C47" s="403">
        <v>32</v>
      </c>
      <c r="D47" s="128" t="str">
        <f>'Register Configuration'!J139</f>
        <v>0x02020007</v>
      </c>
      <c r="E47" s="127" t="s">
        <v>1710</v>
      </c>
    </row>
    <row r="48" spans="1:5" s="127" customFormat="1" x14ac:dyDescent="0.3">
      <c r="A48" s="127" t="s">
        <v>1310</v>
      </c>
      <c r="B48" s="127" t="s">
        <v>1326</v>
      </c>
      <c r="C48" s="403">
        <v>32</v>
      </c>
      <c r="D48" s="128" t="str">
        <f>'Register Configuration'!J144</f>
        <v>0x00000401</v>
      </c>
      <c r="E48" s="127" t="s">
        <v>1711</v>
      </c>
    </row>
    <row r="49" spans="1:5" s="127" customFormat="1" x14ac:dyDescent="0.3">
      <c r="A49" s="127" t="s">
        <v>1310</v>
      </c>
      <c r="B49" s="127" t="s">
        <v>1327</v>
      </c>
      <c r="C49" s="403">
        <v>32</v>
      </c>
      <c r="D49" s="128" t="str">
        <f>'Register Configuration'!J147</f>
        <v>0x00020610</v>
      </c>
      <c r="E49" s="127" t="s">
        <v>1712</v>
      </c>
    </row>
    <row r="50" spans="1:5" s="127" customFormat="1" x14ac:dyDescent="0.3">
      <c r="A50" s="127" t="s">
        <v>1310</v>
      </c>
      <c r="B50" s="127" t="s">
        <v>1328</v>
      </c>
      <c r="C50" s="403">
        <v>32</v>
      </c>
      <c r="D50" s="128" t="str">
        <f>'Register Configuration'!J151</f>
        <v>0x0C100002</v>
      </c>
      <c r="E50" s="127" t="s">
        <v>1713</v>
      </c>
    </row>
    <row r="51" spans="1:5" s="127" customFormat="1" x14ac:dyDescent="0.3">
      <c r="A51" s="127" t="s">
        <v>1310</v>
      </c>
      <c r="B51" s="127" t="s">
        <v>1329</v>
      </c>
      <c r="C51" s="403">
        <v>32</v>
      </c>
      <c r="D51" s="128" t="str">
        <f>'Register Configuration'!J155</f>
        <v>0x000000E6</v>
      </c>
      <c r="E51" s="127" t="s">
        <v>1714</v>
      </c>
    </row>
    <row r="52" spans="1:5" s="127" customFormat="1" x14ac:dyDescent="0.3">
      <c r="A52" s="127" t="s">
        <v>1310</v>
      </c>
      <c r="B52" s="127" t="s">
        <v>1330</v>
      </c>
      <c r="C52" s="403">
        <v>32</v>
      </c>
      <c r="D52" s="128" t="str">
        <f>'Register Configuration'!J157</f>
        <v>0x03200018</v>
      </c>
      <c r="E52" s="127" t="s">
        <v>1715</v>
      </c>
    </row>
    <row r="53" spans="1:5" s="127" customFormat="1" x14ac:dyDescent="0.3">
      <c r="A53" s="127" t="s">
        <v>1310</v>
      </c>
      <c r="B53" s="127" t="s">
        <v>1331</v>
      </c>
      <c r="C53" s="403">
        <v>32</v>
      </c>
      <c r="D53" s="128" t="str">
        <f>'Register Configuration'!J165</f>
        <v>0x028061A8</v>
      </c>
      <c r="E53" s="127" t="s">
        <v>1716</v>
      </c>
    </row>
    <row r="54" spans="1:5" s="127" customFormat="1" x14ac:dyDescent="0.3">
      <c r="A54" s="127" t="s">
        <v>1310</v>
      </c>
      <c r="B54" s="127" t="s">
        <v>1332</v>
      </c>
      <c r="C54" s="403">
        <v>32</v>
      </c>
      <c r="D54" s="128" t="str">
        <f>'Register Configuration'!J219</f>
        <v>0x049E820C</v>
      </c>
      <c r="E54" s="127" t="s">
        <v>1717</v>
      </c>
    </row>
    <row r="55" spans="1:5" s="127" customFormat="1" x14ac:dyDescent="0.3">
      <c r="A55" s="127" t="s">
        <v>1310</v>
      </c>
      <c r="B55" s="127" t="s">
        <v>1333</v>
      </c>
      <c r="C55" s="403">
        <v>32</v>
      </c>
      <c r="D55" s="128" t="str">
        <f>'Register Configuration'!J226</f>
        <v>0x00070303</v>
      </c>
      <c r="E55" s="127" t="s">
        <v>1718</v>
      </c>
    </row>
    <row r="56" spans="1:5" s="127" customFormat="1" x14ac:dyDescent="0.3">
      <c r="A56" s="127" t="s">
        <v>1310</v>
      </c>
      <c r="B56" s="127" t="s">
        <v>1334</v>
      </c>
      <c r="C56" s="403">
        <v>32</v>
      </c>
      <c r="D56" s="128" t="str">
        <f>'Register Configuration'!J232</f>
        <v>0x00001C0A</v>
      </c>
      <c r="E56" s="127" t="s">
        <v>1719</v>
      </c>
    </row>
    <row r="57" spans="1:5" s="127" customFormat="1" x14ac:dyDescent="0.3">
      <c r="A57" s="127" t="s">
        <v>1310</v>
      </c>
      <c r="B57" s="127" t="s">
        <v>1335</v>
      </c>
      <c r="C57" s="403">
        <v>32</v>
      </c>
      <c r="D57" s="128" t="str">
        <f>'Register Configuration'!J235</f>
        <v>0x00000005</v>
      </c>
      <c r="E57" s="127" t="s">
        <v>1720</v>
      </c>
    </row>
    <row r="58" spans="1:5" s="127" customFormat="1" x14ac:dyDescent="0.3">
      <c r="A58" s="127" t="s">
        <v>1310</v>
      </c>
      <c r="B58" s="127" t="s">
        <v>1336</v>
      </c>
      <c r="C58" s="403">
        <v>32</v>
      </c>
      <c r="D58" s="128" t="str">
        <f>'Register Configuration'!J239</f>
        <v>0x00400003</v>
      </c>
      <c r="E58" s="127" t="s">
        <v>1721</v>
      </c>
    </row>
    <row r="59" spans="1:5" s="127" customFormat="1" x14ac:dyDescent="0.3">
      <c r="A59" s="127" t="s">
        <v>1310</v>
      </c>
      <c r="B59" s="127" t="s">
        <v>1337</v>
      </c>
      <c r="C59" s="403">
        <v>32</v>
      </c>
      <c r="D59" s="128" t="str">
        <f>'Register Configuration'!J244</f>
        <v>0x008000A0</v>
      </c>
      <c r="E59" s="127" t="s">
        <v>1722</v>
      </c>
    </row>
    <row r="60" spans="1:5" s="127" customFormat="1" x14ac:dyDescent="0.3">
      <c r="A60" s="127" t="s">
        <v>1310</v>
      </c>
      <c r="B60" s="127" t="s">
        <v>1338</v>
      </c>
      <c r="C60" s="403">
        <v>32</v>
      </c>
      <c r="D60" s="128" t="str">
        <f>'Register Configuration'!J247</f>
        <v>0x80000000</v>
      </c>
      <c r="E60" s="127" t="s">
        <v>1723</v>
      </c>
    </row>
    <row r="61" spans="1:5" s="127" customFormat="1" x14ac:dyDescent="0.3">
      <c r="A61" s="127" t="s">
        <v>1310</v>
      </c>
      <c r="B61" s="127" t="s">
        <v>1339</v>
      </c>
      <c r="C61" s="403">
        <v>32</v>
      </c>
      <c r="D61" s="128" t="str">
        <f>'Register Configuration'!J56</f>
        <v>0x00000007</v>
      </c>
      <c r="E61" s="127" t="s">
        <v>1724</v>
      </c>
    </row>
    <row r="62" spans="1:5" s="127" customFormat="1" x14ac:dyDescent="0.3">
      <c r="A62" s="127" t="s">
        <v>1310</v>
      </c>
      <c r="B62" s="127" t="s">
        <v>1725</v>
      </c>
      <c r="C62" s="403">
        <v>32</v>
      </c>
      <c r="D62" s="128" t="str">
        <f>'Register Configuration'!J63</f>
        <v>0x00000000</v>
      </c>
      <c r="E62" s="127" t="s">
        <v>1727</v>
      </c>
    </row>
    <row r="63" spans="1:5" s="127" customFormat="1" x14ac:dyDescent="0.3">
      <c r="A63" s="127" t="s">
        <v>1310</v>
      </c>
      <c r="B63" s="127" t="s">
        <v>1340</v>
      </c>
      <c r="C63" s="403">
        <v>32</v>
      </c>
      <c r="D63" s="128" t="str">
        <f>'Register Configuration'!J68</f>
        <v>0x00001F1F</v>
      </c>
      <c r="E63" s="127" t="s">
        <v>1726</v>
      </c>
    </row>
    <row r="64" spans="1:5" s="127" customFormat="1" x14ac:dyDescent="0.3">
      <c r="A64" s="127" t="s">
        <v>1310</v>
      </c>
      <c r="B64" s="127" t="s">
        <v>1341</v>
      </c>
      <c r="C64" s="403">
        <v>32</v>
      </c>
      <c r="D64" s="128" t="str">
        <f>'Register Configuration'!J59</f>
        <v>0x00080808</v>
      </c>
      <c r="E64" s="127" t="s">
        <v>1728</v>
      </c>
    </row>
    <row r="65" spans="1:5" s="127" customFormat="1" x14ac:dyDescent="0.3">
      <c r="A65" s="127" t="s">
        <v>1310</v>
      </c>
      <c r="B65" s="127" t="s">
        <v>1342</v>
      </c>
      <c r="C65" s="403">
        <v>32</v>
      </c>
      <c r="D65" s="128" t="str">
        <f>'Register Configuration'!J71</f>
        <v>0x08080808</v>
      </c>
      <c r="E65" s="127" t="s">
        <v>1729</v>
      </c>
    </row>
    <row r="66" spans="1:5" s="127" customFormat="1" x14ac:dyDescent="0.3">
      <c r="A66" s="127" t="s">
        <v>1310</v>
      </c>
      <c r="B66" s="127" t="s">
        <v>1343</v>
      </c>
      <c r="C66" s="403">
        <v>32</v>
      </c>
      <c r="D66" s="128" t="str">
        <f>'Register Configuration'!J76</f>
        <v>0x48080808</v>
      </c>
      <c r="E66" s="127" t="s">
        <v>1730</v>
      </c>
    </row>
    <row r="67" spans="1:5" s="127" customFormat="1" x14ac:dyDescent="0.3">
      <c r="A67" s="127" t="s">
        <v>1310</v>
      </c>
      <c r="B67" s="127" t="s">
        <v>1344</v>
      </c>
      <c r="C67" s="403">
        <v>32</v>
      </c>
      <c r="D67" s="128" t="str">
        <f>'Register Configuration'!J249</f>
        <v>0x00000007</v>
      </c>
      <c r="E67" s="127" t="s">
        <v>1731</v>
      </c>
    </row>
    <row r="68" spans="1:5" s="127" customFormat="1" x14ac:dyDescent="0.3">
      <c r="A68" s="127" t="s">
        <v>1310</v>
      </c>
      <c r="B68" s="127" t="s">
        <v>1345</v>
      </c>
      <c r="C68" s="403">
        <v>32</v>
      </c>
      <c r="D68" s="128" t="str">
        <f>'Register Configuration'!J175</f>
        <v>0x00000000</v>
      </c>
      <c r="E68" s="127" t="s">
        <v>1732</v>
      </c>
    </row>
    <row r="69" spans="1:5" s="127" customFormat="1" x14ac:dyDescent="0.3">
      <c r="A69" s="127" t="s">
        <v>1310</v>
      </c>
      <c r="B69" s="127" t="s">
        <v>1346</v>
      </c>
      <c r="C69" s="403">
        <v>32</v>
      </c>
      <c r="D69" s="127" t="s">
        <v>821</v>
      </c>
      <c r="E69" s="127" t="s">
        <v>1348</v>
      </c>
    </row>
    <row r="71" spans="1:5" s="127" customFormat="1" x14ac:dyDescent="0.3">
      <c r="A71" s="127" t="s">
        <v>1352</v>
      </c>
      <c r="C71" s="403"/>
    </row>
    <row r="72" spans="1:5" s="127" customFormat="1" x14ac:dyDescent="0.3">
      <c r="A72" s="127" t="str">
        <f>IF('Register Configuration'!F19 = 2,"", "#") &amp; "memory set"</f>
        <v>memory set</v>
      </c>
      <c r="B72" s="127" t="s">
        <v>1353</v>
      </c>
      <c r="C72" s="403">
        <v>32</v>
      </c>
      <c r="D72" s="128" t="str">
        <f>'Register Configuration'!J41</f>
        <v>0xC3080020</v>
      </c>
      <c r="E72" s="127" t="s">
        <v>1733</v>
      </c>
    </row>
    <row r="73" spans="1:5" s="127" customFormat="1" x14ac:dyDescent="0.3">
      <c r="A73" s="127" t="str">
        <f>IF('Register Configuration'!F19 = 2,"", "#") &amp; "memory set"</f>
        <v>memory set</v>
      </c>
      <c r="B73" s="127" t="s">
        <v>1899</v>
      </c>
      <c r="C73" s="403">
        <v>32</v>
      </c>
      <c r="D73" s="128" t="str">
        <f>'Register Configuration'!L168</f>
        <v>0x00000213</v>
      </c>
      <c r="E73" s="127" t="s">
        <v>1700</v>
      </c>
    </row>
    <row r="74" spans="1:5" s="127" customFormat="1" x14ac:dyDescent="0.3">
      <c r="A74" s="127" t="str">
        <f>IF('Register Configuration'!F19 = 2,"", "#") &amp; "memory set"</f>
        <v>memory set</v>
      </c>
      <c r="B74" s="127" t="s">
        <v>1900</v>
      </c>
      <c r="C74" s="403">
        <v>32</v>
      </c>
      <c r="D74" s="128" t="str">
        <f>'Register Configuration'!J173</f>
        <v>0x0186A000</v>
      </c>
      <c r="E74" s="127" t="s">
        <v>1701</v>
      </c>
    </row>
    <row r="75" spans="1:5" s="127" customFormat="1" x14ac:dyDescent="0.3">
      <c r="A75" s="127" t="str">
        <f>IF('Register Configuration'!F19 = 2,"", "#") &amp; "memory set"</f>
        <v>memory set</v>
      </c>
      <c r="B75" s="127" t="s">
        <v>2032</v>
      </c>
      <c r="C75" s="403">
        <v>32</v>
      </c>
      <c r="D75" s="128" t="str">
        <f>'Register Configuration'!J86</f>
        <v>0x0021F000</v>
      </c>
      <c r="E75" s="127" t="s">
        <v>2033</v>
      </c>
    </row>
    <row r="76" spans="1:5" s="127" customFormat="1" x14ac:dyDescent="0.3">
      <c r="A76" s="127" t="str">
        <f>IF('Register Configuration'!F19 = 2,"", "#") &amp; "memory set"</f>
        <v>memory set</v>
      </c>
      <c r="B76" s="127" t="s">
        <v>1354</v>
      </c>
      <c r="C76" s="403">
        <v>32</v>
      </c>
      <c r="D76" s="128" t="str">
        <f>'Register Configuration'!J91</f>
        <v>0x006100E0</v>
      </c>
      <c r="E76" s="127" t="s">
        <v>1388</v>
      </c>
    </row>
    <row r="77" spans="1:5" s="127" customFormat="1" x14ac:dyDescent="0.3">
      <c r="A77" s="127" t="str">
        <f>IF('Register Configuration'!F19 = 2,"", "#") &amp; "memory set"</f>
        <v>memory set</v>
      </c>
      <c r="B77" s="127" t="s">
        <v>1355</v>
      </c>
      <c r="C77" s="403">
        <v>32</v>
      </c>
      <c r="D77" s="128" t="str">
        <f>'Register Configuration'!J95</f>
        <v>0x4003061C</v>
      </c>
      <c r="E77" s="127" t="s">
        <v>1734</v>
      </c>
    </row>
    <row r="78" spans="1:5" s="127" customFormat="1" x14ac:dyDescent="0.3">
      <c r="A78" s="127" t="str">
        <f>IF('Register Configuration'!F19 = 2,"", "#") &amp; "memory set"</f>
        <v>memory set</v>
      </c>
      <c r="B78" s="127" t="s">
        <v>1356</v>
      </c>
      <c r="C78" s="403">
        <v>32</v>
      </c>
      <c r="D78" s="128" t="str">
        <f>'Register Configuration'!J99</f>
        <v>0x009E0000</v>
      </c>
      <c r="E78" s="127" t="s">
        <v>1735</v>
      </c>
    </row>
    <row r="79" spans="1:5" s="127" customFormat="1" x14ac:dyDescent="0.3">
      <c r="A79" s="127" t="str">
        <f>IF('Register Configuration'!F19 = 2,"", "#") &amp; "memory set"</f>
        <v>memory set</v>
      </c>
      <c r="B79" s="127" t="s">
        <v>1357</v>
      </c>
      <c r="C79" s="403">
        <v>32</v>
      </c>
      <c r="D79" s="128" t="str">
        <f>'Register Configuration'!J186</f>
        <v>0x0054002D</v>
      </c>
      <c r="E79" s="127" t="s">
        <v>1736</v>
      </c>
    </row>
    <row r="80" spans="1:5" s="127" customFormat="1" x14ac:dyDescent="0.3">
      <c r="A80" s="127" t="str">
        <f>IF('Register Configuration'!F19 = 2,"", "#") &amp; "memory set"</f>
        <v>memory set</v>
      </c>
      <c r="B80" s="127" t="s">
        <v>1358</v>
      </c>
      <c r="C80" s="403">
        <v>32</v>
      </c>
      <c r="D80" s="128" t="str">
        <f>'Register Configuration'!J198</f>
        <v>0x00F10040</v>
      </c>
      <c r="E80" s="127" t="s">
        <v>1737</v>
      </c>
    </row>
    <row r="81" spans="1:5" s="127" customFormat="1" x14ac:dyDescent="0.3">
      <c r="A81" s="127" t="str">
        <f>IF('Register Configuration'!F19 = 2,"", "#") &amp; "memory set"</f>
        <v>memory set</v>
      </c>
      <c r="B81" s="127" t="s">
        <v>1359</v>
      </c>
      <c r="C81" s="403">
        <v>32</v>
      </c>
      <c r="D81" s="128" t="str">
        <f>'Register Configuration'!J104</f>
        <v>0x0000066F</v>
      </c>
      <c r="E81" s="127" t="s">
        <v>1738</v>
      </c>
    </row>
    <row r="82" spans="1:5" s="127" customFormat="1" x14ac:dyDescent="0.3">
      <c r="A82" s="127" t="str">
        <f>IF('Register Configuration'!F19 = 2,"", "#") &amp; "memory set"</f>
        <v>memory set</v>
      </c>
      <c r="B82" s="127" t="s">
        <v>1360</v>
      </c>
      <c r="C82" s="403">
        <v>32</v>
      </c>
      <c r="D82" s="128" t="str">
        <f>'Register Configuration'!J108</f>
        <v>0x1A201B22</v>
      </c>
      <c r="E82" s="127" t="s">
        <v>1739</v>
      </c>
    </row>
    <row r="83" spans="1:5" s="127" customFormat="1" x14ac:dyDescent="0.3">
      <c r="A83" s="127" t="str">
        <f>IF('Register Configuration'!F19 = 2,"", "#") &amp; "memory set"</f>
        <v>memory set</v>
      </c>
      <c r="B83" s="127" t="s">
        <v>1361</v>
      </c>
      <c r="C83" s="403">
        <v>32</v>
      </c>
      <c r="D83" s="128" t="str">
        <f>'Register Configuration'!J113</f>
        <v>0x00060633</v>
      </c>
      <c r="E83" s="127" t="s">
        <v>1740</v>
      </c>
    </row>
    <row r="84" spans="1:5" s="127" customFormat="1" x14ac:dyDescent="0.3">
      <c r="A84" s="127" t="str">
        <f>IF('Register Configuration'!F19 = 2,"", "#") &amp; "memory set"</f>
        <v>memory set</v>
      </c>
      <c r="B84" s="127" t="s">
        <v>1362</v>
      </c>
      <c r="C84" s="403">
        <v>32</v>
      </c>
      <c r="D84" s="128" t="str">
        <f>'Register Configuration'!J119</f>
        <v>0x07101617</v>
      </c>
      <c r="E84" s="127" t="s">
        <v>1741</v>
      </c>
    </row>
    <row r="85" spans="1:5" s="127" customFormat="1" x14ac:dyDescent="0.3">
      <c r="A85" s="127" t="str">
        <f>IF('Register Configuration'!F19 = 2,"", "#") &amp; "memory set"</f>
        <v>memory set</v>
      </c>
      <c r="B85" s="127" t="s">
        <v>1363</v>
      </c>
      <c r="C85" s="403">
        <v>32</v>
      </c>
      <c r="D85" s="128" t="str">
        <f>'Register Configuration'!J124</f>
        <v>0x00C0C000</v>
      </c>
      <c r="E85" s="127" t="s">
        <v>1742</v>
      </c>
    </row>
    <row r="86" spans="1:5" s="127" customFormat="1" x14ac:dyDescent="0.3">
      <c r="A86" s="127" t="str">
        <f>IF('Register Configuration'!F19 = 2,"", "#") &amp; "memory set"</f>
        <v>memory set</v>
      </c>
      <c r="B86" s="127" t="s">
        <v>1364</v>
      </c>
      <c r="C86" s="403">
        <v>32</v>
      </c>
      <c r="D86" s="128" t="str">
        <f>'Register Configuration'!J128</f>
        <v>0x0F04080F</v>
      </c>
      <c r="E86" s="127" t="s">
        <v>1743</v>
      </c>
    </row>
    <row r="87" spans="1:5" s="127" customFormat="1" x14ac:dyDescent="0.3">
      <c r="A87" s="127" t="str">
        <f>IF('Register Configuration'!F19 = 2,"", "#") &amp; "memory set"</f>
        <v>memory set</v>
      </c>
      <c r="B87" s="127" t="s">
        <v>1365</v>
      </c>
      <c r="C87" s="403">
        <v>32</v>
      </c>
      <c r="D87" s="128" t="str">
        <f>'Register Configuration'!J133</f>
        <v>0x02040C0C</v>
      </c>
      <c r="E87" s="127" t="s">
        <v>1744</v>
      </c>
    </row>
    <row r="88" spans="1:5" s="127" customFormat="1" x14ac:dyDescent="0.3">
      <c r="A88" s="127" t="str">
        <f>IF('Register Configuration'!F19 = 2,"", "#") &amp; "memory set"</f>
        <v>memory set</v>
      </c>
      <c r="B88" s="127" t="s">
        <v>1366</v>
      </c>
      <c r="C88" s="403">
        <v>32</v>
      </c>
      <c r="D88" s="128" t="str">
        <f>'Register Configuration'!J139</f>
        <v>0x02020007</v>
      </c>
      <c r="E88" s="127" t="s">
        <v>1745</v>
      </c>
    </row>
    <row r="89" spans="1:5" s="127" customFormat="1" x14ac:dyDescent="0.3">
      <c r="A89" s="127" t="str">
        <f>IF('Register Configuration'!F19 = 2,"", "#") &amp; "memory set"</f>
        <v>memory set</v>
      </c>
      <c r="B89" s="127" t="s">
        <v>1367</v>
      </c>
      <c r="C89" s="403">
        <v>32</v>
      </c>
      <c r="D89" s="128" t="str">
        <f>'Register Configuration'!J144</f>
        <v>0x00000401</v>
      </c>
      <c r="E89" s="127" t="s">
        <v>1746</v>
      </c>
    </row>
    <row r="90" spans="1:5" s="127" customFormat="1" x14ac:dyDescent="0.3">
      <c r="A90" s="127" t="str">
        <f>IF('Register Configuration'!F19 = 2,"", "#") &amp; "memory set"</f>
        <v>memory set</v>
      </c>
      <c r="B90" s="127" t="s">
        <v>1368</v>
      </c>
      <c r="C90" s="403">
        <v>32</v>
      </c>
      <c r="D90" s="128" t="str">
        <f>'Register Configuration'!J147</f>
        <v>0x00020610</v>
      </c>
      <c r="E90" s="127" t="s">
        <v>1747</v>
      </c>
    </row>
    <row r="91" spans="1:5" s="127" customFormat="1" x14ac:dyDescent="0.3">
      <c r="A91" s="127" t="str">
        <f>IF('Register Configuration'!F19 = 2,"", "#") &amp; "memory set"</f>
        <v>memory set</v>
      </c>
      <c r="B91" s="127" t="s">
        <v>1369</v>
      </c>
      <c r="C91" s="403">
        <v>32</v>
      </c>
      <c r="D91" s="128" t="str">
        <f>'Register Configuration'!J151</f>
        <v>0x0C100002</v>
      </c>
      <c r="E91" s="127" t="s">
        <v>1748</v>
      </c>
    </row>
    <row r="92" spans="1:5" s="127" customFormat="1" x14ac:dyDescent="0.3">
      <c r="A92" s="127" t="str">
        <f>IF('Register Configuration'!F19 = 2,"", "#") &amp; "memory set"</f>
        <v>memory set</v>
      </c>
      <c r="B92" s="127" t="s">
        <v>1370</v>
      </c>
      <c r="C92" s="403">
        <v>32</v>
      </c>
      <c r="D92" s="128" t="str">
        <f>'Register Configuration'!J155</f>
        <v>0x000000E6</v>
      </c>
      <c r="E92" s="127" t="s">
        <v>1749</v>
      </c>
    </row>
    <row r="93" spans="1:5" s="127" customFormat="1" x14ac:dyDescent="0.3">
      <c r="A93" s="127" t="str">
        <f>IF('Register Configuration'!F19 = 2,"", "#") &amp; "memory set"</f>
        <v>memory set</v>
      </c>
      <c r="B93" s="127" t="s">
        <v>1371</v>
      </c>
      <c r="C93" s="403">
        <v>32</v>
      </c>
      <c r="D93" s="128" t="str">
        <f>'Register Configuration'!J157</f>
        <v>0x03200018</v>
      </c>
      <c r="E93" s="127" t="s">
        <v>1750</v>
      </c>
    </row>
    <row r="94" spans="1:5" s="127" customFormat="1" x14ac:dyDescent="0.3">
      <c r="A94" s="127" t="str">
        <f>IF('Register Configuration'!F19 = 2,"", "#") &amp; "memory set"</f>
        <v>memory set</v>
      </c>
      <c r="B94" s="127" t="s">
        <v>1372</v>
      </c>
      <c r="C94" s="403">
        <v>32</v>
      </c>
      <c r="D94" s="128" t="str">
        <f>'Register Configuration'!J165</f>
        <v>0x028061A8</v>
      </c>
      <c r="E94" s="127" t="s">
        <v>1751</v>
      </c>
    </row>
    <row r="95" spans="1:5" s="127" customFormat="1" x14ac:dyDescent="0.3">
      <c r="A95" s="127" t="str">
        <f>IF('Register Configuration'!F19 = 2,"", "#") &amp; "memory set"</f>
        <v>memory set</v>
      </c>
      <c r="B95" s="127" t="s">
        <v>1373</v>
      </c>
      <c r="C95" s="403">
        <v>32</v>
      </c>
      <c r="D95" s="128" t="str">
        <f>'Register Configuration'!J219</f>
        <v>0x049E820C</v>
      </c>
      <c r="E95" s="127" t="s">
        <v>1752</v>
      </c>
    </row>
    <row r="96" spans="1:5" s="127" customFormat="1" x14ac:dyDescent="0.3">
      <c r="A96" s="127" t="str">
        <f>IF('Register Configuration'!F19 = 2,"", "#") &amp; "memory set"</f>
        <v>memory set</v>
      </c>
      <c r="B96" s="127" t="s">
        <v>1374</v>
      </c>
      <c r="C96" s="403">
        <v>32</v>
      </c>
      <c r="D96" s="128" t="str">
        <f>'Register Configuration'!J226</f>
        <v>0x00070303</v>
      </c>
      <c r="E96" s="127" t="s">
        <v>1753</v>
      </c>
    </row>
    <row r="97" spans="1:5" s="127" customFormat="1" x14ac:dyDescent="0.3">
      <c r="A97" s="127" t="str">
        <f>IF('Register Configuration'!F19 = 2,"", "#") &amp; "memory set"</f>
        <v>memory set</v>
      </c>
      <c r="B97" s="127" t="s">
        <v>1375</v>
      </c>
      <c r="C97" s="403">
        <v>32</v>
      </c>
      <c r="D97" s="128" t="str">
        <f>'Register Configuration'!J232</f>
        <v>0x00001C0A</v>
      </c>
      <c r="E97" s="127" t="s">
        <v>1754</v>
      </c>
    </row>
    <row r="98" spans="1:5" s="127" customFormat="1" x14ac:dyDescent="0.3">
      <c r="A98" s="127" t="str">
        <f>IF('Register Configuration'!F19 = 2,"", "#") &amp; "memory set"</f>
        <v>memory set</v>
      </c>
      <c r="B98" s="127" t="s">
        <v>1376</v>
      </c>
      <c r="C98" s="403">
        <v>32</v>
      </c>
      <c r="D98" s="128" t="str">
        <f>'Register Configuration'!J235</f>
        <v>0x00000005</v>
      </c>
      <c r="E98" s="127" t="s">
        <v>1755</v>
      </c>
    </row>
    <row r="99" spans="1:5" s="127" customFormat="1" x14ac:dyDescent="0.3">
      <c r="A99" s="127" t="str">
        <f>IF('Register Configuration'!F19 = 2,"", "#") &amp; "memory set"</f>
        <v>memory set</v>
      </c>
      <c r="B99" s="127" t="s">
        <v>1377</v>
      </c>
      <c r="C99" s="403">
        <v>32</v>
      </c>
      <c r="D99" s="128" t="str">
        <f>'Register Configuration'!J239</f>
        <v>0x00400003</v>
      </c>
      <c r="E99" s="127" t="s">
        <v>1756</v>
      </c>
    </row>
    <row r="100" spans="1:5" s="127" customFormat="1" x14ac:dyDescent="0.3">
      <c r="A100" s="127" t="str">
        <f>IF('Register Configuration'!F19 = 2,"", "#") &amp; "memory set"</f>
        <v>memory set</v>
      </c>
      <c r="B100" s="127" t="s">
        <v>1378</v>
      </c>
      <c r="C100" s="403">
        <v>32</v>
      </c>
      <c r="D100" s="128" t="str">
        <f>'Register Configuration'!J244</f>
        <v>0x008000A0</v>
      </c>
      <c r="E100" s="127" t="s">
        <v>1757</v>
      </c>
    </row>
    <row r="101" spans="1:5" s="127" customFormat="1" x14ac:dyDescent="0.3">
      <c r="A101" s="127" t="str">
        <f>IF('Register Configuration'!F19 = 2,"", "#") &amp; "memory set"</f>
        <v>memory set</v>
      </c>
      <c r="B101" s="127" t="s">
        <v>1379</v>
      </c>
      <c r="C101" s="403">
        <v>32</v>
      </c>
      <c r="D101" s="128" t="str">
        <f>'Register Configuration'!J247</f>
        <v>0x80000000</v>
      </c>
      <c r="E101" s="127" t="s">
        <v>1758</v>
      </c>
    </row>
    <row r="102" spans="1:5" s="127" customFormat="1" x14ac:dyDescent="0.3">
      <c r="A102" s="127" t="str">
        <f>IF('Register Configuration'!F19 = 2,"", "#") &amp; "memory set"</f>
        <v>memory set</v>
      </c>
      <c r="B102" s="127" t="s">
        <v>1380</v>
      </c>
      <c r="C102" s="403">
        <v>32</v>
      </c>
      <c r="D102" s="128" t="str">
        <f>'Register Configuration'!J56</f>
        <v>0x00000007</v>
      </c>
      <c r="E102" s="127" t="s">
        <v>1759</v>
      </c>
    </row>
    <row r="103" spans="1:5" s="127" customFormat="1" x14ac:dyDescent="0.3">
      <c r="A103" s="127" t="str">
        <f>IF('Register Configuration'!F19 = 2,"", "#") &amp; "memory set"</f>
        <v>memory set</v>
      </c>
      <c r="B103" s="127" t="s">
        <v>1760</v>
      </c>
      <c r="C103" s="403">
        <v>32</v>
      </c>
      <c r="D103" s="404" t="str">
        <f>'Register Configuration'!J63</f>
        <v>0x00000000</v>
      </c>
      <c r="E103" s="127" t="s">
        <v>1763</v>
      </c>
    </row>
    <row r="104" spans="1:5" s="127" customFormat="1" x14ac:dyDescent="0.3">
      <c r="A104" s="127" t="str">
        <f>IF('Register Configuration'!F19 = 2,"", "#") &amp; "memory set"</f>
        <v>memory set</v>
      </c>
      <c r="B104" s="127" t="s">
        <v>1381</v>
      </c>
      <c r="C104" s="403">
        <v>32</v>
      </c>
      <c r="D104" s="128" t="str">
        <f>'Register Configuration'!J68</f>
        <v>0x00001F1F</v>
      </c>
      <c r="E104" s="127" t="s">
        <v>1761</v>
      </c>
    </row>
    <row r="105" spans="1:5" s="127" customFormat="1" x14ac:dyDescent="0.3">
      <c r="A105" s="127" t="str">
        <f>IF('Register Configuration'!F19 = 2,"", "#") &amp; "memory set"</f>
        <v>memory set</v>
      </c>
      <c r="B105" s="127" t="s">
        <v>1382</v>
      </c>
      <c r="C105" s="403">
        <v>32</v>
      </c>
      <c r="D105" s="128" t="str">
        <f>'Register Configuration'!J59</f>
        <v>0x00080808</v>
      </c>
      <c r="E105" s="127" t="s">
        <v>1762</v>
      </c>
    </row>
    <row r="106" spans="1:5" s="127" customFormat="1" x14ac:dyDescent="0.3">
      <c r="A106" s="127" t="str">
        <f>IF('Register Configuration'!F19 = 2,"", "#") &amp; "memory set"</f>
        <v>memory set</v>
      </c>
      <c r="B106" s="127" t="s">
        <v>1383</v>
      </c>
      <c r="C106" s="403">
        <v>32</v>
      </c>
      <c r="D106" s="128" t="str">
        <f>'Register Configuration'!J71</f>
        <v>0x08080808</v>
      </c>
      <c r="E106" s="127" t="s">
        <v>1764</v>
      </c>
    </row>
    <row r="107" spans="1:5" s="127" customFormat="1" x14ac:dyDescent="0.3">
      <c r="A107" s="127" t="str">
        <f>IF('Register Configuration'!F19 = 2,"", "#") &amp; "memory set"</f>
        <v>memory set</v>
      </c>
      <c r="B107" s="127" t="s">
        <v>1384</v>
      </c>
      <c r="C107" s="403">
        <v>32</v>
      </c>
      <c r="D107" s="128" t="str">
        <f>'Register Configuration'!J76</f>
        <v>0x48080808</v>
      </c>
      <c r="E107" s="127" t="s">
        <v>1765</v>
      </c>
    </row>
    <row r="108" spans="1:5" s="127" customFormat="1" x14ac:dyDescent="0.3">
      <c r="A108" s="127" t="str">
        <f>IF('Register Configuration'!F19 = 2,"", "#") &amp; "memory set"</f>
        <v>memory set</v>
      </c>
      <c r="B108" s="127" t="s">
        <v>1385</v>
      </c>
      <c r="C108" s="403">
        <v>32</v>
      </c>
      <c r="D108" s="128" t="str">
        <f>'Register Configuration'!J249</f>
        <v>0x00000007</v>
      </c>
      <c r="E108" s="127" t="s">
        <v>1766</v>
      </c>
    </row>
    <row r="109" spans="1:5" s="127" customFormat="1" x14ac:dyDescent="0.3">
      <c r="A109" s="127" t="str">
        <f>IF('Register Configuration'!F19 = 2,"", "#") &amp; "memory set"</f>
        <v>memory set</v>
      </c>
      <c r="B109" s="127" t="s">
        <v>1386</v>
      </c>
      <c r="C109" s="403">
        <v>32</v>
      </c>
      <c r="D109" s="128" t="str">
        <f>'Register Configuration'!J175</f>
        <v>0x00000000</v>
      </c>
      <c r="E109" s="127" t="s">
        <v>1767</v>
      </c>
    </row>
    <row r="110" spans="1:5" s="127" customFormat="1" x14ac:dyDescent="0.3">
      <c r="A110" s="127" t="str">
        <f>IF('Register Configuration'!F19 = 2,"", "#") &amp; "memory set"</f>
        <v>memory set</v>
      </c>
      <c r="B110" s="127" t="s">
        <v>1387</v>
      </c>
      <c r="C110" s="403">
        <v>32</v>
      </c>
      <c r="D110" s="127" t="s">
        <v>821</v>
      </c>
      <c r="E110" s="127" t="s">
        <v>1389</v>
      </c>
    </row>
    <row r="112" spans="1:5" s="127" customFormat="1" x14ac:dyDescent="0.3">
      <c r="A112" s="127" t="s">
        <v>1995</v>
      </c>
      <c r="C112" s="403"/>
    </row>
    <row r="113" spans="1:5" s="127" customFormat="1" x14ac:dyDescent="0.3">
      <c r="A113" s="127" t="s">
        <v>1310</v>
      </c>
      <c r="B113" s="127" t="s">
        <v>2005</v>
      </c>
      <c r="C113" s="403">
        <v>32</v>
      </c>
      <c r="D113" s="128" t="str">
        <f>'Register Configuration'!J253</f>
        <v>0x0000010A</v>
      </c>
      <c r="E113" s="127" t="s">
        <v>1997</v>
      </c>
    </row>
    <row r="114" spans="1:5" s="127" customFormat="1" x14ac:dyDescent="0.3">
      <c r="A114" s="127" t="str">
        <f>IF('Register Configuration'!F19 = 2,"", "#") &amp; "memory set"</f>
        <v>memory set</v>
      </c>
      <c r="B114" s="127" t="s">
        <v>2006</v>
      </c>
      <c r="C114" s="403">
        <v>32</v>
      </c>
      <c r="D114" s="128" t="str">
        <f>'Register Configuration'!J253</f>
        <v>0x0000010A</v>
      </c>
      <c r="E114" s="127" t="s">
        <v>1998</v>
      </c>
    </row>
    <row r="115" spans="1:5" s="127" customFormat="1" x14ac:dyDescent="0.3">
      <c r="A115" s="127" t="s">
        <v>1310</v>
      </c>
      <c r="B115" s="127" t="s">
        <v>2007</v>
      </c>
      <c r="C115" s="403">
        <v>32</v>
      </c>
      <c r="D115" s="128" t="str">
        <f>'Register Configuration'!J275</f>
        <v>0x00402010</v>
      </c>
      <c r="E115" s="127" t="s">
        <v>1999</v>
      </c>
    </row>
    <row r="116" spans="1:5" s="127" customFormat="1" x14ac:dyDescent="0.3">
      <c r="A116" s="127" t="str">
        <f>IF('Register Configuration'!F19 = 2,"", "#") &amp; "memory set"</f>
        <v>memory set</v>
      </c>
      <c r="B116" s="127" t="s">
        <v>2008</v>
      </c>
      <c r="C116" s="403">
        <v>32</v>
      </c>
      <c r="D116" s="128" t="str">
        <f>'Register Configuration'!J275</f>
        <v>0x00402010</v>
      </c>
      <c r="E116" s="127" t="s">
        <v>2000</v>
      </c>
    </row>
    <row r="117" spans="1:5" s="127" customFormat="1" x14ac:dyDescent="0.3">
      <c r="A117" s="127" t="s">
        <v>1310</v>
      </c>
      <c r="B117" s="127" t="s">
        <v>2009</v>
      </c>
      <c r="C117" s="403">
        <v>32</v>
      </c>
      <c r="D117" s="128" t="str">
        <f>'Register Configuration'!J263</f>
        <v>0x06FF0001</v>
      </c>
      <c r="E117" s="127" t="s">
        <v>2001</v>
      </c>
    </row>
    <row r="118" spans="1:5" s="127" customFormat="1" x14ac:dyDescent="0.3">
      <c r="A118" s="127" t="str">
        <f>IF('Register Configuration'!F19 = 2,"", "#") &amp; "memory set"</f>
        <v>memory set</v>
      </c>
      <c r="B118" s="127" t="s">
        <v>2010</v>
      </c>
      <c r="C118" s="403">
        <v>32</v>
      </c>
      <c r="D118" s="128" t="str">
        <f>'Register Configuration'!J263</f>
        <v>0x06FF0001</v>
      </c>
      <c r="E118" s="127" t="s">
        <v>2002</v>
      </c>
    </row>
    <row r="119" spans="1:5" s="127" customFormat="1" x14ac:dyDescent="0.3">
      <c r="C119" s="403"/>
      <c r="D119" s="129"/>
    </row>
    <row r="120" spans="1:5" s="127" customFormat="1" x14ac:dyDescent="0.3">
      <c r="A120" s="127" t="s">
        <v>1310</v>
      </c>
      <c r="B120" s="127" t="s">
        <v>2239</v>
      </c>
      <c r="C120" s="403">
        <v>32</v>
      </c>
      <c r="D120" s="129" t="s">
        <v>2234</v>
      </c>
      <c r="E120" s="127" t="s">
        <v>2237</v>
      </c>
    </row>
    <row r="121" spans="1:5" s="127" customFormat="1" x14ac:dyDescent="0.3">
      <c r="A121" s="127" t="str">
        <f>IF('Register Configuration'!F19 = 2,"", "#") &amp; "memory set"</f>
        <v>memory set</v>
      </c>
      <c r="B121" s="127" t="s">
        <v>2240</v>
      </c>
      <c r="C121" s="403">
        <v>32</v>
      </c>
      <c r="D121" s="129" t="s">
        <v>2234</v>
      </c>
      <c r="E121" s="127" t="s">
        <v>2238</v>
      </c>
    </row>
    <row r="123" spans="1:5" s="127" customFormat="1" x14ac:dyDescent="0.3">
      <c r="A123" s="127" t="s">
        <v>1996</v>
      </c>
      <c r="C123" s="403"/>
    </row>
    <row r="124" spans="1:5" s="127" customFormat="1" x14ac:dyDescent="0.3">
      <c r="A124" s="127" t="s">
        <v>1310</v>
      </c>
      <c r="B124" s="127" t="s">
        <v>2012</v>
      </c>
      <c r="C124" s="403">
        <v>32</v>
      </c>
      <c r="D124" s="128" t="str">
        <f>'Register Configuration'!J267</f>
        <v>0x0700B100</v>
      </c>
      <c r="E124" s="127" t="s">
        <v>2003</v>
      </c>
    </row>
    <row r="125" spans="1:5" s="127" customFormat="1" x14ac:dyDescent="0.3">
      <c r="A125" s="127" t="str">
        <f>IF('Register Configuration'!F19 = 2,"", "#") &amp; "memory set"</f>
        <v>memory set</v>
      </c>
      <c r="B125" s="127" t="s">
        <v>2011</v>
      </c>
      <c r="C125" s="403">
        <v>32</v>
      </c>
      <c r="D125" s="128" t="str">
        <f>'Register Configuration'!J267</f>
        <v>0x0700B100</v>
      </c>
      <c r="E125" s="127" t="s">
        <v>2004</v>
      </c>
    </row>
    <row r="127" spans="1:5" s="127" customFormat="1" x14ac:dyDescent="0.3">
      <c r="A127" s="127" t="s">
        <v>1310</v>
      </c>
      <c r="B127" s="127" t="s">
        <v>781</v>
      </c>
      <c r="C127" s="403">
        <v>32</v>
      </c>
      <c r="D127" s="127" t="s">
        <v>821</v>
      </c>
      <c r="E127" s="127" t="s">
        <v>2256</v>
      </c>
    </row>
    <row r="128" spans="1:5" s="127" customFormat="1" x14ac:dyDescent="0.3">
      <c r="A128" s="127" t="str">
        <f>IF('Register Configuration'!F19 = 2,"", "#") &amp; "memory set"</f>
        <v>memory set</v>
      </c>
      <c r="B128" s="127" t="s">
        <v>782</v>
      </c>
      <c r="C128" s="403">
        <v>32</v>
      </c>
      <c r="D128" s="127" t="s">
        <v>821</v>
      </c>
      <c r="E128" s="127" t="s">
        <v>2256</v>
      </c>
    </row>
    <row r="129" spans="1:5" s="127" customFormat="1" x14ac:dyDescent="0.3">
      <c r="A129" s="127" t="s">
        <v>1310</v>
      </c>
      <c r="B129" s="127" t="s">
        <v>2249</v>
      </c>
      <c r="C129" s="403">
        <v>32</v>
      </c>
      <c r="D129" s="127" t="s">
        <v>1486</v>
      </c>
      <c r="E129" s="127" t="s">
        <v>1868</v>
      </c>
    </row>
    <row r="130" spans="1:5" s="127" customFormat="1" x14ac:dyDescent="0.3">
      <c r="A130" s="127" t="str">
        <f>IF('Register Configuration'!F19 = 2,"", "#") &amp; "memory set"</f>
        <v>memory set</v>
      </c>
      <c r="B130" s="127" t="s">
        <v>2250</v>
      </c>
      <c r="C130" s="403">
        <v>32</v>
      </c>
      <c r="D130" s="127" t="s">
        <v>1486</v>
      </c>
      <c r="E130" s="127" t="s">
        <v>1868</v>
      </c>
    </row>
    <row r="131" spans="1:5" s="127" customFormat="1" x14ac:dyDescent="0.3">
      <c r="A131" s="127" t="s">
        <v>1310</v>
      </c>
      <c r="B131" s="127" t="s">
        <v>783</v>
      </c>
      <c r="C131" s="403">
        <v>32</v>
      </c>
      <c r="D131" s="127" t="s">
        <v>821</v>
      </c>
      <c r="E131" s="127" t="s">
        <v>1311</v>
      </c>
    </row>
    <row r="132" spans="1:5" s="127" customFormat="1" x14ac:dyDescent="0.3">
      <c r="A132" s="127" t="str">
        <f>IF('Register Configuration'!F19 = 2,"", "#") &amp; "memory set"</f>
        <v>memory set</v>
      </c>
      <c r="B132" s="127" t="s">
        <v>784</v>
      </c>
      <c r="C132" s="403">
        <v>32</v>
      </c>
      <c r="D132" s="127" t="s">
        <v>821</v>
      </c>
      <c r="E132" s="127" t="s">
        <v>1311</v>
      </c>
    </row>
    <row r="134" spans="1:5" s="127" customFormat="1" x14ac:dyDescent="0.3">
      <c r="A134" s="127" t="s">
        <v>1265</v>
      </c>
      <c r="C134" s="403"/>
    </row>
    <row r="135" spans="1:5" s="127" customFormat="1" x14ac:dyDescent="0.3">
      <c r="A135" s="127" t="s">
        <v>1266</v>
      </c>
      <c r="C135" s="403"/>
    </row>
    <row r="136" spans="1:5" s="127" customFormat="1" x14ac:dyDescent="0.3">
      <c r="A136" s="127" t="s">
        <v>1265</v>
      </c>
      <c r="C136" s="403"/>
    </row>
    <row r="137" spans="1:5" s="127" customFormat="1" x14ac:dyDescent="0.3">
      <c r="A137" s="127" t="s">
        <v>1392</v>
      </c>
      <c r="B137" s="127" t="s">
        <v>1394</v>
      </c>
      <c r="C137" s="403">
        <v>32</v>
      </c>
      <c r="D137" s="128" t="str">
        <f>'Register Configuration'!J297</f>
        <v>0x0000040D</v>
      </c>
      <c r="E137" s="127" t="s">
        <v>1410</v>
      </c>
    </row>
    <row r="139" spans="1:5" s="127" customFormat="1" x14ac:dyDescent="0.3">
      <c r="A139" s="127" t="s">
        <v>1392</v>
      </c>
      <c r="B139" s="127" t="s">
        <v>1395</v>
      </c>
      <c r="C139" s="403">
        <v>32</v>
      </c>
      <c r="D139" s="128" t="str">
        <f>BoardDataBusConfig!C28</f>
        <v>0x000F0009</v>
      </c>
      <c r="E139" s="127" t="s">
        <v>1769</v>
      </c>
    </row>
    <row r="140" spans="1:5" s="127" customFormat="1" x14ac:dyDescent="0.3">
      <c r="A140" s="127" t="s">
        <v>1392</v>
      </c>
      <c r="B140" s="127" t="s">
        <v>1396</v>
      </c>
      <c r="C140" s="403">
        <v>32</v>
      </c>
      <c r="D140" s="128" t="str">
        <f>INDEX(BoardDataBusConfig!C$14:C$21, MATCH("DDR_PHY_DX0DQMAP0_0", BoardDataBusConfig!B$14:B$21,0),1)</f>
        <v>0x00003465</v>
      </c>
      <c r="E140" s="127" t="s">
        <v>1411</v>
      </c>
    </row>
    <row r="141" spans="1:5" s="127" customFormat="1" x14ac:dyDescent="0.3">
      <c r="A141" s="127" t="s">
        <v>1392</v>
      </c>
      <c r="B141" s="127" t="s">
        <v>1397</v>
      </c>
      <c r="C141" s="403">
        <v>32</v>
      </c>
      <c r="D141" s="128" t="str">
        <f>INDEX(BoardDataBusConfig!C$14:C$21, MATCH("DDR_PHY_DX0DQMAP1_0", BoardDataBusConfig!B$14:B$21,0),1)</f>
        <v>0x00008271</v>
      </c>
      <c r="E141" s="127" t="s">
        <v>1412</v>
      </c>
    </row>
    <row r="142" spans="1:5" s="127" customFormat="1" x14ac:dyDescent="0.3">
      <c r="A142" s="127" t="s">
        <v>1392</v>
      </c>
      <c r="B142" s="127" t="s">
        <v>1398</v>
      </c>
      <c r="C142" s="403">
        <v>32</v>
      </c>
      <c r="D142" s="128" t="str">
        <f>INDEX(BoardDataBusConfig!C$14:C$21, MATCH("DDR_PHY_DX1DQMAP0_0", BoardDataBusConfig!B$14:B$21,0),1)</f>
        <v>0x00075632</v>
      </c>
      <c r="E142" s="127" t="s">
        <v>1413</v>
      </c>
    </row>
    <row r="143" spans="1:5" s="127" customFormat="1" x14ac:dyDescent="0.3">
      <c r="A143" s="127" t="s">
        <v>1392</v>
      </c>
      <c r="B143" s="127" t="s">
        <v>1399</v>
      </c>
      <c r="C143" s="403">
        <v>32</v>
      </c>
      <c r="D143" s="128" t="str">
        <f>INDEX(BoardDataBusConfig!C$14:C$21, MATCH("DDR_PHY_DX1DQMAP1_0", BoardDataBusConfig!B$14:B$21,0),1)</f>
        <v>0x00008104</v>
      </c>
      <c r="E143" s="127" t="s">
        <v>1414</v>
      </c>
    </row>
    <row r="144" spans="1:5" s="127" customFormat="1" x14ac:dyDescent="0.3">
      <c r="A144" s="127" t="s">
        <v>1392</v>
      </c>
      <c r="B144" s="127" t="s">
        <v>1400</v>
      </c>
      <c r="C144" s="403">
        <v>32</v>
      </c>
      <c r="D144" s="128" t="str">
        <f>INDEX(BoardDataBusConfig!C$14:C$21, MATCH("DDR_PHY_DX2DQMAP0_0", BoardDataBusConfig!B$14:B$21,0),1)</f>
        <v>0x00064732</v>
      </c>
      <c r="E144" s="127" t="s">
        <v>1415</v>
      </c>
    </row>
    <row r="145" spans="1:5" s="127" customFormat="1" x14ac:dyDescent="0.3">
      <c r="A145" s="127" t="s">
        <v>1392</v>
      </c>
      <c r="B145" s="127" t="s">
        <v>1401</v>
      </c>
      <c r="C145" s="403">
        <v>32</v>
      </c>
      <c r="D145" s="128" t="str">
        <f>INDEX(BoardDataBusConfig!C$14:C$21, MATCH("DDR_PHY_DX2DQMAP1_0", BoardDataBusConfig!B$14:B$21,0),1)</f>
        <v>0x00008015</v>
      </c>
      <c r="E145" s="127" t="s">
        <v>1416</v>
      </c>
    </row>
    <row r="146" spans="1:5" s="127" customFormat="1" x14ac:dyDescent="0.3">
      <c r="A146" s="127" t="s">
        <v>1392</v>
      </c>
      <c r="B146" s="127" t="s">
        <v>1402</v>
      </c>
      <c r="C146" s="403">
        <v>32</v>
      </c>
      <c r="D146" s="128" t="str">
        <f>INDEX(BoardDataBusConfig!C$14:C$21, MATCH("DDR_PHY_DX3DQMAP0_0", BoardDataBusConfig!B$14:B$21,0),1)</f>
        <v>0x00012574</v>
      </c>
      <c r="E146" s="127" t="s">
        <v>1417</v>
      </c>
    </row>
    <row r="147" spans="1:5" s="127" customFormat="1" x14ac:dyDescent="0.3">
      <c r="A147" s="127" t="s">
        <v>1392</v>
      </c>
      <c r="B147" s="127" t="s">
        <v>1403</v>
      </c>
      <c r="C147" s="403">
        <v>32</v>
      </c>
      <c r="D147" s="128" t="str">
        <f>INDEX(BoardDataBusConfig!C$14:C$21, MATCH("DDR_PHY_DX3DQMAP1_0", BoardDataBusConfig!B$14:B$21,0),1)</f>
        <v>0x00008360</v>
      </c>
      <c r="E147" s="127" t="s">
        <v>1418</v>
      </c>
    </row>
    <row r="148" spans="1:5" s="127" customFormat="1" x14ac:dyDescent="0.3">
      <c r="A148" s="127" t="s">
        <v>1392</v>
      </c>
      <c r="B148" s="127" t="s">
        <v>1404</v>
      </c>
      <c r="C148" s="403">
        <v>32</v>
      </c>
      <c r="D148" s="128" t="str">
        <f>INDEX(BoardDataBusConfig!C$24:C$25, MATCH("DDR_PHY_CATR0_0", BoardDataBusConfig!B$24:B$25,0),1)</f>
        <v>0x00141032</v>
      </c>
      <c r="E148" s="127" t="s">
        <v>1419</v>
      </c>
    </row>
    <row r="149" spans="1:5" s="127" customFormat="1" x14ac:dyDescent="0.3">
      <c r="A149" s="127" t="s">
        <v>1392</v>
      </c>
      <c r="B149" s="127" t="s">
        <v>1405</v>
      </c>
      <c r="C149" s="403">
        <v>32</v>
      </c>
      <c r="D149" s="128" t="str">
        <f>INDEX(BoardDataBusConfig!C$24:C$25, MATCH("DDR_PHY_CATR1_0", BoardDataBusConfig!B$24:B$25,0),1)</f>
        <v>0x0013AAAA</v>
      </c>
      <c r="E149" s="127" t="s">
        <v>1420</v>
      </c>
    </row>
    <row r="151" spans="1:5" s="127" customFormat="1" x14ac:dyDescent="0.3">
      <c r="A151" s="127" t="s">
        <v>1393</v>
      </c>
      <c r="B151" s="127" t="s">
        <v>1406</v>
      </c>
      <c r="C151" s="403">
        <v>32</v>
      </c>
      <c r="D151" s="129" t="s">
        <v>2061</v>
      </c>
      <c r="E151" s="127" t="s">
        <v>2128</v>
      </c>
    </row>
    <row r="152" spans="1:5" s="127" customFormat="1" x14ac:dyDescent="0.3">
      <c r="A152" s="127" t="s">
        <v>1392</v>
      </c>
      <c r="B152" s="127" t="s">
        <v>1407</v>
      </c>
      <c r="C152" s="403">
        <v>32</v>
      </c>
      <c r="D152" s="128" t="str">
        <f>'Register Configuration'!J309</f>
        <v>0x87001E00</v>
      </c>
      <c r="E152" s="127" t="s">
        <v>1421</v>
      </c>
    </row>
    <row r="153" spans="1:5" s="127" customFormat="1" x14ac:dyDescent="0.3">
      <c r="A153" s="127" t="s">
        <v>1392</v>
      </c>
      <c r="B153" s="127" t="s">
        <v>1408</v>
      </c>
      <c r="C153" s="403">
        <v>32</v>
      </c>
      <c r="D153" s="128" t="str">
        <f>'Register Configuration'!J316</f>
        <v>0x00F0D879</v>
      </c>
      <c r="E153" s="127" t="s">
        <v>1857</v>
      </c>
    </row>
    <row r="154" spans="1:5" s="127" customFormat="1" x14ac:dyDescent="0.3">
      <c r="A154" s="127" t="s">
        <v>1392</v>
      </c>
      <c r="B154" s="127" t="s">
        <v>1409</v>
      </c>
      <c r="C154" s="403">
        <v>32</v>
      </c>
      <c r="D154" s="128" t="str">
        <f>'Register Configuration'!J325</f>
        <v>0x050A1080</v>
      </c>
      <c r="E154" s="127" t="s">
        <v>1422</v>
      </c>
    </row>
    <row r="156" spans="1:5" s="127" customFormat="1" x14ac:dyDescent="0.3">
      <c r="A156" s="127" t="s">
        <v>1267</v>
      </c>
      <c r="C156" s="403"/>
    </row>
    <row r="157" spans="1:5" s="127" customFormat="1" x14ac:dyDescent="0.3">
      <c r="A157" s="127" t="s">
        <v>1310</v>
      </c>
      <c r="B157" s="127" t="s">
        <v>1423</v>
      </c>
      <c r="C157" s="403">
        <v>32</v>
      </c>
      <c r="D157" s="128" t="str">
        <f>'Register Configuration'!J350</f>
        <v>0x64032010</v>
      </c>
      <c r="E157" s="127" t="s">
        <v>1425</v>
      </c>
    </row>
    <row r="158" spans="1:5" s="127" customFormat="1" x14ac:dyDescent="0.3">
      <c r="A158" s="127" t="s">
        <v>1310</v>
      </c>
      <c r="B158" s="127" t="s">
        <v>1424</v>
      </c>
      <c r="C158" s="403">
        <v>32</v>
      </c>
      <c r="D158" s="128" t="str">
        <f>'Register Configuration'!J357</f>
        <v>0x4E201C20</v>
      </c>
      <c r="E158" s="127" t="s">
        <v>1849</v>
      </c>
    </row>
    <row r="160" spans="1:5" s="127" customFormat="1" x14ac:dyDescent="0.3">
      <c r="A160" s="127" t="s">
        <v>1268</v>
      </c>
      <c r="C160" s="403"/>
    </row>
    <row r="161" spans="1:5" s="127" customFormat="1" x14ac:dyDescent="0.3">
      <c r="A161" s="127" t="s">
        <v>1310</v>
      </c>
      <c r="B161" s="127" t="s">
        <v>1426</v>
      </c>
      <c r="C161" s="403">
        <v>32</v>
      </c>
      <c r="D161" s="128" t="str">
        <f>'Register Configuration'!J362</f>
        <v>0x801C0000</v>
      </c>
      <c r="E161" s="127" t="s">
        <v>1428</v>
      </c>
    </row>
    <row r="162" spans="1:5" s="127" customFormat="1" x14ac:dyDescent="0.3">
      <c r="A162" s="127" t="s">
        <v>1310</v>
      </c>
      <c r="B162" s="127" t="s">
        <v>1427</v>
      </c>
      <c r="C162" s="403">
        <v>32</v>
      </c>
      <c r="D162" s="128" t="str">
        <f>'Register Configuration'!J362</f>
        <v>0x801C0000</v>
      </c>
      <c r="E162" s="127" t="s">
        <v>1429</v>
      </c>
    </row>
    <row r="164" spans="1:5" s="127" customFormat="1" x14ac:dyDescent="0.3">
      <c r="A164" s="127" t="s">
        <v>1269</v>
      </c>
      <c r="C164" s="403"/>
    </row>
    <row r="165" spans="1:5" s="127" customFormat="1" x14ac:dyDescent="0.3">
      <c r="A165" s="127" t="s">
        <v>1310</v>
      </c>
      <c r="B165" s="127" t="s">
        <v>1430</v>
      </c>
      <c r="C165" s="403">
        <v>32</v>
      </c>
      <c r="D165" s="128" t="str">
        <f>'Register Configuration'!J377</f>
        <v>0x008C2C58</v>
      </c>
      <c r="E165" s="127" t="s">
        <v>1431</v>
      </c>
    </row>
    <row r="167" spans="1:5" s="127" customFormat="1" x14ac:dyDescent="0.3">
      <c r="A167" s="127" t="s">
        <v>1479</v>
      </c>
      <c r="C167" s="403"/>
    </row>
    <row r="168" spans="1:5" s="127" customFormat="1" x14ac:dyDescent="0.3">
      <c r="A168" s="127" t="s">
        <v>1310</v>
      </c>
      <c r="B168" s="127" t="s">
        <v>1432</v>
      </c>
      <c r="C168" s="403">
        <v>32</v>
      </c>
      <c r="D168" s="128" t="str">
        <f>'Register Configuration'!J592</f>
        <v>0x0001B9BB</v>
      </c>
      <c r="E168" s="127" t="s">
        <v>1894</v>
      </c>
    </row>
    <row r="169" spans="1:5" s="127" customFormat="1" x14ac:dyDescent="0.3">
      <c r="A169" s="127" t="s">
        <v>1310</v>
      </c>
      <c r="B169" s="127" t="s">
        <v>1433</v>
      </c>
      <c r="C169" s="403">
        <v>32</v>
      </c>
      <c r="D169" s="128" t="str">
        <f>'Register Configuration'!J599</f>
        <v>0x0001B9BB</v>
      </c>
      <c r="E169" s="127" t="s">
        <v>1895</v>
      </c>
    </row>
    <row r="171" spans="1:5" s="127" customFormat="1" x14ac:dyDescent="0.3">
      <c r="A171" s="127" t="s">
        <v>1265</v>
      </c>
      <c r="C171" s="403"/>
    </row>
    <row r="172" spans="1:5" s="127" customFormat="1" x14ac:dyDescent="0.3">
      <c r="A172" s="127" t="s">
        <v>1271</v>
      </c>
      <c r="C172" s="403"/>
    </row>
    <row r="173" spans="1:5" s="127" customFormat="1" x14ac:dyDescent="0.3">
      <c r="A173" s="127" t="s">
        <v>1265</v>
      </c>
      <c r="C173" s="403"/>
    </row>
    <row r="174" spans="1:5" s="127" customFormat="1" x14ac:dyDescent="0.3">
      <c r="A174" s="127" t="str">
        <f>IF('Register Configuration'!F19 = 2,"", "#") &amp; "memory set"</f>
        <v>memory set</v>
      </c>
      <c r="B174" s="127" t="s">
        <v>1438</v>
      </c>
      <c r="C174" s="403">
        <v>32</v>
      </c>
      <c r="D174" s="128" t="str">
        <f>'Register Configuration'!J297</f>
        <v>0x0000040D</v>
      </c>
      <c r="E174" s="127" t="s">
        <v>1454</v>
      </c>
    </row>
    <row r="176" spans="1:5" s="127" customFormat="1" x14ac:dyDescent="0.3">
      <c r="A176" s="127" t="str">
        <f>IF('Register Configuration'!F19 = 2,"", "#") &amp; "memory set"</f>
        <v>memory set</v>
      </c>
      <c r="B176" s="127" t="s">
        <v>1439</v>
      </c>
      <c r="C176" s="403">
        <v>32</v>
      </c>
      <c r="D176" s="128" t="str">
        <f>BoardDataBusConfig!C52</f>
        <v>0x000F0009</v>
      </c>
      <c r="E176" s="127" t="s">
        <v>1770</v>
      </c>
    </row>
    <row r="177" spans="1:5" s="127" customFormat="1" x14ac:dyDescent="0.3">
      <c r="A177" s="127" t="str">
        <f>IF('Register Configuration'!F19 = 2,"", "#") &amp; "memory set"</f>
        <v>memory set</v>
      </c>
      <c r="B177" s="127" t="s">
        <v>1440</v>
      </c>
      <c r="C177" s="403">
        <v>32</v>
      </c>
      <c r="D177" s="128" t="str">
        <f>INDEX(BoardDataBusConfig!C$38:C$45, MATCH("DDR_PHY_DX0DQMAP0_1", BoardDataBusConfig!B$38:B$45,0),1)</f>
        <v>0x00003465</v>
      </c>
      <c r="E177" s="127" t="s">
        <v>1455</v>
      </c>
    </row>
    <row r="178" spans="1:5" s="127" customFormat="1" x14ac:dyDescent="0.3">
      <c r="A178" s="127" t="str">
        <f>IF('Register Configuration'!F19 = 2,"", "#") &amp; "memory set"</f>
        <v>memory set</v>
      </c>
      <c r="B178" s="127" t="s">
        <v>1441</v>
      </c>
      <c r="C178" s="403">
        <v>32</v>
      </c>
      <c r="D178" s="128" t="str">
        <f>INDEX(BoardDataBusConfig!C$38:C$45, MATCH("DDR_PHY_DX0DQMAP1_1", BoardDataBusConfig!B$38:B$45,0),1)</f>
        <v>0x00008271</v>
      </c>
      <c r="E178" s="127" t="s">
        <v>1456</v>
      </c>
    </row>
    <row r="179" spans="1:5" s="127" customFormat="1" x14ac:dyDescent="0.3">
      <c r="A179" s="127" t="str">
        <f>IF('Register Configuration'!F19 = 2,"", "#") &amp; "memory set"</f>
        <v>memory set</v>
      </c>
      <c r="B179" s="127" t="s">
        <v>1442</v>
      </c>
      <c r="C179" s="403">
        <v>32</v>
      </c>
      <c r="D179" s="128" t="str">
        <f>INDEX(BoardDataBusConfig!C$38:C$45, MATCH("DDR_PHY_DX1DQMAP0_1", BoardDataBusConfig!B$38:B$45,0),1)</f>
        <v>0x00075632</v>
      </c>
      <c r="E179" s="127" t="s">
        <v>1457</v>
      </c>
    </row>
    <row r="180" spans="1:5" s="127" customFormat="1" x14ac:dyDescent="0.3">
      <c r="A180" s="127" t="str">
        <f>IF('Register Configuration'!F19 = 2,"", "#") &amp; "memory set"</f>
        <v>memory set</v>
      </c>
      <c r="B180" s="127" t="s">
        <v>1443</v>
      </c>
      <c r="C180" s="403">
        <v>32</v>
      </c>
      <c r="D180" s="128" t="str">
        <f>INDEX(BoardDataBusConfig!C$38:C$45, MATCH("DDR_PHY_DX1DQMAP1_1", BoardDataBusConfig!B$38:B$45,0),1)</f>
        <v>0x00008104</v>
      </c>
      <c r="E180" s="127" t="s">
        <v>1458</v>
      </c>
    </row>
    <row r="181" spans="1:5" s="127" customFormat="1" x14ac:dyDescent="0.3">
      <c r="A181" s="127" t="str">
        <f>IF('Register Configuration'!F19 = 2,"", "#") &amp; "memory set"</f>
        <v>memory set</v>
      </c>
      <c r="B181" s="127" t="s">
        <v>1444</v>
      </c>
      <c r="C181" s="403">
        <v>32</v>
      </c>
      <c r="D181" s="128" t="str">
        <f>INDEX(BoardDataBusConfig!C$38:C$45, MATCH("DDR_PHY_DX2DQMAP0_1", BoardDataBusConfig!B$38:B$45,0),1)</f>
        <v>0x00064732</v>
      </c>
      <c r="E181" s="127" t="s">
        <v>1459</v>
      </c>
    </row>
    <row r="182" spans="1:5" s="127" customFormat="1" x14ac:dyDescent="0.3">
      <c r="A182" s="127" t="str">
        <f>IF('Register Configuration'!F19 = 2,"", "#") &amp; "memory set"</f>
        <v>memory set</v>
      </c>
      <c r="B182" s="127" t="s">
        <v>1445</v>
      </c>
      <c r="C182" s="403">
        <v>32</v>
      </c>
      <c r="D182" s="128" t="str">
        <f>INDEX(BoardDataBusConfig!C$38:C$45, MATCH("DDR_PHY_DX2DQMAP1_1", BoardDataBusConfig!B$38:B$45,0),1)</f>
        <v>0x00008015</v>
      </c>
      <c r="E182" s="127" t="s">
        <v>1460</v>
      </c>
    </row>
    <row r="183" spans="1:5" s="127" customFormat="1" x14ac:dyDescent="0.3">
      <c r="A183" s="127" t="str">
        <f>IF('Register Configuration'!F19 = 2,"", "#") &amp; "memory set"</f>
        <v>memory set</v>
      </c>
      <c r="B183" s="127" t="s">
        <v>1446</v>
      </c>
      <c r="C183" s="403">
        <v>32</v>
      </c>
      <c r="D183" s="128" t="str">
        <f>INDEX(BoardDataBusConfig!C$38:C$45, MATCH("DDR_PHY_DX3DQMAP0_1", BoardDataBusConfig!B$38:B$45,0),1)</f>
        <v>0x00012574</v>
      </c>
      <c r="E183" s="127" t="s">
        <v>1461</v>
      </c>
    </row>
    <row r="184" spans="1:5" s="127" customFormat="1" x14ac:dyDescent="0.3">
      <c r="A184" s="127" t="str">
        <f>IF('Register Configuration'!F19 = 2,"", "#") &amp; "memory set"</f>
        <v>memory set</v>
      </c>
      <c r="B184" s="127" t="s">
        <v>1447</v>
      </c>
      <c r="C184" s="403">
        <v>32</v>
      </c>
      <c r="D184" s="128" t="str">
        <f>INDEX(BoardDataBusConfig!C$38:C$45, MATCH("DDR_PHY_DX3DQMAP1_1", BoardDataBusConfig!B$38:B$45,0),1)</f>
        <v>0x00008360</v>
      </c>
      <c r="E184" s="127" t="s">
        <v>1462</v>
      </c>
    </row>
    <row r="185" spans="1:5" s="127" customFormat="1" x14ac:dyDescent="0.3">
      <c r="A185" s="127" t="str">
        <f>IF('Register Configuration'!F19 = 2,"", "#") &amp; "memory set"</f>
        <v>memory set</v>
      </c>
      <c r="B185" s="127" t="s">
        <v>1448</v>
      </c>
      <c r="C185" s="403">
        <v>32</v>
      </c>
      <c r="D185" s="128" t="str">
        <f>INDEX(BoardDataBusConfig!C$48:C$49, MATCH("DDR_PHY_CATR0_1", BoardDataBusConfig!B$48:B$49,0),1)</f>
        <v>0x00141032</v>
      </c>
      <c r="E185" s="127" t="s">
        <v>1463</v>
      </c>
    </row>
    <row r="186" spans="1:5" s="127" customFormat="1" x14ac:dyDescent="0.3">
      <c r="A186" s="127" t="str">
        <f>IF('Register Configuration'!F19 = 2,"", "#") &amp; "memory set"</f>
        <v>memory set</v>
      </c>
      <c r="B186" s="127" t="s">
        <v>1449</v>
      </c>
      <c r="C186" s="403">
        <v>32</v>
      </c>
      <c r="D186" s="128" t="str">
        <f>INDEX(BoardDataBusConfig!C$48:C$49, MATCH("DDR_PHY_CATR1_1", BoardDataBusConfig!B$48:B$49,0),1)</f>
        <v>0x0013AAAA</v>
      </c>
      <c r="E186" s="127" t="s">
        <v>1464</v>
      </c>
    </row>
    <row r="188" spans="1:5" s="127" customFormat="1" x14ac:dyDescent="0.3">
      <c r="A188" s="127" t="str">
        <f>IF('Register Configuration'!F19 = 2,"", "#") &amp; "memory setbit"</f>
        <v>memory setbit</v>
      </c>
      <c r="B188" s="127" t="s">
        <v>1453</v>
      </c>
      <c r="C188" s="403">
        <v>32</v>
      </c>
      <c r="D188" s="129" t="s">
        <v>2061</v>
      </c>
      <c r="E188" s="127" t="s">
        <v>2129</v>
      </c>
    </row>
    <row r="189" spans="1:5" s="127" customFormat="1" x14ac:dyDescent="0.3">
      <c r="A189" s="127" t="str">
        <f>IF('Register Configuration'!F19 = 2,"", "#") &amp; "memory set"</f>
        <v>memory set</v>
      </c>
      <c r="B189" s="127" t="s">
        <v>1450</v>
      </c>
      <c r="C189" s="403">
        <v>32</v>
      </c>
      <c r="D189" s="128" t="str">
        <f>'Register Configuration'!J309</f>
        <v>0x87001E00</v>
      </c>
      <c r="E189" s="127" t="s">
        <v>1465</v>
      </c>
    </row>
    <row r="190" spans="1:5" s="127" customFormat="1" x14ac:dyDescent="0.3">
      <c r="A190" s="127" t="str">
        <f>IF('Register Configuration'!F19 = 2,"", "#") &amp; "memory set"</f>
        <v>memory set</v>
      </c>
      <c r="B190" s="127" t="s">
        <v>1451</v>
      </c>
      <c r="C190" s="403">
        <v>32</v>
      </c>
      <c r="D190" s="128" t="str">
        <f>'Register Configuration'!J316</f>
        <v>0x00F0D879</v>
      </c>
      <c r="E190" s="127" t="s">
        <v>1858</v>
      </c>
    </row>
    <row r="191" spans="1:5" s="127" customFormat="1" x14ac:dyDescent="0.3">
      <c r="A191" s="127" t="str">
        <f>IF('Register Configuration'!F19 = 2,"", "#") &amp; "memory set"</f>
        <v>memory set</v>
      </c>
      <c r="B191" s="127" t="s">
        <v>1452</v>
      </c>
      <c r="C191" s="403">
        <v>32</v>
      </c>
      <c r="D191" s="128" t="str">
        <f>'Register Configuration'!J325</f>
        <v>0x050A1080</v>
      </c>
      <c r="E191" s="127" t="s">
        <v>1466</v>
      </c>
    </row>
    <row r="193" spans="1:5" s="127" customFormat="1" x14ac:dyDescent="0.3">
      <c r="A193" s="127" t="s">
        <v>1267</v>
      </c>
      <c r="C193" s="403"/>
    </row>
    <row r="194" spans="1:5" s="127" customFormat="1" x14ac:dyDescent="0.3">
      <c r="A194" s="127" t="str">
        <f>IF('Register Configuration'!F19 = 2,"", "#") &amp; "memory set"</f>
        <v>memory set</v>
      </c>
      <c r="B194" s="127" t="s">
        <v>1467</v>
      </c>
      <c r="C194" s="403">
        <v>32</v>
      </c>
      <c r="D194" s="128" t="str">
        <f>'Register Configuration'!J350</f>
        <v>0x64032010</v>
      </c>
      <c r="E194" s="127" t="s">
        <v>1469</v>
      </c>
    </row>
    <row r="195" spans="1:5" s="127" customFormat="1" x14ac:dyDescent="0.3">
      <c r="A195" s="127" t="str">
        <f>IF('Register Configuration'!F19 = 2,"", "#") &amp; "memory set"</f>
        <v>memory set</v>
      </c>
      <c r="B195" s="127" t="s">
        <v>1468</v>
      </c>
      <c r="C195" s="403">
        <v>32</v>
      </c>
      <c r="D195" s="128" t="str">
        <f>'Register Configuration'!J357</f>
        <v>0x4E201C20</v>
      </c>
      <c r="E195" s="127" t="s">
        <v>1850</v>
      </c>
    </row>
    <row r="197" spans="1:5" s="127" customFormat="1" x14ac:dyDescent="0.3">
      <c r="A197" s="127" t="s">
        <v>1268</v>
      </c>
      <c r="C197" s="403"/>
    </row>
    <row r="198" spans="1:5" s="127" customFormat="1" x14ac:dyDescent="0.3">
      <c r="A198" s="127" t="str">
        <f>IF('Register Configuration'!F19 = 2,"", "#") &amp; "memory set"</f>
        <v>memory set</v>
      </c>
      <c r="B198" s="127" t="s">
        <v>1470</v>
      </c>
      <c r="C198" s="403">
        <v>32</v>
      </c>
      <c r="D198" s="128" t="str">
        <f>'Register Configuration'!J362</f>
        <v>0x801C0000</v>
      </c>
      <c r="E198" s="127" t="s">
        <v>1472</v>
      </c>
    </row>
    <row r="199" spans="1:5" s="127" customFormat="1" x14ac:dyDescent="0.3">
      <c r="A199" s="127" t="str">
        <f>IF('Register Configuration'!F19 = 2,"", "#") &amp; "memory set"</f>
        <v>memory set</v>
      </c>
      <c r="B199" s="127" t="s">
        <v>1471</v>
      </c>
      <c r="C199" s="403">
        <v>32</v>
      </c>
      <c r="D199" s="128" t="str">
        <f>'Register Configuration'!J362</f>
        <v>0x801C0000</v>
      </c>
      <c r="E199" s="127" t="s">
        <v>1473</v>
      </c>
    </row>
    <row r="201" spans="1:5" s="127" customFormat="1" x14ac:dyDescent="0.3">
      <c r="A201" s="127" t="s">
        <v>1269</v>
      </c>
      <c r="C201" s="403"/>
    </row>
    <row r="202" spans="1:5" s="127" customFormat="1" x14ac:dyDescent="0.3">
      <c r="A202" s="127" t="str">
        <f>IF('Register Configuration'!F19 = 2,"", "#") &amp; "memory set"</f>
        <v>memory set</v>
      </c>
      <c r="B202" s="127" t="s">
        <v>1474</v>
      </c>
      <c r="C202" s="403">
        <v>32</v>
      </c>
      <c r="D202" s="128" t="str">
        <f>'Register Configuration'!J377</f>
        <v>0x008C2C58</v>
      </c>
      <c r="E202" s="127" t="s">
        <v>1475</v>
      </c>
    </row>
    <row r="204" spans="1:5" s="127" customFormat="1" x14ac:dyDescent="0.3">
      <c r="A204" s="127" t="s">
        <v>1476</v>
      </c>
      <c r="C204" s="403"/>
    </row>
    <row r="205" spans="1:5" s="127" customFormat="1" x14ac:dyDescent="0.3">
      <c r="A205" s="127" t="str">
        <f>IF('Register Configuration'!F19 = 2,"", "#") &amp; "memory set"</f>
        <v>memory set</v>
      </c>
      <c r="B205" s="127" t="s">
        <v>1477</v>
      </c>
      <c r="C205" s="403">
        <v>32</v>
      </c>
      <c r="D205" s="128" t="str">
        <f>'Register Configuration'!J592</f>
        <v>0x0001B9BB</v>
      </c>
      <c r="E205" s="127" t="s">
        <v>1892</v>
      </c>
    </row>
    <row r="206" spans="1:5" s="127" customFormat="1" x14ac:dyDescent="0.3">
      <c r="A206" s="127" t="str">
        <f>IF('Register Configuration'!F19 = 2,"", "#") &amp; "memory set"</f>
        <v>memory set</v>
      </c>
      <c r="B206" s="127" t="s">
        <v>1478</v>
      </c>
      <c r="C206" s="403">
        <v>32</v>
      </c>
      <c r="D206" s="128" t="str">
        <f>'Register Configuration'!J599</f>
        <v>0x0001B9BB</v>
      </c>
      <c r="E206" s="127" t="s">
        <v>1893</v>
      </c>
    </row>
    <row r="208" spans="1:5" s="127" customFormat="1" x14ac:dyDescent="0.3">
      <c r="A208" s="127" t="s">
        <v>1265</v>
      </c>
      <c r="C208" s="403"/>
    </row>
    <row r="209" spans="1:5" s="127" customFormat="1" x14ac:dyDescent="0.3">
      <c r="A209" s="127" t="s">
        <v>2132</v>
      </c>
      <c r="C209" s="403"/>
    </row>
    <row r="210" spans="1:5" s="127" customFormat="1" x14ac:dyDescent="0.3">
      <c r="A210" s="127" t="s">
        <v>2133</v>
      </c>
      <c r="C210" s="403"/>
    </row>
    <row r="211" spans="1:5" s="127" customFormat="1" x14ac:dyDescent="0.3">
      <c r="A211" s="127" t="s">
        <v>1310</v>
      </c>
      <c r="B211" s="127" t="s">
        <v>1434</v>
      </c>
      <c r="C211" s="403">
        <v>32</v>
      </c>
      <c r="D211" s="127" t="s">
        <v>2134</v>
      </c>
      <c r="E211" s="127" t="s">
        <v>1437</v>
      </c>
    </row>
    <row r="212" spans="1:5" s="127" customFormat="1" x14ac:dyDescent="0.3">
      <c r="A212" s="127" t="s">
        <v>1310</v>
      </c>
      <c r="B212" s="127" t="s">
        <v>1434</v>
      </c>
      <c r="C212" s="403">
        <v>32</v>
      </c>
      <c r="D212" s="127" t="s">
        <v>2135</v>
      </c>
      <c r="E212" s="127" t="s">
        <v>1437</v>
      </c>
    </row>
    <row r="213" spans="1:5" s="127" customFormat="1" x14ac:dyDescent="0.3">
      <c r="A213" s="127" t="str">
        <f>IF('Register Configuration'!F19 = 2,"", "#") &amp; "memory set"</f>
        <v>memory set</v>
      </c>
      <c r="B213" s="127" t="s">
        <v>1480</v>
      </c>
      <c r="C213" s="403">
        <v>32</v>
      </c>
      <c r="D213" s="127" t="s">
        <v>2134</v>
      </c>
      <c r="E213" s="127" t="s">
        <v>1481</v>
      </c>
    </row>
    <row r="214" spans="1:5" s="127" customFormat="1" x14ac:dyDescent="0.3">
      <c r="A214" s="127" t="str">
        <f>IF('Register Configuration'!F19 = 2,"", "#") &amp; "memory set"</f>
        <v>memory set</v>
      </c>
      <c r="B214" s="127" t="s">
        <v>1480</v>
      </c>
      <c r="C214" s="403">
        <v>32</v>
      </c>
      <c r="D214" s="127" t="s">
        <v>2135</v>
      </c>
      <c r="E214" s="127" t="s">
        <v>1481</v>
      </c>
    </row>
    <row r="215" spans="1:5" s="127" customFormat="1" x14ac:dyDescent="0.3">
      <c r="C215" s="403"/>
    </row>
    <row r="216" spans="1:5" s="127" customFormat="1" x14ac:dyDescent="0.3">
      <c r="A216" s="127" t="s">
        <v>2136</v>
      </c>
      <c r="C216" s="403"/>
    </row>
    <row r="217" spans="1:5" s="127" customFormat="1" x14ac:dyDescent="0.3">
      <c r="A217" s="127" t="s">
        <v>1548</v>
      </c>
      <c r="B217" s="127" t="s">
        <v>1549</v>
      </c>
      <c r="C217" s="403">
        <v>32</v>
      </c>
      <c r="D217" s="127" t="s">
        <v>785</v>
      </c>
      <c r="E217" s="127" t="s">
        <v>1550</v>
      </c>
    </row>
    <row r="218" spans="1:5" s="127" customFormat="1" x14ac:dyDescent="0.3">
      <c r="A218" s="127" t="str">
        <f>IF('Register Configuration'!F19 = 2,"", "#") &amp; "memory chkbit1"</f>
        <v>memory chkbit1</v>
      </c>
      <c r="B218" s="127" t="s">
        <v>1617</v>
      </c>
      <c r="C218" s="403">
        <v>32</v>
      </c>
      <c r="D218" s="127" t="s">
        <v>785</v>
      </c>
      <c r="E218" s="127" t="s">
        <v>1618</v>
      </c>
    </row>
    <row r="219" spans="1:5" s="127" customFormat="1" x14ac:dyDescent="0.3">
      <c r="C219" s="403"/>
    </row>
    <row r="220" spans="1:5" s="127" customFormat="1" x14ac:dyDescent="0.3">
      <c r="A220" s="127" t="s">
        <v>1265</v>
      </c>
      <c r="C220" s="403"/>
    </row>
    <row r="221" spans="1:5" s="127" customFormat="1" x14ac:dyDescent="0.3">
      <c r="A221" s="127" t="s">
        <v>2137</v>
      </c>
      <c r="C221" s="403"/>
    </row>
    <row r="222" spans="1:5" s="127" customFormat="1" x14ac:dyDescent="0.3">
      <c r="A222" s="127" t="s">
        <v>2133</v>
      </c>
      <c r="C222" s="403"/>
    </row>
    <row r="223" spans="1:5" s="127" customFormat="1" x14ac:dyDescent="0.3">
      <c r="A223" s="127" t="s">
        <v>2130</v>
      </c>
      <c r="C223" s="403"/>
    </row>
    <row r="224" spans="1:5" s="127" customFormat="1" x14ac:dyDescent="0.3">
      <c r="A224" s="127" t="s">
        <v>1310</v>
      </c>
      <c r="B224" s="127" t="s">
        <v>1426</v>
      </c>
      <c r="C224" s="403">
        <v>32</v>
      </c>
      <c r="D224" s="128" t="str">
        <f>"0x"&amp;DEC2HEX(HEX2DEC(20000000)+(HEX2DEC('Register Configuration'!E362)+HEX2DEC('Register Configuration'!E364)+HEX2DEC('Register Configuration'!E365)+HEX2DEC('Register Configuration'!E367)+HEX2DEC('Register Configuration'!E368)+HEX2DEC('Register Configuration'!E369)+HEX2DEC('Register Configuration'!E370)+HEX2DEC('Register Configuration'!E371)+HEX2DEC('Register Configuration'!E372)+HEX2DEC('Register Configuration'!E373)+HEX2DEC('Register Configuration'!E374)+HEX2DEC('Register Configuration'!E375)), 8)</f>
        <v>0xA01C0000</v>
      </c>
      <c r="E224" s="127" t="s">
        <v>2148</v>
      </c>
    </row>
    <row r="225" spans="1:5" s="127" customFormat="1" x14ac:dyDescent="0.3">
      <c r="A225" s="127" t="s">
        <v>1310</v>
      </c>
      <c r="B225" s="127" t="s">
        <v>1427</v>
      </c>
      <c r="C225" s="403">
        <v>32</v>
      </c>
      <c r="D225" s="128" t="str">
        <f>"0x"&amp;DEC2HEX(HEX2DEC(20000000)+(HEX2DEC('Register Configuration'!E362)+HEX2DEC('Register Configuration'!E364)+HEX2DEC('Register Configuration'!E365)+HEX2DEC('Register Configuration'!E367)+HEX2DEC('Register Configuration'!E368)+HEX2DEC('Register Configuration'!E369)+HEX2DEC('Register Configuration'!E370)+HEX2DEC('Register Configuration'!E371)+HEX2DEC('Register Configuration'!E372)+HEX2DEC('Register Configuration'!E373)+HEX2DEC('Register Configuration'!E374)+HEX2DEC('Register Configuration'!E375)), 8)</f>
        <v>0xA01C0000</v>
      </c>
      <c r="E225" s="127" t="s">
        <v>1473</v>
      </c>
    </row>
    <row r="226" spans="1:5" s="127" customFormat="1" x14ac:dyDescent="0.3">
      <c r="A226" s="127" t="s">
        <v>2138</v>
      </c>
      <c r="C226" s="403"/>
    </row>
    <row r="227" spans="1:5" s="127" customFormat="1" x14ac:dyDescent="0.3">
      <c r="A227" s="127" t="s">
        <v>1310</v>
      </c>
      <c r="B227" s="127" t="s">
        <v>781</v>
      </c>
      <c r="C227" s="403">
        <v>32</v>
      </c>
      <c r="D227" s="127" t="s">
        <v>785</v>
      </c>
      <c r="E227" s="127" t="s">
        <v>2139</v>
      </c>
    </row>
    <row r="228" spans="1:5" s="127" customFormat="1" x14ac:dyDescent="0.3">
      <c r="A228" s="127" t="s">
        <v>1310</v>
      </c>
      <c r="B228" s="127" t="s">
        <v>2084</v>
      </c>
      <c r="C228" s="403">
        <v>32</v>
      </c>
      <c r="D228" s="127" t="s">
        <v>2085</v>
      </c>
      <c r="E228" s="127" t="s">
        <v>2140</v>
      </c>
    </row>
    <row r="229" spans="1:5" s="127" customFormat="1" x14ac:dyDescent="0.3">
      <c r="A229" s="127" t="s">
        <v>1310</v>
      </c>
      <c r="B229" s="127" t="s">
        <v>783</v>
      </c>
      <c r="C229" s="403">
        <v>32</v>
      </c>
      <c r="D229" s="127" t="s">
        <v>785</v>
      </c>
      <c r="E229" s="127" t="s">
        <v>2141</v>
      </c>
    </row>
    <row r="230" spans="1:5" s="127" customFormat="1" x14ac:dyDescent="0.3">
      <c r="A230" s="127" t="s">
        <v>2146</v>
      </c>
      <c r="C230" s="403"/>
    </row>
    <row r="231" spans="1:5" s="127" customFormat="1" x14ac:dyDescent="0.3">
      <c r="A231" s="127" t="s">
        <v>1310</v>
      </c>
      <c r="B231" s="127" t="s">
        <v>1423</v>
      </c>
      <c r="C231" s="403">
        <v>32</v>
      </c>
      <c r="D231" s="128" t="str">
        <f>'Register Configuration'!K350</f>
        <v>0x03201901</v>
      </c>
      <c r="E231" s="127" t="s">
        <v>1469</v>
      </c>
    </row>
    <row r="232" spans="1:5" s="127" customFormat="1" x14ac:dyDescent="0.3">
      <c r="A232" s="127" t="s">
        <v>1310</v>
      </c>
      <c r="B232" s="127" t="s">
        <v>1424</v>
      </c>
      <c r="C232" s="403">
        <v>32</v>
      </c>
      <c r="D232" s="128" t="str">
        <f>'Register Configuration'!K357</f>
        <v>0x027100E1</v>
      </c>
      <c r="E232" s="127" t="s">
        <v>1850</v>
      </c>
    </row>
    <row r="233" spans="1:5" s="127" customFormat="1" x14ac:dyDescent="0.3">
      <c r="A233" s="127" t="s">
        <v>2147</v>
      </c>
    </row>
    <row r="234" spans="1:5" s="127" customFormat="1" x14ac:dyDescent="0.3">
      <c r="A234" s="127" t="s">
        <v>1310</v>
      </c>
      <c r="B234" s="127" t="s">
        <v>1434</v>
      </c>
      <c r="C234" s="403">
        <v>32</v>
      </c>
      <c r="D234" s="127" t="s">
        <v>2090</v>
      </c>
      <c r="E234" s="127" t="s">
        <v>1437</v>
      </c>
    </row>
    <row r="235" spans="1:5" s="127" customFormat="1" x14ac:dyDescent="0.3">
      <c r="A235" s="127" t="s">
        <v>1310</v>
      </c>
      <c r="B235" s="127" t="s">
        <v>1434</v>
      </c>
      <c r="C235" s="403">
        <v>32</v>
      </c>
      <c r="D235" s="127" t="s">
        <v>2091</v>
      </c>
      <c r="E235" s="127" t="s">
        <v>1437</v>
      </c>
    </row>
    <row r="236" spans="1:5" s="127" customFormat="1" x14ac:dyDescent="0.3">
      <c r="C236" s="403"/>
    </row>
    <row r="237" spans="1:5" s="127" customFormat="1" x14ac:dyDescent="0.3">
      <c r="A237" s="127" t="s">
        <v>2131</v>
      </c>
      <c r="C237" s="403"/>
    </row>
    <row r="238" spans="1:5" s="127" customFormat="1" x14ac:dyDescent="0.3">
      <c r="A238" s="127" t="str">
        <f>IF('Register Configuration'!F19 = 2,"", "#") &amp; "memory set"</f>
        <v>memory set</v>
      </c>
      <c r="B238" s="127" t="s">
        <v>1470</v>
      </c>
      <c r="C238" s="403">
        <v>32</v>
      </c>
      <c r="D238" s="128" t="str">
        <f>"0x"&amp;DEC2HEX(HEX2DEC(20000000)+(HEX2DEC('Register Configuration'!E362)+HEX2DEC('Register Configuration'!E364)+HEX2DEC('Register Configuration'!E365)+HEX2DEC('Register Configuration'!E367)+HEX2DEC('Register Configuration'!E368)+HEX2DEC('Register Configuration'!E369)+HEX2DEC('Register Configuration'!E370)+HEX2DEC('Register Configuration'!E371)+HEX2DEC('Register Configuration'!E372)+HEX2DEC('Register Configuration'!E373)+HEX2DEC('Register Configuration'!E374)+HEX2DEC('Register Configuration'!E375)), 8)</f>
        <v>0xA01C0000</v>
      </c>
      <c r="E238" s="127" t="s">
        <v>2148</v>
      </c>
    </row>
    <row r="239" spans="1:5" s="127" customFormat="1" x14ac:dyDescent="0.3">
      <c r="A239" s="127" t="str">
        <f>IF('Register Configuration'!F19 = 2,"", "#") &amp; "memory set"</f>
        <v>memory set</v>
      </c>
      <c r="B239" s="127" t="s">
        <v>1471</v>
      </c>
      <c r="C239" s="403">
        <v>32</v>
      </c>
      <c r="D239" s="128" t="str">
        <f>"0x"&amp;DEC2HEX(HEX2DEC(20000000)+(HEX2DEC('Register Configuration'!E362)+HEX2DEC('Register Configuration'!E364)+HEX2DEC('Register Configuration'!E365)+HEX2DEC('Register Configuration'!E367)+HEX2DEC('Register Configuration'!E368)+HEX2DEC('Register Configuration'!E369)+HEX2DEC('Register Configuration'!E370)+HEX2DEC('Register Configuration'!E371)+HEX2DEC('Register Configuration'!E372)+HEX2DEC('Register Configuration'!E373)+HEX2DEC('Register Configuration'!E374)+HEX2DEC('Register Configuration'!E375)), 8)</f>
        <v>0xA01C0000</v>
      </c>
      <c r="E239" s="127" t="s">
        <v>1473</v>
      </c>
    </row>
    <row r="240" spans="1:5" s="127" customFormat="1" x14ac:dyDescent="0.3">
      <c r="A240" s="127" t="s">
        <v>2138</v>
      </c>
      <c r="C240" s="403"/>
    </row>
    <row r="241" spans="1:5" s="127" customFormat="1" x14ac:dyDescent="0.3">
      <c r="A241" s="127" t="str">
        <f>IF('Register Configuration'!F19 = 2,"", "#") &amp; "memory set"</f>
        <v>memory set</v>
      </c>
      <c r="B241" s="127" t="s">
        <v>782</v>
      </c>
      <c r="C241" s="403">
        <v>32</v>
      </c>
      <c r="D241" s="127" t="s">
        <v>785</v>
      </c>
      <c r="E241" s="127" t="s">
        <v>2139</v>
      </c>
    </row>
    <row r="242" spans="1:5" s="127" customFormat="1" x14ac:dyDescent="0.3">
      <c r="A242" s="127" t="str">
        <f>IF('Register Configuration'!F19 = 2,"", "#") &amp; "memory set"</f>
        <v>memory set</v>
      </c>
      <c r="B242" s="127" t="s">
        <v>2083</v>
      </c>
      <c r="C242" s="403">
        <v>32</v>
      </c>
      <c r="D242" s="127" t="s">
        <v>2085</v>
      </c>
      <c r="E242" s="127" t="s">
        <v>2140</v>
      </c>
    </row>
    <row r="243" spans="1:5" s="127" customFormat="1" x14ac:dyDescent="0.3">
      <c r="A243" s="127" t="str">
        <f>IF('Register Configuration'!F19 = 2,"", "#") &amp; "memory set"</f>
        <v>memory set</v>
      </c>
      <c r="B243" s="127" t="s">
        <v>784</v>
      </c>
      <c r="C243" s="403">
        <v>32</v>
      </c>
      <c r="D243" s="127" t="s">
        <v>785</v>
      </c>
      <c r="E243" s="127" t="s">
        <v>2141</v>
      </c>
    </row>
    <row r="244" spans="1:5" s="127" customFormat="1" x14ac:dyDescent="0.3">
      <c r="A244" s="127" t="s">
        <v>2146</v>
      </c>
      <c r="C244" s="403"/>
    </row>
    <row r="245" spans="1:5" s="127" customFormat="1" x14ac:dyDescent="0.3">
      <c r="A245" s="127" t="str">
        <f>IF('Register Configuration'!F19 = 2,"", "#") &amp; "memory set"</f>
        <v>memory set</v>
      </c>
      <c r="B245" s="127" t="s">
        <v>1467</v>
      </c>
      <c r="C245" s="403">
        <v>32</v>
      </c>
      <c r="D245" s="128" t="str">
        <f>'Register Configuration'!K350</f>
        <v>0x03201901</v>
      </c>
      <c r="E245" s="127" t="s">
        <v>1469</v>
      </c>
    </row>
    <row r="246" spans="1:5" s="127" customFormat="1" x14ac:dyDescent="0.3">
      <c r="A246" s="127" t="str">
        <f>IF('Register Configuration'!F19 = 2,"", "#") &amp; "memory set"</f>
        <v>memory set</v>
      </c>
      <c r="B246" s="127" t="s">
        <v>1468</v>
      </c>
      <c r="C246" s="403">
        <v>32</v>
      </c>
      <c r="D246" s="128" t="str">
        <f>'Register Configuration'!K357</f>
        <v>0x027100E1</v>
      </c>
      <c r="E246" s="127" t="s">
        <v>1850</v>
      </c>
    </row>
    <row r="247" spans="1:5" s="127" customFormat="1" x14ac:dyDescent="0.3">
      <c r="A247" s="127" t="s">
        <v>2147</v>
      </c>
    </row>
    <row r="248" spans="1:5" s="127" customFormat="1" x14ac:dyDescent="0.3">
      <c r="A248" s="127" t="str">
        <f>IF('Register Configuration'!F19 = 2,"", "#") &amp; "memory set"</f>
        <v>memory set</v>
      </c>
      <c r="B248" s="127" t="s">
        <v>1480</v>
      </c>
      <c r="C248" s="403">
        <v>32</v>
      </c>
      <c r="D248" s="127" t="s">
        <v>2090</v>
      </c>
      <c r="E248" s="127" t="s">
        <v>1481</v>
      </c>
    </row>
    <row r="249" spans="1:5" s="127" customFormat="1" x14ac:dyDescent="0.3">
      <c r="A249" s="127" t="str">
        <f>IF('Register Configuration'!F19 = 2,"", "#") &amp; "memory set"</f>
        <v>memory set</v>
      </c>
      <c r="B249" s="127" t="s">
        <v>1480</v>
      </c>
      <c r="C249" s="403">
        <v>32</v>
      </c>
      <c r="D249" s="127" t="s">
        <v>2091</v>
      </c>
      <c r="E249" s="127" t="s">
        <v>1481</v>
      </c>
    </row>
    <row r="250" spans="1:5" s="127" customFormat="1" x14ac:dyDescent="0.3">
      <c r="C250" s="403"/>
    </row>
    <row r="251" spans="1:5" s="127" customFormat="1" x14ac:dyDescent="0.3">
      <c r="A251" s="127" t="s">
        <v>1265</v>
      </c>
      <c r="C251" s="403"/>
    </row>
    <row r="252" spans="1:5" s="127" customFormat="1" x14ac:dyDescent="0.3">
      <c r="A252" s="127" t="s">
        <v>1289</v>
      </c>
      <c r="C252" s="403"/>
    </row>
    <row r="253" spans="1:5" s="127" customFormat="1" x14ac:dyDescent="0.3">
      <c r="A253" s="127" t="s">
        <v>1265</v>
      </c>
      <c r="C253" s="403"/>
    </row>
    <row r="254" spans="1:5" x14ac:dyDescent="0.3">
      <c r="A254" s="127" t="s">
        <v>2130</v>
      </c>
    </row>
    <row r="255" spans="1:5" s="127" customFormat="1" x14ac:dyDescent="0.3">
      <c r="A255" s="127" t="s">
        <v>1272</v>
      </c>
      <c r="C255" s="403"/>
    </row>
    <row r="256" spans="1:5" s="127" customFormat="1" x14ac:dyDescent="0.3">
      <c r="A256" s="127" t="s">
        <v>1273</v>
      </c>
      <c r="C256" s="403"/>
    </row>
    <row r="257" spans="1:5" s="127" customFormat="1" x14ac:dyDescent="0.3">
      <c r="A257" s="127" t="s">
        <v>1310</v>
      </c>
      <c r="B257" s="127" t="s">
        <v>1482</v>
      </c>
      <c r="C257" s="403">
        <v>32</v>
      </c>
      <c r="D257" s="128" t="str">
        <f>'Register Configuration'!J391</f>
        <v>0x54</v>
      </c>
      <c r="E257" s="127" t="s">
        <v>1773</v>
      </c>
    </row>
    <row r="258" spans="1:5" s="127" customFormat="1" x14ac:dyDescent="0.3">
      <c r="A258" s="127" t="s">
        <v>1310</v>
      </c>
      <c r="B258" s="127" t="s">
        <v>1483</v>
      </c>
      <c r="C258" s="403">
        <v>32</v>
      </c>
      <c r="D258" s="128" t="str">
        <f>'Register Configuration'!J398</f>
        <v>0x2D</v>
      </c>
      <c r="E258" s="127" t="s">
        <v>1772</v>
      </c>
    </row>
    <row r="259" spans="1:5" s="127" customFormat="1" x14ac:dyDescent="0.3">
      <c r="A259" s="127" t="s">
        <v>1310</v>
      </c>
      <c r="B259" s="127" t="s">
        <v>1484</v>
      </c>
      <c r="C259" s="403">
        <v>32</v>
      </c>
      <c r="D259" s="128" t="str">
        <f>'Register Configuration'!J404</f>
        <v>0xF1</v>
      </c>
      <c r="E259" s="127" t="s">
        <v>1774</v>
      </c>
    </row>
    <row r="260" spans="1:5" s="127" customFormat="1" x14ac:dyDescent="0.3">
      <c r="A260" s="127" t="s">
        <v>1310</v>
      </c>
      <c r="B260" s="127" t="s">
        <v>1485</v>
      </c>
      <c r="C260" s="403">
        <v>32</v>
      </c>
      <c r="D260" s="128" t="str">
        <f>'Register Configuration'!J410</f>
        <v>0x54</v>
      </c>
      <c r="E260" s="127" t="s">
        <v>1775</v>
      </c>
    </row>
    <row r="261" spans="1:5" s="127" customFormat="1" x14ac:dyDescent="0.3">
      <c r="A261" s="127" t="s">
        <v>1310</v>
      </c>
      <c r="B261" s="127" t="s">
        <v>2064</v>
      </c>
      <c r="C261" s="403">
        <v>32</v>
      </c>
      <c r="D261" s="128" t="str">
        <f>'Register Configuration'!J414</f>
        <v>0x40</v>
      </c>
      <c r="E261" s="127" t="s">
        <v>2149</v>
      </c>
    </row>
    <row r="262" spans="1:5" s="127" customFormat="1" x14ac:dyDescent="0.3">
      <c r="A262" s="127" t="s">
        <v>1310</v>
      </c>
      <c r="B262" s="127" t="s">
        <v>1487</v>
      </c>
      <c r="C262" s="403">
        <v>32</v>
      </c>
      <c r="D262" s="128" t="str">
        <f>'Register Configuration'!J423</f>
        <v>0x16</v>
      </c>
      <c r="E262" s="127" t="s">
        <v>1490</v>
      </c>
    </row>
    <row r="263" spans="1:5" s="127" customFormat="1" x14ac:dyDescent="0.3">
      <c r="A263" s="127" t="s">
        <v>1310</v>
      </c>
      <c r="B263" s="127" t="s">
        <v>1488</v>
      </c>
      <c r="C263" s="403">
        <v>32</v>
      </c>
      <c r="D263" s="128" t="str">
        <f>'Factory use only DCD'!C300</f>
        <v>0x48</v>
      </c>
      <c r="E263" s="127" t="s">
        <v>1491</v>
      </c>
    </row>
    <row r="264" spans="1:5" s="127" customFormat="1" x14ac:dyDescent="0.3">
      <c r="A264" s="127" t="s">
        <v>1310</v>
      </c>
      <c r="B264" s="127" t="s">
        <v>1489</v>
      </c>
      <c r="C264" s="403">
        <v>32</v>
      </c>
      <c r="D264" s="128" t="str">
        <f>'Factory use only DCD'!C301</f>
        <v>0x48</v>
      </c>
      <c r="E264" s="127" t="s">
        <v>1492</v>
      </c>
    </row>
    <row r="266" spans="1:5" s="127" customFormat="1" x14ac:dyDescent="0.3">
      <c r="A266" s="127" t="s">
        <v>1274</v>
      </c>
      <c r="C266" s="403"/>
    </row>
    <row r="267" spans="1:5" s="127" customFormat="1" x14ac:dyDescent="0.3">
      <c r="A267" s="127" t="s">
        <v>1275</v>
      </c>
      <c r="C267" s="403"/>
    </row>
    <row r="268" spans="1:5" s="127" customFormat="1" x14ac:dyDescent="0.3">
      <c r="A268" s="127" t="s">
        <v>1310</v>
      </c>
      <c r="B268" s="127" t="s">
        <v>1493</v>
      </c>
      <c r="C268" s="403">
        <v>32</v>
      </c>
      <c r="D268" s="128" t="str">
        <f>'Register Configuration'!J429</f>
        <v>0x1044220C</v>
      </c>
      <c r="E268" s="127" t="s">
        <v>1499</v>
      </c>
    </row>
    <row r="269" spans="1:5" s="127" customFormat="1" x14ac:dyDescent="0.3">
      <c r="A269" s="127" t="s">
        <v>1310</v>
      </c>
      <c r="B269" s="127" t="s">
        <v>1494</v>
      </c>
      <c r="C269" s="403">
        <v>32</v>
      </c>
      <c r="D269" s="128" t="str">
        <f>'Register Configuration'!J435</f>
        <v>0x28400417</v>
      </c>
      <c r="E269" s="127" t="s">
        <v>1500</v>
      </c>
    </row>
    <row r="270" spans="1:5" s="127" customFormat="1" x14ac:dyDescent="0.3">
      <c r="A270" s="127" t="s">
        <v>1310</v>
      </c>
      <c r="B270" s="127" t="s">
        <v>1495</v>
      </c>
      <c r="C270" s="403">
        <v>32</v>
      </c>
      <c r="D270" s="128" t="str">
        <f>'Register Configuration'!J440</f>
        <v>0x006CA1CC</v>
      </c>
      <c r="E270" s="127" t="s">
        <v>1501</v>
      </c>
    </row>
    <row r="271" spans="1:5" s="127" customFormat="1" x14ac:dyDescent="0.3">
      <c r="A271" s="127" t="s">
        <v>1310</v>
      </c>
      <c r="B271" s="127" t="s">
        <v>1496</v>
      </c>
      <c r="C271" s="403">
        <v>32</v>
      </c>
      <c r="D271" s="128" t="str">
        <f>'Register Configuration'!J447</f>
        <v>0x01800602</v>
      </c>
      <c r="E271" s="127" t="s">
        <v>2172</v>
      </c>
    </row>
    <row r="272" spans="1:5" s="127" customFormat="1" x14ac:dyDescent="0.3">
      <c r="A272" s="127" t="s">
        <v>1310</v>
      </c>
      <c r="B272" s="127" t="s">
        <v>1497</v>
      </c>
      <c r="C272" s="403">
        <v>32</v>
      </c>
      <c r="D272" s="128" t="str">
        <f>'Register Configuration'!J453</f>
        <v>0x01C02B0F</v>
      </c>
      <c r="E272" s="127" t="s">
        <v>1502</v>
      </c>
    </row>
    <row r="273" spans="1:5" s="127" customFormat="1" x14ac:dyDescent="0.3">
      <c r="A273" s="127" t="s">
        <v>1310</v>
      </c>
      <c r="B273" s="127" t="s">
        <v>1498</v>
      </c>
      <c r="C273" s="403">
        <v>32</v>
      </c>
      <c r="D273" s="128" t="str">
        <f>'Register Configuration'!J458</f>
        <v>0x21651D11</v>
      </c>
      <c r="E273" s="127" t="s">
        <v>1503</v>
      </c>
    </row>
    <row r="275" spans="1:5" s="127" customFormat="1" x14ac:dyDescent="0.3">
      <c r="A275" s="127" t="s">
        <v>1267</v>
      </c>
      <c r="C275" s="403"/>
    </row>
    <row r="276" spans="1:5" s="127" customFormat="1" x14ac:dyDescent="0.3">
      <c r="A276" s="127" t="s">
        <v>1310</v>
      </c>
      <c r="B276" s="127" t="s">
        <v>2125</v>
      </c>
      <c r="C276" s="403">
        <v>32</v>
      </c>
      <c r="D276" s="128" t="str">
        <f>'Register Configuration'!J463</f>
        <v>0x000A3DEF</v>
      </c>
      <c r="E276" s="127" t="s">
        <v>2124</v>
      </c>
    </row>
    <row r="277" spans="1:5" s="127" customFormat="1" x14ac:dyDescent="0.3">
      <c r="A277" s="127" t="s">
        <v>1310</v>
      </c>
      <c r="B277" s="127" t="s">
        <v>1504</v>
      </c>
      <c r="C277" s="403">
        <v>32</v>
      </c>
      <c r="D277" s="128" t="str">
        <f>'Register Configuration'!J468</f>
        <v>0x000186A0</v>
      </c>
      <c r="E277" s="127" t="s">
        <v>1859</v>
      </c>
    </row>
    <row r="278" spans="1:5" s="127" customFormat="1" x14ac:dyDescent="0.3">
      <c r="A278" s="127" t="s">
        <v>1310</v>
      </c>
      <c r="B278" s="127" t="s">
        <v>1505</v>
      </c>
      <c r="C278" s="403">
        <v>32</v>
      </c>
      <c r="D278" s="128" t="str">
        <f>'Register Configuration'!J471</f>
        <v>0x00000064</v>
      </c>
      <c r="E278" s="127" t="s">
        <v>1860</v>
      </c>
    </row>
    <row r="279" spans="1:5" s="127" customFormat="1" x14ac:dyDescent="0.3">
      <c r="A279" s="127" t="s">
        <v>1310</v>
      </c>
      <c r="B279" s="127" t="s">
        <v>1506</v>
      </c>
      <c r="C279" s="403">
        <v>32</v>
      </c>
      <c r="D279" s="128" t="str">
        <f>'Register Configuration'!J474</f>
        <v>0x00002710</v>
      </c>
      <c r="E279" s="127" t="s">
        <v>1861</v>
      </c>
    </row>
    <row r="280" spans="1:5" s="127" customFormat="1" x14ac:dyDescent="0.3">
      <c r="A280" s="127" t="s">
        <v>1310</v>
      </c>
      <c r="B280" s="127" t="s">
        <v>1507</v>
      </c>
      <c r="C280" s="403">
        <v>32</v>
      </c>
      <c r="D280" s="128" t="str">
        <f>'Register Configuration'!J477</f>
        <v>0x00B00032</v>
      </c>
      <c r="E280" s="127" t="s">
        <v>1862</v>
      </c>
    </row>
    <row r="282" spans="1:5" s="127" customFormat="1" x14ac:dyDescent="0.3">
      <c r="A282" s="127" t="s">
        <v>1276</v>
      </c>
      <c r="C282" s="403"/>
    </row>
    <row r="283" spans="1:5" s="127" customFormat="1" x14ac:dyDescent="0.3">
      <c r="A283" s="127" t="s">
        <v>1277</v>
      </c>
      <c r="C283" s="403"/>
    </row>
    <row r="284" spans="1:5" s="127" customFormat="1" x14ac:dyDescent="0.3">
      <c r="A284" s="127" t="s">
        <v>1310</v>
      </c>
      <c r="B284" s="127" t="s">
        <v>1508</v>
      </c>
      <c r="C284" s="403">
        <v>32</v>
      </c>
      <c r="D284" s="127" t="s">
        <v>821</v>
      </c>
      <c r="E284" s="127" t="s">
        <v>1510</v>
      </c>
    </row>
    <row r="285" spans="1:5" s="127" customFormat="1" x14ac:dyDescent="0.3">
      <c r="A285" s="127" t="s">
        <v>1310</v>
      </c>
      <c r="B285" s="127" t="s">
        <v>1509</v>
      </c>
      <c r="C285" s="403">
        <v>32</v>
      </c>
      <c r="D285" s="127" t="s">
        <v>992</v>
      </c>
      <c r="E285" s="127" t="s">
        <v>1511</v>
      </c>
    </row>
    <row r="286" spans="1:5" s="127" customFormat="1" x14ac:dyDescent="0.3">
      <c r="A286" s="127" t="s">
        <v>1310</v>
      </c>
      <c r="B286" s="127" t="s">
        <v>1508</v>
      </c>
      <c r="C286" s="403">
        <v>32</v>
      </c>
      <c r="D286" s="127" t="s">
        <v>992</v>
      </c>
      <c r="E286" s="127" t="s">
        <v>1512</v>
      </c>
    </row>
    <row r="287" spans="1:5" s="127" customFormat="1" x14ac:dyDescent="0.3">
      <c r="A287" s="127" t="s">
        <v>1310</v>
      </c>
      <c r="B287" s="127" t="s">
        <v>1509</v>
      </c>
      <c r="C287" s="403">
        <v>32</v>
      </c>
      <c r="D287" s="127" t="s">
        <v>992</v>
      </c>
      <c r="E287" s="127" t="s">
        <v>1513</v>
      </c>
    </row>
    <row r="289" spans="1:5" s="127" customFormat="1" x14ac:dyDescent="0.3">
      <c r="A289" s="127" t="s">
        <v>1278</v>
      </c>
      <c r="C289" s="403"/>
    </row>
    <row r="290" spans="1:5" s="127" customFormat="1" x14ac:dyDescent="0.3">
      <c r="A290" s="127" t="s">
        <v>1279</v>
      </c>
      <c r="C290" s="403"/>
    </row>
    <row r="291" spans="1:5" s="127" customFormat="1" x14ac:dyDescent="0.3">
      <c r="A291" s="127" t="s">
        <v>1310</v>
      </c>
      <c r="B291" s="127" t="s">
        <v>1514</v>
      </c>
      <c r="C291" s="403">
        <v>32</v>
      </c>
      <c r="D291" s="128" t="str">
        <f>'Register Configuration'!J482</f>
        <v>0x30070801</v>
      </c>
      <c r="E291" s="127" t="s">
        <v>1516</v>
      </c>
    </row>
    <row r="292" spans="1:5" s="127" customFormat="1" x14ac:dyDescent="0.3">
      <c r="A292" s="127" t="s">
        <v>1310</v>
      </c>
      <c r="B292" s="127" t="s">
        <v>1515</v>
      </c>
      <c r="C292" s="403">
        <v>32</v>
      </c>
      <c r="D292" s="128" t="str">
        <f>'Register Configuration'!J494</f>
        <v>0x09000000</v>
      </c>
      <c r="E292" s="127" t="s">
        <v>1517</v>
      </c>
    </row>
    <row r="294" spans="1:5" s="127" customFormat="1" x14ac:dyDescent="0.3">
      <c r="A294" s="127" t="s">
        <v>1282</v>
      </c>
      <c r="C294" s="403"/>
    </row>
    <row r="295" spans="1:5" s="127" customFormat="1" x14ac:dyDescent="0.3">
      <c r="A295" s="127" t="s">
        <v>1310</v>
      </c>
      <c r="B295" s="127" t="s">
        <v>1518</v>
      </c>
      <c r="C295" s="403">
        <v>32</v>
      </c>
      <c r="D295" s="128" t="str">
        <f>'Register Configuration'!J499</f>
        <v>0x44000000</v>
      </c>
      <c r="E295" s="127" t="s">
        <v>1519</v>
      </c>
    </row>
    <row r="297" spans="1:5" s="127" customFormat="1" x14ac:dyDescent="0.3">
      <c r="A297" s="127" t="s">
        <v>1283</v>
      </c>
      <c r="C297" s="403"/>
    </row>
    <row r="298" spans="1:5" s="127" customFormat="1" x14ac:dyDescent="0.3">
      <c r="A298" s="127" t="s">
        <v>1310</v>
      </c>
      <c r="B298" s="127" t="s">
        <v>1520</v>
      </c>
      <c r="C298" s="403">
        <v>32</v>
      </c>
      <c r="D298" s="128" t="str">
        <f>'Register Configuration'!J516</f>
        <v>0xF0032008</v>
      </c>
      <c r="E298" s="127" t="s">
        <v>1522</v>
      </c>
    </row>
    <row r="299" spans="1:5" s="127" customFormat="1" x14ac:dyDescent="0.3">
      <c r="A299" s="127" t="s">
        <v>1310</v>
      </c>
      <c r="B299" s="127" t="s">
        <v>1521</v>
      </c>
      <c r="C299" s="403">
        <v>32</v>
      </c>
      <c r="D299" s="128" t="str">
        <f>'Register Configuration'!J525</f>
        <v>0x07F001AB</v>
      </c>
      <c r="E299" s="127" t="s">
        <v>1523</v>
      </c>
    </row>
    <row r="301" spans="1:5" s="127" customFormat="1" x14ac:dyDescent="0.3">
      <c r="A301" s="127" t="s">
        <v>1284</v>
      </c>
      <c r="C301" s="403"/>
    </row>
    <row r="302" spans="1:5" s="127" customFormat="1" x14ac:dyDescent="0.3">
      <c r="A302" s="127" t="s">
        <v>1285</v>
      </c>
      <c r="C302" s="403"/>
    </row>
    <row r="303" spans="1:5" s="127" customFormat="1" x14ac:dyDescent="0.3">
      <c r="A303" s="127" t="s">
        <v>1393</v>
      </c>
      <c r="B303" s="127" t="s">
        <v>1524</v>
      </c>
      <c r="C303" s="403">
        <v>32</v>
      </c>
      <c r="D303" s="127" t="s">
        <v>1486</v>
      </c>
      <c r="E303" s="127" t="s">
        <v>1525</v>
      </c>
    </row>
    <row r="304" spans="1:5" s="127" customFormat="1" x14ac:dyDescent="0.3">
      <c r="A304" s="127" t="s">
        <v>1392</v>
      </c>
      <c r="B304" s="127" t="s">
        <v>1526</v>
      </c>
      <c r="C304" s="403">
        <v>32</v>
      </c>
      <c r="D304" s="127" t="s">
        <v>1014</v>
      </c>
      <c r="E304" s="127" t="s">
        <v>1527</v>
      </c>
    </row>
    <row r="306" spans="1:5" s="127" customFormat="1" x14ac:dyDescent="0.3">
      <c r="A306" s="127" t="s">
        <v>1284</v>
      </c>
      <c r="C306" s="403"/>
    </row>
    <row r="307" spans="1:5" s="127" customFormat="1" x14ac:dyDescent="0.3">
      <c r="A307" s="127" t="s">
        <v>1310</v>
      </c>
      <c r="B307" s="127" t="s">
        <v>1528</v>
      </c>
      <c r="C307" s="403">
        <v>32</v>
      </c>
      <c r="D307" s="127" t="s">
        <v>1016</v>
      </c>
      <c r="E307" s="127" t="s">
        <v>1536</v>
      </c>
    </row>
    <row r="308" spans="1:5" s="127" customFormat="1" x14ac:dyDescent="0.3">
      <c r="A308" s="127" t="s">
        <v>1310</v>
      </c>
      <c r="B308" s="127" t="s">
        <v>1529</v>
      </c>
      <c r="C308" s="403">
        <v>32</v>
      </c>
      <c r="D308" s="127" t="s">
        <v>1016</v>
      </c>
      <c r="E308" s="127" t="s">
        <v>1537</v>
      </c>
    </row>
    <row r="309" spans="1:5" s="127" customFormat="1" x14ac:dyDescent="0.3">
      <c r="A309" s="127" t="s">
        <v>1310</v>
      </c>
      <c r="B309" s="127" t="s">
        <v>1530</v>
      </c>
      <c r="C309" s="403">
        <v>32</v>
      </c>
      <c r="D309" s="127" t="s">
        <v>1016</v>
      </c>
      <c r="E309" s="127" t="s">
        <v>1538</v>
      </c>
    </row>
    <row r="310" spans="1:5" s="127" customFormat="1" x14ac:dyDescent="0.3">
      <c r="A310" s="127" t="s">
        <v>1310</v>
      </c>
      <c r="B310" s="127" t="s">
        <v>1531</v>
      </c>
      <c r="C310" s="403">
        <v>32</v>
      </c>
      <c r="D310" s="127" t="s">
        <v>1016</v>
      </c>
      <c r="E310" s="127" t="s">
        <v>1539</v>
      </c>
    </row>
    <row r="311" spans="1:5" s="127" customFormat="1" x14ac:dyDescent="0.3">
      <c r="A311" s="127" t="s">
        <v>1310</v>
      </c>
      <c r="B311" s="127" t="s">
        <v>1532</v>
      </c>
      <c r="C311" s="403">
        <v>32</v>
      </c>
      <c r="D311" s="127" t="s">
        <v>1021</v>
      </c>
      <c r="E311" s="127" t="s">
        <v>1540</v>
      </c>
    </row>
    <row r="312" spans="1:5" s="127" customFormat="1" x14ac:dyDescent="0.3">
      <c r="A312" s="127" t="s">
        <v>1310</v>
      </c>
      <c r="B312" s="127" t="s">
        <v>1533</v>
      </c>
      <c r="C312" s="403">
        <v>32</v>
      </c>
      <c r="D312" s="127" t="s">
        <v>1021</v>
      </c>
      <c r="E312" s="127" t="s">
        <v>1541</v>
      </c>
    </row>
    <row r="313" spans="1:5" s="127" customFormat="1" x14ac:dyDescent="0.3">
      <c r="A313" s="127" t="s">
        <v>1310</v>
      </c>
      <c r="B313" s="127" t="s">
        <v>1534</v>
      </c>
      <c r="C313" s="403">
        <v>32</v>
      </c>
      <c r="D313" s="127" t="s">
        <v>1021</v>
      </c>
      <c r="E313" s="127" t="s">
        <v>1542</v>
      </c>
    </row>
    <row r="314" spans="1:5" s="127" customFormat="1" x14ac:dyDescent="0.3">
      <c r="A314" s="127" t="s">
        <v>1310</v>
      </c>
      <c r="B314" s="127" t="s">
        <v>1535</v>
      </c>
      <c r="C314" s="403">
        <v>32</v>
      </c>
      <c r="D314" s="127" t="s">
        <v>1021</v>
      </c>
      <c r="E314" s="127" t="s">
        <v>1543</v>
      </c>
    </row>
    <row r="316" spans="1:5" s="127" customFormat="1" x14ac:dyDescent="0.3">
      <c r="A316" s="127" t="s">
        <v>1286</v>
      </c>
      <c r="C316" s="403"/>
    </row>
    <row r="317" spans="1:5" s="127" customFormat="1" x14ac:dyDescent="0.3">
      <c r="A317" s="127" t="s">
        <v>2150</v>
      </c>
      <c r="C317" s="403"/>
    </row>
    <row r="318" spans="1:5" s="127" customFormat="1" x14ac:dyDescent="0.3">
      <c r="A318" s="127" t="s">
        <v>1310</v>
      </c>
      <c r="B318" s="127" t="s">
        <v>1544</v>
      </c>
      <c r="C318" s="403">
        <v>32</v>
      </c>
      <c r="D318" s="128" t="str">
        <f>'Register Configuration'!J536</f>
        <v>0x001C1600</v>
      </c>
      <c r="E318" s="127" t="s">
        <v>1546</v>
      </c>
    </row>
    <row r="319" spans="1:5" s="127" customFormat="1" x14ac:dyDescent="0.3">
      <c r="A319" s="127" t="s">
        <v>1310</v>
      </c>
      <c r="B319" s="127" t="s">
        <v>2017</v>
      </c>
      <c r="C319" s="403">
        <v>32</v>
      </c>
      <c r="D319" s="128" t="str">
        <f>'Register Configuration'!J336</f>
        <v>0x001900B1</v>
      </c>
      <c r="E319" s="127" t="s">
        <v>2015</v>
      </c>
    </row>
    <row r="320" spans="1:5" s="127" customFormat="1" x14ac:dyDescent="0.3">
      <c r="A320" s="127" t="s">
        <v>1310</v>
      </c>
      <c r="B320" s="127" t="s">
        <v>1545</v>
      </c>
      <c r="C320" s="403">
        <v>32</v>
      </c>
      <c r="D320" s="128" t="str">
        <f>'Register Configuration'!J549</f>
        <v>0x79000000</v>
      </c>
      <c r="E320" s="127" t="s">
        <v>1547</v>
      </c>
    </row>
    <row r="322" spans="1:5" x14ac:dyDescent="0.3">
      <c r="A322" s="127" t="s">
        <v>2131</v>
      </c>
    </row>
    <row r="323" spans="1:5" s="127" customFormat="1" x14ac:dyDescent="0.3">
      <c r="A323" s="127" t="s">
        <v>1272</v>
      </c>
      <c r="C323" s="403"/>
    </row>
    <row r="324" spans="1:5" s="127" customFormat="1" x14ac:dyDescent="0.3">
      <c r="A324" s="127" t="s">
        <v>1273</v>
      </c>
      <c r="C324" s="403"/>
    </row>
    <row r="325" spans="1:5" s="127" customFormat="1" x14ac:dyDescent="0.3">
      <c r="A325" s="127" t="str">
        <f>IF('Register Configuration'!F19 = 2,"", "#") &amp; "memory set"</f>
        <v>memory set</v>
      </c>
      <c r="B325" s="127" t="s">
        <v>1551</v>
      </c>
      <c r="C325" s="403">
        <v>32</v>
      </c>
      <c r="D325" s="128" t="str">
        <f>'Register Configuration'!J391</f>
        <v>0x54</v>
      </c>
      <c r="E325" s="127" t="s">
        <v>1776</v>
      </c>
    </row>
    <row r="326" spans="1:5" s="127" customFormat="1" x14ac:dyDescent="0.3">
      <c r="A326" s="127" t="str">
        <f>IF('Register Configuration'!F19 = 2,"", "#") &amp; "memory set"</f>
        <v>memory set</v>
      </c>
      <c r="B326" s="127" t="s">
        <v>1552</v>
      </c>
      <c r="C326" s="403">
        <v>32</v>
      </c>
      <c r="D326" s="128" t="str">
        <f>'Register Configuration'!J398</f>
        <v>0x2D</v>
      </c>
      <c r="E326" s="127" t="s">
        <v>1777</v>
      </c>
    </row>
    <row r="327" spans="1:5" s="127" customFormat="1" x14ac:dyDescent="0.3">
      <c r="A327" s="127" t="str">
        <f>IF('Register Configuration'!F19 = 2,"", "#") &amp; "memory set"</f>
        <v>memory set</v>
      </c>
      <c r="B327" s="127" t="s">
        <v>1553</v>
      </c>
      <c r="C327" s="403">
        <v>32</v>
      </c>
      <c r="D327" s="128" t="str">
        <f>'Register Configuration'!J404</f>
        <v>0xF1</v>
      </c>
      <c r="E327" s="127" t="s">
        <v>1778</v>
      </c>
    </row>
    <row r="328" spans="1:5" s="127" customFormat="1" x14ac:dyDescent="0.3">
      <c r="A328" s="127" t="str">
        <f>IF('Register Configuration'!F19 = 2,"", "#") &amp; "memory set"</f>
        <v>memory set</v>
      </c>
      <c r="B328" s="127" t="s">
        <v>1554</v>
      </c>
      <c r="C328" s="403">
        <v>32</v>
      </c>
      <c r="D328" s="128" t="str">
        <f>'Register Configuration'!J410</f>
        <v>0x54</v>
      </c>
      <c r="E328" s="127" t="s">
        <v>1779</v>
      </c>
    </row>
    <row r="329" spans="1:5" s="127" customFormat="1" x14ac:dyDescent="0.3">
      <c r="A329" s="127" t="str">
        <f>IF('Register Configuration'!F19 = 2,"", "#") &amp; "memory set"</f>
        <v>memory set</v>
      </c>
      <c r="B329" s="127" t="s">
        <v>2065</v>
      </c>
      <c r="C329" s="403">
        <v>32</v>
      </c>
      <c r="D329" s="128" t="str">
        <f>'Register Configuration'!J414</f>
        <v>0x40</v>
      </c>
      <c r="E329" s="127" t="s">
        <v>2152</v>
      </c>
    </row>
    <row r="330" spans="1:5" s="127" customFormat="1" x14ac:dyDescent="0.3">
      <c r="A330" s="127" t="str">
        <f>IF('Register Configuration'!F19 = 2,"", "#") &amp; "memory set"</f>
        <v>memory set</v>
      </c>
      <c r="B330" s="127" t="s">
        <v>1555</v>
      </c>
      <c r="C330" s="403">
        <v>32</v>
      </c>
      <c r="D330" s="128" t="str">
        <f>'Register Configuration'!J423</f>
        <v>0x16</v>
      </c>
      <c r="E330" s="127" t="s">
        <v>1558</v>
      </c>
    </row>
    <row r="331" spans="1:5" s="127" customFormat="1" x14ac:dyDescent="0.3">
      <c r="A331" s="127" t="str">
        <f>IF('Register Configuration'!F19 = 2,"", "#") &amp; "memory set"</f>
        <v>memory set</v>
      </c>
      <c r="B331" s="127" t="s">
        <v>1556</v>
      </c>
      <c r="C331" s="403">
        <v>32</v>
      </c>
      <c r="D331" s="128" t="str">
        <f>'Factory use only DCD'!C362</f>
        <v>0x48</v>
      </c>
      <c r="E331" s="127" t="s">
        <v>1559</v>
      </c>
    </row>
    <row r="332" spans="1:5" s="127" customFormat="1" x14ac:dyDescent="0.3">
      <c r="A332" s="127" t="str">
        <f>IF('Register Configuration'!F19 = 2,"", "#") &amp; "memory set"</f>
        <v>memory set</v>
      </c>
      <c r="B332" s="127" t="s">
        <v>1557</v>
      </c>
      <c r="C332" s="403">
        <v>32</v>
      </c>
      <c r="D332" s="128" t="str">
        <f>'Factory use only DCD'!C363</f>
        <v>0x48</v>
      </c>
      <c r="E332" s="127" t="s">
        <v>1560</v>
      </c>
    </row>
    <row r="334" spans="1:5" s="127" customFormat="1" x14ac:dyDescent="0.3">
      <c r="A334" s="127" t="s">
        <v>1274</v>
      </c>
      <c r="C334" s="403"/>
    </row>
    <row r="335" spans="1:5" s="127" customFormat="1" x14ac:dyDescent="0.3">
      <c r="A335" s="127" t="s">
        <v>1275</v>
      </c>
      <c r="C335" s="403"/>
    </row>
    <row r="336" spans="1:5" s="127" customFormat="1" x14ac:dyDescent="0.3">
      <c r="A336" s="127" t="str">
        <f>IF('Register Configuration'!F19 = 2,"", "#") &amp; "memory set"</f>
        <v>memory set</v>
      </c>
      <c r="B336" s="127" t="s">
        <v>1561</v>
      </c>
      <c r="C336" s="403">
        <v>32</v>
      </c>
      <c r="D336" s="128" t="str">
        <f>'Register Configuration'!J429</f>
        <v>0x1044220C</v>
      </c>
      <c r="E336" s="127" t="s">
        <v>1567</v>
      </c>
    </row>
    <row r="337" spans="1:5" s="127" customFormat="1" x14ac:dyDescent="0.3">
      <c r="A337" s="127" t="str">
        <f>IF('Register Configuration'!F19 = 2,"", "#") &amp; "memory set"</f>
        <v>memory set</v>
      </c>
      <c r="B337" s="127" t="s">
        <v>1562</v>
      </c>
      <c r="C337" s="403">
        <v>32</v>
      </c>
      <c r="D337" s="128" t="str">
        <f>'Register Configuration'!J435</f>
        <v>0x28400417</v>
      </c>
      <c r="E337" s="127" t="s">
        <v>1568</v>
      </c>
    </row>
    <row r="338" spans="1:5" s="127" customFormat="1" x14ac:dyDescent="0.3">
      <c r="A338" s="127" t="str">
        <f>IF('Register Configuration'!F19 = 2,"", "#") &amp; "memory set"</f>
        <v>memory set</v>
      </c>
      <c r="B338" s="127" t="s">
        <v>1563</v>
      </c>
      <c r="C338" s="403">
        <v>32</v>
      </c>
      <c r="D338" s="128" t="str">
        <f>'Register Configuration'!J440</f>
        <v>0x006CA1CC</v>
      </c>
      <c r="E338" s="127" t="s">
        <v>1569</v>
      </c>
    </row>
    <row r="339" spans="1:5" s="127" customFormat="1" x14ac:dyDescent="0.3">
      <c r="A339" s="127" t="str">
        <f>IF('Register Configuration'!F19 = 2,"", "#") &amp; "memory set"</f>
        <v>memory set</v>
      </c>
      <c r="B339" s="127" t="s">
        <v>1564</v>
      </c>
      <c r="C339" s="403">
        <v>32</v>
      </c>
      <c r="D339" s="128" t="str">
        <f>'Register Configuration'!J447</f>
        <v>0x01800602</v>
      </c>
      <c r="E339" s="127" t="s">
        <v>2173</v>
      </c>
    </row>
    <row r="340" spans="1:5" s="127" customFormat="1" x14ac:dyDescent="0.3">
      <c r="A340" s="127" t="str">
        <f>IF('Register Configuration'!F19 = 2,"", "#") &amp; "memory set"</f>
        <v>memory set</v>
      </c>
      <c r="B340" s="127" t="s">
        <v>1565</v>
      </c>
      <c r="C340" s="403">
        <v>32</v>
      </c>
      <c r="D340" s="128" t="str">
        <f>'Register Configuration'!J453</f>
        <v>0x01C02B0F</v>
      </c>
      <c r="E340" s="127" t="s">
        <v>1570</v>
      </c>
    </row>
    <row r="341" spans="1:5" s="127" customFormat="1" x14ac:dyDescent="0.3">
      <c r="A341" s="127" t="str">
        <f>IF('Register Configuration'!F19 = 2,"", "#") &amp; "memory set"</f>
        <v>memory set</v>
      </c>
      <c r="B341" s="127" t="s">
        <v>1566</v>
      </c>
      <c r="C341" s="403">
        <v>32</v>
      </c>
      <c r="D341" s="128" t="str">
        <f>'Register Configuration'!J458</f>
        <v>0x21651D11</v>
      </c>
      <c r="E341" s="127" t="s">
        <v>1571</v>
      </c>
    </row>
    <row r="343" spans="1:5" s="127" customFormat="1" x14ac:dyDescent="0.3">
      <c r="A343" s="127" t="s">
        <v>1267</v>
      </c>
      <c r="C343" s="403"/>
    </row>
    <row r="344" spans="1:5" s="127" customFormat="1" x14ac:dyDescent="0.3">
      <c r="A344" s="127" t="str">
        <f>IF('Register Configuration'!F19 = 2,"", "#") &amp; "memory set"</f>
        <v>memory set</v>
      </c>
      <c r="B344" s="127" t="s">
        <v>2126</v>
      </c>
      <c r="C344" s="403">
        <v>32</v>
      </c>
      <c r="D344" s="128" t="str">
        <f>'Register Configuration'!J463</f>
        <v>0x000A3DEF</v>
      </c>
      <c r="E344" s="127" t="s">
        <v>2127</v>
      </c>
    </row>
    <row r="345" spans="1:5" s="127" customFormat="1" x14ac:dyDescent="0.3">
      <c r="A345" s="127" t="str">
        <f>IF('Register Configuration'!F19 = 2,"", "#") &amp; "memory set"</f>
        <v>memory set</v>
      </c>
      <c r="B345" s="127" t="s">
        <v>1572</v>
      </c>
      <c r="C345" s="403">
        <v>32</v>
      </c>
      <c r="D345" s="128" t="str">
        <f>'Register Configuration'!J468</f>
        <v>0x000186A0</v>
      </c>
      <c r="E345" s="127" t="s">
        <v>1863</v>
      </c>
    </row>
    <row r="346" spans="1:5" s="127" customFormat="1" x14ac:dyDescent="0.3">
      <c r="A346" s="127" t="str">
        <f>IF('Register Configuration'!F19 = 2,"", "#") &amp; "memory set"</f>
        <v>memory set</v>
      </c>
      <c r="B346" s="127" t="s">
        <v>1573</v>
      </c>
      <c r="C346" s="403">
        <v>32</v>
      </c>
      <c r="D346" s="128" t="str">
        <f>'Register Configuration'!J471</f>
        <v>0x00000064</v>
      </c>
      <c r="E346" s="127" t="s">
        <v>1576</v>
      </c>
    </row>
    <row r="347" spans="1:5" s="127" customFormat="1" x14ac:dyDescent="0.3">
      <c r="A347" s="127" t="str">
        <f>IF('Register Configuration'!F19 = 2,"", "#") &amp; "memory set"</f>
        <v>memory set</v>
      </c>
      <c r="B347" s="127" t="s">
        <v>1574</v>
      </c>
      <c r="C347" s="403">
        <v>32</v>
      </c>
      <c r="D347" s="128" t="str">
        <f>'Register Configuration'!J474</f>
        <v>0x00002710</v>
      </c>
      <c r="E347" s="127" t="s">
        <v>1864</v>
      </c>
    </row>
    <row r="348" spans="1:5" s="127" customFormat="1" x14ac:dyDescent="0.3">
      <c r="A348" s="127" t="str">
        <f>IF('Register Configuration'!F19 = 2,"", "#") &amp; "memory set"</f>
        <v>memory set</v>
      </c>
      <c r="B348" s="127" t="s">
        <v>1575</v>
      </c>
      <c r="C348" s="403">
        <v>32</v>
      </c>
      <c r="D348" s="128" t="str">
        <f>'Register Configuration'!J477</f>
        <v>0x00B00032</v>
      </c>
      <c r="E348" s="127" t="s">
        <v>1865</v>
      </c>
    </row>
    <row r="350" spans="1:5" s="127" customFormat="1" x14ac:dyDescent="0.3">
      <c r="A350" s="127" t="s">
        <v>1276</v>
      </c>
      <c r="C350" s="403"/>
    </row>
    <row r="351" spans="1:5" s="127" customFormat="1" x14ac:dyDescent="0.3">
      <c r="A351" s="127" t="s">
        <v>1277</v>
      </c>
      <c r="C351" s="403"/>
    </row>
    <row r="352" spans="1:5" s="127" customFormat="1" x14ac:dyDescent="0.3">
      <c r="A352" s="127" t="str">
        <f>IF('Register Configuration'!F19 = 2,"", "#") &amp; "memory set"</f>
        <v>memory set</v>
      </c>
      <c r="B352" s="127" t="s">
        <v>1577</v>
      </c>
      <c r="C352" s="403">
        <v>32</v>
      </c>
      <c r="D352" s="127" t="s">
        <v>821</v>
      </c>
      <c r="E352" s="127" t="s">
        <v>1579</v>
      </c>
    </row>
    <row r="353" spans="1:5" s="127" customFormat="1" x14ac:dyDescent="0.3">
      <c r="A353" s="127" t="str">
        <f>IF('Register Configuration'!F19 = 2,"", "#") &amp; "memory set"</f>
        <v>memory set</v>
      </c>
      <c r="B353" s="127" t="s">
        <v>1578</v>
      </c>
      <c r="C353" s="403">
        <v>32</v>
      </c>
      <c r="D353" s="127" t="s">
        <v>992</v>
      </c>
      <c r="E353" s="127" t="s">
        <v>1580</v>
      </c>
    </row>
    <row r="354" spans="1:5" s="127" customFormat="1" x14ac:dyDescent="0.3">
      <c r="A354" s="127" t="str">
        <f>IF('Register Configuration'!F19 = 2,"", "#") &amp; "memory set"</f>
        <v>memory set</v>
      </c>
      <c r="B354" s="127" t="s">
        <v>1577</v>
      </c>
      <c r="C354" s="403">
        <v>32</v>
      </c>
      <c r="D354" s="127" t="s">
        <v>992</v>
      </c>
      <c r="E354" s="127" t="s">
        <v>1581</v>
      </c>
    </row>
    <row r="355" spans="1:5" s="127" customFormat="1" x14ac:dyDescent="0.3">
      <c r="A355" s="127" t="str">
        <f>IF('Register Configuration'!F19 = 2,"", "#") &amp; "memory set"</f>
        <v>memory set</v>
      </c>
      <c r="B355" s="127" t="s">
        <v>1578</v>
      </c>
      <c r="C355" s="403">
        <v>32</v>
      </c>
      <c r="D355" s="127" t="s">
        <v>992</v>
      </c>
      <c r="E355" s="127" t="s">
        <v>1582</v>
      </c>
    </row>
    <row r="357" spans="1:5" s="127" customFormat="1" x14ac:dyDescent="0.3">
      <c r="A357" s="127" t="s">
        <v>1280</v>
      </c>
      <c r="C357" s="403"/>
    </row>
    <row r="358" spans="1:5" s="127" customFormat="1" x14ac:dyDescent="0.3">
      <c r="A358" s="127" t="s">
        <v>1281</v>
      </c>
      <c r="C358" s="403"/>
    </row>
    <row r="359" spans="1:5" s="127" customFormat="1" x14ac:dyDescent="0.3">
      <c r="A359" s="127" t="str">
        <f>IF('Register Configuration'!F19 = 2,"", "#") &amp; "memory set"</f>
        <v>memory set</v>
      </c>
      <c r="B359" s="127" t="s">
        <v>1583</v>
      </c>
      <c r="C359" s="403">
        <v>32</v>
      </c>
      <c r="D359" s="128" t="str">
        <f>'Register Configuration'!J482</f>
        <v>0x30070801</v>
      </c>
      <c r="E359" s="127" t="s">
        <v>1585</v>
      </c>
    </row>
    <row r="360" spans="1:5" s="127" customFormat="1" x14ac:dyDescent="0.3">
      <c r="A360" s="127" t="str">
        <f>IF('Register Configuration'!F19 = 2,"", "#") &amp; "memory set"</f>
        <v>memory set</v>
      </c>
      <c r="B360" s="127" t="s">
        <v>1584</v>
      </c>
      <c r="C360" s="403">
        <v>32</v>
      </c>
      <c r="D360" s="128" t="str">
        <f>'Register Configuration'!J494</f>
        <v>0x09000000</v>
      </c>
      <c r="E360" s="127" t="s">
        <v>1586</v>
      </c>
    </row>
    <row r="362" spans="1:5" s="127" customFormat="1" x14ac:dyDescent="0.3">
      <c r="A362" s="127" t="s">
        <v>1282</v>
      </c>
      <c r="C362" s="403"/>
    </row>
    <row r="363" spans="1:5" s="127" customFormat="1" x14ac:dyDescent="0.3">
      <c r="A363" s="127" t="str">
        <f>IF('Register Configuration'!F19 = 2,"", "#") &amp; "memory set"</f>
        <v>memory set</v>
      </c>
      <c r="B363" s="127" t="s">
        <v>1587</v>
      </c>
      <c r="C363" s="403">
        <v>32</v>
      </c>
      <c r="D363" s="128" t="str">
        <f>'Register Configuration'!J499</f>
        <v>0x44000000</v>
      </c>
      <c r="E363" s="127" t="s">
        <v>1588</v>
      </c>
    </row>
    <row r="365" spans="1:5" s="127" customFormat="1" x14ac:dyDescent="0.3">
      <c r="A365" s="127" t="s">
        <v>1283</v>
      </c>
      <c r="C365" s="403"/>
    </row>
    <row r="366" spans="1:5" s="127" customFormat="1" x14ac:dyDescent="0.3">
      <c r="A366" s="127" t="str">
        <f>IF('Register Configuration'!F19 = 2,"", "#") &amp; "memory set"</f>
        <v>memory set</v>
      </c>
      <c r="B366" s="127" t="s">
        <v>1589</v>
      </c>
      <c r="C366" s="403">
        <v>32</v>
      </c>
      <c r="D366" s="128" t="str">
        <f>'Register Configuration'!J516</f>
        <v>0xF0032008</v>
      </c>
      <c r="E366" s="127" t="s">
        <v>1591</v>
      </c>
    </row>
    <row r="367" spans="1:5" s="127" customFormat="1" x14ac:dyDescent="0.3">
      <c r="A367" s="127" t="str">
        <f>IF('Register Configuration'!F19 = 2,"", "#") &amp; "memory set"</f>
        <v>memory set</v>
      </c>
      <c r="B367" s="127" t="s">
        <v>1590</v>
      </c>
      <c r="C367" s="403">
        <v>32</v>
      </c>
      <c r="D367" s="128" t="str">
        <f>'Register Configuration'!J525</f>
        <v>0x07F001AB</v>
      </c>
      <c r="E367" s="127" t="s">
        <v>1592</v>
      </c>
    </row>
    <row r="369" spans="1:5" s="127" customFormat="1" x14ac:dyDescent="0.3">
      <c r="A369" s="127" t="s">
        <v>1284</v>
      </c>
      <c r="C369" s="403"/>
    </row>
    <row r="370" spans="1:5" s="127" customFormat="1" x14ac:dyDescent="0.3">
      <c r="A370" s="127" t="s">
        <v>1285</v>
      </c>
      <c r="C370" s="403"/>
    </row>
    <row r="371" spans="1:5" s="127" customFormat="1" x14ac:dyDescent="0.3">
      <c r="A371" s="127" t="str">
        <f>IF('Register Configuration'!F19 = 2,"", "#") &amp; "memory setbit"</f>
        <v>memory setbit</v>
      </c>
      <c r="B371" s="127" t="s">
        <v>1593</v>
      </c>
      <c r="C371" s="403">
        <v>32</v>
      </c>
      <c r="D371" s="127" t="s">
        <v>1486</v>
      </c>
      <c r="E371" s="127" t="s">
        <v>1595</v>
      </c>
    </row>
    <row r="372" spans="1:5" s="127" customFormat="1" x14ac:dyDescent="0.3">
      <c r="A372" s="127" t="str">
        <f>IF('Register Configuration'!F19 = 2,"", "#") &amp; "memory set"</f>
        <v>memory set</v>
      </c>
      <c r="B372" s="127" t="s">
        <v>1594</v>
      </c>
      <c r="C372" s="403">
        <v>32</v>
      </c>
      <c r="D372" s="127" t="s">
        <v>1014</v>
      </c>
      <c r="E372" s="127" t="s">
        <v>1596</v>
      </c>
    </row>
    <row r="374" spans="1:5" s="127" customFormat="1" x14ac:dyDescent="0.3">
      <c r="A374" s="127" t="s">
        <v>1284</v>
      </c>
      <c r="C374" s="403"/>
    </row>
    <row r="375" spans="1:5" s="127" customFormat="1" x14ac:dyDescent="0.3">
      <c r="A375" s="127" t="str">
        <f>IF('Register Configuration'!F19 = 2,"", "#") &amp; "memory set"</f>
        <v>memory set</v>
      </c>
      <c r="B375" s="127" t="s">
        <v>1597</v>
      </c>
      <c r="C375" s="403">
        <v>32</v>
      </c>
      <c r="D375" s="127" t="s">
        <v>1016</v>
      </c>
      <c r="E375" s="127" t="s">
        <v>1605</v>
      </c>
    </row>
    <row r="376" spans="1:5" s="127" customFormat="1" x14ac:dyDescent="0.3">
      <c r="A376" s="127" t="str">
        <f>IF('Register Configuration'!F19 = 2,"", "#") &amp; "memory set"</f>
        <v>memory set</v>
      </c>
      <c r="B376" s="127" t="s">
        <v>1598</v>
      </c>
      <c r="C376" s="403">
        <v>32</v>
      </c>
      <c r="D376" s="127" t="s">
        <v>1016</v>
      </c>
      <c r="E376" s="127" t="s">
        <v>1606</v>
      </c>
    </row>
    <row r="377" spans="1:5" s="127" customFormat="1" x14ac:dyDescent="0.3">
      <c r="A377" s="127" t="str">
        <f>IF('Register Configuration'!F19 = 2,"", "#") &amp; "memory set"</f>
        <v>memory set</v>
      </c>
      <c r="B377" s="127" t="s">
        <v>1599</v>
      </c>
      <c r="C377" s="403">
        <v>32</v>
      </c>
      <c r="D377" s="127" t="s">
        <v>1016</v>
      </c>
      <c r="E377" s="127" t="s">
        <v>1607</v>
      </c>
    </row>
    <row r="378" spans="1:5" s="127" customFormat="1" x14ac:dyDescent="0.3">
      <c r="A378" s="127" t="str">
        <f>IF('Register Configuration'!F19 = 2,"", "#") &amp; "memory set"</f>
        <v>memory set</v>
      </c>
      <c r="B378" s="127" t="s">
        <v>1600</v>
      </c>
      <c r="C378" s="403">
        <v>32</v>
      </c>
      <c r="D378" s="127" t="s">
        <v>1016</v>
      </c>
      <c r="E378" s="127" t="s">
        <v>1608</v>
      </c>
    </row>
    <row r="379" spans="1:5" s="127" customFormat="1" x14ac:dyDescent="0.3">
      <c r="A379" s="127" t="str">
        <f>IF('Register Configuration'!F19 = 2,"", "#") &amp; "memory set"</f>
        <v>memory set</v>
      </c>
      <c r="B379" s="127" t="s">
        <v>1601</v>
      </c>
      <c r="C379" s="403">
        <v>32</v>
      </c>
      <c r="D379" s="127" t="s">
        <v>1021</v>
      </c>
      <c r="E379" s="127" t="s">
        <v>1609</v>
      </c>
    </row>
    <row r="380" spans="1:5" s="127" customFormat="1" x14ac:dyDescent="0.3">
      <c r="A380" s="127" t="str">
        <f>IF('Register Configuration'!F19 = 2,"", "#") &amp; "memory set"</f>
        <v>memory set</v>
      </c>
      <c r="B380" s="127" t="s">
        <v>1602</v>
      </c>
      <c r="C380" s="403">
        <v>32</v>
      </c>
      <c r="D380" s="127" t="s">
        <v>1021</v>
      </c>
      <c r="E380" s="127" t="s">
        <v>1610</v>
      </c>
    </row>
    <row r="381" spans="1:5" s="127" customFormat="1" x14ac:dyDescent="0.3">
      <c r="A381" s="127" t="str">
        <f>IF('Register Configuration'!F19 = 2,"", "#") &amp; "memory set"</f>
        <v>memory set</v>
      </c>
      <c r="B381" s="127" t="s">
        <v>1603</v>
      </c>
      <c r="C381" s="403">
        <v>32</v>
      </c>
      <c r="D381" s="127" t="s">
        <v>1021</v>
      </c>
      <c r="E381" s="127" t="s">
        <v>1611</v>
      </c>
    </row>
    <row r="382" spans="1:5" s="127" customFormat="1" x14ac:dyDescent="0.3">
      <c r="A382" s="127" t="str">
        <f>IF('Register Configuration'!F19 = 2,"", "#") &amp; "memory set"</f>
        <v>memory set</v>
      </c>
      <c r="B382" s="127" t="s">
        <v>1604</v>
      </c>
      <c r="C382" s="403">
        <v>32</v>
      </c>
      <c r="D382" s="127" t="s">
        <v>1021</v>
      </c>
      <c r="E382" s="127" t="s">
        <v>1612</v>
      </c>
    </row>
    <row r="384" spans="1:5" s="127" customFormat="1" x14ac:dyDescent="0.3">
      <c r="A384" s="127" t="s">
        <v>1286</v>
      </c>
      <c r="C384" s="403"/>
    </row>
    <row r="385" spans="1:5" s="127" customFormat="1" x14ac:dyDescent="0.3">
      <c r="A385" s="127" t="s">
        <v>2150</v>
      </c>
      <c r="C385" s="403"/>
    </row>
    <row r="386" spans="1:5" s="127" customFormat="1" x14ac:dyDescent="0.3">
      <c r="A386" s="127" t="str">
        <f>IF('Register Configuration'!F19 = 2,"", "#") &amp; "memory set"</f>
        <v>memory set</v>
      </c>
      <c r="B386" s="127" t="s">
        <v>1613</v>
      </c>
      <c r="C386" s="403">
        <v>32</v>
      </c>
      <c r="D386" s="128" t="str">
        <f>'Register Configuration'!J536</f>
        <v>0x001C1600</v>
      </c>
      <c r="E386" s="127" t="s">
        <v>1615</v>
      </c>
    </row>
    <row r="387" spans="1:5" s="127" customFormat="1" x14ac:dyDescent="0.3">
      <c r="A387" s="127" t="str">
        <f>IF('Register Configuration'!F19 = 2,"", "#") &amp; "memory set"</f>
        <v>memory set</v>
      </c>
      <c r="B387" s="127" t="s">
        <v>2018</v>
      </c>
      <c r="C387" s="403">
        <v>32</v>
      </c>
      <c r="D387" s="128" t="str">
        <f>'Register Configuration'!J336</f>
        <v>0x001900B1</v>
      </c>
      <c r="E387" s="127" t="s">
        <v>2016</v>
      </c>
    </row>
    <row r="388" spans="1:5" s="127" customFormat="1" x14ac:dyDescent="0.3">
      <c r="A388" s="127" t="str">
        <f>IF('Register Configuration'!F19 = 2,"", "#") &amp; "memory set"</f>
        <v>memory set</v>
      </c>
      <c r="B388" s="127" t="s">
        <v>1614</v>
      </c>
      <c r="C388" s="403">
        <v>32</v>
      </c>
      <c r="D388" s="128" t="str">
        <f>'Register Configuration'!J549</f>
        <v>0x79000000</v>
      </c>
      <c r="E388" s="127" t="s">
        <v>1616</v>
      </c>
    </row>
    <row r="390" spans="1:5" s="127" customFormat="1" x14ac:dyDescent="0.3">
      <c r="A390" s="127" t="s">
        <v>1265</v>
      </c>
      <c r="C390" s="403"/>
    </row>
    <row r="391" spans="1:5" s="127" customFormat="1" x14ac:dyDescent="0.3">
      <c r="A391" s="127" t="s">
        <v>2151</v>
      </c>
      <c r="C391" s="403"/>
    </row>
    <row r="392" spans="1:5" s="127" customFormat="1" x14ac:dyDescent="0.3">
      <c r="A392" s="127" t="s">
        <v>1265</v>
      </c>
      <c r="C392" s="403"/>
    </row>
    <row r="393" spans="1:5" s="127" customFormat="1" x14ac:dyDescent="0.3">
      <c r="A393" s="127" t="s">
        <v>2130</v>
      </c>
      <c r="C393" s="403"/>
    </row>
    <row r="394" spans="1:5" s="127" customFormat="1" x14ac:dyDescent="0.3">
      <c r="A394" s="127" t="s">
        <v>1288</v>
      </c>
      <c r="C394" s="403"/>
    </row>
    <row r="395" spans="1:5" s="127" customFormat="1" x14ac:dyDescent="0.3">
      <c r="A395" s="127" t="s">
        <v>1548</v>
      </c>
      <c r="B395" s="127" t="s">
        <v>1549</v>
      </c>
      <c r="C395" s="403">
        <v>32</v>
      </c>
      <c r="D395" s="127" t="s">
        <v>785</v>
      </c>
      <c r="E395" s="127" t="s">
        <v>1550</v>
      </c>
    </row>
    <row r="396" spans="1:5" s="127" customFormat="1" x14ac:dyDescent="0.3">
      <c r="A396" s="127" t="s">
        <v>1290</v>
      </c>
      <c r="C396" s="403"/>
    </row>
    <row r="397" spans="1:5" s="127" customFormat="1" x14ac:dyDescent="0.3">
      <c r="A397" s="127" t="s">
        <v>1310</v>
      </c>
      <c r="B397" s="127" t="s">
        <v>1434</v>
      </c>
      <c r="C397" s="403">
        <v>32</v>
      </c>
      <c r="D397" s="127" t="s">
        <v>1619</v>
      </c>
      <c r="E397" s="127" t="s">
        <v>1437</v>
      </c>
    </row>
    <row r="398" spans="1:5" s="127" customFormat="1" x14ac:dyDescent="0.3">
      <c r="A398" s="127" t="s">
        <v>1310</v>
      </c>
      <c r="B398" s="127" t="s">
        <v>1434</v>
      </c>
      <c r="C398" s="403">
        <v>32</v>
      </c>
      <c r="D398" s="127" t="s">
        <v>1620</v>
      </c>
      <c r="E398" s="127" t="s">
        <v>1437</v>
      </c>
    </row>
    <row r="399" spans="1:5" s="127" customFormat="1" x14ac:dyDescent="0.3">
      <c r="C399" s="403"/>
    </row>
    <row r="400" spans="1:5" s="127" customFormat="1" x14ac:dyDescent="0.3">
      <c r="A400" s="127" t="s">
        <v>2131</v>
      </c>
      <c r="C400" s="403"/>
    </row>
    <row r="401" spans="1:5" s="127" customFormat="1" x14ac:dyDescent="0.3">
      <c r="A401" s="127" t="s">
        <v>1288</v>
      </c>
      <c r="C401" s="403"/>
    </row>
    <row r="402" spans="1:5" s="127" customFormat="1" x14ac:dyDescent="0.3">
      <c r="A402" s="127" t="str">
        <f>IF('Register Configuration'!F19 = 2,"", "#") &amp; "memory chkbit1"</f>
        <v>memory chkbit1</v>
      </c>
      <c r="B402" s="127" t="s">
        <v>1617</v>
      </c>
      <c r="C402" s="403">
        <v>32</v>
      </c>
      <c r="D402" s="127" t="s">
        <v>785</v>
      </c>
      <c r="E402" s="127" t="s">
        <v>1618</v>
      </c>
    </row>
    <row r="403" spans="1:5" x14ac:dyDescent="0.3">
      <c r="A403" s="127" t="s">
        <v>1290</v>
      </c>
    </row>
    <row r="404" spans="1:5" s="127" customFormat="1" x14ac:dyDescent="0.3">
      <c r="A404" s="127" t="str">
        <f>IF('Register Configuration'!F19 = 2,"", "#") &amp; "memory set"</f>
        <v>memory set</v>
      </c>
      <c r="B404" s="127" t="s">
        <v>1480</v>
      </c>
      <c r="C404" s="403">
        <v>32</v>
      </c>
      <c r="D404" s="127" t="s">
        <v>1619</v>
      </c>
      <c r="E404" s="127" t="s">
        <v>1481</v>
      </c>
    </row>
    <row r="405" spans="1:5" s="127" customFormat="1" x14ac:dyDescent="0.3">
      <c r="A405" s="127" t="str">
        <f>IF('Register Configuration'!F19 = 2,"", "#") &amp; "memory set"</f>
        <v>memory set</v>
      </c>
      <c r="B405" s="127" t="s">
        <v>1480</v>
      </c>
      <c r="C405" s="403">
        <v>32</v>
      </c>
      <c r="D405" s="127" t="s">
        <v>1620</v>
      </c>
      <c r="E405" s="127" t="s">
        <v>1481</v>
      </c>
    </row>
    <row r="406" spans="1:5" s="127" customFormat="1" x14ac:dyDescent="0.3">
      <c r="C406" s="403"/>
    </row>
    <row r="408" spans="1:5" s="127" customFormat="1" x14ac:dyDescent="0.3">
      <c r="A408" s="127" t="s">
        <v>1265</v>
      </c>
      <c r="C408" s="403"/>
    </row>
    <row r="409" spans="1:5" s="127" customFormat="1" x14ac:dyDescent="0.3">
      <c r="A409" s="127" t="s">
        <v>2162</v>
      </c>
      <c r="C409" s="403"/>
    </row>
    <row r="410" spans="1:5" s="127" customFormat="1" x14ac:dyDescent="0.3">
      <c r="A410" s="127" t="s">
        <v>2200</v>
      </c>
      <c r="C410" s="403"/>
    </row>
    <row r="411" spans="1:5" s="127" customFormat="1" x14ac:dyDescent="0.3">
      <c r="A411" s="127" t="s">
        <v>1291</v>
      </c>
      <c r="C411" s="403"/>
    </row>
    <row r="412" spans="1:5" s="127" customFormat="1" x14ac:dyDescent="0.3">
      <c r="A412" s="127" t="s">
        <v>1292</v>
      </c>
      <c r="C412" s="403"/>
    </row>
    <row r="413" spans="1:5" s="127" customFormat="1" x14ac:dyDescent="0.3">
      <c r="A413" s="127" t="s">
        <v>1265</v>
      </c>
      <c r="C413" s="403"/>
    </row>
    <row r="414" spans="1:5" s="127" customFormat="1" x14ac:dyDescent="0.3">
      <c r="A414" s="127" t="s">
        <v>2130</v>
      </c>
      <c r="C414" s="403"/>
    </row>
    <row r="415" spans="1:5" s="127" customFormat="1" x14ac:dyDescent="0.3">
      <c r="A415" s="127" t="s">
        <v>1288</v>
      </c>
      <c r="C415" s="403"/>
    </row>
    <row r="416" spans="1:5" s="127" customFormat="1" x14ac:dyDescent="0.3">
      <c r="A416" s="127" t="s">
        <v>1548</v>
      </c>
      <c r="B416" s="127" t="s">
        <v>1549</v>
      </c>
      <c r="C416" s="403">
        <v>32</v>
      </c>
      <c r="D416" s="127" t="s">
        <v>785</v>
      </c>
      <c r="E416" s="127" t="s">
        <v>1550</v>
      </c>
    </row>
    <row r="417" spans="1:5" s="127" customFormat="1" x14ac:dyDescent="0.3">
      <c r="A417" s="127" t="s">
        <v>2153</v>
      </c>
      <c r="C417" s="403"/>
    </row>
    <row r="418" spans="1:5" s="127" customFormat="1" x14ac:dyDescent="0.3">
      <c r="A418" s="127" t="s">
        <v>1310</v>
      </c>
      <c r="B418" s="127" t="s">
        <v>2155</v>
      </c>
      <c r="C418" s="403">
        <v>32</v>
      </c>
      <c r="D418" s="128" t="str">
        <f>"0x"&amp;DEC2HEX((HEX2DEC('Register Configuration'!E468))/1000, 8)</f>
        <v>0x00000064</v>
      </c>
      <c r="E418" s="127" t="s">
        <v>2154</v>
      </c>
    </row>
    <row r="419" spans="1:5" s="127" customFormat="1" x14ac:dyDescent="0.3">
      <c r="A419" s="127" t="s">
        <v>1290</v>
      </c>
      <c r="C419" s="403"/>
    </row>
    <row r="420" spans="1:5" s="127" customFormat="1" x14ac:dyDescent="0.3">
      <c r="A420" s="127" t="s">
        <v>1310</v>
      </c>
      <c r="B420" s="127" t="s">
        <v>1434</v>
      </c>
      <c r="C420" s="403">
        <v>32</v>
      </c>
      <c r="D420" s="127" t="s">
        <v>1621</v>
      </c>
      <c r="E420" s="127" t="s">
        <v>1437</v>
      </c>
    </row>
    <row r="421" spans="1:5" s="127" customFormat="1" x14ac:dyDescent="0.3">
      <c r="A421" s="127" t="s">
        <v>1310</v>
      </c>
      <c r="B421" s="127" t="s">
        <v>1434</v>
      </c>
      <c r="C421" s="403">
        <v>32</v>
      </c>
      <c r="D421" s="127" t="s">
        <v>1622</v>
      </c>
      <c r="E421" s="127" t="s">
        <v>1437</v>
      </c>
    </row>
    <row r="422" spans="1:5" s="127" customFormat="1" x14ac:dyDescent="0.3">
      <c r="C422" s="403"/>
    </row>
    <row r="423" spans="1:5" s="129" customFormat="1" x14ac:dyDescent="0.3">
      <c r="A423" s="129" t="s">
        <v>2131</v>
      </c>
      <c r="C423" s="491"/>
    </row>
    <row r="424" spans="1:5" s="127" customFormat="1" x14ac:dyDescent="0.3">
      <c r="A424" s="127" t="s">
        <v>1288</v>
      </c>
      <c r="C424" s="403"/>
    </row>
    <row r="425" spans="1:5" s="127" customFormat="1" x14ac:dyDescent="0.3">
      <c r="A425" s="127" t="str">
        <f>IF('Register Configuration'!F19 = 2,"", "#") &amp; "memory chkbit1"</f>
        <v>memory chkbit1</v>
      </c>
      <c r="B425" s="127" t="s">
        <v>1617</v>
      </c>
      <c r="C425" s="403">
        <v>32</v>
      </c>
      <c r="D425" s="127" t="s">
        <v>785</v>
      </c>
      <c r="E425" s="127" t="s">
        <v>1618</v>
      </c>
    </row>
    <row r="426" spans="1:5" s="127" customFormat="1" x14ac:dyDescent="0.3">
      <c r="A426" s="127" t="s">
        <v>2153</v>
      </c>
      <c r="C426" s="403"/>
    </row>
    <row r="427" spans="1:5" s="127" customFormat="1" x14ac:dyDescent="0.3">
      <c r="A427" s="127" t="str">
        <f>IF('Register Configuration'!F19 = 2,"", "#") &amp; "memory set"</f>
        <v>memory set</v>
      </c>
      <c r="B427" s="127" t="s">
        <v>2156</v>
      </c>
      <c r="C427" s="403">
        <v>32</v>
      </c>
      <c r="D427" s="128" t="str">
        <f>"0x"&amp;DEC2HEX((HEX2DEC('Register Configuration'!E468))/1000, 8)</f>
        <v>0x00000064</v>
      </c>
      <c r="E427" s="127" t="s">
        <v>2157</v>
      </c>
    </row>
    <row r="428" spans="1:5" s="127" customFormat="1" x14ac:dyDescent="0.3">
      <c r="A428" s="127" t="s">
        <v>1290</v>
      </c>
      <c r="C428" s="403"/>
    </row>
    <row r="429" spans="1:5" s="127" customFormat="1" x14ac:dyDescent="0.3">
      <c r="A429" s="127" t="str">
        <f>IF('Register Configuration'!F19 = 2,"", "#") &amp; "memory set"</f>
        <v>memory set</v>
      </c>
      <c r="B429" s="127" t="s">
        <v>1480</v>
      </c>
      <c r="C429" s="403">
        <v>32</v>
      </c>
      <c r="D429" s="127" t="s">
        <v>1621</v>
      </c>
      <c r="E429" s="127" t="s">
        <v>1481</v>
      </c>
    </row>
    <row r="430" spans="1:5" s="127" customFormat="1" x14ac:dyDescent="0.3">
      <c r="A430" s="127" t="str">
        <f>IF('Register Configuration'!F19 = 2,"", "#") &amp; "memory set"</f>
        <v>memory set</v>
      </c>
      <c r="B430" s="127" t="s">
        <v>1480</v>
      </c>
      <c r="C430" s="403">
        <v>32</v>
      </c>
      <c r="D430" s="127" t="s">
        <v>1622</v>
      </c>
      <c r="E430" s="127" t="s">
        <v>1481</v>
      </c>
    </row>
    <row r="431" spans="1:5" s="127" customFormat="1" x14ac:dyDescent="0.3">
      <c r="C431" s="403"/>
    </row>
    <row r="432" spans="1:5" s="127" customFormat="1" x14ac:dyDescent="0.3">
      <c r="A432" s="127" t="s">
        <v>1265</v>
      </c>
      <c r="C432" s="403"/>
    </row>
    <row r="433" spans="1:5" s="127" customFormat="1" x14ac:dyDescent="0.3">
      <c r="A433" s="127" t="s">
        <v>2158</v>
      </c>
      <c r="C433" s="403"/>
    </row>
    <row r="434" spans="1:5" s="127" customFormat="1" x14ac:dyDescent="0.3">
      <c r="A434" s="127" t="s">
        <v>1265</v>
      </c>
      <c r="C434" s="403"/>
    </row>
    <row r="435" spans="1:5" s="127" customFormat="1" x14ac:dyDescent="0.3">
      <c r="A435" s="127" t="s">
        <v>2159</v>
      </c>
      <c r="C435" s="403"/>
    </row>
    <row r="436" spans="1:5" s="127" customFormat="1" x14ac:dyDescent="0.3">
      <c r="A436" s="127" t="s">
        <v>1548</v>
      </c>
      <c r="B436" s="127" t="s">
        <v>1549</v>
      </c>
      <c r="C436" s="403">
        <v>32</v>
      </c>
      <c r="D436" s="127" t="s">
        <v>785</v>
      </c>
      <c r="E436" s="127" t="s">
        <v>1550</v>
      </c>
    </row>
    <row r="437" spans="1:5" s="127" customFormat="1" x14ac:dyDescent="0.3">
      <c r="A437" s="127" t="s">
        <v>2160</v>
      </c>
      <c r="C437" s="403"/>
    </row>
    <row r="438" spans="1:5" s="127" customFormat="1" x14ac:dyDescent="0.3">
      <c r="A438" s="127" t="str">
        <f>IF('Register Configuration'!F19 = 2,"", "#") &amp; "memory chkbit1"</f>
        <v>memory chkbit1</v>
      </c>
      <c r="B438" s="127" t="s">
        <v>1617</v>
      </c>
      <c r="C438" s="403">
        <v>32</v>
      </c>
      <c r="D438" s="127" t="s">
        <v>785</v>
      </c>
      <c r="E438" s="127" t="s">
        <v>1618</v>
      </c>
    </row>
    <row r="439" spans="1:5" s="127" customFormat="1" x14ac:dyDescent="0.3">
      <c r="C439" s="403"/>
    </row>
    <row r="440" spans="1:5" s="127" customFormat="1" x14ac:dyDescent="0.3">
      <c r="A440" s="127" t="s">
        <v>1265</v>
      </c>
      <c r="C440" s="403"/>
    </row>
    <row r="441" spans="1:5" s="127" customFormat="1" x14ac:dyDescent="0.3">
      <c r="A441" s="127" t="s">
        <v>2163</v>
      </c>
      <c r="C441" s="403"/>
    </row>
    <row r="442" spans="1:5" s="127" customFormat="1" x14ac:dyDescent="0.3">
      <c r="A442" s="127" t="s">
        <v>1265</v>
      </c>
      <c r="C442" s="403"/>
    </row>
    <row r="443" spans="1:5" s="127" customFormat="1" x14ac:dyDescent="0.3">
      <c r="A443" s="127" t="s">
        <v>2167</v>
      </c>
      <c r="C443" s="403"/>
    </row>
    <row r="444" spans="1:5" s="127" customFormat="1" x14ac:dyDescent="0.3">
      <c r="A444" s="128" t="str">
        <f>_xlfn.CONCAT("run_cbt  ", 'Register Configuration'!J350, "  ", 'Register Configuration'!J357, "  ", 'Register Configuration'!F19)</f>
        <v>run_cbt  0x64032010  0x4E201C20  2</v>
      </c>
      <c r="B444" s="128"/>
      <c r="C444" s="493"/>
      <c r="D444" s="128"/>
      <c r="E444" s="492"/>
    </row>
    <row r="446" spans="1:5" s="127" customFormat="1" x14ac:dyDescent="0.3">
      <c r="A446" s="127" t="s">
        <v>1265</v>
      </c>
      <c r="C446" s="403"/>
    </row>
    <row r="447" spans="1:5" x14ac:dyDescent="0.3">
      <c r="A447" s="127" t="s">
        <v>2168</v>
      </c>
    </row>
    <row r="448" spans="1:5" s="127" customFormat="1" x14ac:dyDescent="0.3">
      <c r="A448" s="127" t="s">
        <v>1265</v>
      </c>
      <c r="C448" s="403"/>
    </row>
    <row r="449" spans="1:5" s="127" customFormat="1" x14ac:dyDescent="0.3">
      <c r="A449" s="127" t="s">
        <v>1293</v>
      </c>
      <c r="C449" s="403"/>
    </row>
    <row r="450" spans="1:5" s="127" customFormat="1" x14ac:dyDescent="0.3">
      <c r="A450" s="127" t="s">
        <v>1623</v>
      </c>
      <c r="B450" s="127" t="s">
        <v>1624</v>
      </c>
      <c r="C450" s="403">
        <v>32</v>
      </c>
      <c r="D450" s="127" t="s">
        <v>821</v>
      </c>
      <c r="E450" s="127" t="s">
        <v>1625</v>
      </c>
    </row>
    <row r="451" spans="1:5" s="127" customFormat="1" x14ac:dyDescent="0.3">
      <c r="A451" s="127" t="s">
        <v>1393</v>
      </c>
      <c r="B451" s="127" t="s">
        <v>1526</v>
      </c>
      <c r="C451" s="403">
        <v>32</v>
      </c>
      <c r="D451" s="127" t="s">
        <v>821</v>
      </c>
      <c r="E451" s="127" t="s">
        <v>1626</v>
      </c>
    </row>
    <row r="452" spans="1:5" s="127" customFormat="1" x14ac:dyDescent="0.3">
      <c r="A452" s="127" t="s">
        <v>1294</v>
      </c>
      <c r="C452" s="403"/>
    </row>
    <row r="453" spans="1:5" s="127" customFormat="1" x14ac:dyDescent="0.3">
      <c r="A453" s="127" t="s">
        <v>1548</v>
      </c>
      <c r="B453" s="127" t="s">
        <v>1627</v>
      </c>
      <c r="C453" s="403">
        <v>32</v>
      </c>
      <c r="D453" s="127" t="s">
        <v>1225</v>
      </c>
      <c r="E453" s="127" t="s">
        <v>1628</v>
      </c>
    </row>
    <row r="454" spans="1:5" s="127" customFormat="1" x14ac:dyDescent="0.3">
      <c r="A454" s="127" t="s">
        <v>1393</v>
      </c>
      <c r="B454" s="127" t="s">
        <v>1406</v>
      </c>
      <c r="C454" s="403">
        <v>32</v>
      </c>
      <c r="D454" s="127" t="s">
        <v>1114</v>
      </c>
      <c r="E454" s="127" t="s">
        <v>1629</v>
      </c>
    </row>
    <row r="455" spans="1:5" s="127" customFormat="1" x14ac:dyDescent="0.3">
      <c r="A455" s="127" t="s">
        <v>1310</v>
      </c>
      <c r="B455" s="127" t="s">
        <v>1630</v>
      </c>
      <c r="C455" s="403">
        <v>32</v>
      </c>
      <c r="D455" s="127" t="s">
        <v>1120</v>
      </c>
      <c r="E455" s="127" t="s">
        <v>1633</v>
      </c>
    </row>
    <row r="456" spans="1:5" s="127" customFormat="1" x14ac:dyDescent="0.3">
      <c r="A456" s="127" t="s">
        <v>1310</v>
      </c>
      <c r="B456" s="127" t="s">
        <v>1631</v>
      </c>
      <c r="C456" s="403">
        <v>32</v>
      </c>
      <c r="D456" s="127" t="s">
        <v>1121</v>
      </c>
      <c r="E456" s="127" t="s">
        <v>1634</v>
      </c>
    </row>
    <row r="457" spans="1:5" s="127" customFormat="1" x14ac:dyDescent="0.3">
      <c r="A457" s="127" t="s">
        <v>1310</v>
      </c>
      <c r="B457" s="127" t="s">
        <v>1632</v>
      </c>
      <c r="C457" s="403">
        <v>32</v>
      </c>
      <c r="D457" s="127" t="s">
        <v>1122</v>
      </c>
      <c r="E457" s="127" t="s">
        <v>1635</v>
      </c>
    </row>
    <row r="459" spans="1:5" s="127" customFormat="1" x14ac:dyDescent="0.3">
      <c r="A459" s="127" t="s">
        <v>1295</v>
      </c>
      <c r="C459" s="403"/>
    </row>
    <row r="460" spans="1:5" s="127" customFormat="1" x14ac:dyDescent="0.3">
      <c r="A460" s="127" t="str">
        <f>IF('Register Configuration'!F19 = 2,"", "#") &amp; "memory clrbit"</f>
        <v>memory clrbit</v>
      </c>
      <c r="B460" s="127" t="s">
        <v>1636</v>
      </c>
      <c r="C460" s="403">
        <v>32</v>
      </c>
      <c r="D460" s="127" t="s">
        <v>821</v>
      </c>
      <c r="E460" s="127" t="s">
        <v>1637</v>
      </c>
    </row>
    <row r="461" spans="1:5" s="127" customFormat="1" x14ac:dyDescent="0.3">
      <c r="A461" s="127" t="str">
        <f>IF('Register Configuration'!F19 = 2,"", "#") &amp; "memory setbit"</f>
        <v>memory setbit</v>
      </c>
      <c r="B461" s="127" t="s">
        <v>1594</v>
      </c>
      <c r="C461" s="403">
        <v>32</v>
      </c>
      <c r="D461" s="127" t="s">
        <v>821</v>
      </c>
      <c r="E461" s="127" t="s">
        <v>1638</v>
      </c>
    </row>
    <row r="462" spans="1:5" s="127" customFormat="1" x14ac:dyDescent="0.3">
      <c r="A462" s="127" t="s">
        <v>1294</v>
      </c>
      <c r="C462" s="403"/>
    </row>
    <row r="463" spans="1:5" s="127" customFormat="1" x14ac:dyDescent="0.3">
      <c r="A463" s="127" t="str">
        <f>IF('Register Configuration'!F19 = 2,"", "#") &amp; "memory chkbit1"</f>
        <v>memory chkbit1</v>
      </c>
      <c r="B463" s="127" t="s">
        <v>1639</v>
      </c>
      <c r="C463" s="403">
        <v>32</v>
      </c>
      <c r="D463" s="127" t="s">
        <v>1225</v>
      </c>
      <c r="E463" s="127" t="s">
        <v>1640</v>
      </c>
    </row>
    <row r="464" spans="1:5" s="127" customFormat="1" x14ac:dyDescent="0.3">
      <c r="A464" s="127" t="str">
        <f>IF('Register Configuration'!F19 = 2,"", "#") &amp; "memory setbit"</f>
        <v>memory setbit</v>
      </c>
      <c r="B464" s="127" t="s">
        <v>1453</v>
      </c>
      <c r="C464" s="403">
        <v>32</v>
      </c>
      <c r="D464" s="127" t="s">
        <v>1114</v>
      </c>
      <c r="E464" s="127" t="s">
        <v>1641</v>
      </c>
    </row>
    <row r="465" spans="1:5" s="127" customFormat="1" x14ac:dyDescent="0.3">
      <c r="A465" s="127" t="str">
        <f>IF('Register Configuration'!F19 = 2,"", "#") &amp; "memory set"</f>
        <v>memory set</v>
      </c>
      <c r="B465" s="127" t="s">
        <v>1642</v>
      </c>
      <c r="C465" s="403">
        <v>32</v>
      </c>
      <c r="D465" s="127" t="s">
        <v>1120</v>
      </c>
      <c r="E465" s="127" t="s">
        <v>1633</v>
      </c>
    </row>
    <row r="466" spans="1:5" s="127" customFormat="1" x14ac:dyDescent="0.3">
      <c r="A466" s="127" t="str">
        <f>IF('Register Configuration'!F19 = 2,"", "#") &amp; "memory set"</f>
        <v>memory set</v>
      </c>
      <c r="B466" s="127" t="s">
        <v>1643</v>
      </c>
      <c r="C466" s="403">
        <v>32</v>
      </c>
      <c r="D466" s="127" t="s">
        <v>1121</v>
      </c>
      <c r="E466" s="127" t="s">
        <v>1634</v>
      </c>
    </row>
    <row r="467" spans="1:5" s="127" customFormat="1" x14ac:dyDescent="0.3">
      <c r="A467" s="127" t="str">
        <f>IF('Register Configuration'!F19 = 2,"", "#") &amp; "memory set"</f>
        <v>memory set</v>
      </c>
      <c r="B467" s="127" t="s">
        <v>1644</v>
      </c>
      <c r="C467" s="403">
        <v>32</v>
      </c>
      <c r="D467" s="127" t="s">
        <v>1122</v>
      </c>
      <c r="E467" s="127" t="s">
        <v>1635</v>
      </c>
    </row>
    <row r="469" spans="1:5" s="127" customFormat="1" x14ac:dyDescent="0.3">
      <c r="A469" s="127" t="s">
        <v>1296</v>
      </c>
      <c r="C469" s="403"/>
    </row>
    <row r="470" spans="1:5" s="127" customFormat="1" x14ac:dyDescent="0.3">
      <c r="A470" s="127" t="s">
        <v>2201</v>
      </c>
      <c r="C470" s="403"/>
    </row>
    <row r="471" spans="1:5" s="127" customFormat="1" x14ac:dyDescent="0.3">
      <c r="A471" s="127" t="s">
        <v>1297</v>
      </c>
      <c r="C471" s="403"/>
    </row>
    <row r="472" spans="1:5" s="127" customFormat="1" x14ac:dyDescent="0.3">
      <c r="A472" s="127" t="s">
        <v>1310</v>
      </c>
      <c r="B472" s="127" t="s">
        <v>1645</v>
      </c>
      <c r="C472" s="403">
        <v>32</v>
      </c>
      <c r="D472" s="128" t="str">
        <f>'Register Configuration'!J575</f>
        <v>0x000031C7</v>
      </c>
      <c r="E472" s="127" t="s">
        <v>1780</v>
      </c>
    </row>
    <row r="473" spans="1:5" s="127" customFormat="1" x14ac:dyDescent="0.3">
      <c r="A473" s="127" t="s">
        <v>1310</v>
      </c>
      <c r="B473" s="127" t="s">
        <v>1646</v>
      </c>
      <c r="C473" s="403">
        <v>32</v>
      </c>
      <c r="D473" s="128" t="str">
        <f>'Register Configuration'!J567</f>
        <v>0x00030236</v>
      </c>
      <c r="E473" s="127" t="s">
        <v>1781</v>
      </c>
    </row>
    <row r="475" spans="1:5" s="127" customFormat="1" x14ac:dyDescent="0.3">
      <c r="A475" s="127" t="s">
        <v>1298</v>
      </c>
      <c r="C475" s="403"/>
    </row>
    <row r="476" spans="1:5" s="127" customFormat="1" x14ac:dyDescent="0.3">
      <c r="A476" s="127" t="s">
        <v>1310</v>
      </c>
      <c r="B476" s="127" t="s">
        <v>1434</v>
      </c>
      <c r="C476" s="403">
        <v>32</v>
      </c>
      <c r="D476" s="127" t="s">
        <v>1647</v>
      </c>
      <c r="E476" s="127" t="s">
        <v>1437</v>
      </c>
    </row>
    <row r="477" spans="1:5" s="127" customFormat="1" x14ac:dyDescent="0.3">
      <c r="A477" s="127" t="s">
        <v>1310</v>
      </c>
      <c r="B477" s="127" t="s">
        <v>1434</v>
      </c>
      <c r="C477" s="403">
        <v>32</v>
      </c>
      <c r="D477" s="127" t="s">
        <v>1648</v>
      </c>
      <c r="E477" s="127" t="s">
        <v>1437</v>
      </c>
    </row>
    <row r="478" spans="1:5" s="127" customFormat="1" x14ac:dyDescent="0.3">
      <c r="A478" s="127" t="s">
        <v>1548</v>
      </c>
      <c r="B478" s="127" t="s">
        <v>1549</v>
      </c>
      <c r="C478" s="403">
        <v>32</v>
      </c>
      <c r="D478" s="127" t="s">
        <v>785</v>
      </c>
      <c r="E478" s="127" t="s">
        <v>1550</v>
      </c>
    </row>
    <row r="480" spans="1:5" s="127" customFormat="1" x14ac:dyDescent="0.3">
      <c r="A480" s="127" t="str">
        <f>IF('Register Configuration'!F19 = 2,"", "#") &amp; "memory set"</f>
        <v>memory set</v>
      </c>
      <c r="B480" s="127" t="s">
        <v>1649</v>
      </c>
      <c r="C480" s="403">
        <v>32</v>
      </c>
      <c r="D480" s="128" t="str">
        <f>'Register Configuration'!J575</f>
        <v>0x000031C7</v>
      </c>
      <c r="E480" s="127" t="s">
        <v>1782</v>
      </c>
    </row>
    <row r="481" spans="1:5" s="127" customFormat="1" x14ac:dyDescent="0.3">
      <c r="A481" s="127" t="str">
        <f>IF('Register Configuration'!F19 = 2,"", "#") &amp; "memory set"</f>
        <v>memory set</v>
      </c>
      <c r="B481" s="127" t="s">
        <v>1650</v>
      </c>
      <c r="C481" s="403">
        <v>32</v>
      </c>
      <c r="D481" s="128" t="str">
        <f>'Register Configuration'!J567</f>
        <v>0x00030236</v>
      </c>
      <c r="E481" s="127" t="s">
        <v>1783</v>
      </c>
    </row>
    <row r="483" spans="1:5" s="127" customFormat="1" x14ac:dyDescent="0.3">
      <c r="A483" s="127" t="s">
        <v>1298</v>
      </c>
      <c r="C483" s="403"/>
    </row>
    <row r="484" spans="1:5" s="127" customFormat="1" x14ac:dyDescent="0.3">
      <c r="A484" s="127" t="str">
        <f>IF('Register Configuration'!F19 = 2,"", "#") &amp; "memory set"</f>
        <v>memory set</v>
      </c>
      <c r="B484" s="127" t="s">
        <v>1480</v>
      </c>
      <c r="C484" s="403">
        <v>32</v>
      </c>
      <c r="D484" s="127" t="s">
        <v>1647</v>
      </c>
      <c r="E484" s="127" t="s">
        <v>1481</v>
      </c>
    </row>
    <row r="485" spans="1:5" s="127" customFormat="1" x14ac:dyDescent="0.3">
      <c r="A485" s="127" t="str">
        <f>IF('Register Configuration'!F19 = 2,"", "#") &amp; "memory set"</f>
        <v>memory set</v>
      </c>
      <c r="B485" s="127" t="s">
        <v>1480</v>
      </c>
      <c r="C485" s="403">
        <v>32</v>
      </c>
      <c r="D485" s="127" t="s">
        <v>1648</v>
      </c>
      <c r="E485" s="127" t="s">
        <v>1481</v>
      </c>
    </row>
    <row r="486" spans="1:5" s="127" customFormat="1" x14ac:dyDescent="0.3">
      <c r="A486" s="127" t="str">
        <f>IF('Register Configuration'!F19 = 2,"", "#") &amp; "memory chkbit1"</f>
        <v>memory chkbit1</v>
      </c>
      <c r="B486" s="127" t="s">
        <v>1617</v>
      </c>
      <c r="C486" s="403">
        <v>32</v>
      </c>
      <c r="D486" s="127" t="s">
        <v>785</v>
      </c>
      <c r="E486" s="127" t="s">
        <v>1618</v>
      </c>
    </row>
    <row r="488" spans="1:5" s="127" customFormat="1" x14ac:dyDescent="0.3">
      <c r="A488" s="127" t="s">
        <v>1299</v>
      </c>
      <c r="C488" s="403"/>
    </row>
    <row r="489" spans="1:5" s="127" customFormat="1" x14ac:dyDescent="0.3">
      <c r="A489" s="127" t="s">
        <v>2202</v>
      </c>
      <c r="C489" s="403"/>
    </row>
    <row r="490" spans="1:5" s="127" customFormat="1" x14ac:dyDescent="0.3">
      <c r="A490" s="127" t="s">
        <v>1310</v>
      </c>
      <c r="B490" s="127" t="s">
        <v>1651</v>
      </c>
      <c r="C490" s="403">
        <v>32</v>
      </c>
      <c r="D490" s="128" t="str">
        <f>'Register Configuration'!J555</f>
        <v>0x012240B3</v>
      </c>
      <c r="E490" s="127" t="s">
        <v>1652</v>
      </c>
    </row>
    <row r="491" spans="1:5" s="127" customFormat="1" x14ac:dyDescent="0.3">
      <c r="A491" s="127" t="s">
        <v>1300</v>
      </c>
      <c r="C491" s="403"/>
    </row>
    <row r="492" spans="1:5" s="127" customFormat="1" x14ac:dyDescent="0.3">
      <c r="A492" s="127" t="s">
        <v>1310</v>
      </c>
      <c r="B492" s="127" t="s">
        <v>1434</v>
      </c>
      <c r="C492" s="403">
        <v>32</v>
      </c>
      <c r="D492" s="127" t="s">
        <v>1653</v>
      </c>
      <c r="E492" s="127" t="s">
        <v>1437</v>
      </c>
    </row>
    <row r="493" spans="1:5" s="127" customFormat="1" x14ac:dyDescent="0.3">
      <c r="A493" s="127" t="s">
        <v>1310</v>
      </c>
      <c r="B493" s="127" t="s">
        <v>1434</v>
      </c>
      <c r="C493" s="403">
        <v>32</v>
      </c>
      <c r="D493" s="127" t="s">
        <v>1654</v>
      </c>
      <c r="E493" s="127" t="s">
        <v>1437</v>
      </c>
    </row>
    <row r="494" spans="1:5" s="127" customFormat="1" x14ac:dyDescent="0.3">
      <c r="A494" s="127" t="s">
        <v>1548</v>
      </c>
      <c r="B494" s="127" t="s">
        <v>1549</v>
      </c>
      <c r="C494" s="403">
        <v>32</v>
      </c>
      <c r="D494" s="127" t="s">
        <v>785</v>
      </c>
      <c r="E494" s="127" t="s">
        <v>1550</v>
      </c>
    </row>
    <row r="496" spans="1:5" s="127" customFormat="1" x14ac:dyDescent="0.3">
      <c r="A496" s="127" t="str">
        <f>IF('Register Configuration'!F19 = 2,"", "#") &amp; "memory set"</f>
        <v>memory set</v>
      </c>
      <c r="B496" s="127" t="s">
        <v>1655</v>
      </c>
      <c r="C496" s="403">
        <v>32</v>
      </c>
      <c r="D496" s="128" t="str">
        <f>'Register Configuration'!J555</f>
        <v>0x012240B3</v>
      </c>
      <c r="E496" s="127" t="s">
        <v>1656</v>
      </c>
    </row>
    <row r="497" spans="1:5" s="127" customFormat="1" x14ac:dyDescent="0.3">
      <c r="A497" s="127" t="s">
        <v>1300</v>
      </c>
      <c r="C497" s="403"/>
    </row>
    <row r="498" spans="1:5" s="127" customFormat="1" x14ac:dyDescent="0.3">
      <c r="A498" s="127" t="str">
        <f>IF('Register Configuration'!F19 = 2,"", "#") &amp; "memory set"</f>
        <v>memory set</v>
      </c>
      <c r="B498" s="127" t="s">
        <v>1480</v>
      </c>
      <c r="C498" s="403">
        <v>32</v>
      </c>
      <c r="D498" s="127" t="s">
        <v>1653</v>
      </c>
      <c r="E498" s="127" t="s">
        <v>1481</v>
      </c>
    </row>
    <row r="499" spans="1:5" s="127" customFormat="1" x14ac:dyDescent="0.3">
      <c r="A499" s="127" t="str">
        <f>IF('Register Configuration'!F19 = 2,"", "#") &amp; "memory set"</f>
        <v>memory set</v>
      </c>
      <c r="B499" s="127" t="s">
        <v>1480</v>
      </c>
      <c r="C499" s="403">
        <v>32</v>
      </c>
      <c r="D499" s="127" t="s">
        <v>1654</v>
      </c>
      <c r="E499" s="127" t="s">
        <v>1481</v>
      </c>
    </row>
    <row r="500" spans="1:5" s="127" customFormat="1" x14ac:dyDescent="0.3">
      <c r="A500" s="127" t="str">
        <f>IF('Register Configuration'!F19 = 2,"", "#") &amp; "memory chkbit1"</f>
        <v>memory chkbit1</v>
      </c>
      <c r="B500" s="127" t="s">
        <v>1617</v>
      </c>
      <c r="C500" s="403">
        <v>32</v>
      </c>
      <c r="D500" s="127" t="s">
        <v>785</v>
      </c>
      <c r="E500" s="127" t="s">
        <v>1618</v>
      </c>
    </row>
    <row r="502" spans="1:5" s="127" customFormat="1" x14ac:dyDescent="0.3">
      <c r="A502" s="127" t="s">
        <v>1657</v>
      </c>
      <c r="C502" s="403"/>
    </row>
    <row r="503" spans="1:5" s="127" customFormat="1" x14ac:dyDescent="0.3">
      <c r="A503" s="127" t="s">
        <v>1310</v>
      </c>
      <c r="B503" s="127" t="s">
        <v>1651</v>
      </c>
      <c r="C503" s="403">
        <v>32</v>
      </c>
      <c r="D503" s="128" t="str">
        <f>'Register Configuration'!K555</f>
        <v>0x01224000</v>
      </c>
    </row>
    <row r="504" spans="1:5" s="127" customFormat="1" x14ac:dyDescent="0.3">
      <c r="A504" s="127" t="s">
        <v>1301</v>
      </c>
      <c r="C504" s="403"/>
    </row>
    <row r="505" spans="1:5" s="127" customFormat="1" x14ac:dyDescent="0.3">
      <c r="A505" s="127" t="s">
        <v>1302</v>
      </c>
      <c r="C505" s="403"/>
    </row>
    <row r="506" spans="1:5" s="127" customFormat="1" x14ac:dyDescent="0.3">
      <c r="A506" s="127" t="s">
        <v>1303</v>
      </c>
      <c r="C506" s="403"/>
    </row>
    <row r="507" spans="1:5" s="127" customFormat="1" x14ac:dyDescent="0.3">
      <c r="A507" s="127" t="s">
        <v>1310</v>
      </c>
      <c r="B507" s="127" t="s">
        <v>1434</v>
      </c>
      <c r="C507" s="403">
        <v>32</v>
      </c>
      <c r="D507" s="127" t="s">
        <v>1154</v>
      </c>
      <c r="E507" s="127" t="s">
        <v>1437</v>
      </c>
    </row>
    <row r="508" spans="1:5" s="127" customFormat="1" x14ac:dyDescent="0.3">
      <c r="A508" s="127" t="s">
        <v>1310</v>
      </c>
      <c r="B508" s="127" t="s">
        <v>1434</v>
      </c>
      <c r="C508" s="403">
        <v>32</v>
      </c>
      <c r="D508" s="127" t="s">
        <v>1155</v>
      </c>
      <c r="E508" s="127" t="s">
        <v>1437</v>
      </c>
    </row>
    <row r="509" spans="1:5" s="127" customFormat="1" x14ac:dyDescent="0.3">
      <c r="A509" s="127" t="s">
        <v>1548</v>
      </c>
      <c r="B509" s="127" t="s">
        <v>1549</v>
      </c>
      <c r="C509" s="403">
        <v>32</v>
      </c>
      <c r="D509" s="127" t="s">
        <v>785</v>
      </c>
      <c r="E509" s="127" t="s">
        <v>1550</v>
      </c>
    </row>
    <row r="511" spans="1:5" s="127" customFormat="1" x14ac:dyDescent="0.3">
      <c r="A511" s="127" t="str">
        <f>IF('Register Configuration'!F19 = 2,"", "#") &amp; "memory set"</f>
        <v>memory set</v>
      </c>
      <c r="B511" s="127" t="s">
        <v>1655</v>
      </c>
      <c r="C511" s="403">
        <v>32</v>
      </c>
      <c r="D511" s="128" t="str">
        <f>'Register Configuration'!K555</f>
        <v>0x01224000</v>
      </c>
    </row>
    <row r="512" spans="1:5" s="127" customFormat="1" x14ac:dyDescent="0.3">
      <c r="A512" s="127" t="s">
        <v>1301</v>
      </c>
      <c r="C512" s="403"/>
    </row>
    <row r="513" spans="1:11" s="127" customFormat="1" x14ac:dyDescent="0.3">
      <c r="A513" s="127" t="s">
        <v>1302</v>
      </c>
      <c r="C513" s="403"/>
    </row>
    <row r="514" spans="1:11" s="127" customFormat="1" x14ac:dyDescent="0.3">
      <c r="A514" s="127" t="s">
        <v>1303</v>
      </c>
      <c r="C514" s="403"/>
    </row>
    <row r="515" spans="1:11" s="127" customFormat="1" x14ac:dyDescent="0.3">
      <c r="A515" s="127" t="str">
        <f>IF('Register Configuration'!F19 = 2,"", "#") &amp; "memory set"</f>
        <v>memory set</v>
      </c>
      <c r="B515" s="127" t="s">
        <v>1480</v>
      </c>
      <c r="C515" s="403">
        <v>32</v>
      </c>
      <c r="D515" s="127" t="s">
        <v>1154</v>
      </c>
      <c r="E515" s="127" t="s">
        <v>1481</v>
      </c>
    </row>
    <row r="516" spans="1:11" s="127" customFormat="1" x14ac:dyDescent="0.3">
      <c r="A516" s="127" t="str">
        <f>IF('Register Configuration'!F19 = 2,"", "#") &amp; "memory set"</f>
        <v>memory set</v>
      </c>
      <c r="B516" s="127" t="s">
        <v>1480</v>
      </c>
      <c r="C516" s="403">
        <v>32</v>
      </c>
      <c r="D516" s="127" t="s">
        <v>1155</v>
      </c>
      <c r="E516" s="127" t="s">
        <v>1481</v>
      </c>
    </row>
    <row r="517" spans="1:11" s="127" customFormat="1" x14ac:dyDescent="0.3">
      <c r="A517" s="127" t="str">
        <f>IF('Register Configuration'!F19 = 2,"", "#") &amp; "memory chkbit1"</f>
        <v>memory chkbit1</v>
      </c>
      <c r="B517" s="127" t="s">
        <v>1617</v>
      </c>
      <c r="C517" s="403">
        <v>32</v>
      </c>
      <c r="D517" s="127" t="s">
        <v>785</v>
      </c>
      <c r="E517" s="127" t="s">
        <v>1618</v>
      </c>
    </row>
    <row r="518" spans="1:11" s="127" customFormat="1" x14ac:dyDescent="0.3">
      <c r="C518" s="403"/>
    </row>
    <row r="519" spans="1:11" x14ac:dyDescent="0.3">
      <c r="A519" s="128" t="str">
        <f>IF('Register Configuration'!L31= "enable",  "# run rdbi deskew training", "")</f>
        <v># run rdbi deskew training</v>
      </c>
      <c r="B519" s="128"/>
      <c r="I519"/>
      <c r="J519"/>
      <c r="K519"/>
    </row>
    <row r="520" spans="1:11" x14ac:dyDescent="0.3">
      <c r="A520" s="128" t="str">
        <f>IF('Register Configuration'!L31= "enable",  "RDBI_bit_deskew 0 ", "")</f>
        <v xml:space="preserve">RDBI_bit_deskew 0 </v>
      </c>
      <c r="B520" s="128"/>
      <c r="I520"/>
      <c r="J520"/>
      <c r="K520"/>
    </row>
    <row r="521" spans="1:11" x14ac:dyDescent="0.3">
      <c r="A521" s="128" t="str">
        <f>IF('Register Configuration'!L31= "enable",  IF('Register Configuration'!F19=2, "RDBI_bit_deskew 1 ", "#RDBI_bit_deskew 1"), "")</f>
        <v xml:space="preserve">RDBI_bit_deskew 1 </v>
      </c>
      <c r="B521" s="128"/>
      <c r="I521"/>
      <c r="J521"/>
      <c r="K521"/>
    </row>
    <row r="523" spans="1:11" s="127" customFormat="1" x14ac:dyDescent="0.3">
      <c r="A523" s="127" t="s">
        <v>2217</v>
      </c>
      <c r="C523" s="403"/>
    </row>
    <row r="524" spans="1:11" s="127" customFormat="1" x14ac:dyDescent="0.3">
      <c r="A524" s="127" t="s">
        <v>2228</v>
      </c>
      <c r="C524" s="403"/>
    </row>
    <row r="525" spans="1:11" s="127" customFormat="1" x14ac:dyDescent="0.3">
      <c r="A525" s="127" t="str">
        <f>IF('Register Configuration'!F19 = 2,"", "#") &amp;"DRAM_VREF_training_sw 1"</f>
        <v>DRAM_VREF_training_sw 1</v>
      </c>
      <c r="C525" s="403"/>
    </row>
    <row r="526" spans="1:11" s="127" customFormat="1" x14ac:dyDescent="0.3">
      <c r="C526" s="403"/>
    </row>
    <row r="527" spans="1:11" x14ac:dyDescent="0.3">
      <c r="A527" s="127" t="s">
        <v>1310</v>
      </c>
      <c r="B527" s="127" t="s">
        <v>2210</v>
      </c>
      <c r="C527" s="403">
        <v>32</v>
      </c>
      <c r="D527" s="127" t="s">
        <v>2206</v>
      </c>
      <c r="E527" s="127" t="s">
        <v>2208</v>
      </c>
    </row>
    <row r="528" spans="1:11" x14ac:dyDescent="0.3">
      <c r="A528" s="127" t="str">
        <f>IF('Register Configuration'!F19 = 2,"", "#") &amp; "memory set"</f>
        <v>memory set</v>
      </c>
      <c r="B528" s="127" t="s">
        <v>2211</v>
      </c>
      <c r="C528" s="403">
        <v>32</v>
      </c>
      <c r="D528" s="127" t="s">
        <v>2206</v>
      </c>
      <c r="E528" s="127" t="s">
        <v>2209</v>
      </c>
    </row>
    <row r="530" spans="1:5" s="127" customFormat="1" x14ac:dyDescent="0.3">
      <c r="A530" s="127" t="s">
        <v>1304</v>
      </c>
      <c r="C530" s="403"/>
    </row>
    <row r="531" spans="1:5" s="127" customFormat="1" x14ac:dyDescent="0.3">
      <c r="A531" s="127" t="s">
        <v>1623</v>
      </c>
      <c r="B531" s="127" t="s">
        <v>1406</v>
      </c>
      <c r="C531" s="403">
        <v>32</v>
      </c>
      <c r="D531" s="127" t="s">
        <v>1114</v>
      </c>
      <c r="E531" s="127" t="s">
        <v>1658</v>
      </c>
    </row>
    <row r="532" spans="1:5" s="127" customFormat="1" x14ac:dyDescent="0.3">
      <c r="A532" s="127" t="str">
        <f>IF('Register Configuration'!F19 = 2,"", "#") &amp; "memory clrbit"</f>
        <v>memory clrbit</v>
      </c>
      <c r="B532" s="127" t="s">
        <v>1453</v>
      </c>
      <c r="C532" s="403">
        <v>32</v>
      </c>
      <c r="D532" s="127" t="s">
        <v>1114</v>
      </c>
      <c r="E532" s="127" t="s">
        <v>1659</v>
      </c>
    </row>
    <row r="534" spans="1:5" s="127" customFormat="1" x14ac:dyDescent="0.3">
      <c r="A534" s="127" t="s">
        <v>1305</v>
      </c>
      <c r="C534" s="403"/>
    </row>
    <row r="535" spans="1:5" s="127" customFormat="1" x14ac:dyDescent="0.3">
      <c r="A535" s="127" t="s">
        <v>1306</v>
      </c>
      <c r="C535" s="403"/>
    </row>
    <row r="536" spans="1:5" s="127" customFormat="1" x14ac:dyDescent="0.3">
      <c r="A536" s="127" t="s">
        <v>1305</v>
      </c>
      <c r="C536" s="403"/>
    </row>
    <row r="537" spans="1:5" s="127" customFormat="1" x14ac:dyDescent="0.3">
      <c r="A537" s="127" t="s">
        <v>1623</v>
      </c>
      <c r="B537" s="127" t="s">
        <v>1660</v>
      </c>
      <c r="C537" s="403">
        <v>32</v>
      </c>
      <c r="D537" s="127" t="s">
        <v>1167</v>
      </c>
      <c r="E537" s="127" t="s">
        <v>1668</v>
      </c>
    </row>
    <row r="538" spans="1:5" s="127" customFormat="1" x14ac:dyDescent="0.3">
      <c r="A538" s="127" t="s">
        <v>1623</v>
      </c>
      <c r="B538" s="127" t="s">
        <v>1661</v>
      </c>
      <c r="C538" s="403">
        <v>32</v>
      </c>
      <c r="D538" s="127" t="s">
        <v>1167</v>
      </c>
      <c r="E538" s="127" t="s">
        <v>1669</v>
      </c>
    </row>
    <row r="539" spans="1:5" s="127" customFormat="1" x14ac:dyDescent="0.3">
      <c r="A539" s="127" t="s">
        <v>1623</v>
      </c>
      <c r="B539" s="127" t="s">
        <v>1662</v>
      </c>
      <c r="C539" s="403">
        <v>32</v>
      </c>
      <c r="D539" s="127" t="s">
        <v>1167</v>
      </c>
      <c r="E539" s="127" t="s">
        <v>1670</v>
      </c>
    </row>
    <row r="540" spans="1:5" s="127" customFormat="1" x14ac:dyDescent="0.3">
      <c r="A540" s="127" t="s">
        <v>1623</v>
      </c>
      <c r="B540" s="127" t="s">
        <v>1663</v>
      </c>
      <c r="C540" s="403">
        <v>32</v>
      </c>
      <c r="D540" s="127" t="s">
        <v>1167</v>
      </c>
      <c r="E540" s="127" t="s">
        <v>1671</v>
      </c>
    </row>
    <row r="541" spans="1:5" s="127" customFormat="1" x14ac:dyDescent="0.3">
      <c r="A541" s="127" t="str">
        <f>IF('Register Configuration'!F19 = 2,"", "#") &amp; "memory clrbit"</f>
        <v>memory clrbit</v>
      </c>
      <c r="B541" s="127" t="s">
        <v>1664</v>
      </c>
      <c r="C541" s="403">
        <v>32</v>
      </c>
      <c r="D541" s="127" t="s">
        <v>1167</v>
      </c>
      <c r="E541" s="127" t="s">
        <v>1672</v>
      </c>
    </row>
    <row r="542" spans="1:5" s="127" customFormat="1" x14ac:dyDescent="0.3">
      <c r="A542" s="127" t="str">
        <f>IF('Register Configuration'!F19 = 2,"", "#") &amp; "memory clrbit"</f>
        <v>memory clrbit</v>
      </c>
      <c r="B542" s="127" t="s">
        <v>1665</v>
      </c>
      <c r="C542" s="403">
        <v>32</v>
      </c>
      <c r="D542" s="127" t="s">
        <v>1167</v>
      </c>
      <c r="E542" s="127" t="s">
        <v>1673</v>
      </c>
    </row>
    <row r="543" spans="1:5" s="127" customFormat="1" x14ac:dyDescent="0.3">
      <c r="A543" s="127" t="str">
        <f>IF('Register Configuration'!F19 = 2,"", "#") &amp; "memory clrbit"</f>
        <v>memory clrbit</v>
      </c>
      <c r="B543" s="127" t="s">
        <v>1666</v>
      </c>
      <c r="C543" s="403">
        <v>32</v>
      </c>
      <c r="D543" s="127" t="s">
        <v>1167</v>
      </c>
      <c r="E543" s="127" t="s">
        <v>1674</v>
      </c>
    </row>
    <row r="544" spans="1:5" s="127" customFormat="1" x14ac:dyDescent="0.3">
      <c r="A544" s="127" t="str">
        <f>IF('Register Configuration'!F19 = 2,"", "#") &amp; "memory clrbit"</f>
        <v>memory clrbit</v>
      </c>
      <c r="B544" s="127" t="s">
        <v>1667</v>
      </c>
      <c r="C544" s="403">
        <v>32</v>
      </c>
      <c r="D544" s="127" t="s">
        <v>1167</v>
      </c>
      <c r="E544" s="127" t="s">
        <v>1675</v>
      </c>
    </row>
    <row r="546" spans="1:5" s="127" customFormat="1" x14ac:dyDescent="0.3">
      <c r="A546" s="127" t="s">
        <v>1307</v>
      </c>
      <c r="C546" s="403"/>
    </row>
    <row r="547" spans="1:5" s="127" customFormat="1" x14ac:dyDescent="0.3">
      <c r="A547" s="127" t="s">
        <v>1310</v>
      </c>
      <c r="B547" s="127" t="s">
        <v>1624</v>
      </c>
      <c r="C547" s="403">
        <v>32</v>
      </c>
      <c r="D547" s="127" t="s">
        <v>1170</v>
      </c>
      <c r="E547" s="127" t="s">
        <v>1678</v>
      </c>
    </row>
    <row r="548" spans="1:5" s="127" customFormat="1" x14ac:dyDescent="0.3">
      <c r="A548" s="127" t="s">
        <v>1310</v>
      </c>
      <c r="B548" s="127" t="s">
        <v>1676</v>
      </c>
      <c r="C548" s="403">
        <v>32</v>
      </c>
      <c r="D548" s="127" t="s">
        <v>1171</v>
      </c>
      <c r="E548" s="127" t="s">
        <v>1679</v>
      </c>
    </row>
    <row r="549" spans="1:5" s="127" customFormat="1" x14ac:dyDescent="0.3">
      <c r="A549" s="127" t="s">
        <v>1310</v>
      </c>
      <c r="B549" s="127" t="s">
        <v>1677</v>
      </c>
      <c r="C549" s="403">
        <v>32</v>
      </c>
      <c r="D549" s="127" t="s">
        <v>1172</v>
      </c>
      <c r="E549" s="127" t="s">
        <v>1680</v>
      </c>
    </row>
    <row r="550" spans="1:5" s="127" customFormat="1" x14ac:dyDescent="0.3">
      <c r="A550" s="127" t="s">
        <v>1308</v>
      </c>
      <c r="C550" s="403"/>
    </row>
    <row r="551" spans="1:5" s="127" customFormat="1" x14ac:dyDescent="0.3">
      <c r="A551" s="127" t="s">
        <v>1548</v>
      </c>
      <c r="B551" s="127" t="s">
        <v>1681</v>
      </c>
      <c r="C551" s="403">
        <v>32</v>
      </c>
      <c r="D551" s="127" t="s">
        <v>785</v>
      </c>
      <c r="E551" s="127" t="s">
        <v>1682</v>
      </c>
    </row>
    <row r="553" spans="1:5" s="127" customFormat="1" x14ac:dyDescent="0.3">
      <c r="A553" s="127" t="str">
        <f>IF('Register Configuration'!F19 = 2,"", "#") &amp; "memory set"</f>
        <v>memory set</v>
      </c>
      <c r="B553" s="127" t="s">
        <v>1636</v>
      </c>
      <c r="C553" s="403">
        <v>32</v>
      </c>
      <c r="D553" s="127" t="s">
        <v>1170</v>
      </c>
      <c r="E553" s="127" t="s">
        <v>1685</v>
      </c>
    </row>
    <row r="554" spans="1:5" s="127" customFormat="1" x14ac:dyDescent="0.3">
      <c r="A554" s="127" t="str">
        <f>IF('Register Configuration'!F19 = 2,"", "#") &amp; "memory set"</f>
        <v>memory set</v>
      </c>
      <c r="B554" s="127" t="s">
        <v>1683</v>
      </c>
      <c r="C554" s="403">
        <v>32</v>
      </c>
      <c r="D554" s="127" t="s">
        <v>1171</v>
      </c>
      <c r="E554" s="127" t="s">
        <v>1686</v>
      </c>
    </row>
    <row r="555" spans="1:5" s="127" customFormat="1" x14ac:dyDescent="0.3">
      <c r="A555" s="127" t="str">
        <f>IF('Register Configuration'!F19 = 2,"", "#") &amp; "memory set"</f>
        <v>memory set</v>
      </c>
      <c r="B555" s="127" t="s">
        <v>1684</v>
      </c>
      <c r="C555" s="403">
        <v>32</v>
      </c>
      <c r="D555" s="127" t="s">
        <v>1172</v>
      </c>
      <c r="E555" s="127" t="s">
        <v>1687</v>
      </c>
    </row>
    <row r="557" spans="1:5" s="127" customFormat="1" x14ac:dyDescent="0.3">
      <c r="A557" s="127" t="s">
        <v>2022</v>
      </c>
      <c r="C557" s="403"/>
    </row>
    <row r="558" spans="1:5" s="127" customFormat="1" x14ac:dyDescent="0.3">
      <c r="A558" s="127" t="s">
        <v>1310</v>
      </c>
      <c r="B558" s="127" t="s">
        <v>2020</v>
      </c>
      <c r="C558" s="403">
        <v>32</v>
      </c>
      <c r="D558" s="127" t="s">
        <v>1145</v>
      </c>
    </row>
    <row r="559" spans="1:5" s="127" customFormat="1" x14ac:dyDescent="0.3">
      <c r="A559" s="127" t="str">
        <f>IF('Register Configuration'!F19 = 2,"", "#") &amp; "memory set"</f>
        <v>memory set</v>
      </c>
      <c r="B559" s="127" t="s">
        <v>2021</v>
      </c>
      <c r="C559" s="403">
        <v>32</v>
      </c>
      <c r="D559" s="127" t="s">
        <v>1145</v>
      </c>
    </row>
    <row r="561" spans="1:5" s="127" customFormat="1" x14ac:dyDescent="0.3">
      <c r="A561" s="127" t="s">
        <v>1309</v>
      </c>
      <c r="C561" s="403"/>
    </row>
    <row r="562" spans="1:5" s="127" customFormat="1" x14ac:dyDescent="0.3">
      <c r="A562" s="127" t="s">
        <v>1623</v>
      </c>
      <c r="B562" s="127" t="s">
        <v>1526</v>
      </c>
      <c r="C562" s="403">
        <v>32</v>
      </c>
      <c r="D562" s="127" t="s">
        <v>821</v>
      </c>
      <c r="E562" s="127" t="s">
        <v>1688</v>
      </c>
    </row>
    <row r="563" spans="1:5" s="127" customFormat="1" x14ac:dyDescent="0.3">
      <c r="A563" s="127" t="str">
        <f>IF('Register Configuration'!F19 = 2,"", "#") &amp; "memory clrbit"</f>
        <v>memory clrbit</v>
      </c>
      <c r="B563" s="127" t="s">
        <v>1594</v>
      </c>
      <c r="C563" s="403">
        <v>32</v>
      </c>
      <c r="D563" s="127" t="s">
        <v>821</v>
      </c>
      <c r="E563" s="127" t="s">
        <v>1689</v>
      </c>
    </row>
    <row r="565" spans="1:5" s="127" customFormat="1" x14ac:dyDescent="0.3">
      <c r="A565" s="127" t="s">
        <v>1308</v>
      </c>
      <c r="C565" s="403"/>
    </row>
    <row r="566" spans="1:5" s="127" customFormat="1" x14ac:dyDescent="0.3">
      <c r="A566" s="127" t="str">
        <f>IF('Register Configuration'!F19 = 2,"", "#") &amp; "memory chkbit1"</f>
        <v>memory chkbit1</v>
      </c>
      <c r="B566" s="127" t="s">
        <v>1690</v>
      </c>
      <c r="C566" s="403">
        <v>32</v>
      </c>
      <c r="D566" s="127" t="s">
        <v>785</v>
      </c>
      <c r="E566" s="127" t="s">
        <v>1691</v>
      </c>
    </row>
    <row r="568" spans="1:5" x14ac:dyDescent="0.3">
      <c r="A568" s="128" t="str">
        <f>IF('Register Configuration'!F19 = 2,"", "# Following are needed when configuring for one DRC")</f>
        <v/>
      </c>
      <c r="B568" s="128"/>
      <c r="C568" s="128"/>
      <c r="D568" s="128"/>
      <c r="E568" s="128"/>
    </row>
    <row r="569" spans="1:5" x14ac:dyDescent="0.3">
      <c r="A569" s="128" t="str">
        <f>IF('Register Configuration'!F19 = 2,"", "memory set")</f>
        <v/>
      </c>
      <c r="B569" s="128" t="str">
        <f>IF('Register Configuration'!F19 = 2,"", "0x5C400000")</f>
        <v/>
      </c>
      <c r="C569" s="494" t="str">
        <f>IF('Register Configuration'!F19 = 2,"", "32")</f>
        <v/>
      </c>
      <c r="D569" s="495" t="str">
        <f>IF('Register Configuration'!F19 = 2,"", "3")</f>
        <v/>
      </c>
    </row>
    <row r="570" spans="1:5" x14ac:dyDescent="0.3">
      <c r="A570" s="128" t="str">
        <f>IF('Register Configuration'!F19 = 2,"", "memory set")</f>
        <v/>
      </c>
      <c r="B570" s="128" t="str">
        <f>IF('Register Configuration'!F19 = 2,"", "0x5C410000")</f>
        <v/>
      </c>
      <c r="C570" s="494" t="str">
        <f>IF('Register Configuration'!F19 = 2,"", "32")</f>
        <v/>
      </c>
      <c r="D570" s="495" t="str">
        <f>IF('Register Configuration'!F19 = 2,"", "3")</f>
        <v/>
      </c>
    </row>
    <row r="571" spans="1:5" x14ac:dyDescent="0.3">
      <c r="A571" s="128" t="str">
        <f>IF('Register Configuration'!F19 = 2,"", "memory set")</f>
        <v/>
      </c>
      <c r="B571" s="128" t="str">
        <f>IF('Register Configuration'!F19 = 2,"", "0x5C420000")</f>
        <v/>
      </c>
      <c r="C571" s="494" t="str">
        <f>IF('Register Configuration'!F19 = 2,"", "32")</f>
        <v/>
      </c>
      <c r="D571" s="495" t="str">
        <f>IF('Register Configuration'!F19 = 2,"", "3")</f>
        <v/>
      </c>
    </row>
    <row r="572" spans="1:5" x14ac:dyDescent="0.3">
      <c r="A572" s="128" t="str">
        <f>IF('Register Configuration'!F19 = 2,"", "memory set")</f>
        <v/>
      </c>
      <c r="B572" s="128" t="str">
        <f>IF('Register Configuration'!F19 = 2,"", "0x5C430000")</f>
        <v/>
      </c>
      <c r="C572" s="494" t="str">
        <f>IF('Register Configuration'!F19 = 2,"", "32")</f>
        <v/>
      </c>
      <c r="D572" s="495" t="str">
        <f>IF('Register Configuration'!F19 = 2,"", "3")</f>
        <v/>
      </c>
    </row>
    <row r="573" spans="1:5" x14ac:dyDescent="0.3">
      <c r="A573" s="128" t="str">
        <f>IF('Register Configuration'!F19 = 2,"", "memory set")</f>
        <v/>
      </c>
      <c r="B573" s="128" t="str">
        <f>IF('Register Configuration'!F19 = 2,"", "0x5C500000")</f>
        <v/>
      </c>
      <c r="C573" s="494" t="str">
        <f>IF('Register Configuration'!F19 = 2,"", "32")</f>
        <v/>
      </c>
      <c r="D573" s="495" t="str">
        <f>IF('Register Configuration'!F19 = 2,"", "3")</f>
        <v/>
      </c>
    </row>
    <row r="574" spans="1:5" x14ac:dyDescent="0.3">
      <c r="A574" s="128" t="str">
        <f>IF('Register Configuration'!F19 = 2,"", "memory set")</f>
        <v/>
      </c>
      <c r="B574" s="128" t="str">
        <f>IF('Register Configuration'!F19 = 2,"", "0x5C510000")</f>
        <v/>
      </c>
      <c r="C574" s="494" t="str">
        <f>IF('Register Configuration'!F19 = 2,"", "32")</f>
        <v/>
      </c>
      <c r="D574" s="495" t="str">
        <f>IF('Register Configuration'!F19 = 2,"", "3")</f>
        <v/>
      </c>
    </row>
    <row r="575" spans="1:5" x14ac:dyDescent="0.3">
      <c r="A575" s="128" t="str">
        <f>IF('Register Configuration'!F19 = 2,"", "memory set")</f>
        <v/>
      </c>
      <c r="B575" s="128" t="str">
        <f>IF('Register Configuration'!F19 = 2,"", "0x5C520000")</f>
        <v/>
      </c>
      <c r="C575" s="494" t="str">
        <f>IF('Register Configuration'!F19 = 2,"", "32")</f>
        <v/>
      </c>
      <c r="D575" s="495" t="str">
        <f>IF('Register Configuration'!F19 = 2,"", "3")</f>
        <v/>
      </c>
    </row>
    <row r="576" spans="1:5" x14ac:dyDescent="0.3">
      <c r="A576" s="128" t="str">
        <f>IF('Register Configuration'!F19 = 2,"", "memory set")</f>
        <v/>
      </c>
      <c r="B576" s="128" t="str">
        <f>IF('Register Configuration'!F19 = 2,"", "0x5C530000")</f>
        <v/>
      </c>
      <c r="C576" s="494" t="str">
        <f>IF('Register Configuration'!F19 = 2,"", "32")</f>
        <v/>
      </c>
      <c r="D576" s="495" t="str">
        <f>IF('Register Configuration'!F19 = 2,"", "3")</f>
        <v/>
      </c>
    </row>
    <row r="577" spans="1:4" x14ac:dyDescent="0.3">
      <c r="A577" s="128" t="str">
        <f>IF('Register Configuration'!F19 = 2,"", "memory set")</f>
        <v/>
      </c>
      <c r="B577" s="128" t="str">
        <f>IF('Register Configuration'!F19 = 2,"", "0x5C600000")</f>
        <v/>
      </c>
      <c r="C577" s="494" t="str">
        <f>IF('Register Configuration'!F19 = 2,"", "32")</f>
        <v/>
      </c>
      <c r="D577" s="495" t="str">
        <f>IF('Register Configuration'!F19 = 2,"", "3")</f>
        <v/>
      </c>
    </row>
    <row r="578" spans="1:4" x14ac:dyDescent="0.3">
      <c r="A578" s="128" t="str">
        <f>IF('Register Configuration'!F19 = 2,"", "memory set")</f>
        <v/>
      </c>
      <c r="B578" s="128" t="str">
        <f>IF('Register Configuration'!F19 = 2,"", "0x5C610000")</f>
        <v/>
      </c>
      <c r="C578" s="494" t="str">
        <f>IF('Register Configuration'!F19 = 2,"", "32")</f>
        <v/>
      </c>
      <c r="D578" s="495" t="str">
        <f>IF('Register Configuration'!F19 = 2,"", "3")</f>
        <v/>
      </c>
    </row>
    <row r="579" spans="1:4" x14ac:dyDescent="0.3">
      <c r="A579" s="128" t="str">
        <f>IF('Register Configuration'!F19 = 2,"", "memory set")</f>
        <v/>
      </c>
      <c r="B579" s="128" t="str">
        <f>IF('Register Configuration'!F19 = 2,"", "0x5C620000")</f>
        <v/>
      </c>
      <c r="C579" s="494" t="str">
        <f>IF('Register Configuration'!F19 = 2,"", "32")</f>
        <v/>
      </c>
      <c r="D579" s="495" t="str">
        <f>IF('Register Configuration'!F19 = 2,"", "3")</f>
        <v/>
      </c>
    </row>
    <row r="580" spans="1:4" x14ac:dyDescent="0.3">
      <c r="A580" s="128" t="str">
        <f>IF('Register Configuration'!F19 = 2,"", "memory set")</f>
        <v/>
      </c>
      <c r="B580" s="128" t="str">
        <f>IF('Register Configuration'!F19 = 2,"", "0x5C630000")</f>
        <v/>
      </c>
      <c r="C580" s="494" t="str">
        <f>IF('Register Configuration'!F19 = 2,"", "32")</f>
        <v/>
      </c>
      <c r="D580" s="495" t="str">
        <f>IF('Register Configuration'!F19 = 2,"", "3")</f>
        <v/>
      </c>
    </row>
    <row r="581" spans="1:4" x14ac:dyDescent="0.3">
      <c r="A581" s="128" t="str">
        <f>IF('Register Configuration'!F19 = 2,"", "memory set")</f>
        <v/>
      </c>
      <c r="B581" s="128" t="str">
        <f>IF('Register Configuration'!F19 = 2,"", "0x5C700000")</f>
        <v/>
      </c>
      <c r="C581" s="494" t="str">
        <f>IF('Register Configuration'!F19 = 2,"", "32")</f>
        <v/>
      </c>
      <c r="D581" s="495" t="str">
        <f>IF('Register Configuration'!F19 = 2,"", "3")</f>
        <v/>
      </c>
    </row>
    <row r="582" spans="1:4" x14ac:dyDescent="0.3">
      <c r="A582" s="128" t="str">
        <f>IF('Register Configuration'!F19 = 2,"", "memory set")</f>
        <v/>
      </c>
      <c r="B582" s="128" t="str">
        <f>IF('Register Configuration'!F19 = 2,"", "0x5C710000")</f>
        <v/>
      </c>
      <c r="C582" s="494" t="str">
        <f>IF('Register Configuration'!F19 = 2,"", "32")</f>
        <v/>
      </c>
      <c r="D582" s="495" t="str">
        <f>IF('Register Configuration'!F19 = 2,"", "3")</f>
        <v/>
      </c>
    </row>
    <row r="583" spans="1:4" x14ac:dyDescent="0.3">
      <c r="A583" s="128" t="str">
        <f>IF('Register Configuration'!F19 = 2,"", "memory set")</f>
        <v/>
      </c>
      <c r="B583" s="128" t="str">
        <f>IF('Register Configuration'!F19 = 2,"", "0x5C720000")</f>
        <v/>
      </c>
      <c r="C583" s="494" t="str">
        <f>IF('Register Configuration'!F19 = 2,"", "32")</f>
        <v/>
      </c>
      <c r="D583" s="495" t="str">
        <f>IF('Register Configuration'!F19 = 2,"", "3")</f>
        <v/>
      </c>
    </row>
    <row r="584" spans="1:4" x14ac:dyDescent="0.3">
      <c r="A584" s="128" t="str">
        <f>IF('Register Configuration'!F19 = 2,"", "memory set")</f>
        <v/>
      </c>
      <c r="B584" s="128" t="str">
        <f>IF('Register Configuration'!F19 = 2,"", "0x5C730000")</f>
        <v/>
      </c>
      <c r="C584" s="494" t="str">
        <f>IF('Register Configuration'!F19 = 2,"", "32")</f>
        <v/>
      </c>
      <c r="D584" s="495" t="str">
        <f>IF('Register Configuration'!F19 = 2,"", "3")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88"/>
  <sheetViews>
    <sheetView topLeftCell="A188" zoomScale="90" zoomScaleNormal="90" workbookViewId="0">
      <selection activeCell="A188" sqref="A1:XFD1048576"/>
    </sheetView>
  </sheetViews>
  <sheetFormatPr defaultRowHeight="13.8" x14ac:dyDescent="0.3"/>
  <cols>
    <col min="1" max="1" width="21.6640625" style="127" customWidth="1"/>
    <col min="2" max="2" width="26.6640625" style="127" customWidth="1"/>
    <col min="3" max="3" width="13.44140625" style="127" customWidth="1"/>
    <col min="4" max="4" width="98.109375" style="127" customWidth="1"/>
  </cols>
  <sheetData>
    <row r="1" spans="1:4" x14ac:dyDescent="0.3">
      <c r="A1" s="127" t="s">
        <v>770</v>
      </c>
    </row>
    <row r="3" spans="1:4" x14ac:dyDescent="0.3">
      <c r="A3" s="127" t="s">
        <v>2034</v>
      </c>
    </row>
    <row r="4" spans="1:4" x14ac:dyDescent="0.3">
      <c r="A4" s="127" t="s">
        <v>2035</v>
      </c>
    </row>
    <row r="6" spans="1:4" x14ac:dyDescent="0.3">
      <c r="A6" s="128" t="str">
        <f>IF('Register Configuration'!G28="Apply MR4 manual de-rate workaround", "/*! Enable LPDDR4 derate workaround */", "")</f>
        <v>/*! Enable LPDDR4 derate workaround */</v>
      </c>
      <c r="B6" s="128"/>
    </row>
    <row r="7" spans="1:4" x14ac:dyDescent="0.3">
      <c r="A7" s="128" t="str">
        <f>IF('Register Configuration'!G28="Apply MR4 manual de-rate workaround", "DEFINE", "")</f>
        <v>DEFINE</v>
      </c>
      <c r="B7" s="128" t="str">
        <f>IF('Register Configuration'!G28="Apply MR4 manual de-rate workaround", "LP4_MANUAL_DERATE_WORKAROUND", "")</f>
        <v>LP4_MANUAL_DERATE_WORKAROUND</v>
      </c>
    </row>
    <row r="9" spans="1:4" x14ac:dyDescent="0.3">
      <c r="A9" s="127" t="s">
        <v>2046</v>
      </c>
    </row>
    <row r="10" spans="1:4" x14ac:dyDescent="0.3">
      <c r="A10" s="127" t="s">
        <v>2047</v>
      </c>
      <c r="B10" s="127" t="s">
        <v>2049</v>
      </c>
      <c r="D10" s="127" t="s">
        <v>2052</v>
      </c>
    </row>
    <row r="12" spans="1:4" x14ac:dyDescent="0.3">
      <c r="A12" s="127" t="s">
        <v>2047</v>
      </c>
      <c r="B12" s="127" t="s">
        <v>2244</v>
      </c>
      <c r="C12" s="479" t="str">
        <f>BoardDataBusConfig!F58</f>
        <v>0x180000000</v>
      </c>
      <c r="D12" s="127" t="s">
        <v>2247</v>
      </c>
    </row>
    <row r="13" spans="1:4" x14ac:dyDescent="0.3">
      <c r="A13" s="127" t="s">
        <v>2047</v>
      </c>
      <c r="B13" s="127" t="s">
        <v>2050</v>
      </c>
      <c r="C13" s="479">
        <f>'Register Configuration'!F19</f>
        <v>2</v>
      </c>
      <c r="D13" s="127" t="s">
        <v>2053</v>
      </c>
    </row>
    <row r="14" spans="1:4" x14ac:dyDescent="0.3">
      <c r="A14" s="127" t="s">
        <v>2047</v>
      </c>
      <c r="B14" s="127" t="s">
        <v>2051</v>
      </c>
      <c r="C14" s="479">
        <f>IF('Register Configuration'!F19 = 2,  IF('Register Configuration'!C22=2, 6, 4), IF('Register Configuration'!C22=2, 3, 2))</f>
        <v>6</v>
      </c>
      <c r="D14" s="127" t="s">
        <v>2054</v>
      </c>
    </row>
    <row r="15" spans="1:4" x14ac:dyDescent="0.3">
      <c r="A15" s="127" t="s">
        <v>2048</v>
      </c>
    </row>
    <row r="16" spans="1:4" x14ac:dyDescent="0.3">
      <c r="A16" s="127" t="s">
        <v>2047</v>
      </c>
      <c r="B16" s="127" t="s">
        <v>2055</v>
      </c>
      <c r="C16" s="478" t="s">
        <v>2059</v>
      </c>
    </row>
    <row r="17" spans="1:3" x14ac:dyDescent="0.3">
      <c r="A17" s="127" t="s">
        <v>2047</v>
      </c>
      <c r="B17" s="127" t="s">
        <v>2056</v>
      </c>
      <c r="C17" s="479">
        <f>IF('Register Configuration'!C28 =32, 64, 32)</f>
        <v>64</v>
      </c>
    </row>
    <row r="18" spans="1:3" x14ac:dyDescent="0.3">
      <c r="A18" s="127" t="s">
        <v>2047</v>
      </c>
      <c r="B18" s="127" t="s">
        <v>2057</v>
      </c>
      <c r="C18" s="479" t="str">
        <f>IF('Register Configuration'!F19 = 2, IF('Register Configuration'!C28=32, "0x80008040", "0x80004020"), IF('Register Configuration'!C28=32, "0x80004040", "0x80002020") )</f>
        <v>0x80008040</v>
      </c>
    </row>
    <row r="19" spans="1:3" x14ac:dyDescent="0.3">
      <c r="A19" s="127" t="s">
        <v>2047</v>
      </c>
      <c r="B19" s="127" t="s">
        <v>2058</v>
      </c>
      <c r="C19" s="479">
        <f>IF('Register Configuration'!C28=32, 16, 8)</f>
        <v>16</v>
      </c>
    </row>
    <row r="20" spans="1:3" x14ac:dyDescent="0.3">
      <c r="A20" s="128" t="str">
        <f>IF('Register Configuration'!C22=2, "DEFINE", "")</f>
        <v>DEFINE</v>
      </c>
      <c r="B20" s="128" t="str">
        <f>IF('Register Configuration'!C22=2, "BD_DDR_RET_REGION3_ADDR", "")</f>
        <v>BD_DDR_RET_REGION3_ADDR</v>
      </c>
      <c r="C20" s="479" t="str">
        <f>IF('Register Configuration'!F19 = 2, IF('Register Configuration'!C22=2, IF('Register Configuration'!C28=32, "0x80010000", "0x80008000"), ""),  IF('Register Configuration'!C22=2, IF('Register Configuration'!C28=32, "0x80008000", "0x80004000"), ""))</f>
        <v>0x80010000</v>
      </c>
    </row>
    <row r="21" spans="1:3" x14ac:dyDescent="0.3">
      <c r="A21" s="128" t="str">
        <f>IF('Register Configuration'!C22=2, "DEFINE", "")</f>
        <v>DEFINE</v>
      </c>
      <c r="B21" s="128" t="str">
        <f>IF('Register Configuration'!C22=2, "BD_DDR_RET_REGION3_SIZE", "")</f>
        <v>BD_DDR_RET_REGION3_SIZE</v>
      </c>
      <c r="C21" s="479">
        <f>IF('Register Configuration'!C22=2, IF('Register Configuration'!C28=32, 48, 24), "")</f>
        <v>48</v>
      </c>
    </row>
    <row r="22" spans="1:3" x14ac:dyDescent="0.3">
      <c r="A22" s="127" t="str">
        <f>IF('Register Configuration'!F19 = 2,  "DEFINE", "")</f>
        <v>DEFINE</v>
      </c>
      <c r="B22" s="128" t="str">
        <f>IF('Register Configuration'!F19 = 2, IF('Register Configuration'!C22=2, "BD_DDR_RET_REGION4_ADDR", "BD_DDR_RET_REGION3_ADDR"), "")</f>
        <v>BD_DDR_RET_REGION4_ADDR</v>
      </c>
      <c r="C22" s="478" t="str">
        <f>IF('Register Configuration'!F19=2, "0x80001000","")</f>
        <v>0x80001000</v>
      </c>
    </row>
    <row r="23" spans="1:3" x14ac:dyDescent="0.3">
      <c r="A23" s="127" t="str">
        <f>IF('Register Configuration'!F19 = 2, "DEFINE", "")</f>
        <v>DEFINE</v>
      </c>
      <c r="B23" s="128" t="str">
        <f>IF('Register Configuration'!F19 = 2, IF('Register Configuration'!C22=2, "BD_DDR_RET_REGION4_SIZE", "BD_DDR_RET_REGION3_SIZE"), "")</f>
        <v>BD_DDR_RET_REGION4_SIZE</v>
      </c>
      <c r="C23" s="479">
        <f>IF('Register Configuration'!F19 = 2, IF('Register Configuration'!C28 =32, 64, 32), "")</f>
        <v>64</v>
      </c>
    </row>
    <row r="24" spans="1:3" x14ac:dyDescent="0.3">
      <c r="A24" s="127" t="str">
        <f>IF('Register Configuration'!F19 = 2, "DEFINE", "")</f>
        <v>DEFINE</v>
      </c>
      <c r="B24" s="128" t="str">
        <f>IF('Register Configuration'!F19 = 2, IF('Register Configuration'!C22=2, "BD_DDR_RET_REGION5_ADDR", "BD_DDR_RET_REGION4_ADDR"), "")</f>
        <v>BD_DDR_RET_REGION5_ADDR</v>
      </c>
      <c r="C24" s="479" t="str">
        <f>IF('Register Configuration'!F19 = 2, IF('Register Configuration'!C28=32, "0x80009040", "0x80005020"), "")</f>
        <v>0x80009040</v>
      </c>
    </row>
    <row r="25" spans="1:3" x14ac:dyDescent="0.3">
      <c r="A25" s="127" t="str">
        <f>IF('Register Configuration'!F19 = 2, "DEFINE", "")</f>
        <v>DEFINE</v>
      </c>
      <c r="B25" s="128" t="str">
        <f>IF('Register Configuration'!F19 = 2, IF('Register Configuration'!C22=2, "BD_DDR_RET_REGION5_SIZE", "BD_DDR_RET_REGION4_SIZE"), "")</f>
        <v>BD_DDR_RET_REGION5_SIZE</v>
      </c>
      <c r="C25" s="479">
        <f>IF('Register Configuration'!F19 = 2, IF('Register Configuration'!C28=32, 16, 8), "")</f>
        <v>16</v>
      </c>
    </row>
    <row r="26" spans="1:3" x14ac:dyDescent="0.3">
      <c r="A26" s="128" t="str">
        <f>IF('Register Configuration'!F19 = 2, IF('Register Configuration'!C22=2, "DEFINE", ""), "")</f>
        <v>DEFINE</v>
      </c>
      <c r="B26" s="128" t="str">
        <f>IF('Register Configuration'!F19 = 2, IF('Register Configuration'!C22=2, "BD_DDR_RET_REGION6_ADDR", ""), "")</f>
        <v>BD_DDR_RET_REGION6_ADDR</v>
      </c>
      <c r="C26" s="479" t="str">
        <f>IF('Register Configuration'!F19 = 2, IF('Register Configuration'!C22=2, IF('Register Configuration'!C28=32, "0x80011000", "0x80009000"), ""), "")</f>
        <v>0x80011000</v>
      </c>
    </row>
    <row r="27" spans="1:3" x14ac:dyDescent="0.3">
      <c r="A27" s="128" t="str">
        <f>IF('Register Configuration'!F19 = 2, IF('Register Configuration'!C22=2, "DEFINE", ""), "")</f>
        <v>DEFINE</v>
      </c>
      <c r="B27" s="128" t="str">
        <f>IF('Register Configuration'!F19 = 2, IF('Register Configuration'!C22=2, "BD_DDR_RET_REGION6_SIZE", ""), "")</f>
        <v>BD_DDR_RET_REGION6_SIZE</v>
      </c>
      <c r="C27" s="479">
        <f>IF('Register Configuration'!F19 = 2, IF('Register Configuration'!C22=2, IF('Register Configuration'!C28=32, 48, 24), ""), "")</f>
        <v>48</v>
      </c>
    </row>
    <row r="29" spans="1:3" x14ac:dyDescent="0.3">
      <c r="A29" s="127" t="s">
        <v>767</v>
      </c>
    </row>
    <row r="30" spans="1:3" x14ac:dyDescent="0.3">
      <c r="A30" s="128" t="str">
        <f>" * Device Configuration Data (DCD)" &amp; " Version " &amp; 'Revision History'!B3</f>
        <v xml:space="preserve"> * Device Configuration Data (DCD) Version 23</v>
      </c>
      <c r="B30" s="128"/>
      <c r="C30" s="128"/>
    </row>
    <row r="31" spans="1:3" x14ac:dyDescent="0.3">
      <c r="A31" s="127" t="s">
        <v>768</v>
      </c>
    </row>
    <row r="32" spans="1:3" x14ac:dyDescent="0.3">
      <c r="A32" s="127" t="s">
        <v>771</v>
      </c>
    </row>
    <row r="33" spans="1:3" x14ac:dyDescent="0.3">
      <c r="A33" s="127" t="s">
        <v>772</v>
      </c>
    </row>
    <row r="34" spans="1:3" x14ac:dyDescent="0.3">
      <c r="A34" s="127" t="s">
        <v>768</v>
      </c>
    </row>
    <row r="35" spans="1:3" x14ac:dyDescent="0.3">
      <c r="A35" s="127" t="s">
        <v>773</v>
      </c>
    </row>
    <row r="36" spans="1:3" x14ac:dyDescent="0.3">
      <c r="A36" s="127" t="s">
        <v>779</v>
      </c>
    </row>
    <row r="37" spans="1:3" x14ac:dyDescent="0.3">
      <c r="A37" s="127" t="s">
        <v>777</v>
      </c>
    </row>
    <row r="38" spans="1:3" x14ac:dyDescent="0.3">
      <c r="A38" s="127" t="s">
        <v>778</v>
      </c>
    </row>
    <row r="39" spans="1:3" x14ac:dyDescent="0.3">
      <c r="A39" s="127" t="s">
        <v>769</v>
      </c>
    </row>
    <row r="41" spans="1:3" x14ac:dyDescent="0.3">
      <c r="A41" s="127" t="s">
        <v>1902</v>
      </c>
    </row>
    <row r="42" spans="1:3" x14ac:dyDescent="0.3">
      <c r="A42" s="129" t="s">
        <v>1903</v>
      </c>
      <c r="B42" s="129"/>
    </row>
    <row r="43" spans="1:3" x14ac:dyDescent="0.3">
      <c r="B43" s="127" t="s">
        <v>1904</v>
      </c>
    </row>
    <row r="44" spans="1:3" x14ac:dyDescent="0.3">
      <c r="A44" s="127" t="s">
        <v>1905</v>
      </c>
    </row>
    <row r="45" spans="1:3" x14ac:dyDescent="0.3">
      <c r="A45" s="128" t="str">
        <f>IF('Register Configuration'!C29&lt;&gt;1600,"if (rom_caller == SC_FALSE)","")</f>
        <v/>
      </c>
      <c r="B45" s="128"/>
      <c r="C45" s="128"/>
    </row>
    <row r="46" spans="1:3" x14ac:dyDescent="0.3">
      <c r="A46" s="128" t="str">
        <f>IF('Register Configuration'!C29&lt;&gt;1600, "{",  "")</f>
        <v/>
      </c>
      <c r="B46" s="128"/>
      <c r="C46" s="128"/>
    </row>
    <row r="47" spans="1:3" x14ac:dyDescent="0.3">
      <c r="A47" s="128"/>
      <c r="B47" s="128" t="str">
        <f>IF('Register Configuration'!C29&lt;&gt;1600, "/* Set the DRC rate to " &amp; 'Register Configuration'!C29  &amp;"MHz. */", "")</f>
        <v/>
      </c>
      <c r="C47" s="128"/>
    </row>
    <row r="48" spans="1:3" x14ac:dyDescent="0.3">
      <c r="A48" s="128"/>
      <c r="B48" s="128" t="str">
        <f>IF('Register Configuration'!C29=800, "uint32_t rate2 = SC_400MHZ;", IF('Register Configuration'!C29=1200, "uint32_t rate2 = SC_600MHZ;", ""))</f>
        <v/>
      </c>
      <c r="C48" s="128"/>
    </row>
    <row r="49" spans="1:3" x14ac:dyDescent="0.3">
      <c r="A49" s="128"/>
      <c r="B49" s="128" t="str">
        <f>IF('Register Configuration'!C29&lt;&gt;1600, "(void) pm_set_clock_rate(SC_PT, SC_R_DRC_0, SC_PM_CLK_MISC0, &amp;rate2);","")</f>
        <v/>
      </c>
      <c r="C49" s="128"/>
    </row>
    <row r="50" spans="1:3" x14ac:dyDescent="0.3">
      <c r="A50" s="128"/>
      <c r="B50" s="128" t="str">
        <f>IF('Register Configuration'!C29&lt;&gt;1600, "(void) pm_set_clock_rate(SC_PT, SC_R_DRC_1, SC_PM_CLK_MISC0, &amp;rate2);","")</f>
        <v/>
      </c>
      <c r="C50" s="128"/>
    </row>
    <row r="51" spans="1:3" x14ac:dyDescent="0.3">
      <c r="A51" s="128" t="str">
        <f>IF('Register Configuration'!C29&lt;&gt;1600, "}", "")</f>
        <v/>
      </c>
      <c r="B51" s="128"/>
      <c r="C51" s="128"/>
    </row>
    <row r="52" spans="1:3" x14ac:dyDescent="0.3">
      <c r="A52" s="128" t="str">
        <f>IF('Register Configuration'!C29&lt;&gt;1600, "else","")</f>
        <v/>
      </c>
      <c r="B52" s="128"/>
      <c r="C52" s="128"/>
    </row>
    <row r="53" spans="1:3" x14ac:dyDescent="0.3">
      <c r="A53" s="128" t="str">
        <f>IF('Register Configuration'!C29&lt;&gt;1600, "{","")</f>
        <v/>
      </c>
      <c r="B53" s="128"/>
      <c r="C53" s="128"/>
    </row>
    <row r="54" spans="1:3" x14ac:dyDescent="0.3">
      <c r="A54" s="128" t="str">
        <f>IF('Register Configuration'!C29=800, "/* Change to div4 output */", IF('Register Configuration'!C29=1200, "/* gate the cslice and ssslice*/", ""))</f>
        <v/>
      </c>
      <c r="B54" s="128"/>
      <c r="C54" s="128"/>
    </row>
    <row r="55" spans="1:3" x14ac:dyDescent="0.3">
      <c r="A55" s="128" t="str">
        <f>IF('Register Configuration'!C29=800,"DATA 4 0x41A43800 0x4C000000",IF('Register Configuration'!C29=1200,"CLR_BIT 4 0x41A43800 0xDC000000",""))</f>
        <v/>
      </c>
      <c r="B55" s="128"/>
      <c r="C55" s="128"/>
    </row>
    <row r="56" spans="1:3" x14ac:dyDescent="0.3">
      <c r="A56" s="128" t="str">
        <f>IF('Register Configuration'!C29=800,"DATA 4 0x41D03800 0x4C000000",IF('Register Configuration'!C29=1200,"CLR_BIT 4 0x41A42C00 0xDC00001F",""))</f>
        <v/>
      </c>
      <c r="B56" s="128"/>
      <c r="C56" s="128"/>
    </row>
    <row r="57" spans="1:3" x14ac:dyDescent="0.3">
      <c r="A57" s="128"/>
      <c r="B57" s="128"/>
      <c r="C57" s="128"/>
    </row>
    <row r="58" spans="1:3" x14ac:dyDescent="0.3">
      <c r="A58" s="128" t="str">
        <f>IF('Register Configuration'!C29=1200,"/* relock HP PLL to 2400MHz */ ", "")</f>
        <v/>
      </c>
      <c r="B58" s="128"/>
      <c r="C58" s="128"/>
    </row>
    <row r="59" spans="1:3" x14ac:dyDescent="0.3">
      <c r="A59" s="128" t="str">
        <f>IF('Register Configuration'!C29=1200,"/* Enable PLL isolation */ ", "")</f>
        <v/>
      </c>
      <c r="B59" s="128"/>
      <c r="C59" s="128"/>
    </row>
    <row r="60" spans="1:3" x14ac:dyDescent="0.3">
      <c r="A60" s="128" t="str">
        <f>IF('Register Configuration'!C29=1200,"DSC_AIRegisterWrite(0x12,0,8,0x40000000);", "")</f>
        <v/>
      </c>
      <c r="B60" s="128"/>
      <c r="C60" s="128"/>
    </row>
    <row r="61" spans="1:3" x14ac:dyDescent="0.3">
      <c r="A61" s="128" t="str">
        <f>IF('Register Configuration'!C29=1200,"/* power down PLL and clear dividers */", "")</f>
        <v/>
      </c>
      <c r="B61" s="128"/>
      <c r="C61" s="128"/>
    </row>
    <row r="62" spans="1:3" x14ac:dyDescent="0.3">
      <c r="A62" s="128" t="str">
        <f>IF('Register Configuration'!C29=1200,"DSC_AIRegisterWrite(0x12,0,8,0x000020FF);", "")</f>
        <v/>
      </c>
      <c r="B62" s="128"/>
      <c r="C62" s="128"/>
    </row>
    <row r="63" spans="1:3" x14ac:dyDescent="0.3">
      <c r="A63" s="128" t="str">
        <f>IF('Register Configuration'!C29=1200,"/* Set the divider */", "")</f>
        <v/>
      </c>
      <c r="B63" s="128"/>
      <c r="C63" s="128"/>
    </row>
    <row r="64" spans="1:3" x14ac:dyDescent="0.3">
      <c r="A64" s="128" t="str">
        <f>IF('Register Configuration'!C29=1200,"DSC_AIRegisterWrite(0x12,0,4,0x000000C8);", "")</f>
        <v/>
      </c>
      <c r="B64" s="128"/>
      <c r="C64" s="128"/>
    </row>
    <row r="65" spans="1:3" x14ac:dyDescent="0.3">
      <c r="A65" s="128" t="str">
        <f>IF('Register Configuration'!C29=1200,"/* power up PLL and set hold ring off */", "")</f>
        <v/>
      </c>
      <c r="B65" s="128"/>
      <c r="C65" s="128"/>
    </row>
    <row r="66" spans="1:3" x14ac:dyDescent="0.3">
      <c r="A66" s="128" t="str">
        <f>IF('Register Configuration'!C29=1200,"DSC_AIRegisterWrite(0x12,0,4,0x00003000);", "")</f>
        <v/>
      </c>
      <c r="B66" s="128"/>
      <c r="C66" s="128"/>
    </row>
    <row r="67" spans="1:3" x14ac:dyDescent="0.3">
      <c r="A67" s="128" t="str">
        <f>IF('Register Configuration'!C29=1200,"SYSCTR_TimeDelay(25);", "")</f>
        <v/>
      </c>
      <c r="B67" s="128"/>
      <c r="C67" s="128"/>
    </row>
    <row r="68" spans="1:3" x14ac:dyDescent="0.3">
      <c r="A68" s="128" t="str">
        <f>IF('Register Configuration'!C29=1200,"/* clear hold ring off */", "")</f>
        <v/>
      </c>
      <c r="B68" s="128"/>
      <c r="C68" s="128"/>
    </row>
    <row r="69" spans="1:3" x14ac:dyDescent="0.3">
      <c r="A69" s="128" t="str">
        <f>IF('Register Configuration'!C29=1200,"DSC_AIRegisterWrite(0x12,0,8,0x00001000);", "")</f>
        <v/>
      </c>
      <c r="B69" s="128"/>
      <c r="C69" s="128"/>
    </row>
    <row r="70" spans="1:3" x14ac:dyDescent="0.3">
      <c r="A70" s="128" t="str">
        <f>IF('Register Configuration'!C29=1200,"SYSCTR_TimeDelay(50);", "")</f>
        <v/>
      </c>
      <c r="B70" s="128"/>
      <c r="C70" s="128"/>
    </row>
    <row r="71" spans="1:3" x14ac:dyDescent="0.3">
      <c r="A71" s="128" t="str">
        <f>IF('Register Configuration'!C29=1200,"/* disable PLL isolation */", "")</f>
        <v/>
      </c>
      <c r="B71" s="128"/>
      <c r="C71" s="128"/>
    </row>
    <row r="72" spans="1:3" x14ac:dyDescent="0.3">
      <c r="A72" s="128" t="str">
        <f>IF('Register Configuration'!C29=1200,"DSC_AIRegisterWrite(0x12,0,4,0x40000000);", "")</f>
        <v/>
      </c>
      <c r="B72" s="128"/>
      <c r="C72" s="128"/>
    </row>
    <row r="73" spans="1:3" x14ac:dyDescent="0.3">
      <c r="A73" s="128"/>
      <c r="B73" s="128"/>
      <c r="C73" s="128"/>
    </row>
    <row r="74" spans="1:3" x14ac:dyDescent="0.3">
      <c r="A74" s="128" t="str">
        <f>IF('Register Configuration'!C29=1200,"/* Ungate cslice and ssslice */", "")</f>
        <v/>
      </c>
      <c r="B74" s="128"/>
      <c r="C74" s="128"/>
    </row>
    <row r="75" spans="1:3" x14ac:dyDescent="0.3">
      <c r="A75" s="128" t="str">
        <f>IF('Register Configuration'!C29=1200,"SET_BIT 4 0x41A42C00 0x4C000002", "")</f>
        <v/>
      </c>
      <c r="B75" s="128"/>
      <c r="C75" s="128"/>
    </row>
    <row r="76" spans="1:3" x14ac:dyDescent="0.3">
      <c r="A76" s="128" t="str">
        <f>IF('Register Configuration'!C29=1200,"SET_BIT 4 0x41A43800 0x4C000000", "")</f>
        <v/>
      </c>
      <c r="B76" s="128"/>
      <c r="C76" s="128"/>
    </row>
    <row r="77" spans="1:3" x14ac:dyDescent="0.3">
      <c r="A77" s="128"/>
      <c r="B77" s="128"/>
      <c r="C77" s="128"/>
    </row>
    <row r="78" spans="1:3" x14ac:dyDescent="0.3">
      <c r="A78" s="128" t="str">
        <f>IF('Register Configuration'!C29=1200,"/* gate the cslice and ssslice */", "")</f>
        <v/>
      </c>
      <c r="B78" s="128"/>
      <c r="C78" s="128"/>
    </row>
    <row r="79" spans="1:3" x14ac:dyDescent="0.3">
      <c r="A79" s="128" t="str">
        <f>IF('Register Configuration'!C29=1200,"CLR_BIT 4 0x41D03800 0xDC000000", "")</f>
        <v/>
      </c>
      <c r="B79" s="128"/>
      <c r="C79" s="128"/>
    </row>
    <row r="80" spans="1:3" x14ac:dyDescent="0.3">
      <c r="A80" s="128" t="str">
        <f>IF('Register Configuration'!C29=1200,"CLR_BIT 4 0x41D02C00 0xDC00001F", "")</f>
        <v/>
      </c>
      <c r="B80" s="128"/>
      <c r="C80" s="128"/>
    </row>
    <row r="81" spans="1:3" x14ac:dyDescent="0.3">
      <c r="A81" s="128"/>
      <c r="B81" s="128"/>
      <c r="C81" s="128"/>
    </row>
    <row r="82" spans="1:3" x14ac:dyDescent="0.3">
      <c r="A82" s="128" t="str">
        <f>IF('Register Configuration'!C29=1200,"/* relock HP PLL to 2400MHz */", "")</f>
        <v/>
      </c>
      <c r="B82" s="128"/>
      <c r="C82" s="128"/>
    </row>
    <row r="83" spans="1:3" x14ac:dyDescent="0.3">
      <c r="A83" s="128" t="str">
        <f>IF('Register Configuration'!C29=1200,"/* Enable PLL isolation */", "")</f>
        <v/>
      </c>
      <c r="B83" s="128"/>
      <c r="C83" s="128"/>
    </row>
    <row r="84" spans="1:3" x14ac:dyDescent="0.3">
      <c r="A84" s="128" t="str">
        <f>IF('Register Configuration'!C29=1200,"DSC_AIRegisterWrite(0x28,0,8,0x40000000);", "")</f>
        <v/>
      </c>
      <c r="B84" s="128"/>
      <c r="C84" s="128"/>
    </row>
    <row r="85" spans="1:3" x14ac:dyDescent="0.3">
      <c r="A85" s="128" t="str">
        <f>IF('Register Configuration'!C29=1200,"/* power down PLL and clear dividers */", "")</f>
        <v/>
      </c>
      <c r="B85" s="128"/>
      <c r="C85" s="128"/>
    </row>
    <row r="86" spans="1:3" x14ac:dyDescent="0.3">
      <c r="A86" s="128" t="str">
        <f>IF('Register Configuration'!C29=1200,"DSC_AIRegisterWrite(0x28,0,8,0x000020FF);", "")</f>
        <v/>
      </c>
      <c r="B86" s="128"/>
      <c r="C86" s="128"/>
    </row>
    <row r="87" spans="1:3" x14ac:dyDescent="0.3">
      <c r="A87" s="128" t="str">
        <f>IF('Register Configuration'!C29=1200,"/* Set the divider */", "")</f>
        <v/>
      </c>
      <c r="B87" s="128"/>
      <c r="C87" s="128"/>
    </row>
    <row r="88" spans="1:3" x14ac:dyDescent="0.3">
      <c r="A88" s="128" t="str">
        <f>IF('Register Configuration'!C29=1200,"DSC_AIRegisterWrite(0x28,0,4,0x000000C8);", "")</f>
        <v/>
      </c>
      <c r="B88" s="128"/>
      <c r="C88" s="128"/>
    </row>
    <row r="89" spans="1:3" x14ac:dyDescent="0.3">
      <c r="A89" s="128" t="str">
        <f>IF('Register Configuration'!C29=1200,"/* power up PLL and set hold ring off */", "")</f>
        <v/>
      </c>
      <c r="B89" s="128"/>
      <c r="C89" s="128"/>
    </row>
    <row r="90" spans="1:3" x14ac:dyDescent="0.3">
      <c r="A90" s="128" t="str">
        <f>IF('Register Configuration'!C29=1200,"DSC_AIRegisterWrite(0x28,0,4,0x00003000);", "")</f>
        <v/>
      </c>
      <c r="B90" s="128"/>
      <c r="C90" s="128"/>
    </row>
    <row r="91" spans="1:3" x14ac:dyDescent="0.3">
      <c r="A91" s="128" t="str">
        <f>IF('Register Configuration'!C29=1200,"SYSCTR_TimeDelay(25);", "")</f>
        <v/>
      </c>
      <c r="B91" s="128"/>
      <c r="C91" s="128"/>
    </row>
    <row r="92" spans="1:3" x14ac:dyDescent="0.3">
      <c r="A92" s="128" t="str">
        <f>IF('Register Configuration'!C29=1200,"/* clear hold ring off */", "")</f>
        <v/>
      </c>
      <c r="B92" s="128"/>
      <c r="C92" s="128"/>
    </row>
    <row r="93" spans="1:3" x14ac:dyDescent="0.3">
      <c r="A93" s="128" t="str">
        <f>IF('Register Configuration'!C29=1200,"DSC_AIRegisterWrite(0x28,0,8,0x00001000);", "")</f>
        <v/>
      </c>
      <c r="B93" s="128"/>
      <c r="C93" s="128"/>
    </row>
    <row r="94" spans="1:3" x14ac:dyDescent="0.3">
      <c r="A94" s="128" t="str">
        <f>IF('Register Configuration'!C29=1200,"SYSCTR_TimeDelay(50);", "")</f>
        <v/>
      </c>
      <c r="B94" s="128"/>
      <c r="C94" s="128"/>
    </row>
    <row r="95" spans="1:3" x14ac:dyDescent="0.3">
      <c r="A95" s="128" t="str">
        <f>IF('Register Configuration'!C29=1200,"/* disable PLL isolation */", "")</f>
        <v/>
      </c>
      <c r="B95" s="128"/>
      <c r="C95" s="128"/>
    </row>
    <row r="96" spans="1:3" x14ac:dyDescent="0.3">
      <c r="A96" s="128" t="str">
        <f>IF('Register Configuration'!C29=1200,"DSC_AIRegisterWrite(0x28,0,4,0x40000000);", "")</f>
        <v/>
      </c>
      <c r="B96" s="128"/>
      <c r="C96" s="128"/>
    </row>
    <row r="97" spans="1:4" x14ac:dyDescent="0.3">
      <c r="A97" s="128"/>
      <c r="B97" s="128"/>
      <c r="C97" s="128"/>
    </row>
    <row r="98" spans="1:4" x14ac:dyDescent="0.3">
      <c r="A98" s="128" t="str">
        <f>IF('Register Configuration'!C29=1200,"/* Ungate cslice and ssslice */", "")</f>
        <v/>
      </c>
      <c r="B98" s="128"/>
      <c r="C98" s="128"/>
    </row>
    <row r="99" spans="1:4" x14ac:dyDescent="0.3">
      <c r="A99" s="128" t="str">
        <f>IF('Register Configuration'!C29=1200,"SET_BIT 4 0x41D02C00 0x4C000002", "")</f>
        <v/>
      </c>
      <c r="B99" s="128"/>
      <c r="C99" s="128"/>
    </row>
    <row r="100" spans="1:4" x14ac:dyDescent="0.3">
      <c r="A100" s="128" t="str">
        <f>IF('Register Configuration'!C29=1200,"SET_BIT 4 0x41D03800 0x4C000000", "")</f>
        <v/>
      </c>
      <c r="B100" s="128"/>
      <c r="C100" s="128"/>
    </row>
    <row r="101" spans="1:4" x14ac:dyDescent="0.3">
      <c r="A101" s="128" t="str">
        <f>IF('Register Configuration'!C29&lt;&gt;1600, "}","")</f>
        <v/>
      </c>
      <c r="B101" s="128"/>
      <c r="C101" s="128"/>
    </row>
    <row r="103" spans="1:4" x14ac:dyDescent="0.3">
      <c r="A103" s="127" t="s">
        <v>780</v>
      </c>
      <c r="B103" s="127" t="s">
        <v>781</v>
      </c>
      <c r="C103" s="127" t="s">
        <v>785</v>
      </c>
      <c r="D103" s="127" t="s">
        <v>2252</v>
      </c>
    </row>
    <row r="104" spans="1:4" x14ac:dyDescent="0.3">
      <c r="A104" s="127" t="str">
        <f>IF('Register Configuration'!F19 = 2,"", "//") &amp; "DATA 4"</f>
        <v>DATA 4</v>
      </c>
      <c r="B104" s="127" t="s">
        <v>782</v>
      </c>
      <c r="C104" s="127" t="s">
        <v>785</v>
      </c>
      <c r="D104" s="127" t="s">
        <v>2252</v>
      </c>
    </row>
    <row r="105" spans="1:4" x14ac:dyDescent="0.3">
      <c r="A105" s="127" t="s">
        <v>780</v>
      </c>
      <c r="B105" s="127" t="s">
        <v>2249</v>
      </c>
      <c r="C105" s="127" t="s">
        <v>2251</v>
      </c>
      <c r="D105" s="127" t="s">
        <v>2253</v>
      </c>
    </row>
    <row r="106" spans="1:4" x14ac:dyDescent="0.3">
      <c r="A106" s="127" t="str">
        <f>IF('Register Configuration'!F19 = 2,"", "//") &amp; "DATA 4"</f>
        <v>DATA 4</v>
      </c>
      <c r="B106" s="127" t="s">
        <v>2250</v>
      </c>
      <c r="C106" s="127" t="s">
        <v>2251</v>
      </c>
      <c r="D106" s="127" t="s">
        <v>2253</v>
      </c>
    </row>
    <row r="107" spans="1:4" x14ac:dyDescent="0.3">
      <c r="A107" s="127" t="s">
        <v>780</v>
      </c>
      <c r="B107" s="127" t="s">
        <v>783</v>
      </c>
      <c r="C107" s="127" t="s">
        <v>785</v>
      </c>
      <c r="D107" s="127" t="s">
        <v>2254</v>
      </c>
    </row>
    <row r="108" spans="1:4" x14ac:dyDescent="0.3">
      <c r="A108" s="127" t="str">
        <f>IF('Register Configuration'!F19 = 2,"", "//") &amp; "DATA 4"</f>
        <v>DATA 4</v>
      </c>
      <c r="B108" s="127" t="s">
        <v>784</v>
      </c>
      <c r="C108" s="127" t="s">
        <v>785</v>
      </c>
      <c r="D108" s="127" t="s">
        <v>2254</v>
      </c>
    </row>
    <row r="109" spans="1:4" x14ac:dyDescent="0.3">
      <c r="A109" s="127" t="s">
        <v>774</v>
      </c>
    </row>
    <row r="110" spans="1:4" x14ac:dyDescent="0.3">
      <c r="A110" s="127" t="s">
        <v>786</v>
      </c>
      <c r="B110" s="127" t="s">
        <v>787</v>
      </c>
      <c r="C110" s="128" t="str">
        <f>'Register Configuration'!J41</f>
        <v>0xC3080020</v>
      </c>
      <c r="D110" s="127" t="s">
        <v>788</v>
      </c>
    </row>
    <row r="111" spans="1:4" x14ac:dyDescent="0.3">
      <c r="A111" s="127" t="s">
        <v>786</v>
      </c>
      <c r="B111" s="127" t="s">
        <v>1245</v>
      </c>
      <c r="C111" s="128" t="str">
        <f>'Register Configuration'!J168</f>
        <v>0x00000213</v>
      </c>
      <c r="D111" s="127" t="s">
        <v>1247</v>
      </c>
    </row>
    <row r="112" spans="1:4" x14ac:dyDescent="0.3">
      <c r="A112" s="127" t="s">
        <v>786</v>
      </c>
      <c r="B112" s="127" t="s">
        <v>1246</v>
      </c>
      <c r="C112" s="128" t="str">
        <f>'Register Configuration'!J173</f>
        <v>0x0186A000</v>
      </c>
      <c r="D112" s="127" t="s">
        <v>1248</v>
      </c>
    </row>
    <row r="113" spans="1:4" x14ac:dyDescent="0.3">
      <c r="A113" s="127" t="s">
        <v>786</v>
      </c>
      <c r="B113" s="127" t="s">
        <v>2023</v>
      </c>
      <c r="C113" s="128" t="str">
        <f>'Register Configuration'!J86</f>
        <v>0x0021F000</v>
      </c>
    </row>
    <row r="114" spans="1:4" x14ac:dyDescent="0.3">
      <c r="A114" s="127" t="s">
        <v>786</v>
      </c>
      <c r="B114" s="127" t="s">
        <v>2025</v>
      </c>
      <c r="C114" s="128" t="str">
        <f>'Register Configuration'!J91</f>
        <v>0x006100E0</v>
      </c>
      <c r="D114" s="127" t="s">
        <v>789</v>
      </c>
    </row>
    <row r="115" spans="1:4" x14ac:dyDescent="0.3">
      <c r="A115" s="127" t="s">
        <v>786</v>
      </c>
      <c r="B115" s="127" t="s">
        <v>2026</v>
      </c>
      <c r="C115" s="128" t="str">
        <f>'Register Configuration'!J95</f>
        <v>0x4003061C</v>
      </c>
      <c r="D115" s="127" t="s">
        <v>1070</v>
      </c>
    </row>
    <row r="116" spans="1:4" x14ac:dyDescent="0.3">
      <c r="A116" s="127" t="s">
        <v>786</v>
      </c>
      <c r="B116" s="127" t="s">
        <v>2027</v>
      </c>
      <c r="C116" s="128" t="str">
        <f>'Register Configuration'!J99</f>
        <v>0x009E0000</v>
      </c>
      <c r="D116" s="127" t="s">
        <v>1071</v>
      </c>
    </row>
    <row r="117" spans="1:4" x14ac:dyDescent="0.3">
      <c r="A117" s="127" t="s">
        <v>786</v>
      </c>
      <c r="B117" s="127" t="s">
        <v>2028</v>
      </c>
      <c r="C117" s="128" t="str">
        <f>'Register Configuration'!J186</f>
        <v>0x0054002D</v>
      </c>
      <c r="D117" s="127" t="s">
        <v>1851</v>
      </c>
    </row>
    <row r="118" spans="1:4" x14ac:dyDescent="0.3">
      <c r="A118" s="127" t="s">
        <v>786</v>
      </c>
      <c r="B118" s="127" t="s">
        <v>2029</v>
      </c>
      <c r="C118" s="128" t="str">
        <f>'Register Configuration'!K198</f>
        <v>0x00F10000</v>
      </c>
      <c r="D118" s="127" t="s">
        <v>790</v>
      </c>
    </row>
    <row r="119" spans="1:4" x14ac:dyDescent="0.3">
      <c r="A119" s="127" t="s">
        <v>780</v>
      </c>
      <c r="B119" s="127" t="s">
        <v>792</v>
      </c>
      <c r="C119" s="128" t="str">
        <f>'Register Configuration'!J104</f>
        <v>0x0000066F</v>
      </c>
      <c r="D119" s="127" t="s">
        <v>849</v>
      </c>
    </row>
    <row r="120" spans="1:4" x14ac:dyDescent="0.3">
      <c r="A120" s="127" t="s">
        <v>780</v>
      </c>
      <c r="B120" s="127" t="s">
        <v>793</v>
      </c>
      <c r="C120" s="128" t="str">
        <f>'Register Configuration'!J108</f>
        <v>0x1A201B22</v>
      </c>
      <c r="D120" s="127" t="s">
        <v>831</v>
      </c>
    </row>
    <row r="121" spans="1:4" x14ac:dyDescent="0.3">
      <c r="A121" s="127" t="s">
        <v>780</v>
      </c>
      <c r="B121" s="127" t="s">
        <v>794</v>
      </c>
      <c r="C121" s="128" t="str">
        <f>'Register Configuration'!J113</f>
        <v>0x00060633</v>
      </c>
      <c r="D121" s="127" t="s">
        <v>832</v>
      </c>
    </row>
    <row r="122" spans="1:4" x14ac:dyDescent="0.3">
      <c r="A122" s="127" t="s">
        <v>780</v>
      </c>
      <c r="B122" s="127" t="s">
        <v>795</v>
      </c>
      <c r="C122" s="128" t="str">
        <f>'Register Configuration'!J119</f>
        <v>0x07101617</v>
      </c>
      <c r="D122" s="127" t="s">
        <v>833</v>
      </c>
    </row>
    <row r="123" spans="1:4" x14ac:dyDescent="0.3">
      <c r="A123" s="127" t="s">
        <v>780</v>
      </c>
      <c r="B123" s="127" t="s">
        <v>796</v>
      </c>
      <c r="C123" s="128" t="str">
        <f>'Register Configuration'!J124</f>
        <v>0x00C0C000</v>
      </c>
      <c r="D123" s="127" t="s">
        <v>834</v>
      </c>
    </row>
    <row r="124" spans="1:4" x14ac:dyDescent="0.3">
      <c r="A124" s="127" t="s">
        <v>780</v>
      </c>
      <c r="B124" s="127" t="s">
        <v>797</v>
      </c>
      <c r="C124" s="128" t="str">
        <f>'Register Configuration'!J128</f>
        <v>0x0F04080F</v>
      </c>
      <c r="D124" s="127" t="s">
        <v>835</v>
      </c>
    </row>
    <row r="125" spans="1:4" x14ac:dyDescent="0.3">
      <c r="A125" s="127" t="s">
        <v>780</v>
      </c>
      <c r="B125" s="127" t="s">
        <v>798</v>
      </c>
      <c r="C125" s="128" t="str">
        <f>'Register Configuration'!J133</f>
        <v>0x02040C0C</v>
      </c>
      <c r="D125" s="127" t="s">
        <v>836</v>
      </c>
    </row>
    <row r="126" spans="1:4" x14ac:dyDescent="0.3">
      <c r="A126" s="127" t="s">
        <v>780</v>
      </c>
      <c r="B126" s="127" t="s">
        <v>799</v>
      </c>
      <c r="C126" s="128" t="str">
        <f>'Register Configuration'!J139</f>
        <v>0x02020007</v>
      </c>
      <c r="D126" s="127" t="s">
        <v>837</v>
      </c>
    </row>
    <row r="127" spans="1:4" x14ac:dyDescent="0.3">
      <c r="A127" s="127" t="s">
        <v>780</v>
      </c>
      <c r="B127" s="127" t="s">
        <v>800</v>
      </c>
      <c r="C127" s="128" t="str">
        <f>'Register Configuration'!J144</f>
        <v>0x00000401</v>
      </c>
      <c r="D127" s="127" t="s">
        <v>838</v>
      </c>
    </row>
    <row r="128" spans="1:4" x14ac:dyDescent="0.3">
      <c r="A128" s="127" t="s">
        <v>780</v>
      </c>
      <c r="B128" s="127" t="s">
        <v>801</v>
      </c>
      <c r="C128" s="128" t="str">
        <f>'Register Configuration'!J147</f>
        <v>0x00020610</v>
      </c>
      <c r="D128" s="127" t="s">
        <v>1072</v>
      </c>
    </row>
    <row r="129" spans="1:6" x14ac:dyDescent="0.3">
      <c r="A129" s="127" t="s">
        <v>780</v>
      </c>
      <c r="B129" s="127" t="s">
        <v>802</v>
      </c>
      <c r="C129" s="128" t="str">
        <f>'Register Configuration'!J151</f>
        <v>0x0C100002</v>
      </c>
      <c r="D129" s="127" t="s">
        <v>839</v>
      </c>
    </row>
    <row r="130" spans="1:6" x14ac:dyDescent="0.3">
      <c r="A130" s="127" t="s">
        <v>780</v>
      </c>
      <c r="B130" s="127" t="s">
        <v>803</v>
      </c>
      <c r="C130" s="128" t="str">
        <f>'Register Configuration'!J155</f>
        <v>0x000000E6</v>
      </c>
      <c r="D130" s="127" t="s">
        <v>822</v>
      </c>
    </row>
    <row r="131" spans="1:6" x14ac:dyDescent="0.3">
      <c r="A131" s="127" t="s">
        <v>780</v>
      </c>
      <c r="B131" s="127" t="s">
        <v>804</v>
      </c>
      <c r="C131" s="128" t="str">
        <f>'Register Configuration'!J157</f>
        <v>0x03200018</v>
      </c>
      <c r="D131" s="127" t="s">
        <v>840</v>
      </c>
    </row>
    <row r="132" spans="1:6" x14ac:dyDescent="0.3">
      <c r="A132" s="127" t="s">
        <v>780</v>
      </c>
      <c r="B132" s="127" t="s">
        <v>805</v>
      </c>
      <c r="C132" s="128" t="str">
        <f>'Register Configuration'!J165</f>
        <v>0x028061A8</v>
      </c>
      <c r="D132" s="127" t="s">
        <v>841</v>
      </c>
    </row>
    <row r="133" spans="1:6" x14ac:dyDescent="0.3">
      <c r="A133" s="127" t="s">
        <v>780</v>
      </c>
      <c r="B133" s="127" t="s">
        <v>806</v>
      </c>
      <c r="C133" s="128" t="str">
        <f>'Register Configuration'!J219</f>
        <v>0x049E820C</v>
      </c>
      <c r="D133" s="127" t="s">
        <v>842</v>
      </c>
    </row>
    <row r="134" spans="1:6" x14ac:dyDescent="0.3">
      <c r="A134" s="127" t="s">
        <v>780</v>
      </c>
      <c r="B134" s="127" t="s">
        <v>807</v>
      </c>
      <c r="C134" s="128" t="str">
        <f>'Register Configuration'!J226</f>
        <v>0x00070303</v>
      </c>
      <c r="D134" s="127" t="s">
        <v>843</v>
      </c>
    </row>
    <row r="135" spans="1:6" x14ac:dyDescent="0.3">
      <c r="A135" s="127" t="s">
        <v>780</v>
      </c>
      <c r="B135" s="127" t="s">
        <v>808</v>
      </c>
      <c r="C135" s="128" t="str">
        <f>'Register Configuration'!J232</f>
        <v>0x00001C0A</v>
      </c>
      <c r="D135" s="127" t="s">
        <v>844</v>
      </c>
    </row>
    <row r="136" spans="1:6" x14ac:dyDescent="0.3">
      <c r="A136" s="127" t="s">
        <v>780</v>
      </c>
      <c r="B136" s="127" t="s">
        <v>809</v>
      </c>
      <c r="C136" s="128" t="str">
        <f>'Register Configuration'!J235</f>
        <v>0x00000005</v>
      </c>
      <c r="D136" s="127" t="s">
        <v>823</v>
      </c>
    </row>
    <row r="137" spans="1:6" x14ac:dyDescent="0.3">
      <c r="A137" s="127" t="s">
        <v>780</v>
      </c>
      <c r="B137" s="127" t="s">
        <v>810</v>
      </c>
      <c r="C137" s="128" t="str">
        <f>'Register Configuration'!J239</f>
        <v>0x00400003</v>
      </c>
      <c r="D137" s="127" t="s">
        <v>824</v>
      </c>
    </row>
    <row r="138" spans="1:6" x14ac:dyDescent="0.3">
      <c r="A138" s="127" t="s">
        <v>780</v>
      </c>
      <c r="B138" s="127" t="s">
        <v>811</v>
      </c>
      <c r="C138" s="128" t="str">
        <f>'Register Configuration'!J244</f>
        <v>0x008000A0</v>
      </c>
      <c r="D138" s="127" t="s">
        <v>825</v>
      </c>
    </row>
    <row r="139" spans="1:6" x14ac:dyDescent="0.3">
      <c r="A139" s="127" t="s">
        <v>780</v>
      </c>
      <c r="B139" s="127" t="s">
        <v>812</v>
      </c>
      <c r="C139" s="128" t="str">
        <f>'Register Configuration'!J247</f>
        <v>0x80000000</v>
      </c>
      <c r="D139" s="127" t="s">
        <v>826</v>
      </c>
    </row>
    <row r="140" spans="1:6" x14ac:dyDescent="0.3">
      <c r="A140" s="127" t="s">
        <v>780</v>
      </c>
      <c r="B140" s="127" t="s">
        <v>813</v>
      </c>
      <c r="C140" s="128" t="str">
        <f>'Register Configuration'!J56</f>
        <v>0x00000007</v>
      </c>
      <c r="D140" s="127" t="s">
        <v>827</v>
      </c>
    </row>
    <row r="141" spans="1:6" x14ac:dyDescent="0.3">
      <c r="A141" s="127" t="s">
        <v>780</v>
      </c>
      <c r="B141" s="127" t="s">
        <v>1227</v>
      </c>
      <c r="C141" s="128" t="str">
        <f>'Register Configuration'!J63</f>
        <v>0x00000000</v>
      </c>
      <c r="D141" s="127" t="s">
        <v>1228</v>
      </c>
    </row>
    <row r="142" spans="1:6" x14ac:dyDescent="0.3">
      <c r="A142" s="127" t="s">
        <v>780</v>
      </c>
      <c r="B142" s="127" t="s">
        <v>814</v>
      </c>
      <c r="C142" s="128" t="str">
        <f>'Register Configuration'!J68</f>
        <v>0x00001F1F</v>
      </c>
      <c r="D142" s="127" t="s">
        <v>828</v>
      </c>
      <c r="F142" s="127"/>
    </row>
    <row r="143" spans="1:6" x14ac:dyDescent="0.3">
      <c r="A143" s="127" t="s">
        <v>780</v>
      </c>
      <c r="B143" s="127" t="s">
        <v>815</v>
      </c>
      <c r="C143" s="128" t="str">
        <f>'Register Configuration'!J59</f>
        <v>0x00080808</v>
      </c>
      <c r="D143" s="127" t="s">
        <v>845</v>
      </c>
    </row>
    <row r="144" spans="1:6" x14ac:dyDescent="0.3">
      <c r="A144" s="127" t="s">
        <v>780</v>
      </c>
      <c r="B144" s="127" t="s">
        <v>816</v>
      </c>
      <c r="C144" s="128" t="str">
        <f>'Register Configuration'!J71</f>
        <v>0x08080808</v>
      </c>
      <c r="D144" s="127" t="s">
        <v>846</v>
      </c>
    </row>
    <row r="145" spans="1:4" x14ac:dyDescent="0.3">
      <c r="A145" s="127" t="s">
        <v>780</v>
      </c>
      <c r="B145" s="127" t="s">
        <v>817</v>
      </c>
      <c r="C145" s="128" t="str">
        <f>'Register Configuration'!J76</f>
        <v>0x48080808</v>
      </c>
      <c r="D145" s="127" t="s">
        <v>847</v>
      </c>
    </row>
    <row r="146" spans="1:4" x14ac:dyDescent="0.3">
      <c r="A146" s="127" t="s">
        <v>780</v>
      </c>
      <c r="B146" s="127" t="s">
        <v>818</v>
      </c>
      <c r="C146" s="128" t="str">
        <f>'Register Configuration'!J249</f>
        <v>0x00000007</v>
      </c>
      <c r="D146" s="127" t="s">
        <v>829</v>
      </c>
    </row>
    <row r="147" spans="1:4" x14ac:dyDescent="0.3">
      <c r="A147" s="127" t="s">
        <v>780</v>
      </c>
      <c r="B147" s="127" t="s">
        <v>819</v>
      </c>
      <c r="C147" s="128" t="str">
        <f>'Register Configuration'!J175</f>
        <v>0x00000000</v>
      </c>
      <c r="D147" s="127" t="s">
        <v>848</v>
      </c>
    </row>
    <row r="148" spans="1:4" x14ac:dyDescent="0.3">
      <c r="A148" s="127" t="s">
        <v>780</v>
      </c>
      <c r="B148" s="127" t="s">
        <v>820</v>
      </c>
      <c r="C148" s="127" t="s">
        <v>821</v>
      </c>
      <c r="D148" s="127" t="s">
        <v>830</v>
      </c>
    </row>
    <row r="149" spans="1:4" x14ac:dyDescent="0.3">
      <c r="A149" s="127" t="s">
        <v>780</v>
      </c>
      <c r="B149" s="127" t="s">
        <v>791</v>
      </c>
      <c r="C149" s="127" t="s">
        <v>850</v>
      </c>
    </row>
    <row r="151" spans="1:4" x14ac:dyDescent="0.3">
      <c r="A151" s="127" t="s">
        <v>775</v>
      </c>
    </row>
    <row r="152" spans="1:4" x14ac:dyDescent="0.3">
      <c r="A152" s="127" t="str">
        <f>IF('Register Configuration'!F19 = 2,"", "//") &amp; "DATA 4"</f>
        <v>DATA 4</v>
      </c>
      <c r="B152" s="127" t="s">
        <v>851</v>
      </c>
      <c r="C152" s="128" t="str">
        <f>'Register Configuration'!J41</f>
        <v>0xC3080020</v>
      </c>
      <c r="D152" s="127" t="s">
        <v>788</v>
      </c>
    </row>
    <row r="153" spans="1:4" x14ac:dyDescent="0.3">
      <c r="A153" s="127" t="str">
        <f>IF('Register Configuration'!F19 = 2,"", "//") &amp; "DATA 4"</f>
        <v>DATA 4</v>
      </c>
      <c r="B153" s="127" t="s">
        <v>1785</v>
      </c>
      <c r="C153" s="128" t="str">
        <f>'Register Configuration'!L168</f>
        <v>0x00000213</v>
      </c>
      <c r="D153" s="127" t="s">
        <v>1247</v>
      </c>
    </row>
    <row r="154" spans="1:4" x14ac:dyDescent="0.3">
      <c r="A154" s="127" t="str">
        <f>IF('Register Configuration'!F19 = 2,"", "//") &amp; "DATA 4"</f>
        <v>DATA 4</v>
      </c>
      <c r="B154" s="127" t="s">
        <v>1249</v>
      </c>
      <c r="C154" s="128" t="str">
        <f>'Register Configuration'!J173</f>
        <v>0x0186A000</v>
      </c>
      <c r="D154" s="127" t="s">
        <v>1248</v>
      </c>
    </row>
    <row r="155" spans="1:4" x14ac:dyDescent="0.3">
      <c r="A155" s="127" t="str">
        <f>IF('Register Configuration'!F19 = 2,"", "//") &amp; "DATA 4"</f>
        <v>DATA 4</v>
      </c>
      <c r="B155" s="127" t="s">
        <v>2024</v>
      </c>
      <c r="C155" s="128" t="str">
        <f>'Register Configuration'!J86</f>
        <v>0x0021F000</v>
      </c>
    </row>
    <row r="156" spans="1:4" x14ac:dyDescent="0.3">
      <c r="A156" s="127" t="str">
        <f>IF('Register Configuration'!F19 = 2,"", "//") &amp; "DATA 4"</f>
        <v>DATA 4</v>
      </c>
      <c r="B156" s="127" t="s">
        <v>852</v>
      </c>
      <c r="C156" s="128" t="str">
        <f>'Register Configuration'!J91</f>
        <v>0x006100E0</v>
      </c>
      <c r="D156" s="127" t="s">
        <v>789</v>
      </c>
    </row>
    <row r="157" spans="1:4" x14ac:dyDescent="0.3">
      <c r="A157" s="127" t="str">
        <f>IF('Register Configuration'!F19 = 2,"", "//") &amp; "DATA 4"</f>
        <v>DATA 4</v>
      </c>
      <c r="B157" s="127" t="s">
        <v>853</v>
      </c>
      <c r="C157" s="128" t="str">
        <f>'Register Configuration'!J95</f>
        <v>0x4003061C</v>
      </c>
      <c r="D157" s="127" t="s">
        <v>1070</v>
      </c>
    </row>
    <row r="158" spans="1:4" x14ac:dyDescent="0.3">
      <c r="A158" s="127" t="str">
        <f>IF('Register Configuration'!F19 = 2,"", "//") &amp; "DATA 4"</f>
        <v>DATA 4</v>
      </c>
      <c r="B158" s="127" t="s">
        <v>854</v>
      </c>
      <c r="C158" s="128" t="str">
        <f>'Register Configuration'!J99</f>
        <v>0x009E0000</v>
      </c>
      <c r="D158" s="127" t="s">
        <v>1071</v>
      </c>
    </row>
    <row r="159" spans="1:4" x14ac:dyDescent="0.3">
      <c r="A159" s="127" t="str">
        <f>IF('Register Configuration'!F19 = 2,"", "//") &amp; "DATA 4"</f>
        <v>DATA 4</v>
      </c>
      <c r="B159" s="127" t="s">
        <v>855</v>
      </c>
      <c r="C159" s="128" t="str">
        <f>'Register Configuration'!J186</f>
        <v>0x0054002D</v>
      </c>
      <c r="D159" s="127" t="s">
        <v>1851</v>
      </c>
    </row>
    <row r="160" spans="1:4" x14ac:dyDescent="0.3">
      <c r="A160" s="127" t="str">
        <f>IF('Register Configuration'!F19 = 2,"", "//") &amp; "DATA 4"</f>
        <v>DATA 4</v>
      </c>
      <c r="B160" s="127" t="s">
        <v>856</v>
      </c>
      <c r="C160" s="128" t="str">
        <f>'Register Configuration'!K198</f>
        <v>0x00F10000</v>
      </c>
      <c r="D160" s="127" t="s">
        <v>790</v>
      </c>
    </row>
    <row r="161" spans="1:6" x14ac:dyDescent="0.3">
      <c r="A161" s="127" t="str">
        <f>IF('Register Configuration'!F19 = 2,"", "//") &amp; "DATA 4"</f>
        <v>DATA 4</v>
      </c>
      <c r="B161" s="127" t="s">
        <v>857</v>
      </c>
      <c r="C161" s="128" t="str">
        <f>'Register Configuration'!J104</f>
        <v>0x0000066F</v>
      </c>
      <c r="D161" s="127" t="s">
        <v>849</v>
      </c>
      <c r="F161" s="127"/>
    </row>
    <row r="162" spans="1:6" x14ac:dyDescent="0.3">
      <c r="A162" s="127" t="str">
        <f>IF('Register Configuration'!F19 = 2,"", "//") &amp; "DATA 4"</f>
        <v>DATA 4</v>
      </c>
      <c r="B162" s="127" t="s">
        <v>858</v>
      </c>
      <c r="C162" s="128" t="str">
        <f>'Register Configuration'!J108</f>
        <v>0x1A201B22</v>
      </c>
      <c r="D162" s="127" t="s">
        <v>831</v>
      </c>
    </row>
    <row r="163" spans="1:6" x14ac:dyDescent="0.3">
      <c r="A163" s="127" t="str">
        <f>IF('Register Configuration'!F19 = 2,"", "//") &amp; "DATA 4"</f>
        <v>DATA 4</v>
      </c>
      <c r="B163" s="127" t="s">
        <v>859</v>
      </c>
      <c r="C163" s="128" t="str">
        <f>'Register Configuration'!J113</f>
        <v>0x00060633</v>
      </c>
      <c r="D163" s="127" t="s">
        <v>832</v>
      </c>
    </row>
    <row r="164" spans="1:6" x14ac:dyDescent="0.3">
      <c r="A164" s="127" t="str">
        <f>IF('Register Configuration'!F19 = 2,"", "//") &amp; "DATA 4"</f>
        <v>DATA 4</v>
      </c>
      <c r="B164" s="127" t="s">
        <v>860</v>
      </c>
      <c r="C164" s="128" t="str">
        <f>'Register Configuration'!J119</f>
        <v>0x07101617</v>
      </c>
      <c r="D164" s="127" t="s">
        <v>833</v>
      </c>
    </row>
    <row r="165" spans="1:6" x14ac:dyDescent="0.3">
      <c r="A165" s="127" t="str">
        <f>IF('Register Configuration'!F19 = 2,"", "//") &amp; "DATA 4"</f>
        <v>DATA 4</v>
      </c>
      <c r="B165" s="127" t="s">
        <v>861</v>
      </c>
      <c r="C165" s="128" t="str">
        <f>'Register Configuration'!J124</f>
        <v>0x00C0C000</v>
      </c>
      <c r="D165" s="127" t="s">
        <v>834</v>
      </c>
    </row>
    <row r="166" spans="1:6" x14ac:dyDescent="0.3">
      <c r="A166" s="127" t="str">
        <f>IF('Register Configuration'!F19 = 2,"", "//") &amp; "DATA 4"</f>
        <v>DATA 4</v>
      </c>
      <c r="B166" s="127" t="s">
        <v>862</v>
      </c>
      <c r="C166" s="128" t="str">
        <f>'Register Configuration'!J128</f>
        <v>0x0F04080F</v>
      </c>
      <c r="D166" s="127" t="s">
        <v>835</v>
      </c>
    </row>
    <row r="167" spans="1:6" x14ac:dyDescent="0.3">
      <c r="A167" s="127" t="str">
        <f>IF('Register Configuration'!F19 = 2,"", "//") &amp; "DATA 4"</f>
        <v>DATA 4</v>
      </c>
      <c r="B167" s="127" t="s">
        <v>863</v>
      </c>
      <c r="C167" s="128" t="str">
        <f>'Register Configuration'!J133</f>
        <v>0x02040C0C</v>
      </c>
      <c r="D167" s="127" t="s">
        <v>836</v>
      </c>
    </row>
    <row r="168" spans="1:6" x14ac:dyDescent="0.3">
      <c r="A168" s="127" t="str">
        <f>IF('Register Configuration'!F19 = 2,"", "//") &amp; "DATA 4"</f>
        <v>DATA 4</v>
      </c>
      <c r="B168" s="127" t="s">
        <v>864</v>
      </c>
      <c r="C168" s="128" t="str">
        <f>'Register Configuration'!J139</f>
        <v>0x02020007</v>
      </c>
      <c r="D168" s="127" t="s">
        <v>837</v>
      </c>
    </row>
    <row r="169" spans="1:6" x14ac:dyDescent="0.3">
      <c r="A169" s="127" t="str">
        <f>IF('Register Configuration'!F19 = 2,"", "//") &amp; "DATA 4"</f>
        <v>DATA 4</v>
      </c>
      <c r="B169" s="127" t="s">
        <v>865</v>
      </c>
      <c r="C169" s="128" t="str">
        <f>'Register Configuration'!J144</f>
        <v>0x00000401</v>
      </c>
      <c r="D169" s="127" t="s">
        <v>838</v>
      </c>
    </row>
    <row r="170" spans="1:6" x14ac:dyDescent="0.3">
      <c r="A170" s="127" t="str">
        <f>IF('Register Configuration'!F19 = 2,"", "//") &amp; "DATA 4"</f>
        <v>DATA 4</v>
      </c>
      <c r="B170" s="127" t="s">
        <v>866</v>
      </c>
      <c r="C170" s="128" t="str">
        <f>'Register Configuration'!J147</f>
        <v>0x00020610</v>
      </c>
      <c r="D170" s="127" t="s">
        <v>1072</v>
      </c>
    </row>
    <row r="171" spans="1:6" x14ac:dyDescent="0.3">
      <c r="A171" s="127" t="str">
        <f>IF('Register Configuration'!F19 = 2,"", "//") &amp; "DATA 4"</f>
        <v>DATA 4</v>
      </c>
      <c r="B171" s="127" t="s">
        <v>867</v>
      </c>
      <c r="C171" s="128" t="str">
        <f>'Register Configuration'!J151</f>
        <v>0x0C100002</v>
      </c>
      <c r="D171" s="127" t="s">
        <v>839</v>
      </c>
    </row>
    <row r="172" spans="1:6" x14ac:dyDescent="0.3">
      <c r="A172" s="127" t="str">
        <f>IF('Register Configuration'!F19 = 2,"", "//") &amp; "DATA 4"</f>
        <v>DATA 4</v>
      </c>
      <c r="B172" s="127" t="s">
        <v>868</v>
      </c>
      <c r="C172" s="128" t="str">
        <f>'Register Configuration'!J155</f>
        <v>0x000000E6</v>
      </c>
      <c r="D172" s="127" t="s">
        <v>822</v>
      </c>
    </row>
    <row r="173" spans="1:6" x14ac:dyDescent="0.3">
      <c r="A173" s="127" t="str">
        <f>IF('Register Configuration'!F19 = 2,"", "//") &amp; "DATA 4"</f>
        <v>DATA 4</v>
      </c>
      <c r="B173" s="127" t="s">
        <v>869</v>
      </c>
      <c r="C173" s="128" t="str">
        <f>'Register Configuration'!J157</f>
        <v>0x03200018</v>
      </c>
      <c r="D173" s="127" t="s">
        <v>840</v>
      </c>
    </row>
    <row r="174" spans="1:6" x14ac:dyDescent="0.3">
      <c r="A174" s="127" t="str">
        <f>IF('Register Configuration'!F19 = 2,"", "//") &amp; "DATA 4"</f>
        <v>DATA 4</v>
      </c>
      <c r="B174" s="127" t="s">
        <v>870</v>
      </c>
      <c r="C174" s="128" t="str">
        <f>'Register Configuration'!J165</f>
        <v>0x028061A8</v>
      </c>
      <c r="D174" s="127" t="s">
        <v>841</v>
      </c>
    </row>
    <row r="175" spans="1:6" x14ac:dyDescent="0.3">
      <c r="A175" s="127" t="str">
        <f>IF('Register Configuration'!F19 = 2,"", "//") &amp; "DATA 4"</f>
        <v>DATA 4</v>
      </c>
      <c r="B175" s="127" t="s">
        <v>871</v>
      </c>
      <c r="C175" s="128" t="str">
        <f>'Register Configuration'!J219</f>
        <v>0x049E820C</v>
      </c>
      <c r="D175" s="127" t="s">
        <v>842</v>
      </c>
    </row>
    <row r="176" spans="1:6" x14ac:dyDescent="0.3">
      <c r="A176" s="127" t="str">
        <f>IF('Register Configuration'!F19 = 2,"", "//") &amp; "DATA 4"</f>
        <v>DATA 4</v>
      </c>
      <c r="B176" s="127" t="s">
        <v>872</v>
      </c>
      <c r="C176" s="128" t="str">
        <f>'Register Configuration'!J226</f>
        <v>0x00070303</v>
      </c>
      <c r="D176" s="127" t="s">
        <v>843</v>
      </c>
    </row>
    <row r="177" spans="1:4" x14ac:dyDescent="0.3">
      <c r="A177" s="127" t="str">
        <f>IF('Register Configuration'!F19 = 2,"", "//") &amp; "DATA 4"</f>
        <v>DATA 4</v>
      </c>
      <c r="B177" s="127" t="s">
        <v>873</v>
      </c>
      <c r="C177" s="128" t="str">
        <f>'Register Configuration'!J232</f>
        <v>0x00001C0A</v>
      </c>
      <c r="D177" s="127" t="s">
        <v>844</v>
      </c>
    </row>
    <row r="178" spans="1:4" x14ac:dyDescent="0.3">
      <c r="A178" s="127" t="str">
        <f>IF('Register Configuration'!F19 = 2,"", "//") &amp; "DATA 4"</f>
        <v>DATA 4</v>
      </c>
      <c r="B178" s="127" t="s">
        <v>874</v>
      </c>
      <c r="C178" s="128" t="str">
        <f>'Register Configuration'!J235</f>
        <v>0x00000005</v>
      </c>
      <c r="D178" s="127" t="s">
        <v>823</v>
      </c>
    </row>
    <row r="179" spans="1:4" x14ac:dyDescent="0.3">
      <c r="A179" s="127" t="str">
        <f>IF('Register Configuration'!F19 = 2,"", "//") &amp; "DATA 4"</f>
        <v>DATA 4</v>
      </c>
      <c r="B179" s="127" t="s">
        <v>875</v>
      </c>
      <c r="C179" s="128" t="str">
        <f>'Register Configuration'!J239</f>
        <v>0x00400003</v>
      </c>
      <c r="D179" s="127" t="s">
        <v>824</v>
      </c>
    </row>
    <row r="180" spans="1:4" x14ac:dyDescent="0.3">
      <c r="A180" s="127" t="str">
        <f>IF('Register Configuration'!F19 = 2,"", "//") &amp; "DATA 4"</f>
        <v>DATA 4</v>
      </c>
      <c r="B180" s="127" t="s">
        <v>876</v>
      </c>
      <c r="C180" s="128" t="str">
        <f>'Register Configuration'!J244</f>
        <v>0x008000A0</v>
      </c>
      <c r="D180" s="127" t="s">
        <v>825</v>
      </c>
    </row>
    <row r="181" spans="1:4" x14ac:dyDescent="0.3">
      <c r="A181" s="127" t="str">
        <f>IF('Register Configuration'!F19 = 2,"", "//") &amp; "DATA 4"</f>
        <v>DATA 4</v>
      </c>
      <c r="B181" s="127" t="s">
        <v>877</v>
      </c>
      <c r="C181" s="128" t="str">
        <f>'Register Configuration'!J247</f>
        <v>0x80000000</v>
      </c>
      <c r="D181" s="127" t="s">
        <v>826</v>
      </c>
    </row>
    <row r="182" spans="1:4" x14ac:dyDescent="0.3">
      <c r="A182" s="127" t="str">
        <f>IF('Register Configuration'!F19 = 2,"", "//") &amp; "DATA 4"</f>
        <v>DATA 4</v>
      </c>
      <c r="B182" s="127" t="s">
        <v>878</v>
      </c>
      <c r="C182" s="128" t="str">
        <f>'Register Configuration'!J56</f>
        <v>0x00000007</v>
      </c>
      <c r="D182" s="127" t="s">
        <v>827</v>
      </c>
    </row>
    <row r="183" spans="1:4" x14ac:dyDescent="0.3">
      <c r="A183" s="127" t="str">
        <f>IF('Register Configuration'!F19 = 2,"", "//") &amp; "DATA 4"</f>
        <v>DATA 4</v>
      </c>
      <c r="B183" s="127" t="s">
        <v>1231</v>
      </c>
      <c r="C183" s="128" t="str">
        <f>'Register Configuration'!J63</f>
        <v>0x00000000</v>
      </c>
      <c r="D183" s="127" t="s">
        <v>1228</v>
      </c>
    </row>
    <row r="184" spans="1:4" x14ac:dyDescent="0.3">
      <c r="A184" s="127" t="str">
        <f>IF('Register Configuration'!F19 = 2,"", "//") &amp; "DATA 4"</f>
        <v>DATA 4</v>
      </c>
      <c r="B184" s="127" t="s">
        <v>879</v>
      </c>
      <c r="C184" s="128" t="str">
        <f>'Register Configuration'!J68</f>
        <v>0x00001F1F</v>
      </c>
      <c r="D184" s="127" t="s">
        <v>828</v>
      </c>
    </row>
    <row r="185" spans="1:4" x14ac:dyDescent="0.3">
      <c r="A185" s="127" t="str">
        <f>IF('Register Configuration'!F19 = 2,"", "//") &amp; "DATA 4"</f>
        <v>DATA 4</v>
      </c>
      <c r="B185" s="127" t="s">
        <v>880</v>
      </c>
      <c r="C185" s="128" t="str">
        <f>'Register Configuration'!J59</f>
        <v>0x00080808</v>
      </c>
      <c r="D185" s="127" t="s">
        <v>845</v>
      </c>
    </row>
    <row r="186" spans="1:4" x14ac:dyDescent="0.3">
      <c r="A186" s="127" t="str">
        <f>IF('Register Configuration'!F19 = 2,"", "//") &amp; "DATA 4"</f>
        <v>DATA 4</v>
      </c>
      <c r="B186" s="127" t="s">
        <v>881</v>
      </c>
      <c r="C186" s="128" t="str">
        <f>'Register Configuration'!J71</f>
        <v>0x08080808</v>
      </c>
      <c r="D186" s="127" t="s">
        <v>846</v>
      </c>
    </row>
    <row r="187" spans="1:4" x14ac:dyDescent="0.3">
      <c r="A187" s="127" t="str">
        <f>IF('Register Configuration'!F19 = 2,"", "//") &amp; "DATA 4"</f>
        <v>DATA 4</v>
      </c>
      <c r="B187" s="127" t="s">
        <v>882</v>
      </c>
      <c r="C187" s="128" t="str">
        <f>'Register Configuration'!J76</f>
        <v>0x48080808</v>
      </c>
      <c r="D187" s="127" t="s">
        <v>847</v>
      </c>
    </row>
    <row r="188" spans="1:4" x14ac:dyDescent="0.3">
      <c r="A188" s="127" t="str">
        <f>IF('Register Configuration'!F19 = 2,"", "//") &amp; "DATA 4"</f>
        <v>DATA 4</v>
      </c>
      <c r="B188" s="127" t="s">
        <v>883</v>
      </c>
      <c r="C188" s="128" t="str">
        <f>'Register Configuration'!J249</f>
        <v>0x00000007</v>
      </c>
      <c r="D188" s="127" t="s">
        <v>829</v>
      </c>
    </row>
    <row r="189" spans="1:4" x14ac:dyDescent="0.3">
      <c r="A189" s="127" t="str">
        <f>IF('Register Configuration'!F19 = 2,"", "//") &amp; "DATA 4"</f>
        <v>DATA 4</v>
      </c>
      <c r="B189" s="127" t="s">
        <v>884</v>
      </c>
      <c r="C189" s="128" t="str">
        <f>'Register Configuration'!J175</f>
        <v>0x00000000</v>
      </c>
      <c r="D189" s="127" t="s">
        <v>848</v>
      </c>
    </row>
    <row r="190" spans="1:4" x14ac:dyDescent="0.3">
      <c r="A190" s="127" t="str">
        <f>IF('Register Configuration'!F19 = 2,"", "//") &amp; "DATA 4"</f>
        <v>DATA 4</v>
      </c>
      <c r="B190" s="127" t="s">
        <v>885</v>
      </c>
      <c r="C190" s="127" t="s">
        <v>821</v>
      </c>
      <c r="D190" s="127" t="s">
        <v>830</v>
      </c>
    </row>
    <row r="191" spans="1:4" x14ac:dyDescent="0.3">
      <c r="A191" s="127" t="str">
        <f>IF('Register Configuration'!F19 = 2,"", "//") &amp; "DATA 4"</f>
        <v>DATA 4</v>
      </c>
      <c r="B191" s="127" t="s">
        <v>886</v>
      </c>
      <c r="C191" s="127" t="s">
        <v>850</v>
      </c>
    </row>
    <row r="193" spans="1:4" x14ac:dyDescent="0.3">
      <c r="A193" s="127" t="s">
        <v>1985</v>
      </c>
    </row>
    <row r="194" spans="1:4" x14ac:dyDescent="0.3">
      <c r="A194" s="127" t="s">
        <v>780</v>
      </c>
      <c r="B194" s="127" t="s">
        <v>1987</v>
      </c>
      <c r="C194" s="128" t="str">
        <f>'Register Configuration'!J253</f>
        <v>0x0000010A</v>
      </c>
    </row>
    <row r="195" spans="1:4" x14ac:dyDescent="0.3">
      <c r="A195" s="127" t="str">
        <f>IF('Register Configuration'!F19 = 2,"", "//") &amp; "DATA 4"</f>
        <v>DATA 4</v>
      </c>
      <c r="B195" s="127" t="s">
        <v>1988</v>
      </c>
      <c r="C195" s="128" t="str">
        <f>'Register Configuration'!J253</f>
        <v>0x0000010A</v>
      </c>
    </row>
    <row r="196" spans="1:4" x14ac:dyDescent="0.3">
      <c r="A196" s="127" t="s">
        <v>780</v>
      </c>
      <c r="B196" s="127" t="s">
        <v>1989</v>
      </c>
      <c r="C196" s="128" t="str">
        <f>'Register Configuration'!J275</f>
        <v>0x00402010</v>
      </c>
    </row>
    <row r="197" spans="1:4" x14ac:dyDescent="0.3">
      <c r="A197" s="127" t="str">
        <f>IF('Register Configuration'!F19 = 2,"", "//") &amp; "DATA 4"</f>
        <v>DATA 4</v>
      </c>
      <c r="B197" s="127" t="s">
        <v>1990</v>
      </c>
      <c r="C197" s="128" t="str">
        <f>'Register Configuration'!J275</f>
        <v>0x00402010</v>
      </c>
    </row>
    <row r="198" spans="1:4" x14ac:dyDescent="0.3">
      <c r="A198" s="127" t="s">
        <v>780</v>
      </c>
      <c r="B198" s="127" t="s">
        <v>1991</v>
      </c>
      <c r="C198" s="128" t="str">
        <f>'Register Configuration'!J263</f>
        <v>0x06FF0001</v>
      </c>
    </row>
    <row r="199" spans="1:4" x14ac:dyDescent="0.3">
      <c r="A199" s="127" t="str">
        <f>IF('Register Configuration'!F19 = 2,"", "//") &amp; "DATA 4"</f>
        <v>DATA 4</v>
      </c>
      <c r="B199" s="127" t="s">
        <v>1992</v>
      </c>
      <c r="C199" s="128" t="str">
        <f>'Register Configuration'!J263</f>
        <v>0x06FF0001</v>
      </c>
    </row>
    <row r="200" spans="1:4" x14ac:dyDescent="0.3">
      <c r="C200" s="129"/>
    </row>
    <row r="201" spans="1:4" x14ac:dyDescent="0.3">
      <c r="A201" s="127" t="s">
        <v>780</v>
      </c>
      <c r="B201" s="127" t="s">
        <v>2233</v>
      </c>
      <c r="C201" s="129" t="s">
        <v>2234</v>
      </c>
      <c r="D201" s="127" t="s">
        <v>2235</v>
      </c>
    </row>
    <row r="202" spans="1:4" x14ac:dyDescent="0.3">
      <c r="A202" s="127" t="str">
        <f>IF('Register Configuration'!F19 = 2,"", "//") &amp; "DATA 4"</f>
        <v>DATA 4</v>
      </c>
      <c r="B202" s="127" t="s">
        <v>2236</v>
      </c>
      <c r="C202" s="129" t="s">
        <v>2234</v>
      </c>
      <c r="D202" s="127" t="s">
        <v>2235</v>
      </c>
    </row>
    <row r="204" spans="1:4" x14ac:dyDescent="0.3">
      <c r="A204" s="127" t="s">
        <v>1986</v>
      </c>
    </row>
    <row r="205" spans="1:4" x14ac:dyDescent="0.3">
      <c r="A205" s="127" t="s">
        <v>780</v>
      </c>
      <c r="B205" s="127" t="s">
        <v>1993</v>
      </c>
      <c r="C205" s="128" t="str">
        <f>'Register Configuration'!J267</f>
        <v>0x0700B100</v>
      </c>
    </row>
    <row r="206" spans="1:4" x14ac:dyDescent="0.3">
      <c r="A206" s="127" t="str">
        <f>IF('Register Configuration'!F19 = 2,"", "//") &amp; "DATA 4"</f>
        <v>DATA 4</v>
      </c>
      <c r="B206" s="127" t="s">
        <v>1994</v>
      </c>
      <c r="C206" s="128" t="str">
        <f>'Register Configuration'!J267</f>
        <v>0x0700B100</v>
      </c>
    </row>
    <row r="208" spans="1:4" x14ac:dyDescent="0.3">
      <c r="A208" s="127" t="s">
        <v>780</v>
      </c>
      <c r="B208" s="127" t="s">
        <v>781</v>
      </c>
      <c r="C208" s="127" t="s">
        <v>785</v>
      </c>
    </row>
    <row r="209" spans="1:4" x14ac:dyDescent="0.3">
      <c r="A209" s="127" t="str">
        <f>IF('Register Configuration'!F19 = 2,"", "//") &amp; "DATA 4"</f>
        <v>DATA 4</v>
      </c>
      <c r="B209" s="127" t="s">
        <v>782</v>
      </c>
      <c r="C209" s="127" t="s">
        <v>785</v>
      </c>
    </row>
    <row r="210" spans="1:4" x14ac:dyDescent="0.3">
      <c r="A210" s="127" t="s">
        <v>786</v>
      </c>
      <c r="B210" s="127" t="s">
        <v>2249</v>
      </c>
      <c r="C210" s="127" t="s">
        <v>1012</v>
      </c>
      <c r="D210" s="127" t="s">
        <v>2255</v>
      </c>
    </row>
    <row r="211" spans="1:4" x14ac:dyDescent="0.3">
      <c r="A211" s="127" t="str">
        <f>IF('Register Configuration'!F19 = 2,"", "//") &amp; "DATA 4"</f>
        <v>DATA 4</v>
      </c>
      <c r="B211" s="127" t="s">
        <v>2250</v>
      </c>
      <c r="C211" s="127" t="s">
        <v>1012</v>
      </c>
      <c r="D211" s="127" t="s">
        <v>2255</v>
      </c>
    </row>
    <row r="212" spans="1:4" x14ac:dyDescent="0.3">
      <c r="A212" s="127" t="s">
        <v>786</v>
      </c>
      <c r="B212" s="127" t="s">
        <v>783</v>
      </c>
      <c r="C212" s="127" t="s">
        <v>785</v>
      </c>
    </row>
    <row r="213" spans="1:4" x14ac:dyDescent="0.3">
      <c r="A213" s="127" t="str">
        <f>IF('Register Configuration'!F19 = 2,"", "//") &amp; "DATA 4"</f>
        <v>DATA 4</v>
      </c>
      <c r="B213" s="127" t="s">
        <v>784</v>
      </c>
      <c r="C213" s="127" t="s">
        <v>785</v>
      </c>
    </row>
    <row r="214" spans="1:4" x14ac:dyDescent="0.3">
      <c r="A214" s="127" t="s">
        <v>887</v>
      </c>
    </row>
    <row r="215" spans="1:4" x14ac:dyDescent="0.3">
      <c r="A215" s="127" t="s">
        <v>888</v>
      </c>
    </row>
    <row r="216" spans="1:4" x14ac:dyDescent="0.3">
      <c r="A216" s="127" t="s">
        <v>1232</v>
      </c>
    </row>
    <row r="217" spans="1:4" x14ac:dyDescent="0.3">
      <c r="A217" s="127" t="s">
        <v>890</v>
      </c>
    </row>
    <row r="218" spans="1:4" x14ac:dyDescent="0.3">
      <c r="A218" s="127" t="s">
        <v>780</v>
      </c>
      <c r="B218" s="127" t="s">
        <v>891</v>
      </c>
      <c r="C218" s="128" t="str">
        <f>'Register Configuration'!J297</f>
        <v>0x0000040D</v>
      </c>
      <c r="D218" s="127" t="s">
        <v>892</v>
      </c>
    </row>
    <row r="219" spans="1:4" x14ac:dyDescent="0.3">
      <c r="A219" s="127" t="s">
        <v>893</v>
      </c>
    </row>
    <row r="220" spans="1:4" x14ac:dyDescent="0.3">
      <c r="A220" s="127" t="s">
        <v>780</v>
      </c>
      <c r="B220" s="127" t="s">
        <v>894</v>
      </c>
      <c r="C220" s="128" t="str">
        <f>BoardDataBusConfig!C28</f>
        <v>0x000F0009</v>
      </c>
    </row>
    <row r="221" spans="1:4" x14ac:dyDescent="0.3">
      <c r="A221" s="127" t="s">
        <v>780</v>
      </c>
      <c r="B221" s="127" t="s">
        <v>895</v>
      </c>
      <c r="C221" s="128" t="str">
        <f>INDEX(BoardDataBusConfig!C$14:C$21, MATCH(LEFT(B221,19), BoardDataBusConfig!B$14:B$21,0),1)</f>
        <v>0x00003465</v>
      </c>
      <c r="D221" s="127" t="s">
        <v>905</v>
      </c>
    </row>
    <row r="222" spans="1:4" x14ac:dyDescent="0.3">
      <c r="A222" s="127" t="s">
        <v>780</v>
      </c>
      <c r="B222" s="127" t="s">
        <v>896</v>
      </c>
      <c r="C222" s="128" t="str">
        <f>INDEX(BoardDataBusConfig!C$14:C$21, MATCH(LEFT(B222,19), BoardDataBusConfig!B$14:B$21,0),1)</f>
        <v>0x00008271</v>
      </c>
      <c r="D222" s="127" t="s">
        <v>906</v>
      </c>
    </row>
    <row r="223" spans="1:4" x14ac:dyDescent="0.3">
      <c r="A223" s="127" t="s">
        <v>780</v>
      </c>
      <c r="B223" s="127" t="s">
        <v>897</v>
      </c>
      <c r="C223" s="128" t="str">
        <f>INDEX(BoardDataBusConfig!C$14:C$21, MATCH(LEFT(B223,19), BoardDataBusConfig!B$14:B$21,0),1)</f>
        <v>0x00075632</v>
      </c>
      <c r="D223" s="127" t="s">
        <v>905</v>
      </c>
    </row>
    <row r="224" spans="1:4" x14ac:dyDescent="0.3">
      <c r="A224" s="127" t="s">
        <v>780</v>
      </c>
      <c r="B224" s="127" t="s">
        <v>898</v>
      </c>
      <c r="C224" s="128" t="str">
        <f>INDEX(BoardDataBusConfig!C$14:C$21, MATCH(LEFT(B224,19), BoardDataBusConfig!B$14:B$21,0),1)</f>
        <v>0x00008104</v>
      </c>
      <c r="D224" s="127" t="s">
        <v>906</v>
      </c>
    </row>
    <row r="225" spans="1:4" x14ac:dyDescent="0.3">
      <c r="A225" s="127" t="s">
        <v>780</v>
      </c>
      <c r="B225" s="127" t="s">
        <v>899</v>
      </c>
      <c r="C225" s="128" t="str">
        <f>INDEX(BoardDataBusConfig!C$14:C$21, MATCH(LEFT(B225,19), BoardDataBusConfig!B$14:B$21,0),1)</f>
        <v>0x00064732</v>
      </c>
      <c r="D225" s="127" t="s">
        <v>905</v>
      </c>
    </row>
    <row r="226" spans="1:4" x14ac:dyDescent="0.3">
      <c r="A226" s="127" t="s">
        <v>780</v>
      </c>
      <c r="B226" s="127" t="s">
        <v>900</v>
      </c>
      <c r="C226" s="128" t="str">
        <f>INDEX(BoardDataBusConfig!C$14:C$21, MATCH(LEFT(B226,19), BoardDataBusConfig!B$14:B$21,0),1)</f>
        <v>0x00008015</v>
      </c>
      <c r="D226" s="127" t="s">
        <v>906</v>
      </c>
    </row>
    <row r="227" spans="1:4" x14ac:dyDescent="0.3">
      <c r="A227" s="127" t="s">
        <v>780</v>
      </c>
      <c r="B227" s="127" t="s">
        <v>901</v>
      </c>
      <c r="C227" s="128" t="str">
        <f>INDEX(BoardDataBusConfig!C$14:C$21, MATCH(LEFT(B227,19), BoardDataBusConfig!B$14:B$21,0),1)</f>
        <v>0x00012574</v>
      </c>
      <c r="D227" s="127" t="s">
        <v>905</v>
      </c>
    </row>
    <row r="228" spans="1:4" x14ac:dyDescent="0.3">
      <c r="A228" s="127" t="s">
        <v>780</v>
      </c>
      <c r="B228" s="127" t="s">
        <v>902</v>
      </c>
      <c r="C228" s="128" t="str">
        <f>INDEX(BoardDataBusConfig!C$14:C$21, MATCH(LEFT(B228,19), BoardDataBusConfig!B$14:B$21,0),1)</f>
        <v>0x00008360</v>
      </c>
      <c r="D228" s="127" t="s">
        <v>906</v>
      </c>
    </row>
    <row r="229" spans="1:4" x14ac:dyDescent="0.3">
      <c r="A229" s="127" t="s">
        <v>780</v>
      </c>
      <c r="B229" s="127" t="s">
        <v>903</v>
      </c>
      <c r="C229" s="128" t="str">
        <f>BoardDataBusConfig!C24</f>
        <v>0x00141032</v>
      </c>
      <c r="D229" s="127" t="s">
        <v>907</v>
      </c>
    </row>
    <row r="230" spans="1:4" x14ac:dyDescent="0.3">
      <c r="A230" s="127" t="s">
        <v>780</v>
      </c>
      <c r="B230" s="127" t="s">
        <v>904</v>
      </c>
      <c r="C230" s="128" t="str">
        <f>BoardDataBusConfig!C25</f>
        <v>0x0013AAAA</v>
      </c>
      <c r="D230" s="127" t="s">
        <v>907</v>
      </c>
    </row>
    <row r="231" spans="1:4" x14ac:dyDescent="0.3">
      <c r="A231" s="127" t="s">
        <v>908</v>
      </c>
    </row>
    <row r="232" spans="1:4" x14ac:dyDescent="0.3">
      <c r="A232" s="127" t="s">
        <v>909</v>
      </c>
      <c r="B232" s="127" t="s">
        <v>910</v>
      </c>
      <c r="C232" s="129" t="s">
        <v>2041</v>
      </c>
      <c r="D232" s="127" t="s">
        <v>2042</v>
      </c>
    </row>
    <row r="233" spans="1:4" x14ac:dyDescent="0.3">
      <c r="A233" s="127" t="s">
        <v>780</v>
      </c>
      <c r="B233" s="127" t="s">
        <v>911</v>
      </c>
      <c r="C233" s="128" t="str">
        <f>'Register Configuration'!J309</f>
        <v>0x87001E00</v>
      </c>
      <c r="D233" s="127" t="s">
        <v>914</v>
      </c>
    </row>
    <row r="234" spans="1:4" x14ac:dyDescent="0.3">
      <c r="A234" s="127" t="s">
        <v>780</v>
      </c>
      <c r="B234" s="127" t="s">
        <v>912</v>
      </c>
      <c r="C234" s="128" t="str">
        <f>'Register Configuration'!J316</f>
        <v>0x00F0D879</v>
      </c>
      <c r="D234" s="127" t="s">
        <v>1852</v>
      </c>
    </row>
    <row r="235" spans="1:4" x14ac:dyDescent="0.3">
      <c r="A235" s="127" t="s">
        <v>780</v>
      </c>
      <c r="B235" s="127" t="s">
        <v>913</v>
      </c>
      <c r="C235" s="128" t="str">
        <f>'Register Configuration'!J325</f>
        <v>0x050A1080</v>
      </c>
      <c r="D235" s="127" t="s">
        <v>915</v>
      </c>
    </row>
    <row r="236" spans="1:4" x14ac:dyDescent="0.3">
      <c r="A236" s="127" t="s">
        <v>916</v>
      </c>
    </row>
    <row r="237" spans="1:4" x14ac:dyDescent="0.3">
      <c r="A237" s="127" t="s">
        <v>780</v>
      </c>
      <c r="B237" s="127" t="s">
        <v>917</v>
      </c>
      <c r="C237" s="128" t="str">
        <f>'Register Configuration'!J350</f>
        <v>0x64032010</v>
      </c>
      <c r="D237" s="127" t="s">
        <v>919</v>
      </c>
    </row>
    <row r="238" spans="1:4" x14ac:dyDescent="0.3">
      <c r="A238" s="127" t="s">
        <v>780</v>
      </c>
      <c r="B238" s="127" t="s">
        <v>918</v>
      </c>
      <c r="C238" s="128" t="str">
        <f>'Register Configuration'!J357</f>
        <v>0x4E201C20</v>
      </c>
      <c r="D238" s="127" t="s">
        <v>1828</v>
      </c>
    </row>
    <row r="239" spans="1:4" x14ac:dyDescent="0.3">
      <c r="A239" s="127" t="s">
        <v>920</v>
      </c>
    </row>
    <row r="240" spans="1:4" x14ac:dyDescent="0.3">
      <c r="A240" s="127" t="s">
        <v>780</v>
      </c>
      <c r="B240" s="127" t="s">
        <v>932</v>
      </c>
      <c r="C240" s="128" t="str">
        <f>'Register Configuration'!K362</f>
        <v>0x001C0000</v>
      </c>
    </row>
    <row r="241" spans="1:4" x14ac:dyDescent="0.3">
      <c r="A241" s="127" t="s">
        <v>780</v>
      </c>
      <c r="B241" s="127" t="s">
        <v>933</v>
      </c>
      <c r="C241" s="128" t="str">
        <f>'Register Configuration'!K362</f>
        <v>0x001C0000</v>
      </c>
    </row>
    <row r="242" spans="1:4" x14ac:dyDescent="0.3">
      <c r="A242" s="127" t="s">
        <v>921</v>
      </c>
    </row>
    <row r="243" spans="1:4" x14ac:dyDescent="0.3">
      <c r="A243" s="127" t="s">
        <v>780</v>
      </c>
      <c r="B243" s="127" t="s">
        <v>930</v>
      </c>
      <c r="C243" s="128" t="str">
        <f>'Register Configuration'!J377</f>
        <v>0x008C2C58</v>
      </c>
      <c r="D243" s="127" t="s">
        <v>931</v>
      </c>
    </row>
    <row r="244" spans="1:4" x14ac:dyDescent="0.3">
      <c r="A244" s="127" t="s">
        <v>922</v>
      </c>
    </row>
    <row r="245" spans="1:4" x14ac:dyDescent="0.3">
      <c r="A245" s="127" t="s">
        <v>786</v>
      </c>
      <c r="B245" s="127" t="s">
        <v>928</v>
      </c>
      <c r="C245" s="128" t="str">
        <f>'Register Configuration'!J592</f>
        <v>0x0001B9BB</v>
      </c>
      <c r="D245" s="127" t="s">
        <v>1890</v>
      </c>
    </row>
    <row r="246" spans="1:4" x14ac:dyDescent="0.3">
      <c r="A246" s="127" t="s">
        <v>786</v>
      </c>
      <c r="B246" s="127" t="s">
        <v>929</v>
      </c>
      <c r="C246" s="128" t="str">
        <f>'Register Configuration'!J599</f>
        <v>0x0001B9BB</v>
      </c>
      <c r="D246" s="127" t="s">
        <v>1891</v>
      </c>
    </row>
    <row r="247" spans="1:4" x14ac:dyDescent="0.3">
      <c r="A247" s="127" t="s">
        <v>923</v>
      </c>
    </row>
    <row r="248" spans="1:4" x14ac:dyDescent="0.3">
      <c r="A248" s="127" t="s">
        <v>786</v>
      </c>
      <c r="B248" s="127" t="s">
        <v>925</v>
      </c>
      <c r="C248" s="127" t="s">
        <v>927</v>
      </c>
    </row>
    <row r="249" spans="1:4" x14ac:dyDescent="0.3">
      <c r="A249" s="127" t="s">
        <v>924</v>
      </c>
    </row>
    <row r="250" spans="1:4" x14ac:dyDescent="0.3">
      <c r="A250" s="127" t="s">
        <v>780</v>
      </c>
      <c r="B250" s="127" t="s">
        <v>925</v>
      </c>
      <c r="C250" s="127" t="s">
        <v>926</v>
      </c>
    </row>
    <row r="251" spans="1:4" x14ac:dyDescent="0.3">
      <c r="A251" s="127" t="s">
        <v>887</v>
      </c>
    </row>
    <row r="252" spans="1:4" x14ac:dyDescent="0.3">
      <c r="A252" s="127" t="s">
        <v>888</v>
      </c>
    </row>
    <row r="253" spans="1:4" x14ac:dyDescent="0.3">
      <c r="A253" s="127" t="s">
        <v>889</v>
      </c>
    </row>
    <row r="254" spans="1:4" x14ac:dyDescent="0.3">
      <c r="A254" s="127" t="s">
        <v>934</v>
      </c>
    </row>
    <row r="255" spans="1:4" x14ac:dyDescent="0.3">
      <c r="A255" s="127" t="str">
        <f>IF('Register Configuration'!F19 = 2,"", "//") &amp; "DATA 4"</f>
        <v>DATA 4</v>
      </c>
      <c r="B255" s="127" t="s">
        <v>935</v>
      </c>
      <c r="C255" s="128" t="str">
        <f>'Register Configuration'!J297</f>
        <v>0x0000040D</v>
      </c>
      <c r="D255" s="127" t="s">
        <v>892</v>
      </c>
    </row>
    <row r="256" spans="1:4" x14ac:dyDescent="0.3">
      <c r="A256" s="127" t="s">
        <v>893</v>
      </c>
    </row>
    <row r="257" spans="1:4" x14ac:dyDescent="0.3">
      <c r="A257" s="127" t="str">
        <f>IF('Register Configuration'!F19 = 2,"", "//") &amp; "DATA 4"</f>
        <v>DATA 4</v>
      </c>
      <c r="B257" s="127" t="s">
        <v>936</v>
      </c>
      <c r="C257" s="128" t="str">
        <f>BoardDataBusConfig!C52</f>
        <v>0x000F0009</v>
      </c>
    </row>
    <row r="258" spans="1:4" x14ac:dyDescent="0.3">
      <c r="A258" s="127" t="str">
        <f>IF('Register Configuration'!F19 = 2,"", "//") &amp; "DATA 4"</f>
        <v>DATA 4</v>
      </c>
      <c r="B258" s="127" t="s">
        <v>937</v>
      </c>
      <c r="C258" s="128" t="str">
        <f>INDEX(BoardDataBusConfig!C$38:C$45, MATCH(LEFT(B258,19), BoardDataBusConfig!B$38:B$45,0),1)</f>
        <v>0x00003465</v>
      </c>
      <c r="D258" s="127" t="s">
        <v>905</v>
      </c>
    </row>
    <row r="259" spans="1:4" x14ac:dyDescent="0.3">
      <c r="A259" s="127" t="str">
        <f>IF('Register Configuration'!F19 = 2,"", "//") &amp; "DATA 4"</f>
        <v>DATA 4</v>
      </c>
      <c r="B259" s="127" t="s">
        <v>938</v>
      </c>
      <c r="C259" s="128" t="str">
        <f>INDEX(BoardDataBusConfig!C$38:C$45, MATCH(LEFT(B259,19), BoardDataBusConfig!B$38:B$45,0),1)</f>
        <v>0x00008271</v>
      </c>
      <c r="D259" s="127" t="s">
        <v>906</v>
      </c>
    </row>
    <row r="260" spans="1:4" x14ac:dyDescent="0.3">
      <c r="A260" s="127" t="str">
        <f>IF('Register Configuration'!F19 = 2,"", "//") &amp; "DATA 4"</f>
        <v>DATA 4</v>
      </c>
      <c r="B260" s="127" t="s">
        <v>939</v>
      </c>
      <c r="C260" s="128" t="str">
        <f>INDEX(BoardDataBusConfig!C$38:C$45, MATCH(LEFT(B260,19), BoardDataBusConfig!B$38:B$45,0),1)</f>
        <v>0x00075632</v>
      </c>
      <c r="D260" s="127" t="s">
        <v>905</v>
      </c>
    </row>
    <row r="261" spans="1:4" x14ac:dyDescent="0.3">
      <c r="A261" s="127" t="str">
        <f>IF('Register Configuration'!F19 = 2,"", "//") &amp; "DATA 4"</f>
        <v>DATA 4</v>
      </c>
      <c r="B261" s="127" t="s">
        <v>940</v>
      </c>
      <c r="C261" s="128" t="str">
        <f>INDEX(BoardDataBusConfig!C$38:C$45, MATCH(LEFT(B261,19), BoardDataBusConfig!B$38:B$45,0),1)</f>
        <v>0x00008104</v>
      </c>
      <c r="D261" s="127" t="s">
        <v>906</v>
      </c>
    </row>
    <row r="262" spans="1:4" x14ac:dyDescent="0.3">
      <c r="A262" s="127" t="str">
        <f>IF('Register Configuration'!F19 = 2,"", "//") &amp; "DATA 4"</f>
        <v>DATA 4</v>
      </c>
      <c r="B262" s="127" t="s">
        <v>941</v>
      </c>
      <c r="C262" s="128" t="str">
        <f>INDEX(BoardDataBusConfig!C$38:C$45, MATCH(LEFT(B262,19), BoardDataBusConfig!B$38:B$45,0),1)</f>
        <v>0x00064732</v>
      </c>
      <c r="D262" s="127" t="s">
        <v>905</v>
      </c>
    </row>
    <row r="263" spans="1:4" x14ac:dyDescent="0.3">
      <c r="A263" s="127" t="str">
        <f>IF('Register Configuration'!F19 = 2,"", "//") &amp; "DATA 4"</f>
        <v>DATA 4</v>
      </c>
      <c r="B263" s="127" t="s">
        <v>942</v>
      </c>
      <c r="C263" s="128" t="str">
        <f>INDEX(BoardDataBusConfig!C$38:C$45, MATCH(LEFT(B263,19), BoardDataBusConfig!B$38:B$45,0),1)</f>
        <v>0x00008015</v>
      </c>
      <c r="D263" s="127" t="s">
        <v>906</v>
      </c>
    </row>
    <row r="264" spans="1:4" x14ac:dyDescent="0.3">
      <c r="A264" s="127" t="str">
        <f>IF('Register Configuration'!F19 = 2,"", "//") &amp; "DATA 4"</f>
        <v>DATA 4</v>
      </c>
      <c r="B264" s="127" t="s">
        <v>943</v>
      </c>
      <c r="C264" s="128" t="str">
        <f>INDEX(BoardDataBusConfig!C$38:C$45, MATCH(LEFT(B264,19), BoardDataBusConfig!B$38:B$45,0),1)</f>
        <v>0x00012574</v>
      </c>
      <c r="D264" s="127" t="s">
        <v>905</v>
      </c>
    </row>
    <row r="265" spans="1:4" x14ac:dyDescent="0.3">
      <c r="A265" s="127" t="str">
        <f>IF('Register Configuration'!F19 = 2,"", "//") &amp; "DATA 4"</f>
        <v>DATA 4</v>
      </c>
      <c r="B265" s="127" t="s">
        <v>944</v>
      </c>
      <c r="C265" s="128" t="str">
        <f>INDEX(BoardDataBusConfig!C$38:C$45, MATCH(LEFT(B265,19), BoardDataBusConfig!B$38:B$45,0),1)</f>
        <v>0x00008360</v>
      </c>
      <c r="D265" s="127" t="s">
        <v>906</v>
      </c>
    </row>
    <row r="266" spans="1:4" x14ac:dyDescent="0.3">
      <c r="A266" s="127" t="str">
        <f>IF('Register Configuration'!F19 = 2,"", "//") &amp; "DATA 4"</f>
        <v>DATA 4</v>
      </c>
      <c r="B266" s="127" t="s">
        <v>945</v>
      </c>
      <c r="C266" s="128" t="str">
        <f>BoardDataBusConfig!C48</f>
        <v>0x00141032</v>
      </c>
      <c r="D266" s="127" t="s">
        <v>907</v>
      </c>
    </row>
    <row r="267" spans="1:4" x14ac:dyDescent="0.3">
      <c r="A267" s="127" t="str">
        <f>IF('Register Configuration'!F19 = 2,"", "//") &amp; "DATA 4"</f>
        <v>DATA 4</v>
      </c>
      <c r="B267" s="127" t="s">
        <v>946</v>
      </c>
      <c r="C267" s="128" t="str">
        <f>BoardDataBusConfig!C49</f>
        <v>0x0013AAAA</v>
      </c>
      <c r="D267" s="127" t="s">
        <v>907</v>
      </c>
    </row>
    <row r="268" spans="1:4" x14ac:dyDescent="0.3">
      <c r="A268" s="127" t="s">
        <v>908</v>
      </c>
    </row>
    <row r="269" spans="1:4" x14ac:dyDescent="0.3">
      <c r="A269" s="127" t="str">
        <f>IF('Register Configuration'!F19 = 2,"", "//") &amp;  "SET_BIT 4"</f>
        <v>SET_BIT 4</v>
      </c>
      <c r="B269" s="127" t="s">
        <v>947</v>
      </c>
      <c r="C269" s="129" t="s">
        <v>2041</v>
      </c>
      <c r="D269" s="127" t="s">
        <v>2042</v>
      </c>
    </row>
    <row r="270" spans="1:4" x14ac:dyDescent="0.3">
      <c r="A270" s="127" t="str">
        <f>IF('Register Configuration'!F19 = 2,"", "//") &amp; "DATA 4"</f>
        <v>DATA 4</v>
      </c>
      <c r="B270" s="127" t="s">
        <v>948</v>
      </c>
      <c r="C270" s="128" t="str">
        <f>'Register Configuration'!J309</f>
        <v>0x87001E00</v>
      </c>
      <c r="D270" s="127" t="s">
        <v>914</v>
      </c>
    </row>
    <row r="271" spans="1:4" x14ac:dyDescent="0.3">
      <c r="A271" s="127" t="str">
        <f>IF('Register Configuration'!F19 = 2,"", "//") &amp; "DATA 4"</f>
        <v>DATA 4</v>
      </c>
      <c r="B271" s="127" t="s">
        <v>949</v>
      </c>
      <c r="C271" s="128" t="str">
        <f>'Register Configuration'!J316</f>
        <v>0x00F0D879</v>
      </c>
      <c r="D271" s="127" t="s">
        <v>1852</v>
      </c>
    </row>
    <row r="272" spans="1:4" x14ac:dyDescent="0.3">
      <c r="A272" s="127" t="str">
        <f>IF('Register Configuration'!F19 = 2,"", "//") &amp; "DATA 4"</f>
        <v>DATA 4</v>
      </c>
      <c r="B272" s="127" t="s">
        <v>950</v>
      </c>
      <c r="C272" s="128" t="str">
        <f>'Register Configuration'!J325</f>
        <v>0x050A1080</v>
      </c>
      <c r="D272" s="127" t="s">
        <v>915</v>
      </c>
    </row>
    <row r="273" spans="1:4" x14ac:dyDescent="0.3">
      <c r="A273" s="127" t="s">
        <v>916</v>
      </c>
    </row>
    <row r="274" spans="1:4" x14ac:dyDescent="0.3">
      <c r="A274" s="127" t="str">
        <f>IF('Register Configuration'!F19 = 2,"", "//") &amp; "DATA 4"</f>
        <v>DATA 4</v>
      </c>
      <c r="B274" s="127" t="s">
        <v>951</v>
      </c>
      <c r="C274" s="128" t="str">
        <f>'Register Configuration'!J350</f>
        <v>0x64032010</v>
      </c>
      <c r="D274" s="127" t="s">
        <v>919</v>
      </c>
    </row>
    <row r="275" spans="1:4" x14ac:dyDescent="0.3">
      <c r="A275" s="127" t="str">
        <f>IF('Register Configuration'!F19 = 2,"", "//") &amp; "DATA 4"</f>
        <v>DATA 4</v>
      </c>
      <c r="B275" s="127" t="s">
        <v>952</v>
      </c>
      <c r="C275" s="128" t="str">
        <f>'Register Configuration'!J357</f>
        <v>0x4E201C20</v>
      </c>
      <c r="D275" s="127" t="s">
        <v>1828</v>
      </c>
    </row>
    <row r="276" spans="1:4" x14ac:dyDescent="0.3">
      <c r="A276" s="127" t="s">
        <v>920</v>
      </c>
    </row>
    <row r="277" spans="1:4" x14ac:dyDescent="0.3">
      <c r="A277" s="127" t="str">
        <f>IF('Register Configuration'!F19 = 2,"", "//") &amp; "DATA 4"</f>
        <v>DATA 4</v>
      </c>
      <c r="B277" s="127" t="s">
        <v>953</v>
      </c>
      <c r="C277" s="128" t="str">
        <f>'Register Configuration'!K362</f>
        <v>0x001C0000</v>
      </c>
    </row>
    <row r="278" spans="1:4" x14ac:dyDescent="0.3">
      <c r="A278" s="127" t="str">
        <f>IF('Register Configuration'!F19 = 2,"", "//") &amp; "DATA 4"</f>
        <v>DATA 4</v>
      </c>
      <c r="B278" s="127" t="s">
        <v>954</v>
      </c>
      <c r="C278" s="128" t="str">
        <f>'Register Configuration'!K362</f>
        <v>0x001C0000</v>
      </c>
    </row>
    <row r="279" spans="1:4" x14ac:dyDescent="0.3">
      <c r="A279" s="127" t="s">
        <v>921</v>
      </c>
    </row>
    <row r="280" spans="1:4" x14ac:dyDescent="0.3">
      <c r="A280" s="127" t="str">
        <f>IF('Register Configuration'!F19 = 2,"", "//") &amp; "DATA 4"</f>
        <v>DATA 4</v>
      </c>
      <c r="B280" s="127" t="s">
        <v>955</v>
      </c>
      <c r="C280" s="128" t="str">
        <f>'Register Configuration'!J377</f>
        <v>0x008C2C58</v>
      </c>
      <c r="D280" s="127" t="s">
        <v>931</v>
      </c>
    </row>
    <row r="281" spans="1:4" x14ac:dyDescent="0.3">
      <c r="A281" s="127" t="s">
        <v>922</v>
      </c>
    </row>
    <row r="282" spans="1:4" x14ac:dyDescent="0.3">
      <c r="A282" s="127" t="str">
        <f>IF('Register Configuration'!F19 = 2,"", "//") &amp; "DATA 4"</f>
        <v>DATA 4</v>
      </c>
      <c r="B282" s="127" t="s">
        <v>956</v>
      </c>
      <c r="C282" s="128" t="str">
        <f>'Register Configuration'!J592</f>
        <v>0x0001B9BB</v>
      </c>
      <c r="D282" s="127" t="s">
        <v>1890</v>
      </c>
    </row>
    <row r="283" spans="1:4" x14ac:dyDescent="0.3">
      <c r="A283" s="127" t="str">
        <f>IF('Register Configuration'!F19 = 2,"", "//") &amp; "DATA 4"</f>
        <v>DATA 4</v>
      </c>
      <c r="B283" s="127" t="s">
        <v>957</v>
      </c>
      <c r="C283" s="128" t="str">
        <f>'Register Configuration'!J599</f>
        <v>0x0001B9BB</v>
      </c>
      <c r="D283" s="127" t="s">
        <v>1891</v>
      </c>
    </row>
    <row r="284" spans="1:4" x14ac:dyDescent="0.3">
      <c r="A284" s="127" t="s">
        <v>923</v>
      </c>
    </row>
    <row r="285" spans="1:4" x14ac:dyDescent="0.3">
      <c r="A285" s="127" t="str">
        <f>IF('Register Configuration'!F19 = 2,"", "//") &amp; "DATA 4"</f>
        <v>DATA 4</v>
      </c>
      <c r="B285" s="127" t="s">
        <v>958</v>
      </c>
      <c r="C285" s="127" t="s">
        <v>927</v>
      </c>
    </row>
    <row r="286" spans="1:4" x14ac:dyDescent="0.3">
      <c r="A286" s="127" t="s">
        <v>924</v>
      </c>
    </row>
    <row r="287" spans="1:4" x14ac:dyDescent="0.3">
      <c r="A287" s="127" t="str">
        <f>IF('Register Configuration'!F19 = 2,"", "//") &amp; "DATA 4"</f>
        <v>DATA 4</v>
      </c>
      <c r="B287" s="127" t="s">
        <v>958</v>
      </c>
      <c r="C287" s="127" t="s">
        <v>926</v>
      </c>
    </row>
    <row r="288" spans="1:4" x14ac:dyDescent="0.3">
      <c r="A288" s="127" t="s">
        <v>887</v>
      </c>
    </row>
    <row r="289" spans="1:4" x14ac:dyDescent="0.3">
      <c r="A289" s="127" t="s">
        <v>960</v>
      </c>
    </row>
    <row r="290" spans="1:4" x14ac:dyDescent="0.3">
      <c r="A290" s="127" t="s">
        <v>887</v>
      </c>
    </row>
    <row r="291" spans="1:4" x14ac:dyDescent="0.3">
      <c r="A291" s="127" t="s">
        <v>961</v>
      </c>
    </row>
    <row r="292" spans="1:4" x14ac:dyDescent="0.3">
      <c r="A292" s="127" t="s">
        <v>1031</v>
      </c>
    </row>
    <row r="293" spans="1:4" x14ac:dyDescent="0.3">
      <c r="A293" s="127" t="s">
        <v>780</v>
      </c>
      <c r="B293" s="127" t="s">
        <v>962</v>
      </c>
      <c r="C293" s="128" t="str">
        <f>'Register Configuration'!J391</f>
        <v>0x54</v>
      </c>
      <c r="D293" s="127" t="s">
        <v>1032</v>
      </c>
    </row>
    <row r="294" spans="1:4" x14ac:dyDescent="0.3">
      <c r="A294" s="127" t="s">
        <v>780</v>
      </c>
      <c r="B294" s="127" t="s">
        <v>963</v>
      </c>
      <c r="C294" s="128" t="str">
        <f>'Register Configuration'!J398</f>
        <v>0x2D</v>
      </c>
      <c r="D294" s="127" t="s">
        <v>1812</v>
      </c>
    </row>
    <row r="295" spans="1:4" x14ac:dyDescent="0.3">
      <c r="A295" s="127" t="s">
        <v>780</v>
      </c>
      <c r="B295" s="127" t="s">
        <v>964</v>
      </c>
      <c r="C295" s="128" t="str">
        <f>'Register Configuration'!J404</f>
        <v>0xF1</v>
      </c>
      <c r="D295" s="127" t="s">
        <v>1813</v>
      </c>
    </row>
    <row r="297" spans="1:4" x14ac:dyDescent="0.3">
      <c r="A297" s="127" t="s">
        <v>780</v>
      </c>
      <c r="B297" s="127" t="s">
        <v>965</v>
      </c>
      <c r="C297" s="128" t="str">
        <f>'Register Configuration'!J410</f>
        <v>0x54</v>
      </c>
      <c r="D297" s="127" t="s">
        <v>1814</v>
      </c>
    </row>
    <row r="298" spans="1:4" x14ac:dyDescent="0.3">
      <c r="A298" s="127" t="s">
        <v>780</v>
      </c>
      <c r="B298" s="127" t="s">
        <v>966</v>
      </c>
      <c r="C298" s="128" t="str">
        <f>'Register Configuration'!J423</f>
        <v>0x16</v>
      </c>
      <c r="D298" s="127" t="s">
        <v>967</v>
      </c>
    </row>
    <row r="299" spans="1:4" x14ac:dyDescent="0.3">
      <c r="A299" s="127" t="s">
        <v>1866</v>
      </c>
    </row>
    <row r="300" spans="1:4" x14ac:dyDescent="0.3">
      <c r="A300" s="127" t="s">
        <v>780</v>
      </c>
      <c r="B300" s="127" t="s">
        <v>968</v>
      </c>
      <c r="C300" s="127" t="s">
        <v>969</v>
      </c>
    </row>
    <row r="301" spans="1:4" x14ac:dyDescent="0.3">
      <c r="A301" s="127" t="s">
        <v>780</v>
      </c>
      <c r="B301" s="127" t="s">
        <v>970</v>
      </c>
      <c r="C301" s="127" t="s">
        <v>969</v>
      </c>
    </row>
    <row r="302" spans="1:4" x14ac:dyDescent="0.3">
      <c r="A302" s="127" t="s">
        <v>971</v>
      </c>
    </row>
    <row r="303" spans="1:4" x14ac:dyDescent="0.3">
      <c r="A303" s="127" t="s">
        <v>972</v>
      </c>
    </row>
    <row r="304" spans="1:4" x14ac:dyDescent="0.3">
      <c r="A304" s="127" t="s">
        <v>780</v>
      </c>
      <c r="B304" s="127" t="s">
        <v>973</v>
      </c>
      <c r="C304" s="128" t="str">
        <f>'Register Configuration'!J429</f>
        <v>0x1044220C</v>
      </c>
      <c r="D304" s="127" t="s">
        <v>979</v>
      </c>
    </row>
    <row r="305" spans="1:4" x14ac:dyDescent="0.3">
      <c r="A305" s="127" t="s">
        <v>780</v>
      </c>
      <c r="B305" s="127" t="s">
        <v>974</v>
      </c>
      <c r="C305" s="128" t="str">
        <f>'Register Configuration'!J435</f>
        <v>0x28400417</v>
      </c>
      <c r="D305" s="127" t="s">
        <v>980</v>
      </c>
    </row>
    <row r="306" spans="1:4" x14ac:dyDescent="0.3">
      <c r="A306" s="127" t="s">
        <v>780</v>
      </c>
      <c r="B306" s="127" t="s">
        <v>975</v>
      </c>
      <c r="C306" s="128" t="str">
        <f>'Register Configuration'!J440</f>
        <v>0x006CA1CC</v>
      </c>
      <c r="D306" s="127" t="s">
        <v>981</v>
      </c>
    </row>
    <row r="307" spans="1:4" x14ac:dyDescent="0.3">
      <c r="A307" s="127" t="s">
        <v>780</v>
      </c>
      <c r="B307" s="127" t="s">
        <v>976</v>
      </c>
      <c r="C307" s="128" t="str">
        <f>'Register Configuration'!J447</f>
        <v>0x01800602</v>
      </c>
      <c r="D307" s="127" t="s">
        <v>2171</v>
      </c>
    </row>
    <row r="308" spans="1:4" x14ac:dyDescent="0.3">
      <c r="A308" s="127" t="s">
        <v>780</v>
      </c>
      <c r="B308" s="127" t="s">
        <v>977</v>
      </c>
      <c r="C308" s="128" t="str">
        <f>'Register Configuration'!J453</f>
        <v>0x01C02B0F</v>
      </c>
      <c r="D308" s="127" t="s">
        <v>982</v>
      </c>
    </row>
    <row r="309" spans="1:4" x14ac:dyDescent="0.3">
      <c r="A309" s="127" t="s">
        <v>780</v>
      </c>
      <c r="B309" s="127" t="s">
        <v>978</v>
      </c>
      <c r="C309" s="128" t="str">
        <f>'Register Configuration'!J458</f>
        <v>0x21651D11</v>
      </c>
      <c r="D309" s="127" t="s">
        <v>983</v>
      </c>
    </row>
    <row r="310" spans="1:4" x14ac:dyDescent="0.3">
      <c r="A310" s="127" t="s">
        <v>916</v>
      </c>
    </row>
    <row r="311" spans="1:4" x14ac:dyDescent="0.3">
      <c r="A311" s="127" t="s">
        <v>780</v>
      </c>
      <c r="B311" s="127" t="s">
        <v>2104</v>
      </c>
      <c r="C311" s="128" t="str">
        <f>'Register Configuration'!J463</f>
        <v>0x000A3DEF</v>
      </c>
    </row>
    <row r="312" spans="1:4" x14ac:dyDescent="0.3">
      <c r="A312" s="127" t="s">
        <v>780</v>
      </c>
      <c r="B312" s="127" t="s">
        <v>984</v>
      </c>
      <c r="C312" s="128" t="str">
        <f>'Register Configuration'!K468</f>
        <v>0x0030D400</v>
      </c>
      <c r="D312" s="127" t="s">
        <v>1853</v>
      </c>
    </row>
    <row r="313" spans="1:4" x14ac:dyDescent="0.3">
      <c r="A313" s="127" t="s">
        <v>780</v>
      </c>
      <c r="B313" s="127" t="s">
        <v>985</v>
      </c>
      <c r="C313" s="128" t="str">
        <f>'Register Configuration'!K471</f>
        <v>0x00000C80</v>
      </c>
      <c r="D313" s="127" t="s">
        <v>1854</v>
      </c>
    </row>
    <row r="314" spans="1:4" x14ac:dyDescent="0.3">
      <c r="A314" s="127" t="s">
        <v>780</v>
      </c>
      <c r="B314" s="127" t="s">
        <v>986</v>
      </c>
      <c r="C314" s="128" t="str">
        <f>'Register Configuration'!K474</f>
        <v>0x0004E200</v>
      </c>
      <c r="D314" s="127" t="s">
        <v>1855</v>
      </c>
    </row>
    <row r="315" spans="1:4" x14ac:dyDescent="0.3">
      <c r="A315" s="127" t="s">
        <v>780</v>
      </c>
      <c r="B315" s="127" t="s">
        <v>987</v>
      </c>
      <c r="C315" s="128" t="str">
        <f>'Register Configuration'!K477</f>
        <v>0x03300640</v>
      </c>
      <c r="D315" s="127" t="s">
        <v>1869</v>
      </c>
    </row>
    <row r="316" spans="1:4" x14ac:dyDescent="0.3">
      <c r="A316" s="127" t="s">
        <v>988</v>
      </c>
    </row>
    <row r="317" spans="1:4" x14ac:dyDescent="0.3">
      <c r="A317" s="127" t="s">
        <v>989</v>
      </c>
    </row>
    <row r="318" spans="1:4" x14ac:dyDescent="0.3">
      <c r="A318" s="127" t="s">
        <v>780</v>
      </c>
      <c r="B318" s="127" t="s">
        <v>990</v>
      </c>
      <c r="C318" s="127" t="s">
        <v>821</v>
      </c>
      <c r="D318" s="127" t="s">
        <v>993</v>
      </c>
    </row>
    <row r="319" spans="1:4" x14ac:dyDescent="0.3">
      <c r="A319" s="127" t="s">
        <v>780</v>
      </c>
      <c r="B319" s="127" t="s">
        <v>991</v>
      </c>
      <c r="C319" s="127" t="s">
        <v>992</v>
      </c>
      <c r="D319" s="127" t="s">
        <v>994</v>
      </c>
    </row>
    <row r="320" spans="1:4" x14ac:dyDescent="0.3">
      <c r="A320" s="127" t="s">
        <v>780</v>
      </c>
      <c r="B320" s="127" t="s">
        <v>990</v>
      </c>
      <c r="C320" s="127" t="s">
        <v>992</v>
      </c>
      <c r="D320" s="127" t="s">
        <v>995</v>
      </c>
    </row>
    <row r="321" spans="1:9" x14ac:dyDescent="0.3">
      <c r="A321" s="127" t="s">
        <v>780</v>
      </c>
      <c r="B321" s="127" t="s">
        <v>991</v>
      </c>
      <c r="C321" s="127" t="s">
        <v>992</v>
      </c>
      <c r="D321" s="127" t="s">
        <v>996</v>
      </c>
    </row>
    <row r="322" spans="1:9" x14ac:dyDescent="0.3">
      <c r="A322" s="127" t="s">
        <v>997</v>
      </c>
    </row>
    <row r="323" spans="1:9" x14ac:dyDescent="0.3">
      <c r="A323" s="127" t="s">
        <v>998</v>
      </c>
    </row>
    <row r="324" spans="1:9" x14ac:dyDescent="0.3">
      <c r="A324" s="127" t="s">
        <v>780</v>
      </c>
      <c r="B324" s="127" t="s">
        <v>999</v>
      </c>
      <c r="C324" s="128" t="str">
        <f>'Register Configuration'!K482</f>
        <v>0x30070800</v>
      </c>
      <c r="D324" s="127" t="s">
        <v>1001</v>
      </c>
    </row>
    <row r="325" spans="1:9" x14ac:dyDescent="0.3">
      <c r="A325" s="127" t="s">
        <v>780</v>
      </c>
      <c r="B325" s="127" t="s">
        <v>1000</v>
      </c>
      <c r="C325" s="128" t="str">
        <f>'Register Configuration'!J494</f>
        <v>0x09000000</v>
      </c>
      <c r="D325" s="127" t="s">
        <v>1002</v>
      </c>
    </row>
    <row r="326" spans="1:9" x14ac:dyDescent="0.3">
      <c r="A326" s="127" t="s">
        <v>1003</v>
      </c>
    </row>
    <row r="327" spans="1:9" x14ac:dyDescent="0.3">
      <c r="A327" s="127" t="s">
        <v>780</v>
      </c>
      <c r="B327" s="127" t="s">
        <v>1004</v>
      </c>
      <c r="C327" s="128" t="str">
        <f>'Register Configuration'!J499</f>
        <v>0x44000000</v>
      </c>
    </row>
    <row r="328" spans="1:9" x14ac:dyDescent="0.3">
      <c r="A328" s="127" t="s">
        <v>1005</v>
      </c>
    </row>
    <row r="329" spans="1:9" x14ac:dyDescent="0.3">
      <c r="A329" s="127" t="s">
        <v>780</v>
      </c>
      <c r="B329" s="127" t="s">
        <v>1006</v>
      </c>
      <c r="C329" s="128" t="str">
        <f>'Register Configuration'!J516</f>
        <v>0xF0032008</v>
      </c>
      <c r="D329" s="127" t="s">
        <v>1008</v>
      </c>
    </row>
    <row r="330" spans="1:9" x14ac:dyDescent="0.3">
      <c r="A330" s="127" t="s">
        <v>780</v>
      </c>
      <c r="B330" s="127" t="s">
        <v>1007</v>
      </c>
      <c r="C330" s="128" t="str">
        <f>'Register Configuration'!J525</f>
        <v>0x07F001AB</v>
      </c>
      <c r="D330" s="127" t="s">
        <v>1009</v>
      </c>
    </row>
    <row r="331" spans="1:9" x14ac:dyDescent="0.3">
      <c r="A331" s="127" t="s">
        <v>776</v>
      </c>
    </row>
    <row r="332" spans="1:9" x14ac:dyDescent="0.3">
      <c r="A332" s="127" t="s">
        <v>1010</v>
      </c>
    </row>
    <row r="333" spans="1:9" x14ac:dyDescent="0.3">
      <c r="A333" s="127" t="s">
        <v>959</v>
      </c>
      <c r="B333" s="127" t="s">
        <v>1011</v>
      </c>
      <c r="C333" s="127" t="s">
        <v>1012</v>
      </c>
    </row>
    <row r="334" spans="1:9" x14ac:dyDescent="0.3">
      <c r="A334" s="127" t="s">
        <v>780</v>
      </c>
      <c r="B334" s="127" t="s">
        <v>1013</v>
      </c>
      <c r="C334" s="127" t="s">
        <v>1014</v>
      </c>
      <c r="D334" s="127" t="s">
        <v>1069</v>
      </c>
      <c r="I334" s="127"/>
    </row>
    <row r="335" spans="1:9" x14ac:dyDescent="0.3">
      <c r="A335" s="127" t="s">
        <v>776</v>
      </c>
    </row>
    <row r="336" spans="1:9" x14ac:dyDescent="0.3">
      <c r="A336" s="127" t="s">
        <v>780</v>
      </c>
      <c r="B336" s="127" t="s">
        <v>1015</v>
      </c>
      <c r="C336" s="127" t="s">
        <v>1016</v>
      </c>
      <c r="D336" s="127" t="s">
        <v>1025</v>
      </c>
    </row>
    <row r="337" spans="1:6" x14ac:dyDescent="0.3">
      <c r="A337" s="127" t="s">
        <v>780</v>
      </c>
      <c r="B337" s="127" t="s">
        <v>1017</v>
      </c>
      <c r="C337" s="127" t="s">
        <v>1016</v>
      </c>
      <c r="D337" s="127" t="s">
        <v>1025</v>
      </c>
      <c r="F337" s="127"/>
    </row>
    <row r="338" spans="1:6" x14ac:dyDescent="0.3">
      <c r="A338" s="127" t="s">
        <v>780</v>
      </c>
      <c r="B338" s="127" t="s">
        <v>1018</v>
      </c>
      <c r="C338" s="127" t="s">
        <v>1016</v>
      </c>
      <c r="D338" s="127" t="s">
        <v>1025</v>
      </c>
    </row>
    <row r="339" spans="1:6" x14ac:dyDescent="0.3">
      <c r="A339" s="127" t="s">
        <v>780</v>
      </c>
      <c r="B339" s="127" t="s">
        <v>1019</v>
      </c>
      <c r="C339" s="127" t="s">
        <v>1016</v>
      </c>
      <c r="D339" s="127" t="s">
        <v>1025</v>
      </c>
    </row>
    <row r="340" spans="1:6" x14ac:dyDescent="0.3">
      <c r="A340" s="127" t="s">
        <v>780</v>
      </c>
      <c r="B340" s="127" t="s">
        <v>1020</v>
      </c>
      <c r="C340" s="127" t="s">
        <v>1021</v>
      </c>
      <c r="D340" s="127" t="s">
        <v>1026</v>
      </c>
    </row>
    <row r="341" spans="1:6" x14ac:dyDescent="0.3">
      <c r="A341" s="127" t="s">
        <v>780</v>
      </c>
      <c r="B341" s="127" t="s">
        <v>1022</v>
      </c>
      <c r="C341" s="127" t="s">
        <v>1021</v>
      </c>
      <c r="D341" s="127" t="s">
        <v>1026</v>
      </c>
    </row>
    <row r="342" spans="1:6" x14ac:dyDescent="0.3">
      <c r="A342" s="127" t="s">
        <v>780</v>
      </c>
      <c r="B342" s="127" t="s">
        <v>1023</v>
      </c>
      <c r="C342" s="127" t="s">
        <v>1021</v>
      </c>
      <c r="D342" s="127" t="s">
        <v>1026</v>
      </c>
    </row>
    <row r="343" spans="1:6" x14ac:dyDescent="0.3">
      <c r="A343" s="127" t="s">
        <v>780</v>
      </c>
      <c r="B343" s="127" t="s">
        <v>1024</v>
      </c>
      <c r="C343" s="127" t="s">
        <v>1021</v>
      </c>
      <c r="D343" s="127" t="s">
        <v>1026</v>
      </c>
    </row>
    <row r="344" spans="1:6" x14ac:dyDescent="0.3">
      <c r="A344" s="127" t="s">
        <v>1027</v>
      </c>
    </row>
    <row r="345" spans="1:6" x14ac:dyDescent="0.3">
      <c r="A345" s="127" t="s">
        <v>2099</v>
      </c>
    </row>
    <row r="346" spans="1:6" x14ac:dyDescent="0.3">
      <c r="A346" s="127" t="s">
        <v>780</v>
      </c>
      <c r="B346" s="127" t="s">
        <v>1028</v>
      </c>
      <c r="C346" s="128" t="str">
        <f>'Register Configuration'!J536</f>
        <v>0x001C1600</v>
      </c>
    </row>
    <row r="347" spans="1:6" x14ac:dyDescent="0.3">
      <c r="A347" s="127" t="s">
        <v>780</v>
      </c>
      <c r="B347" s="127" t="s">
        <v>2013</v>
      </c>
      <c r="C347" s="128" t="str">
        <f>'Register Configuration'!J336</f>
        <v>0x001900B1</v>
      </c>
    </row>
    <row r="348" spans="1:6" x14ac:dyDescent="0.3">
      <c r="A348" s="127" t="s">
        <v>1029</v>
      </c>
    </row>
    <row r="349" spans="1:6" x14ac:dyDescent="0.3">
      <c r="A349" s="127" t="s">
        <v>780</v>
      </c>
      <c r="B349" s="127" t="s">
        <v>1030</v>
      </c>
      <c r="C349" s="128" t="str">
        <f>'Register Configuration'!J549</f>
        <v>0x79000000</v>
      </c>
      <c r="D349" s="127" t="s">
        <v>1002</v>
      </c>
    </row>
    <row r="350" spans="1:6" x14ac:dyDescent="0.3">
      <c r="A350" s="127" t="s">
        <v>887</v>
      </c>
    </row>
    <row r="351" spans="1:6" x14ac:dyDescent="0.3">
      <c r="A351" s="127" t="s">
        <v>960</v>
      </c>
    </row>
    <row r="352" spans="1:6" x14ac:dyDescent="0.3">
      <c r="A352" s="127" t="s">
        <v>887</v>
      </c>
    </row>
    <row r="353" spans="1:4" x14ac:dyDescent="0.3">
      <c r="A353" s="127" t="s">
        <v>961</v>
      </c>
    </row>
    <row r="354" spans="1:4" x14ac:dyDescent="0.3">
      <c r="A354" s="127" t="s">
        <v>1031</v>
      </c>
    </row>
    <row r="355" spans="1:4" x14ac:dyDescent="0.3">
      <c r="A355" s="127" t="str">
        <f>IF('Register Configuration'!F19 = 2,"", "//") &amp; "DATA 4"</f>
        <v>DATA 4</v>
      </c>
      <c r="B355" s="127" t="s">
        <v>1033</v>
      </c>
      <c r="C355" s="128" t="str">
        <f>'Register Configuration'!J391</f>
        <v>0x54</v>
      </c>
      <c r="D355" s="127" t="s">
        <v>1032</v>
      </c>
    </row>
    <row r="356" spans="1:4" x14ac:dyDescent="0.3">
      <c r="A356" s="127" t="str">
        <f>IF('Register Configuration'!F19 = 2,"", "//") &amp; "DATA 4"</f>
        <v>DATA 4</v>
      </c>
      <c r="B356" s="127" t="s">
        <v>1034</v>
      </c>
      <c r="C356" s="128" t="str">
        <f>'Register Configuration'!J398</f>
        <v>0x2D</v>
      </c>
      <c r="D356" s="127" t="s">
        <v>1812</v>
      </c>
    </row>
    <row r="357" spans="1:4" x14ac:dyDescent="0.3">
      <c r="A357" s="127" t="str">
        <f>IF('Register Configuration'!F19 = 2,"", "//") &amp; "DATA 4"</f>
        <v>DATA 4</v>
      </c>
      <c r="B357" s="127" t="s">
        <v>1035</v>
      </c>
      <c r="C357" s="128" t="str">
        <f>'Register Configuration'!J404</f>
        <v>0xF1</v>
      </c>
      <c r="D357" s="127" t="s">
        <v>1813</v>
      </c>
    </row>
    <row r="358" spans="1:4" x14ac:dyDescent="0.3">
      <c r="C358" s="129"/>
    </row>
    <row r="359" spans="1:4" x14ac:dyDescent="0.3">
      <c r="A359" s="127" t="str">
        <f>IF('Register Configuration'!F19 = 2,"", "//") &amp; "DATA 4"</f>
        <v>DATA 4</v>
      </c>
      <c r="B359" s="127" t="s">
        <v>1036</v>
      </c>
      <c r="C359" s="128" t="str">
        <f>'Register Configuration'!J410</f>
        <v>0x54</v>
      </c>
      <c r="D359" s="127" t="s">
        <v>1814</v>
      </c>
    </row>
    <row r="360" spans="1:4" x14ac:dyDescent="0.3">
      <c r="A360" s="127" t="str">
        <f>IF('Register Configuration'!F19 = 2,"", "//") &amp; "DATA 4"</f>
        <v>DATA 4</v>
      </c>
      <c r="B360" s="127" t="s">
        <v>1037</v>
      </c>
      <c r="C360" s="128" t="str">
        <f>'Register Configuration'!J423</f>
        <v>0x16</v>
      </c>
      <c r="D360" s="127" t="s">
        <v>967</v>
      </c>
    </row>
    <row r="361" spans="1:4" x14ac:dyDescent="0.3">
      <c r="A361" s="127" t="s">
        <v>1866</v>
      </c>
    </row>
    <row r="362" spans="1:4" x14ac:dyDescent="0.3">
      <c r="A362" s="127" t="str">
        <f>IF('Register Configuration'!F19 = 2,"", "//") &amp; "DATA 4"</f>
        <v>DATA 4</v>
      </c>
      <c r="B362" s="127" t="s">
        <v>1038</v>
      </c>
      <c r="C362" s="127" t="s">
        <v>969</v>
      </c>
    </row>
    <row r="363" spans="1:4" x14ac:dyDescent="0.3">
      <c r="A363" s="127" t="str">
        <f>IF('Register Configuration'!F19 = 2,"", "//") &amp; "DATA 4"</f>
        <v>DATA 4</v>
      </c>
      <c r="B363" s="127" t="s">
        <v>1039</v>
      </c>
      <c r="C363" s="127" t="s">
        <v>969</v>
      </c>
    </row>
    <row r="364" spans="1:4" x14ac:dyDescent="0.3">
      <c r="A364" s="127" t="s">
        <v>971</v>
      </c>
    </row>
    <row r="365" spans="1:4" x14ac:dyDescent="0.3">
      <c r="A365" s="127" t="s">
        <v>972</v>
      </c>
    </row>
    <row r="366" spans="1:4" x14ac:dyDescent="0.3">
      <c r="A366" s="127" t="str">
        <f>IF('Register Configuration'!F19 = 2,"", "//") &amp; "DATA 4"</f>
        <v>DATA 4</v>
      </c>
      <c r="B366" s="127" t="s">
        <v>1040</v>
      </c>
      <c r="C366" s="128" t="str">
        <f>'Register Configuration'!J429</f>
        <v>0x1044220C</v>
      </c>
      <c r="D366" s="127" t="s">
        <v>979</v>
      </c>
    </row>
    <row r="367" spans="1:4" x14ac:dyDescent="0.3">
      <c r="A367" s="127" t="str">
        <f>IF('Register Configuration'!F19 = 2,"", "//") &amp; "DATA 4"</f>
        <v>DATA 4</v>
      </c>
      <c r="B367" s="127" t="s">
        <v>1041</v>
      </c>
      <c r="C367" s="128" t="str">
        <f>'Register Configuration'!J435</f>
        <v>0x28400417</v>
      </c>
      <c r="D367" s="127" t="s">
        <v>980</v>
      </c>
    </row>
    <row r="368" spans="1:4" x14ac:dyDescent="0.3">
      <c r="A368" s="127" t="str">
        <f>IF('Register Configuration'!F19 = 2,"", "//") &amp; "DATA 4"</f>
        <v>DATA 4</v>
      </c>
      <c r="B368" s="127" t="s">
        <v>1042</v>
      </c>
      <c r="C368" s="128" t="str">
        <f>'Register Configuration'!J440</f>
        <v>0x006CA1CC</v>
      </c>
      <c r="D368" s="127" t="s">
        <v>981</v>
      </c>
    </row>
    <row r="369" spans="1:4" x14ac:dyDescent="0.3">
      <c r="A369" s="127" t="str">
        <f>IF('Register Configuration'!F19 = 2,"", "//") &amp; "DATA 4"</f>
        <v>DATA 4</v>
      </c>
      <c r="B369" s="127" t="s">
        <v>1043</v>
      </c>
      <c r="C369" s="128" t="str">
        <f>'Register Configuration'!J447</f>
        <v>0x01800602</v>
      </c>
      <c r="D369" s="127" t="s">
        <v>2171</v>
      </c>
    </row>
    <row r="370" spans="1:4" x14ac:dyDescent="0.3">
      <c r="A370" s="127" t="str">
        <f>IF('Register Configuration'!F19 = 2,"", "//") &amp; "DATA 4"</f>
        <v>DATA 4</v>
      </c>
      <c r="B370" s="127" t="s">
        <v>1044</v>
      </c>
      <c r="C370" s="128" t="str">
        <f>'Register Configuration'!J453</f>
        <v>0x01C02B0F</v>
      </c>
      <c r="D370" s="127" t="s">
        <v>982</v>
      </c>
    </row>
    <row r="371" spans="1:4" x14ac:dyDescent="0.3">
      <c r="A371" s="127" t="str">
        <f>IF('Register Configuration'!F19 = 2,"", "//") &amp; "DATA 4"</f>
        <v>DATA 4</v>
      </c>
      <c r="B371" s="127" t="s">
        <v>1045</v>
      </c>
      <c r="C371" s="128" t="str">
        <f>'Register Configuration'!J458</f>
        <v>0x21651D11</v>
      </c>
      <c r="D371" s="127" t="s">
        <v>983</v>
      </c>
    </row>
    <row r="372" spans="1:4" x14ac:dyDescent="0.3">
      <c r="A372" s="127" t="s">
        <v>916</v>
      </c>
    </row>
    <row r="373" spans="1:4" x14ac:dyDescent="0.3">
      <c r="A373" s="127" t="str">
        <f>IF('Register Configuration'!F19 = 2,"", "//") &amp; "DATA 4"</f>
        <v>DATA 4</v>
      </c>
      <c r="B373" s="127" t="s">
        <v>2105</v>
      </c>
      <c r="C373" s="128" t="str">
        <f>'Register Configuration'!J463</f>
        <v>0x000A3DEF</v>
      </c>
    </row>
    <row r="374" spans="1:4" x14ac:dyDescent="0.3">
      <c r="A374" s="127" t="str">
        <f>IF('Register Configuration'!F19 = 2,"", "//") &amp; "DATA 4"</f>
        <v>DATA 4</v>
      </c>
      <c r="B374" s="127" t="s">
        <v>1046</v>
      </c>
      <c r="C374" s="128" t="str">
        <f>'Register Configuration'!K468</f>
        <v>0x0030D400</v>
      </c>
      <c r="D374" s="127" t="s">
        <v>1853</v>
      </c>
    </row>
    <row r="375" spans="1:4" x14ac:dyDescent="0.3">
      <c r="A375" s="127" t="str">
        <f>IF('Register Configuration'!F19 = 2,"", "//") &amp; "DATA 4"</f>
        <v>DATA 4</v>
      </c>
      <c r="B375" s="127" t="s">
        <v>1047</v>
      </c>
      <c r="C375" s="128" t="str">
        <f>'Register Configuration'!K471</f>
        <v>0x00000C80</v>
      </c>
      <c r="D375" s="127" t="s">
        <v>1854</v>
      </c>
    </row>
    <row r="376" spans="1:4" x14ac:dyDescent="0.3">
      <c r="A376" s="127" t="str">
        <f>IF('Register Configuration'!F19 = 2,"", "//") &amp; "DATA 4"</f>
        <v>DATA 4</v>
      </c>
      <c r="B376" s="127" t="s">
        <v>1048</v>
      </c>
      <c r="C376" s="128" t="str">
        <f>'Register Configuration'!K474</f>
        <v>0x0004E200</v>
      </c>
      <c r="D376" s="127" t="s">
        <v>1855</v>
      </c>
    </row>
    <row r="377" spans="1:4" x14ac:dyDescent="0.3">
      <c r="A377" s="127" t="str">
        <f>IF('Register Configuration'!F19 = 2,"", "//") &amp; "DATA 4"</f>
        <v>DATA 4</v>
      </c>
      <c r="B377" s="127" t="s">
        <v>1049</v>
      </c>
      <c r="C377" s="128" t="str">
        <f>'Register Configuration'!K477</f>
        <v>0x03300640</v>
      </c>
      <c r="D377" s="127" t="s">
        <v>1856</v>
      </c>
    </row>
    <row r="378" spans="1:4" x14ac:dyDescent="0.3">
      <c r="A378" s="127" t="s">
        <v>988</v>
      </c>
    </row>
    <row r="379" spans="1:4" x14ac:dyDescent="0.3">
      <c r="A379" s="127" t="s">
        <v>989</v>
      </c>
    </row>
    <row r="380" spans="1:4" x14ac:dyDescent="0.3">
      <c r="A380" s="127" t="str">
        <f>IF('Register Configuration'!F19 = 2,"", "//") &amp; "DATA 4"</f>
        <v>DATA 4</v>
      </c>
      <c r="B380" s="127" t="s">
        <v>1050</v>
      </c>
      <c r="C380" s="127" t="s">
        <v>821</v>
      </c>
      <c r="D380" s="127" t="s">
        <v>993</v>
      </c>
    </row>
    <row r="381" spans="1:4" x14ac:dyDescent="0.3">
      <c r="A381" s="127" t="str">
        <f>IF('Register Configuration'!F19 = 2,"", "//") &amp; "DATA 4"</f>
        <v>DATA 4</v>
      </c>
      <c r="B381" s="127" t="s">
        <v>1051</v>
      </c>
      <c r="C381" s="127" t="s">
        <v>992</v>
      </c>
      <c r="D381" s="127" t="s">
        <v>994</v>
      </c>
    </row>
    <row r="382" spans="1:4" x14ac:dyDescent="0.3">
      <c r="A382" s="127" t="str">
        <f>IF('Register Configuration'!F19 = 2,"", "//") &amp; "DATA 4"</f>
        <v>DATA 4</v>
      </c>
      <c r="B382" s="127" t="s">
        <v>1050</v>
      </c>
      <c r="C382" s="127" t="s">
        <v>992</v>
      </c>
      <c r="D382" s="127" t="s">
        <v>995</v>
      </c>
    </row>
    <row r="383" spans="1:4" x14ac:dyDescent="0.3">
      <c r="A383" s="127" t="str">
        <f>IF('Register Configuration'!F19 = 2,"", "//") &amp; "DATA 4"</f>
        <v>DATA 4</v>
      </c>
      <c r="B383" s="127" t="s">
        <v>1051</v>
      </c>
      <c r="C383" s="127" t="s">
        <v>992</v>
      </c>
      <c r="D383" s="127" t="s">
        <v>996</v>
      </c>
    </row>
    <row r="384" spans="1:4" x14ac:dyDescent="0.3">
      <c r="A384" s="127" t="s">
        <v>997</v>
      </c>
    </row>
    <row r="385" spans="1:4" x14ac:dyDescent="0.3">
      <c r="A385" s="127" t="s">
        <v>998</v>
      </c>
    </row>
    <row r="386" spans="1:4" x14ac:dyDescent="0.3">
      <c r="A386" s="127" t="str">
        <f>IF('Register Configuration'!F19 = 2,"", "//") &amp; "DATA 4"</f>
        <v>DATA 4</v>
      </c>
      <c r="B386" s="127" t="s">
        <v>1052</v>
      </c>
      <c r="C386" s="128" t="str">
        <f>'Register Configuration'!K482</f>
        <v>0x30070800</v>
      </c>
      <c r="D386" s="127" t="s">
        <v>1001</v>
      </c>
    </row>
    <row r="387" spans="1:4" x14ac:dyDescent="0.3">
      <c r="A387" s="127" t="str">
        <f>IF('Register Configuration'!F19 = 2,"", "//") &amp; "DATA 4"</f>
        <v>DATA 4</v>
      </c>
      <c r="B387" s="127" t="s">
        <v>1053</v>
      </c>
      <c r="C387" s="128" t="str">
        <f>'Register Configuration'!J494</f>
        <v>0x09000000</v>
      </c>
      <c r="D387" s="127" t="s">
        <v>1002</v>
      </c>
    </row>
    <row r="388" spans="1:4" x14ac:dyDescent="0.3">
      <c r="A388" s="127" t="s">
        <v>1003</v>
      </c>
    </row>
    <row r="389" spans="1:4" x14ac:dyDescent="0.3">
      <c r="A389" s="127" t="str">
        <f>IF('Register Configuration'!F19 = 2,"", "//") &amp; "DATA 4"</f>
        <v>DATA 4</v>
      </c>
      <c r="B389" s="127" t="s">
        <v>1054</v>
      </c>
      <c r="C389" s="128" t="str">
        <f>'Register Configuration'!J499</f>
        <v>0x44000000</v>
      </c>
    </row>
    <row r="390" spans="1:4" x14ac:dyDescent="0.3">
      <c r="A390" s="127" t="s">
        <v>1005</v>
      </c>
    </row>
    <row r="391" spans="1:4" x14ac:dyDescent="0.3">
      <c r="A391" s="127" t="str">
        <f>IF('Register Configuration'!F19 = 2,"", "//") &amp; "DATA 4"</f>
        <v>DATA 4</v>
      </c>
      <c r="B391" s="127" t="s">
        <v>1055</v>
      </c>
      <c r="C391" s="128" t="str">
        <f>'Register Configuration'!J516</f>
        <v>0xF0032008</v>
      </c>
      <c r="D391" s="127" t="s">
        <v>1008</v>
      </c>
    </row>
    <row r="392" spans="1:4" x14ac:dyDescent="0.3">
      <c r="A392" s="127" t="str">
        <f>IF('Register Configuration'!F19 = 2,"", "//") &amp; "DATA 4"</f>
        <v>DATA 4</v>
      </c>
      <c r="B392" s="127" t="s">
        <v>1056</v>
      </c>
      <c r="C392" s="128" t="str">
        <f>'Register Configuration'!J525</f>
        <v>0x07F001AB</v>
      </c>
      <c r="D392" s="127" t="s">
        <v>1009</v>
      </c>
    </row>
    <row r="393" spans="1:4" x14ac:dyDescent="0.3">
      <c r="A393" s="127" t="s">
        <v>776</v>
      </c>
    </row>
    <row r="394" spans="1:4" x14ac:dyDescent="0.3">
      <c r="A394" s="127" t="s">
        <v>1010</v>
      </c>
    </row>
    <row r="395" spans="1:4" x14ac:dyDescent="0.3">
      <c r="A395" s="127" t="str">
        <f>IF('Register Configuration'!F19 = 2,"", "//") &amp; "SET_BIT 4"</f>
        <v>SET_BIT 4</v>
      </c>
      <c r="B395" s="127" t="s">
        <v>1057</v>
      </c>
      <c r="C395" s="127" t="s">
        <v>1012</v>
      </c>
    </row>
    <row r="396" spans="1:4" x14ac:dyDescent="0.3">
      <c r="A396" s="127" t="str">
        <f>IF('Register Configuration'!F19 = 2,"", "//") &amp; "DATA 4"</f>
        <v>DATA 4</v>
      </c>
      <c r="B396" s="127" t="s">
        <v>1058</v>
      </c>
      <c r="C396" s="127" t="s">
        <v>1014</v>
      </c>
      <c r="D396" s="127" t="s">
        <v>1069</v>
      </c>
    </row>
    <row r="397" spans="1:4" x14ac:dyDescent="0.3">
      <c r="A397" s="127" t="s">
        <v>776</v>
      </c>
    </row>
    <row r="398" spans="1:4" x14ac:dyDescent="0.3">
      <c r="A398" s="127" t="str">
        <f>IF('Register Configuration'!F19 = 2,"", "//") &amp; "DATA 4"</f>
        <v>DATA 4</v>
      </c>
      <c r="B398" s="127" t="s">
        <v>1059</v>
      </c>
      <c r="C398" s="127" t="s">
        <v>1016</v>
      </c>
      <c r="D398" s="127" t="s">
        <v>1025</v>
      </c>
    </row>
    <row r="399" spans="1:4" x14ac:dyDescent="0.3">
      <c r="A399" s="127" t="str">
        <f>IF('Register Configuration'!F19 = 2,"", "//") &amp; "DATA 4"</f>
        <v>DATA 4</v>
      </c>
      <c r="B399" s="127" t="s">
        <v>1060</v>
      </c>
      <c r="C399" s="127" t="s">
        <v>1016</v>
      </c>
      <c r="D399" s="127" t="s">
        <v>1025</v>
      </c>
    </row>
    <row r="400" spans="1:4" x14ac:dyDescent="0.3">
      <c r="A400" s="127" t="str">
        <f>IF('Register Configuration'!F19 = 2,"", "//") &amp; "DATA 4"</f>
        <v>DATA 4</v>
      </c>
      <c r="B400" s="127" t="s">
        <v>1061</v>
      </c>
      <c r="C400" s="127" t="s">
        <v>1016</v>
      </c>
      <c r="D400" s="127" t="s">
        <v>1025</v>
      </c>
    </row>
    <row r="401" spans="1:4" x14ac:dyDescent="0.3">
      <c r="A401" s="127" t="str">
        <f>IF('Register Configuration'!F19 = 2,"", "//") &amp; "DATA 4"</f>
        <v>DATA 4</v>
      </c>
      <c r="B401" s="127" t="s">
        <v>1062</v>
      </c>
      <c r="C401" s="127" t="s">
        <v>1016</v>
      </c>
      <c r="D401" s="127" t="s">
        <v>1025</v>
      </c>
    </row>
    <row r="402" spans="1:4" x14ac:dyDescent="0.3">
      <c r="A402" s="127" t="str">
        <f>IF('Register Configuration'!F19 = 2,"", "//") &amp; "DATA 4"</f>
        <v>DATA 4</v>
      </c>
      <c r="B402" s="127" t="s">
        <v>1063</v>
      </c>
      <c r="C402" s="127" t="s">
        <v>1021</v>
      </c>
      <c r="D402" s="127" t="s">
        <v>1026</v>
      </c>
    </row>
    <row r="403" spans="1:4" x14ac:dyDescent="0.3">
      <c r="A403" s="127" t="str">
        <f>IF('Register Configuration'!F19 = 2,"", "//") &amp; "DATA 4"</f>
        <v>DATA 4</v>
      </c>
      <c r="B403" s="127" t="s">
        <v>1064</v>
      </c>
      <c r="C403" s="127" t="s">
        <v>1021</v>
      </c>
      <c r="D403" s="127" t="s">
        <v>1026</v>
      </c>
    </row>
    <row r="404" spans="1:4" x14ac:dyDescent="0.3">
      <c r="A404" s="127" t="str">
        <f>IF('Register Configuration'!F19 = 2,"", "//") &amp; "DATA 4"</f>
        <v>DATA 4</v>
      </c>
      <c r="B404" s="127" t="s">
        <v>1065</v>
      </c>
      <c r="C404" s="127" t="s">
        <v>1021</v>
      </c>
      <c r="D404" s="127" t="s">
        <v>1026</v>
      </c>
    </row>
    <row r="405" spans="1:4" x14ac:dyDescent="0.3">
      <c r="A405" s="127" t="str">
        <f>IF('Register Configuration'!F19 = 2,"", "//") &amp; "DATA 4"</f>
        <v>DATA 4</v>
      </c>
      <c r="B405" s="127" t="s">
        <v>1066</v>
      </c>
      <c r="C405" s="127" t="s">
        <v>1021</v>
      </c>
      <c r="D405" s="127" t="s">
        <v>1026</v>
      </c>
    </row>
    <row r="406" spans="1:4" x14ac:dyDescent="0.3">
      <c r="A406" s="127" t="s">
        <v>1027</v>
      </c>
    </row>
    <row r="407" spans="1:4" x14ac:dyDescent="0.3">
      <c r="A407" s="127" t="s">
        <v>2099</v>
      </c>
    </row>
    <row r="408" spans="1:4" x14ac:dyDescent="0.3">
      <c r="A408" s="127" t="str">
        <f>IF('Register Configuration'!F19 = 2,"", "//") &amp; "DATA 4"</f>
        <v>DATA 4</v>
      </c>
      <c r="B408" s="127" t="s">
        <v>1067</v>
      </c>
      <c r="C408" s="128" t="str">
        <f>'Register Configuration'!J536</f>
        <v>0x001C1600</v>
      </c>
    </row>
    <row r="409" spans="1:4" x14ac:dyDescent="0.3">
      <c r="A409" s="127" t="str">
        <f>IF('Register Configuration'!F19 = 2,"", "//") &amp; "DATA 4"</f>
        <v>DATA 4</v>
      </c>
      <c r="B409" s="127" t="s">
        <v>2014</v>
      </c>
      <c r="C409" s="128" t="str">
        <f>'Register Configuration'!J336</f>
        <v>0x001900B1</v>
      </c>
    </row>
    <row r="410" spans="1:4" x14ac:dyDescent="0.3">
      <c r="A410" s="127" t="s">
        <v>1029</v>
      </c>
    </row>
    <row r="411" spans="1:4" x14ac:dyDescent="0.3">
      <c r="A411" s="127" t="str">
        <f>IF('Register Configuration'!F19 = 2,"", "//") &amp; "DATA 4"</f>
        <v>DATA 4</v>
      </c>
      <c r="B411" s="127" t="s">
        <v>1068</v>
      </c>
      <c r="C411" s="128" t="str">
        <f>'Register Configuration'!J549</f>
        <v>0x79000000</v>
      </c>
      <c r="D411" s="127" t="s">
        <v>1002</v>
      </c>
    </row>
    <row r="413" spans="1:4" x14ac:dyDescent="0.3">
      <c r="A413" s="127" t="s">
        <v>1084</v>
      </c>
    </row>
    <row r="414" spans="1:4" x14ac:dyDescent="0.3">
      <c r="A414" s="127" t="s">
        <v>1085</v>
      </c>
    </row>
    <row r="415" spans="1:4" x14ac:dyDescent="0.3">
      <c r="A415" s="127" t="s">
        <v>1086</v>
      </c>
      <c r="B415" s="127" t="s">
        <v>1088</v>
      </c>
      <c r="C415" s="127" t="s">
        <v>785</v>
      </c>
    </row>
    <row r="416" spans="1:4" x14ac:dyDescent="0.3">
      <c r="A416" s="127" t="s">
        <v>1085</v>
      </c>
    </row>
    <row r="417" spans="1:3" x14ac:dyDescent="0.3">
      <c r="A417" s="127" t="str">
        <f>IF('Register Configuration'!F19 = 2,"", "//") &amp; "CHECK_BITS_SET 4 "</f>
        <v xml:space="preserve">CHECK_BITS_SET 4 </v>
      </c>
      <c r="B417" s="127" t="s">
        <v>1090</v>
      </c>
      <c r="C417" s="127" t="s">
        <v>785</v>
      </c>
    </row>
    <row r="419" spans="1:3" x14ac:dyDescent="0.3">
      <c r="A419" s="127" t="s">
        <v>1091</v>
      </c>
    </row>
    <row r="420" spans="1:3" x14ac:dyDescent="0.3">
      <c r="A420" s="127" t="s">
        <v>786</v>
      </c>
      <c r="B420" s="127" t="s">
        <v>925</v>
      </c>
      <c r="C420" s="127" t="s">
        <v>1092</v>
      </c>
    </row>
    <row r="421" spans="1:3" x14ac:dyDescent="0.3">
      <c r="A421" s="127" t="s">
        <v>786</v>
      </c>
      <c r="B421" s="127" t="s">
        <v>925</v>
      </c>
      <c r="C421" s="127" t="s">
        <v>1093</v>
      </c>
    </row>
    <row r="422" spans="1:3" x14ac:dyDescent="0.3">
      <c r="A422" s="127" t="s">
        <v>1094</v>
      </c>
    </row>
    <row r="423" spans="1:3" x14ac:dyDescent="0.3">
      <c r="A423" s="127" t="str">
        <f>IF('Register Configuration'!F19 = 2,"", "//") &amp; "DATA 4"</f>
        <v>DATA 4</v>
      </c>
      <c r="B423" s="127" t="s">
        <v>958</v>
      </c>
      <c r="C423" s="127" t="s">
        <v>1092</v>
      </c>
    </row>
    <row r="424" spans="1:3" x14ac:dyDescent="0.3">
      <c r="A424" s="127" t="str">
        <f>IF('Register Configuration'!F19 = 2,"", "//") &amp; "DATA 4"</f>
        <v>DATA 4</v>
      </c>
      <c r="B424" s="127" t="s">
        <v>958</v>
      </c>
      <c r="C424" s="127" t="s">
        <v>1093</v>
      </c>
    </row>
    <row r="426" spans="1:3" x14ac:dyDescent="0.3">
      <c r="A426" s="127" t="s">
        <v>1095</v>
      </c>
    </row>
    <row r="427" spans="1:3" x14ac:dyDescent="0.3">
      <c r="A427" s="127" t="s">
        <v>1086</v>
      </c>
      <c r="B427" s="127" t="s">
        <v>1088</v>
      </c>
      <c r="C427" s="127" t="s">
        <v>785</v>
      </c>
    </row>
    <row r="428" spans="1:3" x14ac:dyDescent="0.3">
      <c r="A428" s="127" t="s">
        <v>1096</v>
      </c>
    </row>
    <row r="429" spans="1:3" x14ac:dyDescent="0.3">
      <c r="A429" s="127" t="str">
        <f>IF('Register Configuration'!F19 = 2,"", "//") &amp; "CHECK_BITS_SET 4 "</f>
        <v xml:space="preserve">CHECK_BITS_SET 4 </v>
      </c>
      <c r="B429" s="127" t="s">
        <v>1090</v>
      </c>
      <c r="C429" s="127" t="s">
        <v>785</v>
      </c>
    </row>
    <row r="431" spans="1:3" x14ac:dyDescent="0.3">
      <c r="A431" s="127" t="s">
        <v>2197</v>
      </c>
    </row>
    <row r="432" spans="1:3" x14ac:dyDescent="0.3">
      <c r="A432" s="127" t="s">
        <v>1097</v>
      </c>
    </row>
    <row r="433" spans="1:3" x14ac:dyDescent="0.3">
      <c r="A433" s="127" t="s">
        <v>1098</v>
      </c>
    </row>
    <row r="434" spans="1:3" x14ac:dyDescent="0.3">
      <c r="A434" s="127" t="s">
        <v>786</v>
      </c>
      <c r="B434" s="127" t="s">
        <v>925</v>
      </c>
      <c r="C434" s="127" t="s">
        <v>1099</v>
      </c>
    </row>
    <row r="435" spans="1:3" x14ac:dyDescent="0.3">
      <c r="A435" s="127" t="s">
        <v>786</v>
      </c>
      <c r="B435" s="127" t="s">
        <v>925</v>
      </c>
      <c r="C435" s="127" t="s">
        <v>1100</v>
      </c>
    </row>
    <row r="436" spans="1:3" x14ac:dyDescent="0.3">
      <c r="A436" s="127" t="str">
        <f>IF('Register Configuration'!F19 = 2,"", "//") &amp; "DATA 4"</f>
        <v>DATA 4</v>
      </c>
      <c r="B436" s="127" t="s">
        <v>958</v>
      </c>
      <c r="C436" s="127" t="s">
        <v>1099</v>
      </c>
    </row>
    <row r="437" spans="1:3" x14ac:dyDescent="0.3">
      <c r="A437" s="127" t="str">
        <f>IF('Register Configuration'!F19 = 2,"", "//") &amp; "DATA 4"</f>
        <v>DATA 4</v>
      </c>
      <c r="B437" s="127" t="s">
        <v>958</v>
      </c>
      <c r="C437" s="127" t="s">
        <v>1100</v>
      </c>
    </row>
    <row r="439" spans="1:3" x14ac:dyDescent="0.3">
      <c r="A439" s="127" t="s">
        <v>1101</v>
      </c>
    </row>
    <row r="440" spans="1:3" x14ac:dyDescent="0.3">
      <c r="A440" s="127" t="s">
        <v>1102</v>
      </c>
      <c r="B440" s="127" t="s">
        <v>1088</v>
      </c>
      <c r="C440" s="127" t="s">
        <v>785</v>
      </c>
    </row>
    <row r="441" spans="1:3" x14ac:dyDescent="0.3">
      <c r="A441" s="127" t="s">
        <v>1104</v>
      </c>
    </row>
    <row r="442" spans="1:3" x14ac:dyDescent="0.3">
      <c r="A442" s="127" t="str">
        <f>IF('Register Configuration'!F19=2,"","//")&amp;"CHECK_BITS_SET 4"</f>
        <v>CHECK_BITS_SET 4</v>
      </c>
      <c r="B442" s="127" t="s">
        <v>1090</v>
      </c>
      <c r="C442" s="127" t="s">
        <v>785</v>
      </c>
    </row>
    <row r="444" spans="1:3" x14ac:dyDescent="0.3">
      <c r="A444" s="127" t="s">
        <v>1105</v>
      </c>
    </row>
    <row r="445" spans="1:3" x14ac:dyDescent="0.3">
      <c r="A445" s="127" t="s">
        <v>1106</v>
      </c>
    </row>
    <row r="446" spans="1:3" x14ac:dyDescent="0.3">
      <c r="A446" s="127" t="s">
        <v>1105</v>
      </c>
    </row>
    <row r="447" spans="1:3" x14ac:dyDescent="0.3">
      <c r="A447" s="127" t="s">
        <v>1107</v>
      </c>
    </row>
    <row r="448" spans="1:3" x14ac:dyDescent="0.3">
      <c r="A448" s="127" t="s">
        <v>1108</v>
      </c>
    </row>
    <row r="449" spans="1:4" x14ac:dyDescent="0.3">
      <c r="A449" s="127" t="s">
        <v>1109</v>
      </c>
      <c r="B449" s="127" t="s">
        <v>1110</v>
      </c>
      <c r="C449" s="127" t="s">
        <v>821</v>
      </c>
      <c r="D449" s="127" t="s">
        <v>1111</v>
      </c>
    </row>
    <row r="450" spans="1:4" x14ac:dyDescent="0.3">
      <c r="A450" s="127" t="s">
        <v>909</v>
      </c>
      <c r="B450" s="127" t="s">
        <v>1013</v>
      </c>
      <c r="C450" s="127" t="s">
        <v>821</v>
      </c>
      <c r="D450" s="127" t="s">
        <v>1112</v>
      </c>
    </row>
    <row r="451" spans="1:4" x14ac:dyDescent="0.3">
      <c r="A451" s="127" t="s">
        <v>1086</v>
      </c>
      <c r="B451" s="127" t="s">
        <v>1113</v>
      </c>
      <c r="C451" s="127" t="s">
        <v>1225</v>
      </c>
      <c r="D451" s="127" t="s">
        <v>1112</v>
      </c>
    </row>
    <row r="452" spans="1:4" x14ac:dyDescent="0.3">
      <c r="A452" s="127" t="s">
        <v>909</v>
      </c>
      <c r="B452" s="127" t="s">
        <v>910</v>
      </c>
      <c r="C452" s="127" t="s">
        <v>1114</v>
      </c>
      <c r="D452" s="127" t="s">
        <v>1115</v>
      </c>
    </row>
    <row r="453" spans="1:4" x14ac:dyDescent="0.3">
      <c r="A453" s="127" t="s">
        <v>1116</v>
      </c>
    </row>
    <row r="454" spans="1:4" x14ac:dyDescent="0.3">
      <c r="A454" s="127" t="s">
        <v>786</v>
      </c>
      <c r="B454" s="127" t="s">
        <v>1117</v>
      </c>
      <c r="C454" s="127" t="s">
        <v>1120</v>
      </c>
      <c r="D454" s="127" t="s">
        <v>1123</v>
      </c>
    </row>
    <row r="455" spans="1:4" x14ac:dyDescent="0.3">
      <c r="A455" s="127" t="s">
        <v>786</v>
      </c>
      <c r="B455" s="127" t="s">
        <v>1118</v>
      </c>
      <c r="C455" s="127" t="s">
        <v>1121</v>
      </c>
      <c r="D455" s="127" t="s">
        <v>1124</v>
      </c>
    </row>
    <row r="456" spans="1:4" x14ac:dyDescent="0.3">
      <c r="A456" s="127" t="s">
        <v>786</v>
      </c>
      <c r="B456" s="127" t="s">
        <v>1119</v>
      </c>
      <c r="C456" s="127" t="s">
        <v>1122</v>
      </c>
      <c r="D456" s="127" t="s">
        <v>1125</v>
      </c>
    </row>
    <row r="458" spans="1:4" x14ac:dyDescent="0.3">
      <c r="A458" s="127" t="str">
        <f>IF('Register Configuration'!F19 = 2,"", "//") &amp; "CLR_BIT 4 "</f>
        <v xml:space="preserve">CLR_BIT 4 </v>
      </c>
      <c r="B458" s="127" t="s">
        <v>1126</v>
      </c>
      <c r="C458" s="127" t="s">
        <v>821</v>
      </c>
      <c r="D458" s="127" t="s">
        <v>1111</v>
      </c>
    </row>
    <row r="459" spans="1:4" x14ac:dyDescent="0.3">
      <c r="A459" s="127" t="str">
        <f>IF('Register Configuration'!F19 = 2,"", "//") &amp; "SET_BIT 4 "</f>
        <v xml:space="preserve">SET_BIT 4 </v>
      </c>
      <c r="B459" s="127" t="s">
        <v>1058</v>
      </c>
      <c r="C459" s="127" t="s">
        <v>821</v>
      </c>
      <c r="D459" s="127" t="s">
        <v>1112</v>
      </c>
    </row>
    <row r="460" spans="1:4" x14ac:dyDescent="0.3">
      <c r="A460" s="127" t="str">
        <f>IF('Register Configuration'!F19 = 2,"", "//") &amp; "CHECK_BITS_SET 4 "</f>
        <v xml:space="preserve">CHECK_BITS_SET 4 </v>
      </c>
      <c r="B460" s="127" t="s">
        <v>1127</v>
      </c>
      <c r="C460" s="127" t="s">
        <v>1225</v>
      </c>
      <c r="D460" s="127" t="s">
        <v>1112</v>
      </c>
    </row>
    <row r="461" spans="1:4" x14ac:dyDescent="0.3">
      <c r="A461" s="127" t="str">
        <f>IF('Register Configuration'!F19 = 2,"", "//") &amp; "SET_BIT 4 "</f>
        <v xml:space="preserve">SET_BIT 4 </v>
      </c>
      <c r="B461" s="127" t="s">
        <v>947</v>
      </c>
      <c r="C461" s="127" t="s">
        <v>1114</v>
      </c>
      <c r="D461" s="127" t="s">
        <v>1115</v>
      </c>
    </row>
    <row r="462" spans="1:4" x14ac:dyDescent="0.3">
      <c r="A462" s="127" t="s">
        <v>1116</v>
      </c>
    </row>
    <row r="463" spans="1:4" x14ac:dyDescent="0.3">
      <c r="A463" s="127" t="str">
        <f>IF('Register Configuration'!F19 = 2,"", "//") &amp; "DATA 4"</f>
        <v>DATA 4</v>
      </c>
      <c r="B463" s="127" t="s">
        <v>1128</v>
      </c>
      <c r="C463" s="127" t="s">
        <v>1120</v>
      </c>
      <c r="D463" s="127" t="s">
        <v>1123</v>
      </c>
    </row>
    <row r="464" spans="1:4" x14ac:dyDescent="0.3">
      <c r="A464" s="127" t="str">
        <f>IF('Register Configuration'!F19 = 2,"", "//") &amp; "DATA 4"</f>
        <v>DATA 4</v>
      </c>
      <c r="B464" s="127" t="s">
        <v>1129</v>
      </c>
      <c r="C464" s="127" t="s">
        <v>1121</v>
      </c>
      <c r="D464" s="127" t="s">
        <v>1124</v>
      </c>
    </row>
    <row r="465" spans="1:4" x14ac:dyDescent="0.3">
      <c r="A465" s="127" t="str">
        <f>IF('Register Configuration'!F19 = 2,"", "//") &amp; "DATA 4"</f>
        <v>DATA 4</v>
      </c>
      <c r="B465" s="127" t="s">
        <v>1130</v>
      </c>
      <c r="C465" s="127" t="s">
        <v>1122</v>
      </c>
      <c r="D465" s="127" t="s">
        <v>1125</v>
      </c>
    </row>
    <row r="467" spans="1:4" x14ac:dyDescent="0.3">
      <c r="A467" s="127" t="s">
        <v>1131</v>
      </c>
    </row>
    <row r="468" spans="1:4" x14ac:dyDescent="0.3">
      <c r="A468" s="127" t="s">
        <v>2203</v>
      </c>
    </row>
    <row r="469" spans="1:4" x14ac:dyDescent="0.3">
      <c r="A469" s="127" t="s">
        <v>1132</v>
      </c>
    </row>
    <row r="470" spans="1:4" x14ac:dyDescent="0.3">
      <c r="A470" s="127" t="s">
        <v>786</v>
      </c>
      <c r="B470" s="127" t="s">
        <v>1133</v>
      </c>
      <c r="C470" s="128" t="str">
        <f>'Register Configuration'!J575</f>
        <v>0x000031C7</v>
      </c>
      <c r="D470" s="127" t="s">
        <v>1137</v>
      </c>
    </row>
    <row r="471" spans="1:4" x14ac:dyDescent="0.3">
      <c r="A471" s="127" t="s">
        <v>786</v>
      </c>
      <c r="B471" s="127" t="s">
        <v>1134</v>
      </c>
      <c r="C471" s="128" t="str">
        <f>'Register Configuration'!J567</f>
        <v>0x00030236</v>
      </c>
      <c r="D471" s="127" t="s">
        <v>1870</v>
      </c>
    </row>
    <row r="472" spans="1:4" x14ac:dyDescent="0.3">
      <c r="A472" s="127" t="str">
        <f>IF('Register Configuration'!F19 = 2,"", "//") &amp; "DATA 4"</f>
        <v>DATA 4</v>
      </c>
      <c r="B472" s="127" t="s">
        <v>1135</v>
      </c>
      <c r="C472" s="128" t="str">
        <f>'Register Configuration'!J575</f>
        <v>0x000031C7</v>
      </c>
      <c r="D472" s="127" t="s">
        <v>1137</v>
      </c>
    </row>
    <row r="473" spans="1:4" x14ac:dyDescent="0.3">
      <c r="A473" s="127" t="str">
        <f>IF('Register Configuration'!F19 = 2,"", "//") &amp; "DATA 4"</f>
        <v>DATA 4</v>
      </c>
      <c r="B473" s="127" t="s">
        <v>1136</v>
      </c>
      <c r="C473" s="128" t="str">
        <f>'Register Configuration'!J567</f>
        <v>0x00030236</v>
      </c>
      <c r="D473" s="127" t="s">
        <v>1870</v>
      </c>
    </row>
    <row r="475" spans="1:4" x14ac:dyDescent="0.3">
      <c r="A475" s="127" t="s">
        <v>1138</v>
      </c>
    </row>
    <row r="476" spans="1:4" x14ac:dyDescent="0.3">
      <c r="A476" s="127" t="s">
        <v>786</v>
      </c>
      <c r="B476" s="127" t="s">
        <v>925</v>
      </c>
      <c r="C476" s="127" t="s">
        <v>1139</v>
      </c>
    </row>
    <row r="477" spans="1:4" x14ac:dyDescent="0.3">
      <c r="A477" s="127" t="s">
        <v>786</v>
      </c>
      <c r="B477" s="127" t="s">
        <v>925</v>
      </c>
      <c r="C477" s="127" t="s">
        <v>1140</v>
      </c>
    </row>
    <row r="478" spans="1:4" x14ac:dyDescent="0.3">
      <c r="A478" s="127" t="str">
        <f>IF('Register Configuration'!F19 = 2,"", "//") &amp; "DATA 4"</f>
        <v>DATA 4</v>
      </c>
      <c r="B478" s="127" t="s">
        <v>958</v>
      </c>
      <c r="C478" s="127" t="s">
        <v>1139</v>
      </c>
    </row>
    <row r="479" spans="1:4" x14ac:dyDescent="0.3">
      <c r="A479" s="127" t="str">
        <f>IF('Register Configuration'!F19 = 2,"", "//") &amp; "DATA 4"</f>
        <v>DATA 4</v>
      </c>
      <c r="B479" s="127" t="s">
        <v>958</v>
      </c>
      <c r="C479" s="127" t="s">
        <v>1140</v>
      </c>
    </row>
    <row r="480" spans="1:4" x14ac:dyDescent="0.3">
      <c r="A480" s="127" t="s">
        <v>1141</v>
      </c>
    </row>
    <row r="481" spans="1:3" x14ac:dyDescent="0.3">
      <c r="A481" s="127" t="s">
        <v>1102</v>
      </c>
      <c r="B481" s="127" t="s">
        <v>1088</v>
      </c>
      <c r="C481" s="127" t="s">
        <v>785</v>
      </c>
    </row>
    <row r="482" spans="1:3" x14ac:dyDescent="0.3">
      <c r="A482" s="127" t="s">
        <v>1103</v>
      </c>
      <c r="B482" s="127" t="s">
        <v>1088</v>
      </c>
      <c r="C482" s="127" t="s">
        <v>1142</v>
      </c>
    </row>
    <row r="483" spans="1:3" x14ac:dyDescent="0.3">
      <c r="A483" s="127" t="str">
        <f>IF('Register Configuration'!F19 = 2,"", "//") &amp; "CHECK_BITS_SET 4"</f>
        <v>CHECK_BITS_SET 4</v>
      </c>
      <c r="B483" s="127" t="s">
        <v>1090</v>
      </c>
      <c r="C483" s="127" t="s">
        <v>785</v>
      </c>
    </row>
    <row r="484" spans="1:3" x14ac:dyDescent="0.3">
      <c r="A484" s="127" t="str">
        <f>IF('Register Configuration'!F19 = 2,"", "//") &amp; "CHECK_BITS_CLR 4"</f>
        <v>CHECK_BITS_CLR 4</v>
      </c>
      <c r="B484" s="127" t="s">
        <v>1090</v>
      </c>
      <c r="C484" s="127" t="s">
        <v>1142</v>
      </c>
    </row>
    <row r="486" spans="1:3" x14ac:dyDescent="0.3">
      <c r="A486" s="127" t="s">
        <v>2195</v>
      </c>
    </row>
    <row r="487" spans="1:3" x14ac:dyDescent="0.3">
      <c r="A487" s="127" t="s">
        <v>786</v>
      </c>
      <c r="B487" s="127" t="s">
        <v>1143</v>
      </c>
      <c r="C487" s="128" t="str">
        <f>'Register Configuration'!J555</f>
        <v>0x012240B3</v>
      </c>
    </row>
    <row r="488" spans="1:3" x14ac:dyDescent="0.3">
      <c r="A488" s="127" t="s">
        <v>1144</v>
      </c>
    </row>
    <row r="489" spans="1:3" x14ac:dyDescent="0.3">
      <c r="A489" s="127" t="s">
        <v>786</v>
      </c>
      <c r="B489" s="127" t="s">
        <v>925</v>
      </c>
      <c r="C489" s="127" t="s">
        <v>1145</v>
      </c>
    </row>
    <row r="490" spans="1:3" x14ac:dyDescent="0.3">
      <c r="A490" s="127" t="s">
        <v>786</v>
      </c>
      <c r="B490" s="127" t="s">
        <v>925</v>
      </c>
      <c r="C490" s="127" t="s">
        <v>1146</v>
      </c>
    </row>
    <row r="491" spans="1:3" x14ac:dyDescent="0.3">
      <c r="A491" s="127" t="s">
        <v>2196</v>
      </c>
    </row>
    <row r="492" spans="1:3" x14ac:dyDescent="0.3">
      <c r="A492" s="127" t="str">
        <f>IF('Register Configuration'!F19 = 2,"", "//") &amp; "DATA 4"</f>
        <v>DATA 4</v>
      </c>
      <c r="B492" s="127" t="s">
        <v>1147</v>
      </c>
      <c r="C492" s="128" t="str">
        <f>'Register Configuration'!J555</f>
        <v>0x012240B3</v>
      </c>
    </row>
    <row r="493" spans="1:3" x14ac:dyDescent="0.3">
      <c r="A493" s="127" t="s">
        <v>1144</v>
      </c>
    </row>
    <row r="494" spans="1:3" x14ac:dyDescent="0.3">
      <c r="A494" s="127" t="str">
        <f>IF('Register Configuration'!F19 = 2,"", "//") &amp; "DATA 4"</f>
        <v>DATA 4</v>
      </c>
      <c r="B494" s="127" t="s">
        <v>958</v>
      </c>
      <c r="C494" s="127" t="s">
        <v>1145</v>
      </c>
    </row>
    <row r="495" spans="1:3" x14ac:dyDescent="0.3">
      <c r="A495" s="127" t="str">
        <f>IF('Register Configuration'!F19 = 2,"", "//") &amp; "DATA 4"</f>
        <v>DATA 4</v>
      </c>
      <c r="B495" s="127" t="s">
        <v>958</v>
      </c>
      <c r="C495" s="127" t="s">
        <v>1146</v>
      </c>
    </row>
    <row r="496" spans="1:3" x14ac:dyDescent="0.3">
      <c r="A496" s="127" t="s">
        <v>1149</v>
      </c>
    </row>
    <row r="497" spans="1:3" x14ac:dyDescent="0.3">
      <c r="A497" s="127" t="s">
        <v>1086</v>
      </c>
      <c r="B497" s="127" t="s">
        <v>1088</v>
      </c>
      <c r="C497" s="127" t="s">
        <v>785</v>
      </c>
    </row>
    <row r="498" spans="1:3" x14ac:dyDescent="0.3">
      <c r="A498" s="127" t="s">
        <v>1087</v>
      </c>
      <c r="B498" s="127" t="s">
        <v>1088</v>
      </c>
      <c r="C498" s="127" t="s">
        <v>1148</v>
      </c>
    </row>
    <row r="499" spans="1:3" x14ac:dyDescent="0.3">
      <c r="A499" s="127" t="s">
        <v>1151</v>
      </c>
    </row>
    <row r="500" spans="1:3" x14ac:dyDescent="0.3">
      <c r="A500" s="127" t="s">
        <v>786</v>
      </c>
      <c r="B500" s="127" t="s">
        <v>1143</v>
      </c>
      <c r="C500" s="128" t="str">
        <f>'Register Configuration'!K555</f>
        <v>0x01224000</v>
      </c>
    </row>
    <row r="501" spans="1:3" x14ac:dyDescent="0.3">
      <c r="A501" s="127" t="s">
        <v>1150</v>
      </c>
    </row>
    <row r="502" spans="1:3" x14ac:dyDescent="0.3">
      <c r="A502" s="127" t="str">
        <f>IF('Register Configuration'!F19 = 2,"", "//") &amp; "CHECK_BITS_SET 4"</f>
        <v>CHECK_BITS_SET 4</v>
      </c>
      <c r="B502" s="127" t="s">
        <v>1090</v>
      </c>
      <c r="C502" s="127" t="s">
        <v>785</v>
      </c>
    </row>
    <row r="503" spans="1:3" x14ac:dyDescent="0.3">
      <c r="A503" s="127" t="str">
        <f>IF('Register Configuration'!F19 = 2,"", "//") &amp; "CHECK_BITS_CLR 4"</f>
        <v>CHECK_BITS_CLR 4</v>
      </c>
      <c r="B503" s="127" t="s">
        <v>1090</v>
      </c>
      <c r="C503" s="127" t="s">
        <v>1148</v>
      </c>
    </row>
    <row r="504" spans="1:3" x14ac:dyDescent="0.3">
      <c r="A504" s="127" t="s">
        <v>1152</v>
      </c>
    </row>
    <row r="505" spans="1:3" x14ac:dyDescent="0.3">
      <c r="A505" s="127" t="str">
        <f>IF('Register Configuration'!F19 = 2,"", "//") &amp; "DATA 4"</f>
        <v>DATA 4</v>
      </c>
      <c r="B505" s="127" t="s">
        <v>1147</v>
      </c>
      <c r="C505" s="128" t="str">
        <f>'Register Configuration'!K555</f>
        <v>0x01224000</v>
      </c>
    </row>
    <row r="507" spans="1:3" x14ac:dyDescent="0.3">
      <c r="A507" s="127" t="s">
        <v>1153</v>
      </c>
    </row>
    <row r="508" spans="1:3" x14ac:dyDescent="0.3">
      <c r="A508" s="127" t="s">
        <v>780</v>
      </c>
      <c r="B508" s="127" t="s">
        <v>925</v>
      </c>
      <c r="C508" s="127" t="s">
        <v>1154</v>
      </c>
    </row>
    <row r="509" spans="1:3" x14ac:dyDescent="0.3">
      <c r="A509" s="127" t="s">
        <v>780</v>
      </c>
      <c r="B509" s="127" t="s">
        <v>925</v>
      </c>
      <c r="C509" s="127" t="s">
        <v>1155</v>
      </c>
    </row>
    <row r="510" spans="1:3" x14ac:dyDescent="0.3">
      <c r="A510" s="127" t="str">
        <f>IF('Register Configuration'!F19 = 2,"", "//") &amp; "DATA 4"</f>
        <v>DATA 4</v>
      </c>
      <c r="B510" s="127" t="s">
        <v>958</v>
      </c>
      <c r="C510" s="127" t="s">
        <v>1154</v>
      </c>
    </row>
    <row r="511" spans="1:3" x14ac:dyDescent="0.3">
      <c r="A511" s="127" t="str">
        <f>IF('Register Configuration'!F19 = 2,"", "//") &amp; "DATA 4"</f>
        <v>DATA 4</v>
      </c>
      <c r="B511" s="127" t="s">
        <v>958</v>
      </c>
      <c r="C511" s="127" t="s">
        <v>1155</v>
      </c>
    </row>
    <row r="512" spans="1:3" x14ac:dyDescent="0.3">
      <c r="A512" s="127" t="s">
        <v>1156</v>
      </c>
    </row>
    <row r="513" spans="1:3" x14ac:dyDescent="0.3">
      <c r="A513" s="127" t="s">
        <v>1102</v>
      </c>
      <c r="B513" s="127" t="s">
        <v>1157</v>
      </c>
      <c r="C513" s="127" t="s">
        <v>785</v>
      </c>
    </row>
    <row r="514" spans="1:3" x14ac:dyDescent="0.3">
      <c r="A514" s="127" t="s">
        <v>1103</v>
      </c>
      <c r="B514" s="127" t="s">
        <v>1157</v>
      </c>
      <c r="C514" s="127" t="s">
        <v>1089</v>
      </c>
    </row>
    <row r="515" spans="1:3" x14ac:dyDescent="0.3">
      <c r="A515" s="127" t="str">
        <f>IF('Register Configuration'!F19 = 2,"", "//") &amp; "CHECK_BITS_SET 4"</f>
        <v>CHECK_BITS_SET 4</v>
      </c>
      <c r="B515" s="127" t="s">
        <v>1158</v>
      </c>
      <c r="C515" s="127" t="s">
        <v>785</v>
      </c>
    </row>
    <row r="516" spans="1:3" x14ac:dyDescent="0.3">
      <c r="A516" s="127" t="str">
        <f>IF('Register Configuration'!F19 = 2,"", "//") &amp; "CHECK_BITS_CLR 4"</f>
        <v>CHECK_BITS_CLR 4</v>
      </c>
      <c r="B516" s="127" t="s">
        <v>1158</v>
      </c>
      <c r="C516" s="127" t="s">
        <v>1089</v>
      </c>
    </row>
    <row r="518" spans="1:3" x14ac:dyDescent="0.3">
      <c r="A518" s="128" t="str">
        <f>IF('Register Configuration'!L31= "enable",  "// run rdbi deskew training", "")</f>
        <v>// run rdbi deskew training</v>
      </c>
      <c r="B518" s="128"/>
    </row>
    <row r="519" spans="1:3" x14ac:dyDescent="0.3">
      <c r="A519" s="128" t="str">
        <f>IF('Register Configuration'!L31= "enable",  "RDBI_bit_deskew(0);", "")</f>
        <v>RDBI_bit_deskew(0);</v>
      </c>
      <c r="B519" s="129"/>
    </row>
    <row r="520" spans="1:3" x14ac:dyDescent="0.3">
      <c r="A520" s="128" t="str">
        <f>IF('Register Configuration'!L31= "enable",  IF('Register Configuration'!F19=2,"RDBI_bit_deskew(1);", "//RDBI_bit_deskew(1);"), "")</f>
        <v>RDBI_bit_deskew(1);</v>
      </c>
      <c r="B520" s="129"/>
    </row>
    <row r="521" spans="1:3" x14ac:dyDescent="0.3">
      <c r="A521" s="129"/>
      <c r="B521" s="129"/>
    </row>
    <row r="522" spans="1:3" x14ac:dyDescent="0.3">
      <c r="A522" s="127" t="s">
        <v>2222</v>
      </c>
    </row>
    <row r="523" spans="1:3" x14ac:dyDescent="0.3">
      <c r="A523" s="127" t="s">
        <v>1159</v>
      </c>
    </row>
    <row r="524" spans="1:3" x14ac:dyDescent="0.3">
      <c r="A524" s="127" t="s">
        <v>2223</v>
      </c>
    </row>
    <row r="525" spans="1:3" x14ac:dyDescent="0.3">
      <c r="A525" s="127" t="s">
        <v>2224</v>
      </c>
    </row>
    <row r="526" spans="1:3" x14ac:dyDescent="0.3">
      <c r="A526" s="127" t="s">
        <v>1229</v>
      </c>
    </row>
    <row r="527" spans="1:3" x14ac:dyDescent="0.3">
      <c r="A527" s="127" t="s">
        <v>2225</v>
      </c>
    </row>
    <row r="528" spans="1:3" x14ac:dyDescent="0.3">
      <c r="A528" s="127" t="s">
        <v>2226</v>
      </c>
    </row>
    <row r="529" spans="1:4" x14ac:dyDescent="0.3">
      <c r="A529" s="127" t="s">
        <v>2227</v>
      </c>
    </row>
    <row r="530" spans="1:4" x14ac:dyDescent="0.3">
      <c r="A530" s="127" t="s">
        <v>1188</v>
      </c>
    </row>
    <row r="532" spans="1:4" x14ac:dyDescent="0.3">
      <c r="A532" s="127" t="s">
        <v>780</v>
      </c>
      <c r="B532" s="127" t="s">
        <v>2205</v>
      </c>
      <c r="C532" s="127" t="s">
        <v>2206</v>
      </c>
    </row>
    <row r="533" spans="1:4" x14ac:dyDescent="0.3">
      <c r="A533" s="127" t="str">
        <f>IF('Register Configuration'!F19 = 2,"", "//") &amp; "DATA 4"</f>
        <v>DATA 4</v>
      </c>
      <c r="B533" s="127" t="s">
        <v>2207</v>
      </c>
      <c r="C533" s="127" t="s">
        <v>2206</v>
      </c>
    </row>
    <row r="535" spans="1:4" x14ac:dyDescent="0.3">
      <c r="A535" s="127" t="s">
        <v>1160</v>
      </c>
    </row>
    <row r="536" spans="1:4" x14ac:dyDescent="0.3">
      <c r="A536" s="127" t="s">
        <v>1161</v>
      </c>
      <c r="B536" s="127" t="s">
        <v>910</v>
      </c>
      <c r="C536" s="127" t="s">
        <v>1114</v>
      </c>
      <c r="D536" s="127" t="s">
        <v>1162</v>
      </c>
    </row>
    <row r="537" spans="1:4" x14ac:dyDescent="0.3">
      <c r="A537" s="127" t="str">
        <f>IF('Register Configuration'!F19 = 2,"", "//") &amp; "CLR_BIT 4"</f>
        <v>CLR_BIT 4</v>
      </c>
      <c r="B537" s="127" t="s">
        <v>947</v>
      </c>
      <c r="C537" s="127" t="s">
        <v>1114</v>
      </c>
      <c r="D537" s="127" t="s">
        <v>1162</v>
      </c>
    </row>
    <row r="539" spans="1:4" x14ac:dyDescent="0.3">
      <c r="A539" s="127" t="s">
        <v>1173</v>
      </c>
    </row>
    <row r="540" spans="1:4" x14ac:dyDescent="0.3">
      <c r="A540" s="127" t="s">
        <v>1161</v>
      </c>
      <c r="B540" s="127" t="s">
        <v>1163</v>
      </c>
      <c r="C540" s="127" t="s">
        <v>1167</v>
      </c>
    </row>
    <row r="541" spans="1:4" x14ac:dyDescent="0.3">
      <c r="A541" s="127" t="s">
        <v>1161</v>
      </c>
      <c r="B541" s="127" t="s">
        <v>1164</v>
      </c>
      <c r="C541" s="127" t="s">
        <v>1167</v>
      </c>
    </row>
    <row r="542" spans="1:4" x14ac:dyDescent="0.3">
      <c r="A542" s="127" t="s">
        <v>1161</v>
      </c>
      <c r="B542" s="127" t="s">
        <v>1165</v>
      </c>
      <c r="C542" s="127" t="s">
        <v>1167</v>
      </c>
    </row>
    <row r="543" spans="1:4" x14ac:dyDescent="0.3">
      <c r="A543" s="127" t="s">
        <v>1161</v>
      </c>
      <c r="B543" s="127" t="s">
        <v>1166</v>
      </c>
      <c r="C543" s="127" t="s">
        <v>1167</v>
      </c>
    </row>
    <row r="544" spans="1:4" x14ac:dyDescent="0.3">
      <c r="A544" s="127" t="s">
        <v>1174</v>
      </c>
    </row>
    <row r="545" spans="1:3" x14ac:dyDescent="0.3">
      <c r="A545" s="127" t="s">
        <v>786</v>
      </c>
      <c r="B545" s="127" t="s">
        <v>1110</v>
      </c>
      <c r="C545" s="127" t="s">
        <v>1170</v>
      </c>
    </row>
    <row r="546" spans="1:3" x14ac:dyDescent="0.3">
      <c r="A546" s="127" t="s">
        <v>786</v>
      </c>
      <c r="B546" s="127" t="s">
        <v>1168</v>
      </c>
      <c r="C546" s="127" t="s">
        <v>1171</v>
      </c>
    </row>
    <row r="547" spans="1:3" x14ac:dyDescent="0.3">
      <c r="A547" s="127" t="s">
        <v>786</v>
      </c>
      <c r="B547" s="127" t="s">
        <v>1169</v>
      </c>
      <c r="C547" s="127" t="s">
        <v>1172</v>
      </c>
    </row>
    <row r="548" spans="1:3" x14ac:dyDescent="0.3">
      <c r="A548" s="127" t="s">
        <v>1175</v>
      </c>
    </row>
    <row r="549" spans="1:3" x14ac:dyDescent="0.3">
      <c r="A549" s="127" t="str">
        <f>IF('Register Configuration'!F19 = 2,"", "//") &amp; "CLR_BIT 4"</f>
        <v>CLR_BIT 4</v>
      </c>
      <c r="B549" s="127" t="s">
        <v>1177</v>
      </c>
      <c r="C549" s="127" t="s">
        <v>1167</v>
      </c>
    </row>
    <row r="550" spans="1:3" x14ac:dyDescent="0.3">
      <c r="A550" s="127" t="str">
        <f>IF('Register Configuration'!F19 = 2,"", "//") &amp; "CLR_BIT 4"</f>
        <v>CLR_BIT 4</v>
      </c>
      <c r="B550" s="127" t="s">
        <v>1178</v>
      </c>
      <c r="C550" s="127" t="s">
        <v>1167</v>
      </c>
    </row>
    <row r="551" spans="1:3" x14ac:dyDescent="0.3">
      <c r="A551" s="127" t="str">
        <f>IF('Register Configuration'!F19 = 2,"", "//") &amp; "CLR_BIT 4"</f>
        <v>CLR_BIT 4</v>
      </c>
      <c r="B551" s="127" t="s">
        <v>1179</v>
      </c>
      <c r="C551" s="127" t="s">
        <v>1167</v>
      </c>
    </row>
    <row r="552" spans="1:3" x14ac:dyDescent="0.3">
      <c r="A552" s="127" t="str">
        <f>IF('Register Configuration'!F19 = 2,"", "//") &amp; "CLR_BIT 4"</f>
        <v>CLR_BIT 4</v>
      </c>
      <c r="B552" s="127" t="s">
        <v>1180</v>
      </c>
      <c r="C552" s="127" t="s">
        <v>1167</v>
      </c>
    </row>
    <row r="553" spans="1:3" x14ac:dyDescent="0.3">
      <c r="A553" s="127" t="s">
        <v>1176</v>
      </c>
    </row>
    <row r="554" spans="1:3" x14ac:dyDescent="0.3">
      <c r="A554" s="127" t="str">
        <f>IF('Register Configuration'!F19 = 2,"", "//") &amp; "DATA 4"</f>
        <v>DATA 4</v>
      </c>
      <c r="B554" s="127" t="s">
        <v>1126</v>
      </c>
      <c r="C554" s="127" t="s">
        <v>1170</v>
      </c>
    </row>
    <row r="555" spans="1:3" x14ac:dyDescent="0.3">
      <c r="A555" s="127" t="str">
        <f>IF('Register Configuration'!F19 = 2,"", "//") &amp; "DATA 4"</f>
        <v>DATA 4</v>
      </c>
      <c r="B555" s="127" t="s">
        <v>1181</v>
      </c>
      <c r="C555" s="127" t="s">
        <v>1171</v>
      </c>
    </row>
    <row r="556" spans="1:3" x14ac:dyDescent="0.3">
      <c r="A556" s="127" t="str">
        <f>IF('Register Configuration'!F19 = 2,"", "//") &amp; "DATA 4"</f>
        <v>DATA 4</v>
      </c>
      <c r="B556" s="127" t="s">
        <v>1182</v>
      </c>
      <c r="C556" s="127" t="s">
        <v>1172</v>
      </c>
    </row>
    <row r="558" spans="1:3" x14ac:dyDescent="0.3">
      <c r="A558" s="127" t="s">
        <v>2019</v>
      </c>
    </row>
    <row r="559" spans="1:3" x14ac:dyDescent="0.3">
      <c r="A559" s="127" t="s">
        <v>780</v>
      </c>
      <c r="B559" s="127" t="s">
        <v>2020</v>
      </c>
      <c r="C559" s="127" t="s">
        <v>1145</v>
      </c>
    </row>
    <row r="560" spans="1:3" x14ac:dyDescent="0.3">
      <c r="A560" s="127" t="str">
        <f>IF('Register Configuration'!F19 = 2,"", "//") &amp; "DATA 4"</f>
        <v>DATA 4</v>
      </c>
      <c r="B560" s="127" t="s">
        <v>2021</v>
      </c>
      <c r="C560" s="127" t="s">
        <v>1145</v>
      </c>
    </row>
    <row r="562" spans="1:3" x14ac:dyDescent="0.3">
      <c r="A562" s="127" t="s">
        <v>1183</v>
      </c>
    </row>
    <row r="563" spans="1:3" x14ac:dyDescent="0.3">
      <c r="A563" s="127" t="s">
        <v>1161</v>
      </c>
      <c r="B563" s="127" t="s">
        <v>1013</v>
      </c>
      <c r="C563" s="127" t="s">
        <v>1184</v>
      </c>
    </row>
    <row r="564" spans="1:3" x14ac:dyDescent="0.3">
      <c r="A564" s="127" t="str">
        <f>IF('Register Configuration'!F19 = 2,"", "//") &amp; "CLR_BIT 4"</f>
        <v>CLR_BIT 4</v>
      </c>
      <c r="B564" s="127" t="s">
        <v>1058</v>
      </c>
      <c r="C564" s="127" t="s">
        <v>1184</v>
      </c>
    </row>
    <row r="566" spans="1:3" x14ac:dyDescent="0.3">
      <c r="A566" s="127" t="s">
        <v>1185</v>
      </c>
    </row>
    <row r="567" spans="1:3" x14ac:dyDescent="0.3">
      <c r="A567" s="127" t="s">
        <v>1102</v>
      </c>
      <c r="B567" s="127" t="s">
        <v>1186</v>
      </c>
      <c r="C567" s="127" t="s">
        <v>785</v>
      </c>
    </row>
    <row r="568" spans="1:3" x14ac:dyDescent="0.3">
      <c r="A568" s="127" t="str">
        <f>IF('Register Configuration'!F19 = 2,"", "//") &amp; "CHECK_BITS_SET 4"</f>
        <v>CHECK_BITS_SET 4</v>
      </c>
      <c r="B568" s="127" t="s">
        <v>1187</v>
      </c>
      <c r="C568" s="127" t="s">
        <v>785</v>
      </c>
    </row>
    <row r="570" spans="1:3" x14ac:dyDescent="0.3">
      <c r="A570" s="128" t="str">
        <f>IF('Register Configuration'!F19 = 2,"", "// Following are needed when configuring for one DRC")</f>
        <v/>
      </c>
      <c r="B570" s="128"/>
      <c r="C570" s="128"/>
    </row>
    <row r="571" spans="1:3" x14ac:dyDescent="0.3">
      <c r="A571" s="128" t="str">
        <f>IF('Register Configuration'!F19 = 2,"", "DATA 4")</f>
        <v/>
      </c>
      <c r="B571" s="128" t="str">
        <f>IF('Register Configuration'!F19 = 2,"", "0x5C400000")</f>
        <v/>
      </c>
      <c r="C571" s="494" t="str">
        <f>IF('Register Configuration'!F19 = 2,"", "3")</f>
        <v/>
      </c>
    </row>
    <row r="572" spans="1:3" x14ac:dyDescent="0.3">
      <c r="A572" s="128" t="str">
        <f>IF('Register Configuration'!F19 = 2,"", "DATA 4")</f>
        <v/>
      </c>
      <c r="B572" s="128" t="str">
        <f>IF('Register Configuration'!F19 = 2,"", "0x5C410000")</f>
        <v/>
      </c>
      <c r="C572" s="494" t="str">
        <f>IF('Register Configuration'!F19 = 2,"", "3")</f>
        <v/>
      </c>
    </row>
    <row r="573" spans="1:3" x14ac:dyDescent="0.3">
      <c r="A573" s="128" t="str">
        <f>IF('Register Configuration'!F19 = 2,"", "DATA 4")</f>
        <v/>
      </c>
      <c r="B573" s="128" t="str">
        <f>IF('Register Configuration'!F19 = 2,"", "0x5C420000")</f>
        <v/>
      </c>
      <c r="C573" s="494" t="str">
        <f>IF('Register Configuration'!F19 = 2,"", "3")</f>
        <v/>
      </c>
    </row>
    <row r="574" spans="1:3" x14ac:dyDescent="0.3">
      <c r="A574" s="128" t="str">
        <f>IF('Register Configuration'!F19 = 2,"", "DATA 4")</f>
        <v/>
      </c>
      <c r="B574" s="128" t="str">
        <f>IF('Register Configuration'!F19 = 2,"", "0x5C430000")</f>
        <v/>
      </c>
      <c r="C574" s="494" t="str">
        <f>IF('Register Configuration'!F19 = 2,"", "3")</f>
        <v/>
      </c>
    </row>
    <row r="575" spans="1:3" x14ac:dyDescent="0.3">
      <c r="A575" s="128" t="str">
        <f>IF('Register Configuration'!F19 = 2,"", "DATA 4")</f>
        <v/>
      </c>
      <c r="B575" s="128" t="str">
        <f>IF('Register Configuration'!F19 = 2,"", "0x5C500000")</f>
        <v/>
      </c>
      <c r="C575" s="494" t="str">
        <f>IF('Register Configuration'!F19 = 2,"", "3")</f>
        <v/>
      </c>
    </row>
    <row r="576" spans="1:3" x14ac:dyDescent="0.3">
      <c r="A576" s="128" t="str">
        <f>IF('Register Configuration'!F19 = 2,"", "DATA 4")</f>
        <v/>
      </c>
      <c r="B576" s="128" t="str">
        <f>IF('Register Configuration'!F19 = 2,"", "0x5C510000")</f>
        <v/>
      </c>
      <c r="C576" s="494" t="str">
        <f>IF('Register Configuration'!F19 = 2,"", "3")</f>
        <v/>
      </c>
    </row>
    <row r="577" spans="1:3" x14ac:dyDescent="0.3">
      <c r="A577" s="128" t="str">
        <f>IF('Register Configuration'!F19 = 2,"", "DATA 4")</f>
        <v/>
      </c>
      <c r="B577" s="128" t="str">
        <f>IF('Register Configuration'!F19 = 2,"", "0x5C520000")</f>
        <v/>
      </c>
      <c r="C577" s="494" t="str">
        <f>IF('Register Configuration'!F19 = 2,"", "3")</f>
        <v/>
      </c>
    </row>
    <row r="578" spans="1:3" x14ac:dyDescent="0.3">
      <c r="A578" s="128" t="str">
        <f>IF('Register Configuration'!F19 = 2,"", "DATA 4")</f>
        <v/>
      </c>
      <c r="B578" s="128" t="str">
        <f>IF('Register Configuration'!F19 = 2,"", "0x5C530000")</f>
        <v/>
      </c>
      <c r="C578" s="494" t="str">
        <f>IF('Register Configuration'!F19 = 2,"", "3")</f>
        <v/>
      </c>
    </row>
    <row r="579" spans="1:3" x14ac:dyDescent="0.3">
      <c r="A579" s="128" t="str">
        <f>IF('Register Configuration'!F19 = 2,"", "DATA 4")</f>
        <v/>
      </c>
      <c r="B579" s="128" t="str">
        <f>IF('Register Configuration'!F19 = 2,"", "0x5C600000")</f>
        <v/>
      </c>
      <c r="C579" s="494" t="str">
        <f>IF('Register Configuration'!F19 = 2,"", "3")</f>
        <v/>
      </c>
    </row>
    <row r="580" spans="1:3" x14ac:dyDescent="0.3">
      <c r="A580" s="128" t="str">
        <f>IF('Register Configuration'!F19 = 2,"", "DATA 4")</f>
        <v/>
      </c>
      <c r="B580" s="128" t="str">
        <f>IF('Register Configuration'!F19 = 2,"", "0x5C610000")</f>
        <v/>
      </c>
      <c r="C580" s="494" t="str">
        <f>IF('Register Configuration'!F19 = 2,"", "3")</f>
        <v/>
      </c>
    </row>
    <row r="581" spans="1:3" x14ac:dyDescent="0.3">
      <c r="A581" s="128" t="str">
        <f>IF('Register Configuration'!F19 = 2,"", "DATA 4")</f>
        <v/>
      </c>
      <c r="B581" s="128" t="str">
        <f>IF('Register Configuration'!F19 = 2,"", "0x5C620000")</f>
        <v/>
      </c>
      <c r="C581" s="494" t="str">
        <f>IF('Register Configuration'!F19 = 2,"", "3")</f>
        <v/>
      </c>
    </row>
    <row r="582" spans="1:3" x14ac:dyDescent="0.3">
      <c r="A582" s="128" t="str">
        <f>IF('Register Configuration'!F19 = 2,"", "DATA 4")</f>
        <v/>
      </c>
      <c r="B582" s="128" t="str">
        <f>IF('Register Configuration'!F19 = 2,"", "0x5C630000")</f>
        <v/>
      </c>
      <c r="C582" s="494" t="str">
        <f>IF('Register Configuration'!F19 = 2,"", "3")</f>
        <v/>
      </c>
    </row>
    <row r="583" spans="1:3" x14ac:dyDescent="0.3">
      <c r="A583" s="128" t="str">
        <f>IF('Register Configuration'!F19 = 2,"", "DATA 4")</f>
        <v/>
      </c>
      <c r="B583" s="128" t="str">
        <f>IF('Register Configuration'!F19 = 2,"", "0x5C700000")</f>
        <v/>
      </c>
      <c r="C583" s="494" t="str">
        <f>IF('Register Configuration'!F19 = 2,"", "3")</f>
        <v/>
      </c>
    </row>
    <row r="584" spans="1:3" x14ac:dyDescent="0.3">
      <c r="A584" s="128" t="str">
        <f>IF('Register Configuration'!F19 = 2,"", "DATA 4")</f>
        <v/>
      </c>
      <c r="B584" s="128" t="str">
        <f>IF('Register Configuration'!F19 = 2,"", "0x5C710000")</f>
        <v/>
      </c>
      <c r="C584" s="494" t="str">
        <f>IF('Register Configuration'!F19 = 2,"", "3")</f>
        <v/>
      </c>
    </row>
    <row r="585" spans="1:3" x14ac:dyDescent="0.3">
      <c r="A585" s="128" t="str">
        <f>IF('Register Configuration'!F19 = 2,"", "DATA 4")</f>
        <v/>
      </c>
      <c r="B585" s="128" t="str">
        <f>IF('Register Configuration'!F19 = 2,"", "0x5C720000")</f>
        <v/>
      </c>
      <c r="C585" s="494" t="str">
        <f>IF('Register Configuration'!F19 = 2,"", "3")</f>
        <v/>
      </c>
    </row>
    <row r="586" spans="1:3" x14ac:dyDescent="0.3">
      <c r="A586" s="128" t="str">
        <f>IF('Register Configuration'!F19 = 2,"", "DATA 4")</f>
        <v/>
      </c>
      <c r="B586" s="128" t="str">
        <f>IF('Register Configuration'!F19 = 2,"", "0x5C730000")</f>
        <v/>
      </c>
      <c r="C586" s="494" t="str">
        <f>IF('Register Configuration'!F19 = 2,"", "3")</f>
        <v/>
      </c>
    </row>
    <row r="588" spans="1:3" x14ac:dyDescent="0.3">
      <c r="A588" s="128" t="str">
        <f>IF('Register Configuration'!G28="Apply MR4 manual de-rate workaround", "ddrc_lpddr4_derate_init(BD_DDR_RET_NUM_DRC);", "")</f>
        <v>ddrc_lpddr4_derate_init(BD_DDR_RET_NUM_DRC);</v>
      </c>
      <c r="B588" s="128"/>
      <c r="C588" s="128"/>
    </row>
  </sheetData>
  <dataConsolidate/>
  <pageMargins left="0.7" right="0.7" top="0.75" bottom="0.75" header="0.3" footer="0.3"/>
  <pageSetup orientation="portrait" r:id="rId1"/>
  <ignoredErrors>
    <ignoredError sqref="C471:C472 A46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19"/>
  <sheetViews>
    <sheetView topLeftCell="A106" zoomScale="85" zoomScaleNormal="85" workbookViewId="0">
      <selection activeCell="B131" sqref="B131:E132"/>
    </sheetView>
  </sheetViews>
  <sheetFormatPr defaultRowHeight="13.8" x14ac:dyDescent="0.3"/>
  <cols>
    <col min="1" max="1" width="17" style="127" customWidth="1"/>
    <col min="2" max="2" width="13.44140625" style="127" customWidth="1"/>
    <col min="3" max="3" width="4.88671875" style="403" customWidth="1"/>
    <col min="4" max="4" width="13.33203125" style="127" customWidth="1"/>
    <col min="5" max="5" width="16.44140625" style="127" customWidth="1"/>
    <col min="6" max="11" width="9.109375" style="127"/>
  </cols>
  <sheetData>
    <row r="1" spans="1:5" x14ac:dyDescent="0.3">
      <c r="A1" s="128" t="str">
        <f>"#  Version "&amp;'Revision History'!B3</f>
        <v>#  Version 23</v>
      </c>
    </row>
    <row r="2" spans="1:5" x14ac:dyDescent="0.3">
      <c r="A2" s="127" t="s">
        <v>1253</v>
      </c>
    </row>
    <row r="3" spans="1:5" x14ac:dyDescent="0.3">
      <c r="A3" s="127" t="s">
        <v>1254</v>
      </c>
    </row>
    <row r="4" spans="1:5" x14ac:dyDescent="0.3">
      <c r="A4" s="127" t="s">
        <v>1255</v>
      </c>
    </row>
    <row r="5" spans="1:5" x14ac:dyDescent="0.3">
      <c r="A5" s="127" t="s">
        <v>1256</v>
      </c>
    </row>
    <row r="6" spans="1:5" x14ac:dyDescent="0.3">
      <c r="A6" s="127" t="s">
        <v>1257</v>
      </c>
    </row>
    <row r="7" spans="1:5" x14ac:dyDescent="0.3">
      <c r="A7" s="127" t="s">
        <v>1252</v>
      </c>
    </row>
    <row r="8" spans="1:5" x14ac:dyDescent="0.3">
      <c r="A8" s="127" t="s">
        <v>1258</v>
      </c>
    </row>
    <row r="9" spans="1:5" x14ac:dyDescent="0.3">
      <c r="A9" s="127" t="s">
        <v>1259</v>
      </c>
    </row>
    <row r="10" spans="1:5" x14ac:dyDescent="0.3">
      <c r="A10" s="127" t="s">
        <v>1260</v>
      </c>
    </row>
    <row r="11" spans="1:5" x14ac:dyDescent="0.3">
      <c r="A11" s="127" t="s">
        <v>1261</v>
      </c>
    </row>
    <row r="12" spans="1:5" x14ac:dyDescent="0.3">
      <c r="A12" s="127" t="s">
        <v>1262</v>
      </c>
    </row>
    <row r="13" spans="1:5" x14ac:dyDescent="0.3">
      <c r="A13" s="127" t="s">
        <v>1263</v>
      </c>
    </row>
    <row r="14" spans="1:5" x14ac:dyDescent="0.3">
      <c r="A14" s="127" t="s">
        <v>1264</v>
      </c>
    </row>
    <row r="16" spans="1:5" x14ac:dyDescent="0.3">
      <c r="A16" s="127" t="str">
        <f>IF('Register Configuration'!F30 = "no", "memory set", "")</f>
        <v/>
      </c>
      <c r="B16" s="127" t="str">
        <f>IF('Register Configuration'!F30 = "no", "0xff148000", "")</f>
        <v/>
      </c>
      <c r="C16" s="403" t="str">
        <f>IF('Register Configuration'!F30 = "no", "32", "")</f>
        <v/>
      </c>
      <c r="D16" s="128" t="str">
        <f>IF('Register Configuration'!F30="no",IF('Register Configuration'!C29=1600,"0x00000885",IF('Register Configuration'!C29=1200,"0x00000CC8","0x00000C85")),"")</f>
        <v/>
      </c>
      <c r="E16" s="127" t="str">
        <f>IF('Register Configuration'!F30 = "no", "# ROM DRC0 bringup", "")</f>
        <v/>
      </c>
    </row>
    <row r="17" spans="1:11" x14ac:dyDescent="0.3">
      <c r="A17" s="127" t="str">
        <f>IF('Register Configuration'!F30 = "no", "memory set", "")</f>
        <v/>
      </c>
      <c r="B17" s="127" t="str">
        <f>IF('Register Configuration'!F30 = "no", "0xff1a0000", "")</f>
        <v/>
      </c>
      <c r="C17" s="403" t="str">
        <f>IF('Register Configuration'!F30 = "no", "32", "")</f>
        <v/>
      </c>
      <c r="D17" s="128" t="str">
        <f>IF('Register Configuration'!F30="no",IF('Register Configuration'!C29=1600,"0x00000885",IF('Register Configuration'!C29=1200,"0x00000CC8","0x00000C85")),"")</f>
        <v/>
      </c>
      <c r="E17" s="127" t="str">
        <f>IF('Register Configuration'!F30 = "no", "# ROM DRC0 bringup", "")</f>
        <v/>
      </c>
    </row>
    <row r="18" spans="1:11" x14ac:dyDescent="0.3">
      <c r="A18" s="127" t="str">
        <f>IF('Register Configuration'!G30 = "no", "", "ddrparam set")</f>
        <v>ddrparam set</v>
      </c>
      <c r="B18" s="127" t="str">
        <f>IF('Register Configuration'!G30="no","","frequency0")</f>
        <v>frequency0</v>
      </c>
      <c r="D18" s="128">
        <f>IF('Register Configuration'!F30="no","", 'Register Configuration'!C29)</f>
        <v>1600</v>
      </c>
      <c r="I18"/>
      <c r="J18"/>
      <c r="K18"/>
    </row>
    <row r="20" spans="1:11" x14ac:dyDescent="0.3">
      <c r="A20" s="127" t="s">
        <v>1310</v>
      </c>
      <c r="B20" s="127" t="s">
        <v>781</v>
      </c>
      <c r="C20" s="403">
        <v>32</v>
      </c>
      <c r="D20" s="127" t="s">
        <v>821</v>
      </c>
      <c r="E20" s="127" t="s">
        <v>2256</v>
      </c>
    </row>
    <row r="21" spans="1:11" x14ac:dyDescent="0.3">
      <c r="A21" s="127" t="str">
        <f>IF('Register Configuration'!F19 = 2,"", "#") &amp; "memory set"</f>
        <v>memory set</v>
      </c>
      <c r="B21" s="127" t="s">
        <v>782</v>
      </c>
      <c r="C21" s="403">
        <v>32</v>
      </c>
      <c r="D21" s="127" t="s">
        <v>821</v>
      </c>
      <c r="E21" s="127" t="s">
        <v>2256</v>
      </c>
    </row>
    <row r="22" spans="1:11" x14ac:dyDescent="0.3">
      <c r="A22" s="127" t="s">
        <v>1310</v>
      </c>
      <c r="B22" s="127" t="s">
        <v>2249</v>
      </c>
      <c r="C22" s="403">
        <v>32</v>
      </c>
      <c r="D22" s="127" t="s">
        <v>2258</v>
      </c>
      <c r="E22" s="127" t="s">
        <v>2257</v>
      </c>
    </row>
    <row r="23" spans="1:11" x14ac:dyDescent="0.3">
      <c r="A23" s="127" t="str">
        <f>IF('Register Configuration'!F19 = 2,"", "#") &amp; "memory set"</f>
        <v>memory set</v>
      </c>
      <c r="B23" s="127" t="s">
        <v>2250</v>
      </c>
      <c r="C23" s="403">
        <v>32</v>
      </c>
      <c r="D23" s="127" t="s">
        <v>2258</v>
      </c>
      <c r="E23" s="127" t="s">
        <v>2257</v>
      </c>
    </row>
    <row r="24" spans="1:11" x14ac:dyDescent="0.3">
      <c r="A24" s="127" t="s">
        <v>1310</v>
      </c>
      <c r="B24" s="127" t="s">
        <v>783</v>
      </c>
      <c r="C24" s="403">
        <v>32</v>
      </c>
      <c r="D24" s="127" t="s">
        <v>821</v>
      </c>
      <c r="E24" s="127" t="s">
        <v>1311</v>
      </c>
    </row>
    <row r="25" spans="1:11" x14ac:dyDescent="0.3">
      <c r="A25" s="127" t="str">
        <f>IF('Register Configuration'!F19 = 2,"", "#") &amp; "memory set"</f>
        <v>memory set</v>
      </c>
      <c r="B25" s="127" t="s">
        <v>784</v>
      </c>
      <c r="C25" s="403">
        <v>32</v>
      </c>
      <c r="D25" s="127" t="s">
        <v>821</v>
      </c>
      <c r="E25" s="127" t="s">
        <v>1311</v>
      </c>
    </row>
    <row r="27" spans="1:11" x14ac:dyDescent="0.3">
      <c r="A27" s="127" t="s">
        <v>1265</v>
      </c>
    </row>
    <row r="28" spans="1:11" x14ac:dyDescent="0.3">
      <c r="A28" s="127" t="s">
        <v>2161</v>
      </c>
    </row>
    <row r="29" spans="1:11" x14ac:dyDescent="0.3">
      <c r="A29" s="127" t="s">
        <v>1265</v>
      </c>
    </row>
    <row r="30" spans="1:11" x14ac:dyDescent="0.3">
      <c r="A30" s="127" t="s">
        <v>1351</v>
      </c>
    </row>
    <row r="31" spans="1:11" x14ac:dyDescent="0.3">
      <c r="A31" s="127" t="s">
        <v>1310</v>
      </c>
      <c r="B31" s="127" t="s">
        <v>1312</v>
      </c>
      <c r="C31" s="403">
        <v>32</v>
      </c>
      <c r="D31" s="128" t="str">
        <f>'Register Configuration'!J41</f>
        <v>0xC3080020</v>
      </c>
      <c r="E31" s="127" t="s">
        <v>1692</v>
      </c>
    </row>
    <row r="32" spans="1:11" x14ac:dyDescent="0.3">
      <c r="A32" s="127" t="s">
        <v>1310</v>
      </c>
      <c r="B32" s="127" t="s">
        <v>1696</v>
      </c>
      <c r="C32" s="403">
        <v>32</v>
      </c>
      <c r="D32" s="128" t="str">
        <f>'Register Configuration'!J168</f>
        <v>0x00000213</v>
      </c>
      <c r="E32" s="127" t="s">
        <v>1698</v>
      </c>
    </row>
    <row r="33" spans="1:5" x14ac:dyDescent="0.3">
      <c r="A33" s="127" t="s">
        <v>1310</v>
      </c>
      <c r="B33" s="127" t="s">
        <v>1697</v>
      </c>
      <c r="C33" s="403">
        <v>32</v>
      </c>
      <c r="D33" s="128" t="str">
        <f>'Register Configuration'!J173</f>
        <v>0x0186A000</v>
      </c>
      <c r="E33" s="127" t="s">
        <v>1699</v>
      </c>
    </row>
    <row r="34" spans="1:5" x14ac:dyDescent="0.3">
      <c r="A34" s="127" t="s">
        <v>1310</v>
      </c>
      <c r="B34" s="127" t="s">
        <v>2030</v>
      </c>
      <c r="C34" s="403">
        <v>32</v>
      </c>
      <c r="D34" s="128" t="str">
        <f>'Register Configuration'!J86</f>
        <v>0x0021F000</v>
      </c>
      <c r="E34" s="127" t="s">
        <v>2031</v>
      </c>
    </row>
    <row r="35" spans="1:5" x14ac:dyDescent="0.3">
      <c r="A35" s="127" t="s">
        <v>1310</v>
      </c>
      <c r="B35" s="127" t="s">
        <v>1313</v>
      </c>
      <c r="C35" s="403">
        <v>32</v>
      </c>
      <c r="D35" s="128" t="str">
        <f>'Register Configuration'!J91</f>
        <v>0x006100E0</v>
      </c>
      <c r="E35" s="127" t="s">
        <v>1347</v>
      </c>
    </row>
    <row r="36" spans="1:5" x14ac:dyDescent="0.3">
      <c r="A36" s="127" t="s">
        <v>1310</v>
      </c>
      <c r="B36" s="127" t="s">
        <v>1314</v>
      </c>
      <c r="C36" s="403">
        <v>32</v>
      </c>
      <c r="D36" s="128" t="str">
        <f>'Register Configuration'!J95</f>
        <v>0x4003061C</v>
      </c>
      <c r="E36" s="127" t="s">
        <v>1693</v>
      </c>
    </row>
    <row r="37" spans="1:5" x14ac:dyDescent="0.3">
      <c r="A37" s="127" t="s">
        <v>1310</v>
      </c>
      <c r="B37" s="127" t="s">
        <v>1315</v>
      </c>
      <c r="C37" s="403">
        <v>32</v>
      </c>
      <c r="D37" s="128" t="str">
        <f>'Register Configuration'!J99</f>
        <v>0x009E0000</v>
      </c>
      <c r="E37" s="127" t="s">
        <v>1694</v>
      </c>
    </row>
    <row r="38" spans="1:5" x14ac:dyDescent="0.3">
      <c r="A38" s="127" t="s">
        <v>1310</v>
      </c>
      <c r="B38" s="127" t="s">
        <v>1316</v>
      </c>
      <c r="C38" s="403">
        <v>32</v>
      </c>
      <c r="D38" s="128" t="str">
        <f>'Register Configuration'!J186</f>
        <v>0x0054002D</v>
      </c>
      <c r="E38" s="127" t="s">
        <v>1695</v>
      </c>
    </row>
    <row r="39" spans="1:5" x14ac:dyDescent="0.3">
      <c r="A39" s="127" t="s">
        <v>1310</v>
      </c>
      <c r="B39" s="127" t="s">
        <v>1317</v>
      </c>
      <c r="C39" s="403">
        <v>32</v>
      </c>
      <c r="D39" s="128" t="str">
        <f>'Register Configuration'!K198</f>
        <v>0x00F10000</v>
      </c>
      <c r="E39" s="127" t="s">
        <v>1702</v>
      </c>
    </row>
    <row r="40" spans="1:5" x14ac:dyDescent="0.3">
      <c r="A40" s="127" t="s">
        <v>1310</v>
      </c>
      <c r="B40" s="127" t="s">
        <v>1318</v>
      </c>
      <c r="C40" s="403">
        <v>32</v>
      </c>
      <c r="D40" s="128" t="str">
        <f>'Register Configuration'!J104</f>
        <v>0x0000066F</v>
      </c>
      <c r="E40" s="127" t="s">
        <v>1703</v>
      </c>
    </row>
    <row r="41" spans="1:5" x14ac:dyDescent="0.3">
      <c r="A41" s="127" t="s">
        <v>1310</v>
      </c>
      <c r="B41" s="127" t="s">
        <v>1319</v>
      </c>
      <c r="C41" s="403">
        <v>32</v>
      </c>
      <c r="D41" s="128" t="str">
        <f>'Register Configuration'!J108</f>
        <v>0x1A201B22</v>
      </c>
      <c r="E41" s="127" t="s">
        <v>1704</v>
      </c>
    </row>
    <row r="42" spans="1:5" x14ac:dyDescent="0.3">
      <c r="A42" s="127" t="s">
        <v>1310</v>
      </c>
      <c r="B42" s="127" t="s">
        <v>1320</v>
      </c>
      <c r="C42" s="403">
        <v>32</v>
      </c>
      <c r="D42" s="128" t="str">
        <f>'Register Configuration'!J113</f>
        <v>0x00060633</v>
      </c>
      <c r="E42" s="127" t="s">
        <v>1705</v>
      </c>
    </row>
    <row r="43" spans="1:5" x14ac:dyDescent="0.3">
      <c r="A43" s="127" t="s">
        <v>1310</v>
      </c>
      <c r="B43" s="127" t="s">
        <v>1321</v>
      </c>
      <c r="C43" s="403">
        <v>32</v>
      </c>
      <c r="D43" s="128" t="str">
        <f>'Register Configuration'!J119</f>
        <v>0x07101617</v>
      </c>
      <c r="E43" s="127" t="s">
        <v>1706</v>
      </c>
    </row>
    <row r="44" spans="1:5" x14ac:dyDescent="0.3">
      <c r="A44" s="127" t="s">
        <v>1310</v>
      </c>
      <c r="B44" s="127" t="s">
        <v>1322</v>
      </c>
      <c r="C44" s="403">
        <v>32</v>
      </c>
      <c r="D44" s="128" t="str">
        <f>'Register Configuration'!J124</f>
        <v>0x00C0C000</v>
      </c>
      <c r="E44" s="127" t="s">
        <v>1707</v>
      </c>
    </row>
    <row r="45" spans="1:5" x14ac:dyDescent="0.3">
      <c r="A45" s="127" t="s">
        <v>1310</v>
      </c>
      <c r="B45" s="127" t="s">
        <v>1323</v>
      </c>
      <c r="C45" s="403">
        <v>32</v>
      </c>
      <c r="D45" s="128" t="str">
        <f>'Register Configuration'!J128</f>
        <v>0x0F04080F</v>
      </c>
      <c r="E45" s="127" t="s">
        <v>1708</v>
      </c>
    </row>
    <row r="46" spans="1:5" x14ac:dyDescent="0.3">
      <c r="A46" s="127" t="s">
        <v>1310</v>
      </c>
      <c r="B46" s="127" t="s">
        <v>1324</v>
      </c>
      <c r="C46" s="403">
        <v>32</v>
      </c>
      <c r="D46" s="128" t="str">
        <f>'Register Configuration'!J133</f>
        <v>0x02040C0C</v>
      </c>
      <c r="E46" s="127" t="s">
        <v>1709</v>
      </c>
    </row>
    <row r="47" spans="1:5" x14ac:dyDescent="0.3">
      <c r="A47" s="127" t="s">
        <v>1310</v>
      </c>
      <c r="B47" s="127" t="s">
        <v>1325</v>
      </c>
      <c r="C47" s="403">
        <v>32</v>
      </c>
      <c r="D47" s="128" t="str">
        <f>'Register Configuration'!J139</f>
        <v>0x02020007</v>
      </c>
      <c r="E47" s="127" t="s">
        <v>1710</v>
      </c>
    </row>
    <row r="48" spans="1:5" x14ac:dyDescent="0.3">
      <c r="A48" s="127" t="s">
        <v>1310</v>
      </c>
      <c r="B48" s="127" t="s">
        <v>1326</v>
      </c>
      <c r="C48" s="403">
        <v>32</v>
      </c>
      <c r="D48" s="128" t="str">
        <f>'Register Configuration'!J144</f>
        <v>0x00000401</v>
      </c>
      <c r="E48" s="127" t="s">
        <v>1711</v>
      </c>
    </row>
    <row r="49" spans="1:5" x14ac:dyDescent="0.3">
      <c r="A49" s="127" t="s">
        <v>1310</v>
      </c>
      <c r="B49" s="127" t="s">
        <v>1327</v>
      </c>
      <c r="C49" s="403">
        <v>32</v>
      </c>
      <c r="D49" s="128" t="str">
        <f>'Register Configuration'!J147</f>
        <v>0x00020610</v>
      </c>
      <c r="E49" s="127" t="s">
        <v>1712</v>
      </c>
    </row>
    <row r="50" spans="1:5" x14ac:dyDescent="0.3">
      <c r="A50" s="127" t="s">
        <v>1310</v>
      </c>
      <c r="B50" s="127" t="s">
        <v>1328</v>
      </c>
      <c r="C50" s="403">
        <v>32</v>
      </c>
      <c r="D50" s="128" t="str">
        <f>'Register Configuration'!J151</f>
        <v>0x0C100002</v>
      </c>
      <c r="E50" s="127" t="s">
        <v>1713</v>
      </c>
    </row>
    <row r="51" spans="1:5" x14ac:dyDescent="0.3">
      <c r="A51" s="127" t="s">
        <v>1310</v>
      </c>
      <c r="B51" s="127" t="s">
        <v>1329</v>
      </c>
      <c r="C51" s="403">
        <v>32</v>
      </c>
      <c r="D51" s="128" t="str">
        <f>'Register Configuration'!J155</f>
        <v>0x000000E6</v>
      </c>
      <c r="E51" s="127" t="s">
        <v>1714</v>
      </c>
    </row>
    <row r="52" spans="1:5" x14ac:dyDescent="0.3">
      <c r="A52" s="127" t="s">
        <v>1310</v>
      </c>
      <c r="B52" s="127" t="s">
        <v>1330</v>
      </c>
      <c r="C52" s="403">
        <v>32</v>
      </c>
      <c r="D52" s="128" t="str">
        <f>'Register Configuration'!J157</f>
        <v>0x03200018</v>
      </c>
      <c r="E52" s="127" t="s">
        <v>1715</v>
      </c>
    </row>
    <row r="53" spans="1:5" x14ac:dyDescent="0.3">
      <c r="A53" s="127" t="s">
        <v>1310</v>
      </c>
      <c r="B53" s="127" t="s">
        <v>1331</v>
      </c>
      <c r="C53" s="403">
        <v>32</v>
      </c>
      <c r="D53" s="128" t="str">
        <f>'Register Configuration'!J165</f>
        <v>0x028061A8</v>
      </c>
      <c r="E53" s="127" t="s">
        <v>1716</v>
      </c>
    </row>
    <row r="54" spans="1:5" x14ac:dyDescent="0.3">
      <c r="A54" s="127" t="s">
        <v>1310</v>
      </c>
      <c r="B54" s="127" t="s">
        <v>1332</v>
      </c>
      <c r="C54" s="403">
        <v>32</v>
      </c>
      <c r="D54" s="128" t="str">
        <f>'Register Configuration'!J219</f>
        <v>0x049E820C</v>
      </c>
      <c r="E54" s="127" t="s">
        <v>1717</v>
      </c>
    </row>
    <row r="55" spans="1:5" x14ac:dyDescent="0.3">
      <c r="A55" s="127" t="s">
        <v>1310</v>
      </c>
      <c r="B55" s="127" t="s">
        <v>1333</v>
      </c>
      <c r="C55" s="403">
        <v>32</v>
      </c>
      <c r="D55" s="128" t="str">
        <f>'Register Configuration'!J226</f>
        <v>0x00070303</v>
      </c>
      <c r="E55" s="127" t="s">
        <v>1718</v>
      </c>
    </row>
    <row r="56" spans="1:5" x14ac:dyDescent="0.3">
      <c r="A56" s="127" t="s">
        <v>1310</v>
      </c>
      <c r="B56" s="127" t="s">
        <v>1334</v>
      </c>
      <c r="C56" s="403">
        <v>32</v>
      </c>
      <c r="D56" s="128" t="str">
        <f>'Register Configuration'!J232</f>
        <v>0x00001C0A</v>
      </c>
      <c r="E56" s="127" t="s">
        <v>1719</v>
      </c>
    </row>
    <row r="57" spans="1:5" x14ac:dyDescent="0.3">
      <c r="A57" s="127" t="s">
        <v>1310</v>
      </c>
      <c r="B57" s="127" t="s">
        <v>1335</v>
      </c>
      <c r="C57" s="403">
        <v>32</v>
      </c>
      <c r="D57" s="128" t="str">
        <f>'Register Configuration'!J235</f>
        <v>0x00000005</v>
      </c>
      <c r="E57" s="127" t="s">
        <v>1720</v>
      </c>
    </row>
    <row r="58" spans="1:5" x14ac:dyDescent="0.3">
      <c r="A58" s="127" t="s">
        <v>1310</v>
      </c>
      <c r="B58" s="127" t="s">
        <v>1336</v>
      </c>
      <c r="C58" s="403">
        <v>32</v>
      </c>
      <c r="D58" s="128" t="str">
        <f>'Register Configuration'!J239</f>
        <v>0x00400003</v>
      </c>
      <c r="E58" s="127" t="s">
        <v>1721</v>
      </c>
    </row>
    <row r="59" spans="1:5" x14ac:dyDescent="0.3">
      <c r="A59" s="127" t="s">
        <v>1310</v>
      </c>
      <c r="B59" s="127" t="s">
        <v>1337</v>
      </c>
      <c r="C59" s="403">
        <v>32</v>
      </c>
      <c r="D59" s="128" t="str">
        <f>'Register Configuration'!J244</f>
        <v>0x008000A0</v>
      </c>
      <c r="E59" s="127" t="s">
        <v>1722</v>
      </c>
    </row>
    <row r="60" spans="1:5" x14ac:dyDescent="0.3">
      <c r="A60" s="127" t="s">
        <v>1310</v>
      </c>
      <c r="B60" s="127" t="s">
        <v>1338</v>
      </c>
      <c r="C60" s="403">
        <v>32</v>
      </c>
      <c r="D60" s="128" t="str">
        <f>'Register Configuration'!J247</f>
        <v>0x80000000</v>
      </c>
      <c r="E60" s="127" t="s">
        <v>1723</v>
      </c>
    </row>
    <row r="61" spans="1:5" x14ac:dyDescent="0.3">
      <c r="A61" s="127" t="s">
        <v>1310</v>
      </c>
      <c r="B61" s="127" t="s">
        <v>1339</v>
      </c>
      <c r="C61" s="403">
        <v>32</v>
      </c>
      <c r="D61" s="128" t="str">
        <f>'Register Configuration'!J56</f>
        <v>0x00000007</v>
      </c>
      <c r="E61" s="127" t="s">
        <v>1724</v>
      </c>
    </row>
    <row r="62" spans="1:5" x14ac:dyDescent="0.3">
      <c r="A62" s="127" t="s">
        <v>1310</v>
      </c>
      <c r="B62" s="127" t="s">
        <v>1725</v>
      </c>
      <c r="C62" s="403">
        <v>32</v>
      </c>
      <c r="D62" s="128" t="str">
        <f>'Register Configuration'!J63</f>
        <v>0x00000000</v>
      </c>
      <c r="E62" s="127" t="s">
        <v>1727</v>
      </c>
    </row>
    <row r="63" spans="1:5" x14ac:dyDescent="0.3">
      <c r="A63" s="127" t="s">
        <v>1310</v>
      </c>
      <c r="B63" s="127" t="s">
        <v>1340</v>
      </c>
      <c r="C63" s="403">
        <v>32</v>
      </c>
      <c r="D63" s="128" t="str">
        <f>'Register Configuration'!J68</f>
        <v>0x00001F1F</v>
      </c>
      <c r="E63" s="127" t="s">
        <v>1726</v>
      </c>
    </row>
    <row r="64" spans="1:5" x14ac:dyDescent="0.3">
      <c r="A64" s="127" t="s">
        <v>1310</v>
      </c>
      <c r="B64" s="127" t="s">
        <v>1341</v>
      </c>
      <c r="C64" s="403">
        <v>32</v>
      </c>
      <c r="D64" s="128" t="str">
        <f>'Register Configuration'!J59</f>
        <v>0x00080808</v>
      </c>
      <c r="E64" s="127" t="s">
        <v>1728</v>
      </c>
    </row>
    <row r="65" spans="1:5" x14ac:dyDescent="0.3">
      <c r="A65" s="127" t="s">
        <v>1310</v>
      </c>
      <c r="B65" s="127" t="s">
        <v>1342</v>
      </c>
      <c r="C65" s="403">
        <v>32</v>
      </c>
      <c r="D65" s="128" t="str">
        <f>'Register Configuration'!J71</f>
        <v>0x08080808</v>
      </c>
      <c r="E65" s="127" t="s">
        <v>1729</v>
      </c>
    </row>
    <row r="66" spans="1:5" x14ac:dyDescent="0.3">
      <c r="A66" s="127" t="s">
        <v>1310</v>
      </c>
      <c r="B66" s="127" t="s">
        <v>1343</v>
      </c>
      <c r="C66" s="403">
        <v>32</v>
      </c>
      <c r="D66" s="128" t="str">
        <f>'Register Configuration'!J76</f>
        <v>0x48080808</v>
      </c>
      <c r="E66" s="127" t="s">
        <v>1730</v>
      </c>
    </row>
    <row r="67" spans="1:5" x14ac:dyDescent="0.3">
      <c r="A67" s="127" t="s">
        <v>1310</v>
      </c>
      <c r="B67" s="127" t="s">
        <v>1344</v>
      </c>
      <c r="C67" s="403">
        <v>32</v>
      </c>
      <c r="D67" s="128" t="str">
        <f>'Register Configuration'!J249</f>
        <v>0x00000007</v>
      </c>
      <c r="E67" s="127" t="s">
        <v>1731</v>
      </c>
    </row>
    <row r="68" spans="1:5" x14ac:dyDescent="0.3">
      <c r="A68" s="127" t="s">
        <v>1310</v>
      </c>
      <c r="B68" s="127" t="s">
        <v>1345</v>
      </c>
      <c r="C68" s="403">
        <v>32</v>
      </c>
      <c r="D68" s="128" t="str">
        <f>'Register Configuration'!J175</f>
        <v>0x00000000</v>
      </c>
      <c r="E68" s="127" t="s">
        <v>1732</v>
      </c>
    </row>
    <row r="69" spans="1:5" x14ac:dyDescent="0.3">
      <c r="A69" s="127" t="s">
        <v>1310</v>
      </c>
      <c r="B69" s="127" t="s">
        <v>1346</v>
      </c>
      <c r="C69" s="403">
        <v>32</v>
      </c>
      <c r="D69" s="127" t="s">
        <v>821</v>
      </c>
      <c r="E69" s="127" t="s">
        <v>1348</v>
      </c>
    </row>
    <row r="70" spans="1:5" x14ac:dyDescent="0.3">
      <c r="A70" s="127" t="s">
        <v>1310</v>
      </c>
      <c r="B70" s="127" t="s">
        <v>1349</v>
      </c>
      <c r="C70" s="403">
        <v>32</v>
      </c>
      <c r="D70" s="127" t="s">
        <v>850</v>
      </c>
      <c r="E70" s="127" t="s">
        <v>1350</v>
      </c>
    </row>
    <row r="72" spans="1:5" x14ac:dyDescent="0.3">
      <c r="A72" s="127" t="s">
        <v>1352</v>
      </c>
    </row>
    <row r="73" spans="1:5" x14ac:dyDescent="0.3">
      <c r="A73" s="127" t="str">
        <f>IF('Register Configuration'!F19 = 2,"", "#") &amp; "memory set"</f>
        <v>memory set</v>
      </c>
      <c r="B73" s="127" t="s">
        <v>1353</v>
      </c>
      <c r="C73" s="403">
        <v>32</v>
      </c>
      <c r="D73" s="128" t="str">
        <f>'Register Configuration'!J41</f>
        <v>0xC3080020</v>
      </c>
      <c r="E73" s="127" t="s">
        <v>1733</v>
      </c>
    </row>
    <row r="74" spans="1:5" x14ac:dyDescent="0.3">
      <c r="A74" s="127" t="str">
        <f>IF('Register Configuration'!F19 = 2,"", "#") &amp; "memory set"</f>
        <v>memory set</v>
      </c>
      <c r="B74" s="127" t="s">
        <v>1899</v>
      </c>
      <c r="C74" s="403">
        <v>32</v>
      </c>
      <c r="D74" s="128" t="str">
        <f>'Register Configuration'!L168</f>
        <v>0x00000213</v>
      </c>
      <c r="E74" s="127" t="s">
        <v>1700</v>
      </c>
    </row>
    <row r="75" spans="1:5" x14ac:dyDescent="0.3">
      <c r="A75" s="127" t="str">
        <f>IF('Register Configuration'!F19 = 2,"", "#") &amp; "memory set"</f>
        <v>memory set</v>
      </c>
      <c r="B75" s="127" t="s">
        <v>1900</v>
      </c>
      <c r="C75" s="403">
        <v>32</v>
      </c>
      <c r="D75" s="128" t="str">
        <f>'Register Configuration'!J173</f>
        <v>0x0186A000</v>
      </c>
      <c r="E75" s="127" t="s">
        <v>1701</v>
      </c>
    </row>
    <row r="76" spans="1:5" x14ac:dyDescent="0.3">
      <c r="A76" s="127" t="str">
        <f>IF('Register Configuration'!F19 = 2,"", "#") &amp; "memory set"</f>
        <v>memory set</v>
      </c>
      <c r="B76" s="127" t="s">
        <v>2032</v>
      </c>
      <c r="C76" s="403">
        <v>32</v>
      </c>
      <c r="D76" s="128" t="str">
        <f>'Register Configuration'!J86</f>
        <v>0x0021F000</v>
      </c>
      <c r="E76" s="127" t="s">
        <v>2033</v>
      </c>
    </row>
    <row r="77" spans="1:5" x14ac:dyDescent="0.3">
      <c r="A77" s="127" t="str">
        <f>IF('Register Configuration'!F19 = 2,"", "#") &amp; "memory set"</f>
        <v>memory set</v>
      </c>
      <c r="B77" s="127" t="s">
        <v>1354</v>
      </c>
      <c r="C77" s="403">
        <v>32</v>
      </c>
      <c r="D77" s="128" t="str">
        <f>'Register Configuration'!J91</f>
        <v>0x006100E0</v>
      </c>
      <c r="E77" s="127" t="s">
        <v>1388</v>
      </c>
    </row>
    <row r="78" spans="1:5" x14ac:dyDescent="0.3">
      <c r="A78" s="127" t="str">
        <f>IF('Register Configuration'!F19 = 2,"", "#") &amp; "memory set"</f>
        <v>memory set</v>
      </c>
      <c r="B78" s="127" t="s">
        <v>1355</v>
      </c>
      <c r="C78" s="403">
        <v>32</v>
      </c>
      <c r="D78" s="128" t="str">
        <f>'Register Configuration'!J95</f>
        <v>0x4003061C</v>
      </c>
      <c r="E78" s="127" t="s">
        <v>1734</v>
      </c>
    </row>
    <row r="79" spans="1:5" x14ac:dyDescent="0.3">
      <c r="A79" s="127" t="str">
        <f>IF('Register Configuration'!F19 = 2,"", "#") &amp; "memory set"</f>
        <v>memory set</v>
      </c>
      <c r="B79" s="127" t="s">
        <v>1356</v>
      </c>
      <c r="C79" s="403">
        <v>32</v>
      </c>
      <c r="D79" s="128" t="str">
        <f>'Register Configuration'!J99</f>
        <v>0x009E0000</v>
      </c>
      <c r="E79" s="127" t="s">
        <v>1735</v>
      </c>
    </row>
    <row r="80" spans="1:5" x14ac:dyDescent="0.3">
      <c r="A80" s="127" t="str">
        <f>IF('Register Configuration'!F19 = 2,"", "#") &amp; "memory set"</f>
        <v>memory set</v>
      </c>
      <c r="B80" s="127" t="s">
        <v>1357</v>
      </c>
      <c r="C80" s="403">
        <v>32</v>
      </c>
      <c r="D80" s="128" t="str">
        <f>'Register Configuration'!J186</f>
        <v>0x0054002D</v>
      </c>
      <c r="E80" s="127" t="s">
        <v>1736</v>
      </c>
    </row>
    <row r="81" spans="1:5" x14ac:dyDescent="0.3">
      <c r="A81" s="127" t="str">
        <f>IF('Register Configuration'!F19 = 2,"", "#") &amp; "memory set"</f>
        <v>memory set</v>
      </c>
      <c r="B81" s="127" t="s">
        <v>1358</v>
      </c>
      <c r="C81" s="403">
        <v>32</v>
      </c>
      <c r="D81" s="128" t="str">
        <f>'Register Configuration'!K198</f>
        <v>0x00F10000</v>
      </c>
      <c r="E81" s="127" t="s">
        <v>1737</v>
      </c>
    </row>
    <row r="82" spans="1:5" x14ac:dyDescent="0.3">
      <c r="A82" s="127" t="str">
        <f>IF('Register Configuration'!F19 = 2,"", "#") &amp; "memory set"</f>
        <v>memory set</v>
      </c>
      <c r="B82" s="127" t="s">
        <v>1359</v>
      </c>
      <c r="C82" s="403">
        <v>32</v>
      </c>
      <c r="D82" s="128" t="str">
        <f>'Register Configuration'!J104</f>
        <v>0x0000066F</v>
      </c>
      <c r="E82" s="127" t="s">
        <v>1738</v>
      </c>
    </row>
    <row r="83" spans="1:5" x14ac:dyDescent="0.3">
      <c r="A83" s="127" t="str">
        <f>IF('Register Configuration'!F19 = 2,"", "#") &amp; "memory set"</f>
        <v>memory set</v>
      </c>
      <c r="B83" s="127" t="s">
        <v>1360</v>
      </c>
      <c r="C83" s="403">
        <v>32</v>
      </c>
      <c r="D83" s="128" t="str">
        <f>'Register Configuration'!J108</f>
        <v>0x1A201B22</v>
      </c>
      <c r="E83" s="127" t="s">
        <v>1739</v>
      </c>
    </row>
    <row r="84" spans="1:5" x14ac:dyDescent="0.3">
      <c r="A84" s="127" t="str">
        <f>IF('Register Configuration'!F19 = 2,"", "#") &amp; "memory set"</f>
        <v>memory set</v>
      </c>
      <c r="B84" s="127" t="s">
        <v>1361</v>
      </c>
      <c r="C84" s="403">
        <v>32</v>
      </c>
      <c r="D84" s="128" t="str">
        <f>'Register Configuration'!J113</f>
        <v>0x00060633</v>
      </c>
      <c r="E84" s="127" t="s">
        <v>1740</v>
      </c>
    </row>
    <row r="85" spans="1:5" x14ac:dyDescent="0.3">
      <c r="A85" s="127" t="str">
        <f>IF('Register Configuration'!F19 = 2,"", "#") &amp; "memory set"</f>
        <v>memory set</v>
      </c>
      <c r="B85" s="127" t="s">
        <v>1362</v>
      </c>
      <c r="C85" s="403">
        <v>32</v>
      </c>
      <c r="D85" s="128" t="str">
        <f>'Register Configuration'!J119</f>
        <v>0x07101617</v>
      </c>
      <c r="E85" s="127" t="s">
        <v>1741</v>
      </c>
    </row>
    <row r="86" spans="1:5" x14ac:dyDescent="0.3">
      <c r="A86" s="127" t="str">
        <f>IF('Register Configuration'!F19 = 2,"", "#") &amp; "memory set"</f>
        <v>memory set</v>
      </c>
      <c r="B86" s="127" t="s">
        <v>1363</v>
      </c>
      <c r="C86" s="403">
        <v>32</v>
      </c>
      <c r="D86" s="128" t="str">
        <f>'Register Configuration'!J124</f>
        <v>0x00C0C000</v>
      </c>
      <c r="E86" s="127" t="s">
        <v>1742</v>
      </c>
    </row>
    <row r="87" spans="1:5" x14ac:dyDescent="0.3">
      <c r="A87" s="127" t="str">
        <f>IF('Register Configuration'!F19 = 2,"", "#") &amp; "memory set"</f>
        <v>memory set</v>
      </c>
      <c r="B87" s="127" t="s">
        <v>1364</v>
      </c>
      <c r="C87" s="403">
        <v>32</v>
      </c>
      <c r="D87" s="128" t="str">
        <f>'Register Configuration'!J128</f>
        <v>0x0F04080F</v>
      </c>
      <c r="E87" s="127" t="s">
        <v>1743</v>
      </c>
    </row>
    <row r="88" spans="1:5" x14ac:dyDescent="0.3">
      <c r="A88" s="127" t="str">
        <f>IF('Register Configuration'!F19 = 2,"", "#") &amp; "memory set"</f>
        <v>memory set</v>
      </c>
      <c r="B88" s="127" t="s">
        <v>1365</v>
      </c>
      <c r="C88" s="403">
        <v>32</v>
      </c>
      <c r="D88" s="128" t="str">
        <f>'Register Configuration'!J133</f>
        <v>0x02040C0C</v>
      </c>
      <c r="E88" s="127" t="s">
        <v>1744</v>
      </c>
    </row>
    <row r="89" spans="1:5" x14ac:dyDescent="0.3">
      <c r="A89" s="127" t="str">
        <f>IF('Register Configuration'!F19 = 2,"", "#") &amp; "memory set"</f>
        <v>memory set</v>
      </c>
      <c r="B89" s="127" t="s">
        <v>1366</v>
      </c>
      <c r="C89" s="403">
        <v>32</v>
      </c>
      <c r="D89" s="128" t="str">
        <f>'Register Configuration'!J139</f>
        <v>0x02020007</v>
      </c>
      <c r="E89" s="127" t="s">
        <v>1745</v>
      </c>
    </row>
    <row r="90" spans="1:5" x14ac:dyDescent="0.3">
      <c r="A90" s="127" t="str">
        <f>IF('Register Configuration'!F19 = 2,"", "#") &amp; "memory set"</f>
        <v>memory set</v>
      </c>
      <c r="B90" s="127" t="s">
        <v>1367</v>
      </c>
      <c r="C90" s="403">
        <v>32</v>
      </c>
      <c r="D90" s="128" t="str">
        <f>'Register Configuration'!J144</f>
        <v>0x00000401</v>
      </c>
      <c r="E90" s="127" t="s">
        <v>1746</v>
      </c>
    </row>
    <row r="91" spans="1:5" x14ac:dyDescent="0.3">
      <c r="A91" s="127" t="str">
        <f>IF('Register Configuration'!F19 = 2,"", "#") &amp; "memory set"</f>
        <v>memory set</v>
      </c>
      <c r="B91" s="127" t="s">
        <v>1368</v>
      </c>
      <c r="C91" s="403">
        <v>32</v>
      </c>
      <c r="D91" s="128" t="str">
        <f>'Register Configuration'!J147</f>
        <v>0x00020610</v>
      </c>
      <c r="E91" s="127" t="s">
        <v>1747</v>
      </c>
    </row>
    <row r="92" spans="1:5" x14ac:dyDescent="0.3">
      <c r="A92" s="127" t="str">
        <f>IF('Register Configuration'!F19 = 2,"", "#") &amp; "memory set"</f>
        <v>memory set</v>
      </c>
      <c r="B92" s="127" t="s">
        <v>1369</v>
      </c>
      <c r="C92" s="403">
        <v>32</v>
      </c>
      <c r="D92" s="128" t="str">
        <f>'Register Configuration'!J151</f>
        <v>0x0C100002</v>
      </c>
      <c r="E92" s="127" t="s">
        <v>1748</v>
      </c>
    </row>
    <row r="93" spans="1:5" x14ac:dyDescent="0.3">
      <c r="A93" s="127" t="str">
        <f>IF('Register Configuration'!F19 = 2,"", "#") &amp; "memory set"</f>
        <v>memory set</v>
      </c>
      <c r="B93" s="127" t="s">
        <v>1370</v>
      </c>
      <c r="C93" s="403">
        <v>32</v>
      </c>
      <c r="D93" s="128" t="str">
        <f>'Register Configuration'!J155</f>
        <v>0x000000E6</v>
      </c>
      <c r="E93" s="127" t="s">
        <v>1749</v>
      </c>
    </row>
    <row r="94" spans="1:5" x14ac:dyDescent="0.3">
      <c r="A94" s="127" t="str">
        <f>IF('Register Configuration'!F19 = 2,"", "#") &amp; "memory set"</f>
        <v>memory set</v>
      </c>
      <c r="B94" s="127" t="s">
        <v>1371</v>
      </c>
      <c r="C94" s="403">
        <v>32</v>
      </c>
      <c r="D94" s="128" t="str">
        <f>'Register Configuration'!J157</f>
        <v>0x03200018</v>
      </c>
      <c r="E94" s="127" t="s">
        <v>1750</v>
      </c>
    </row>
    <row r="95" spans="1:5" x14ac:dyDescent="0.3">
      <c r="A95" s="127" t="str">
        <f>IF('Register Configuration'!F19 = 2,"", "#") &amp; "memory set"</f>
        <v>memory set</v>
      </c>
      <c r="B95" s="127" t="s">
        <v>1372</v>
      </c>
      <c r="C95" s="403">
        <v>32</v>
      </c>
      <c r="D95" s="128" t="str">
        <f>'Register Configuration'!J165</f>
        <v>0x028061A8</v>
      </c>
      <c r="E95" s="127" t="s">
        <v>1751</v>
      </c>
    </row>
    <row r="96" spans="1:5" x14ac:dyDescent="0.3">
      <c r="A96" s="127" t="str">
        <f>IF('Register Configuration'!F19 = 2,"", "#") &amp; "memory set"</f>
        <v>memory set</v>
      </c>
      <c r="B96" s="127" t="s">
        <v>1373</v>
      </c>
      <c r="C96" s="403">
        <v>32</v>
      </c>
      <c r="D96" s="128" t="str">
        <f>'Register Configuration'!J219</f>
        <v>0x049E820C</v>
      </c>
      <c r="E96" s="127" t="s">
        <v>1752</v>
      </c>
    </row>
    <row r="97" spans="1:5" x14ac:dyDescent="0.3">
      <c r="A97" s="127" t="str">
        <f>IF('Register Configuration'!F19 = 2,"", "#") &amp; "memory set"</f>
        <v>memory set</v>
      </c>
      <c r="B97" s="127" t="s">
        <v>1374</v>
      </c>
      <c r="C97" s="403">
        <v>32</v>
      </c>
      <c r="D97" s="128" t="str">
        <f>'Register Configuration'!J226</f>
        <v>0x00070303</v>
      </c>
      <c r="E97" s="127" t="s">
        <v>1753</v>
      </c>
    </row>
    <row r="98" spans="1:5" x14ac:dyDescent="0.3">
      <c r="A98" s="127" t="str">
        <f>IF('Register Configuration'!F19 = 2,"", "#") &amp; "memory set"</f>
        <v>memory set</v>
      </c>
      <c r="B98" s="127" t="s">
        <v>1375</v>
      </c>
      <c r="C98" s="403">
        <v>32</v>
      </c>
      <c r="D98" s="128" t="str">
        <f>'Register Configuration'!J232</f>
        <v>0x00001C0A</v>
      </c>
      <c r="E98" s="127" t="s">
        <v>1754</v>
      </c>
    </row>
    <row r="99" spans="1:5" x14ac:dyDescent="0.3">
      <c r="A99" s="127" t="str">
        <f>IF('Register Configuration'!F19 = 2,"", "#") &amp; "memory set"</f>
        <v>memory set</v>
      </c>
      <c r="B99" s="127" t="s">
        <v>1376</v>
      </c>
      <c r="C99" s="403">
        <v>32</v>
      </c>
      <c r="D99" s="128" t="str">
        <f>'Register Configuration'!J235</f>
        <v>0x00000005</v>
      </c>
      <c r="E99" s="127" t="s">
        <v>1755</v>
      </c>
    </row>
    <row r="100" spans="1:5" x14ac:dyDescent="0.3">
      <c r="A100" s="127" t="str">
        <f>IF('Register Configuration'!F19 = 2,"", "#") &amp; "memory set"</f>
        <v>memory set</v>
      </c>
      <c r="B100" s="127" t="s">
        <v>1377</v>
      </c>
      <c r="C100" s="403">
        <v>32</v>
      </c>
      <c r="D100" s="128" t="str">
        <f>'Register Configuration'!J239</f>
        <v>0x00400003</v>
      </c>
      <c r="E100" s="127" t="s">
        <v>1756</v>
      </c>
    </row>
    <row r="101" spans="1:5" x14ac:dyDescent="0.3">
      <c r="A101" s="127" t="str">
        <f>IF('Register Configuration'!F19 = 2,"", "#") &amp; "memory set"</f>
        <v>memory set</v>
      </c>
      <c r="B101" s="127" t="s">
        <v>1378</v>
      </c>
      <c r="C101" s="403">
        <v>32</v>
      </c>
      <c r="D101" s="128" t="str">
        <f>'Register Configuration'!J244</f>
        <v>0x008000A0</v>
      </c>
      <c r="E101" s="127" t="s">
        <v>1757</v>
      </c>
    </row>
    <row r="102" spans="1:5" x14ac:dyDescent="0.3">
      <c r="A102" s="127" t="str">
        <f>IF('Register Configuration'!F19 = 2,"", "#") &amp; "memory set"</f>
        <v>memory set</v>
      </c>
      <c r="B102" s="127" t="s">
        <v>1379</v>
      </c>
      <c r="C102" s="403">
        <v>32</v>
      </c>
      <c r="D102" s="128" t="str">
        <f>'Register Configuration'!J247</f>
        <v>0x80000000</v>
      </c>
      <c r="E102" s="127" t="s">
        <v>1758</v>
      </c>
    </row>
    <row r="103" spans="1:5" x14ac:dyDescent="0.3">
      <c r="A103" s="127" t="str">
        <f>IF('Register Configuration'!F19 = 2,"", "#") &amp; "memory set"</f>
        <v>memory set</v>
      </c>
      <c r="B103" s="127" t="s">
        <v>1380</v>
      </c>
      <c r="C103" s="403">
        <v>32</v>
      </c>
      <c r="D103" s="128" t="str">
        <f>'Register Configuration'!J56</f>
        <v>0x00000007</v>
      </c>
      <c r="E103" s="127" t="s">
        <v>1759</v>
      </c>
    </row>
    <row r="104" spans="1:5" x14ac:dyDescent="0.3">
      <c r="A104" s="127" t="str">
        <f>IF('Register Configuration'!F19 = 2,"", "#") &amp; "memory set"</f>
        <v>memory set</v>
      </c>
      <c r="B104" s="127" t="s">
        <v>1760</v>
      </c>
      <c r="C104" s="403">
        <v>32</v>
      </c>
      <c r="D104" s="404" t="str">
        <f>'Register Configuration'!J63</f>
        <v>0x00000000</v>
      </c>
      <c r="E104" s="127" t="s">
        <v>1763</v>
      </c>
    </row>
    <row r="105" spans="1:5" x14ac:dyDescent="0.3">
      <c r="A105" s="127" t="str">
        <f>IF('Register Configuration'!F19 = 2,"", "#") &amp; "memory set"</f>
        <v>memory set</v>
      </c>
      <c r="B105" s="127" t="s">
        <v>1381</v>
      </c>
      <c r="C105" s="403">
        <v>32</v>
      </c>
      <c r="D105" s="128" t="str">
        <f>'Register Configuration'!J68</f>
        <v>0x00001F1F</v>
      </c>
      <c r="E105" s="127" t="s">
        <v>1761</v>
      </c>
    </row>
    <row r="106" spans="1:5" x14ac:dyDescent="0.3">
      <c r="A106" s="127" t="str">
        <f>IF('Register Configuration'!F19 = 2,"", "#") &amp; "memory set"</f>
        <v>memory set</v>
      </c>
      <c r="B106" s="127" t="s">
        <v>1382</v>
      </c>
      <c r="C106" s="403">
        <v>32</v>
      </c>
      <c r="D106" s="128" t="str">
        <f>'Register Configuration'!J59</f>
        <v>0x00080808</v>
      </c>
      <c r="E106" s="127" t="s">
        <v>1762</v>
      </c>
    </row>
    <row r="107" spans="1:5" x14ac:dyDescent="0.3">
      <c r="A107" s="127" t="str">
        <f>IF('Register Configuration'!F19 = 2,"", "#") &amp; "memory set"</f>
        <v>memory set</v>
      </c>
      <c r="B107" s="127" t="s">
        <v>1383</v>
      </c>
      <c r="C107" s="403">
        <v>32</v>
      </c>
      <c r="D107" s="128" t="str">
        <f>'Register Configuration'!J71</f>
        <v>0x08080808</v>
      </c>
      <c r="E107" s="127" t="s">
        <v>1764</v>
      </c>
    </row>
    <row r="108" spans="1:5" x14ac:dyDescent="0.3">
      <c r="A108" s="127" t="str">
        <f>IF('Register Configuration'!F19 = 2,"", "#") &amp; "memory set"</f>
        <v>memory set</v>
      </c>
      <c r="B108" s="127" t="s">
        <v>1384</v>
      </c>
      <c r="C108" s="403">
        <v>32</v>
      </c>
      <c r="D108" s="128" t="str">
        <f>'Register Configuration'!J76</f>
        <v>0x48080808</v>
      </c>
      <c r="E108" s="127" t="s">
        <v>1765</v>
      </c>
    </row>
    <row r="109" spans="1:5" x14ac:dyDescent="0.3">
      <c r="A109" s="127" t="str">
        <f>IF('Register Configuration'!F19 = 2,"", "#") &amp; "memory set"</f>
        <v>memory set</v>
      </c>
      <c r="B109" s="127" t="s">
        <v>1385</v>
      </c>
      <c r="C109" s="403">
        <v>32</v>
      </c>
      <c r="D109" s="128" t="str">
        <f>'Register Configuration'!J249</f>
        <v>0x00000007</v>
      </c>
      <c r="E109" s="127" t="s">
        <v>1766</v>
      </c>
    </row>
    <row r="110" spans="1:5" x14ac:dyDescent="0.3">
      <c r="A110" s="127" t="str">
        <f>IF('Register Configuration'!F19 = 2,"", "#") &amp; "memory set"</f>
        <v>memory set</v>
      </c>
      <c r="B110" s="127" t="s">
        <v>1386</v>
      </c>
      <c r="C110" s="403">
        <v>32</v>
      </c>
      <c r="D110" s="128" t="str">
        <f>'Register Configuration'!J175</f>
        <v>0x00000000</v>
      </c>
      <c r="E110" s="127" t="s">
        <v>1767</v>
      </c>
    </row>
    <row r="111" spans="1:5" x14ac:dyDescent="0.3">
      <c r="A111" s="127" t="str">
        <f>IF('Register Configuration'!F19 = 2,"", "#") &amp; "memory set"</f>
        <v>memory set</v>
      </c>
      <c r="B111" s="127" t="s">
        <v>1387</v>
      </c>
      <c r="C111" s="403">
        <v>32</v>
      </c>
      <c r="D111" s="127" t="s">
        <v>821</v>
      </c>
      <c r="E111" s="127" t="s">
        <v>1389</v>
      </c>
    </row>
    <row r="112" spans="1:5" x14ac:dyDescent="0.3">
      <c r="A112" s="127" t="str">
        <f>IF('Register Configuration'!F19 = 2,"", "#") &amp; "memory set"</f>
        <v>memory set</v>
      </c>
      <c r="B112" s="127" t="s">
        <v>1390</v>
      </c>
      <c r="C112" s="403">
        <v>32</v>
      </c>
      <c r="D112" s="127" t="s">
        <v>850</v>
      </c>
      <c r="E112" s="127" t="s">
        <v>1391</v>
      </c>
    </row>
    <row r="114" spans="1:5" x14ac:dyDescent="0.3">
      <c r="A114" s="127" t="s">
        <v>1995</v>
      </c>
    </row>
    <row r="115" spans="1:5" x14ac:dyDescent="0.3">
      <c r="A115" s="127" t="s">
        <v>1310</v>
      </c>
      <c r="B115" s="127" t="s">
        <v>2005</v>
      </c>
      <c r="C115" s="403">
        <v>32</v>
      </c>
      <c r="D115" s="128" t="str">
        <f>'Register Configuration'!J253</f>
        <v>0x0000010A</v>
      </c>
      <c r="E115" s="127" t="s">
        <v>1997</v>
      </c>
    </row>
    <row r="116" spans="1:5" x14ac:dyDescent="0.3">
      <c r="A116" s="127" t="str">
        <f>IF('Register Configuration'!F19 = 2,"", "#") &amp; "memory set"</f>
        <v>memory set</v>
      </c>
      <c r="B116" s="127" t="s">
        <v>2006</v>
      </c>
      <c r="C116" s="403">
        <v>32</v>
      </c>
      <c r="D116" s="128" t="str">
        <f>'Register Configuration'!J253</f>
        <v>0x0000010A</v>
      </c>
      <c r="E116" s="127" t="s">
        <v>1998</v>
      </c>
    </row>
    <row r="117" spans="1:5" x14ac:dyDescent="0.3">
      <c r="A117" s="127" t="s">
        <v>1310</v>
      </c>
      <c r="B117" s="127" t="s">
        <v>2007</v>
      </c>
      <c r="C117" s="403">
        <v>32</v>
      </c>
      <c r="D117" s="128" t="str">
        <f>'Register Configuration'!J275</f>
        <v>0x00402010</v>
      </c>
      <c r="E117" s="127" t="s">
        <v>1999</v>
      </c>
    </row>
    <row r="118" spans="1:5" x14ac:dyDescent="0.3">
      <c r="A118" s="127" t="str">
        <f>IF('Register Configuration'!F19 = 2,"", "#") &amp; "memory set"</f>
        <v>memory set</v>
      </c>
      <c r="B118" s="127" t="s">
        <v>2008</v>
      </c>
      <c r="C118" s="403">
        <v>32</v>
      </c>
      <c r="D118" s="128" t="str">
        <f>'Register Configuration'!J275</f>
        <v>0x00402010</v>
      </c>
      <c r="E118" s="127" t="s">
        <v>2000</v>
      </c>
    </row>
    <row r="119" spans="1:5" x14ac:dyDescent="0.3">
      <c r="A119" s="127" t="s">
        <v>1310</v>
      </c>
      <c r="B119" s="127" t="s">
        <v>2009</v>
      </c>
      <c r="C119" s="403">
        <v>32</v>
      </c>
      <c r="D119" s="128" t="str">
        <f>'Register Configuration'!J263</f>
        <v>0x06FF0001</v>
      </c>
      <c r="E119" s="127" t="s">
        <v>2001</v>
      </c>
    </row>
    <row r="120" spans="1:5" x14ac:dyDescent="0.3">
      <c r="A120" s="127" t="str">
        <f>IF('Register Configuration'!F19 = 2,"", "#") &amp; "memory set"</f>
        <v>memory set</v>
      </c>
      <c r="B120" s="127" t="s">
        <v>2010</v>
      </c>
      <c r="C120" s="403">
        <v>32</v>
      </c>
      <c r="D120" s="128" t="str">
        <f>'Register Configuration'!J263</f>
        <v>0x06FF0001</v>
      </c>
      <c r="E120" s="127" t="s">
        <v>2002</v>
      </c>
    </row>
    <row r="121" spans="1:5" s="127" customFormat="1" x14ac:dyDescent="0.3">
      <c r="C121" s="403"/>
      <c r="D121" s="129"/>
    </row>
    <row r="122" spans="1:5" s="127" customFormat="1" x14ac:dyDescent="0.3">
      <c r="A122" s="127" t="s">
        <v>1310</v>
      </c>
      <c r="B122" s="127" t="s">
        <v>2239</v>
      </c>
      <c r="C122" s="403">
        <v>32</v>
      </c>
      <c r="D122" s="129" t="s">
        <v>2234</v>
      </c>
      <c r="E122" s="127" t="s">
        <v>2237</v>
      </c>
    </row>
    <row r="123" spans="1:5" s="127" customFormat="1" x14ac:dyDescent="0.3">
      <c r="A123" s="127" t="str">
        <f>IF('Register Configuration'!F19 = 2,"", "#") &amp; "memory set"</f>
        <v>memory set</v>
      </c>
      <c r="B123" s="127" t="s">
        <v>2240</v>
      </c>
      <c r="C123" s="403">
        <v>32</v>
      </c>
      <c r="D123" s="129" t="s">
        <v>2234</v>
      </c>
      <c r="E123" s="127" t="s">
        <v>2238</v>
      </c>
    </row>
    <row r="125" spans="1:5" x14ac:dyDescent="0.3">
      <c r="A125" s="127" t="s">
        <v>1996</v>
      </c>
    </row>
    <row r="126" spans="1:5" x14ac:dyDescent="0.3">
      <c r="A126" s="127" t="s">
        <v>1310</v>
      </c>
      <c r="B126" s="127" t="s">
        <v>2012</v>
      </c>
      <c r="C126" s="403">
        <v>32</v>
      </c>
      <c r="D126" s="128" t="str">
        <f>'Register Configuration'!J267</f>
        <v>0x0700B100</v>
      </c>
      <c r="E126" s="127" t="s">
        <v>2003</v>
      </c>
    </row>
    <row r="127" spans="1:5" x14ac:dyDescent="0.3">
      <c r="A127" s="127" t="str">
        <f>IF('Register Configuration'!F19 = 2,"", "#") &amp; "memory set"</f>
        <v>memory set</v>
      </c>
      <c r="B127" s="127" t="s">
        <v>2011</v>
      </c>
      <c r="C127" s="403">
        <v>32</v>
      </c>
      <c r="D127" s="128" t="str">
        <f>'Register Configuration'!J267</f>
        <v>0x0700B100</v>
      </c>
      <c r="E127" s="127" t="s">
        <v>2004</v>
      </c>
    </row>
    <row r="129" spans="1:5" x14ac:dyDescent="0.3">
      <c r="A129" s="127" t="s">
        <v>1310</v>
      </c>
      <c r="B129" s="127" t="s">
        <v>781</v>
      </c>
      <c r="C129" s="403">
        <v>32</v>
      </c>
      <c r="D129" s="127" t="s">
        <v>821</v>
      </c>
      <c r="E129" s="127" t="s">
        <v>2256</v>
      </c>
    </row>
    <row r="130" spans="1:5" x14ac:dyDescent="0.3">
      <c r="A130" s="127" t="str">
        <f>IF('Register Configuration'!F19 = 2,"", "#") &amp; "memory set"</f>
        <v>memory set</v>
      </c>
      <c r="B130" s="127" t="s">
        <v>782</v>
      </c>
      <c r="C130" s="403">
        <v>32</v>
      </c>
      <c r="D130" s="127" t="s">
        <v>821</v>
      </c>
      <c r="E130" s="127" t="s">
        <v>2256</v>
      </c>
    </row>
    <row r="131" spans="1:5" x14ac:dyDescent="0.3">
      <c r="A131" s="127" t="s">
        <v>1310</v>
      </c>
      <c r="B131" s="127" t="s">
        <v>2249</v>
      </c>
      <c r="C131" s="403">
        <v>32</v>
      </c>
      <c r="D131" s="127" t="s">
        <v>1486</v>
      </c>
      <c r="E131" s="127" t="s">
        <v>1868</v>
      </c>
    </row>
    <row r="132" spans="1:5" x14ac:dyDescent="0.3">
      <c r="A132" s="127" t="str">
        <f>IF('Register Configuration'!F19 = 2,"", "#") &amp; "memory set"</f>
        <v>memory set</v>
      </c>
      <c r="B132" s="127" t="s">
        <v>2250</v>
      </c>
      <c r="C132" s="403">
        <v>32</v>
      </c>
      <c r="D132" s="127" t="s">
        <v>1486</v>
      </c>
      <c r="E132" s="127" t="s">
        <v>1868</v>
      </c>
    </row>
    <row r="133" spans="1:5" x14ac:dyDescent="0.3">
      <c r="A133" s="127" t="s">
        <v>1310</v>
      </c>
      <c r="B133" s="127" t="s">
        <v>783</v>
      </c>
      <c r="C133" s="403">
        <v>32</v>
      </c>
      <c r="D133" s="127" t="s">
        <v>821</v>
      </c>
      <c r="E133" s="127" t="s">
        <v>1311</v>
      </c>
    </row>
    <row r="134" spans="1:5" x14ac:dyDescent="0.3">
      <c r="A134" s="127" t="str">
        <f>IF('Register Configuration'!F19 = 2,"", "#") &amp; "memory set"</f>
        <v>memory set</v>
      </c>
      <c r="B134" s="127" t="s">
        <v>784</v>
      </c>
      <c r="C134" s="403">
        <v>32</v>
      </c>
      <c r="D134" s="127" t="s">
        <v>821</v>
      </c>
      <c r="E134" s="127" t="s">
        <v>1311</v>
      </c>
    </row>
    <row r="136" spans="1:5" x14ac:dyDescent="0.3">
      <c r="A136" s="127" t="s">
        <v>1265</v>
      </c>
    </row>
    <row r="137" spans="1:5" x14ac:dyDescent="0.3">
      <c r="A137" s="127" t="s">
        <v>1266</v>
      </c>
    </row>
    <row r="138" spans="1:5" x14ac:dyDescent="0.3">
      <c r="A138" s="127" t="s">
        <v>1265</v>
      </c>
    </row>
    <row r="139" spans="1:5" x14ac:dyDescent="0.3">
      <c r="A139" s="127" t="s">
        <v>1392</v>
      </c>
      <c r="B139" s="127" t="s">
        <v>1394</v>
      </c>
      <c r="C139" s="403">
        <v>32</v>
      </c>
      <c r="D139" s="128" t="str">
        <f>'Register Configuration'!J297</f>
        <v>0x0000040D</v>
      </c>
      <c r="E139" s="127" t="s">
        <v>1410</v>
      </c>
    </row>
    <row r="141" spans="1:5" x14ac:dyDescent="0.3">
      <c r="A141" s="127" t="s">
        <v>1392</v>
      </c>
      <c r="B141" s="127" t="s">
        <v>1395</v>
      </c>
      <c r="C141" s="403">
        <v>32</v>
      </c>
      <c r="D141" s="128" t="str">
        <f>BoardDataBusConfig!C28</f>
        <v>0x000F0009</v>
      </c>
      <c r="E141" s="127" t="s">
        <v>1769</v>
      </c>
    </row>
    <row r="142" spans="1:5" x14ac:dyDescent="0.3">
      <c r="A142" s="127" t="s">
        <v>1392</v>
      </c>
      <c r="B142" s="127" t="s">
        <v>1396</v>
      </c>
      <c r="C142" s="403">
        <v>32</v>
      </c>
      <c r="D142" s="128" t="str">
        <f>INDEX(BoardDataBusConfig!C$14:C$21, MATCH("DDR_PHY_DX0DQMAP0_0", BoardDataBusConfig!B$14:B$21,0),1)</f>
        <v>0x00003465</v>
      </c>
      <c r="E142" s="127" t="s">
        <v>1411</v>
      </c>
    </row>
    <row r="143" spans="1:5" x14ac:dyDescent="0.3">
      <c r="A143" s="127" t="s">
        <v>1392</v>
      </c>
      <c r="B143" s="127" t="s">
        <v>1397</v>
      </c>
      <c r="C143" s="403">
        <v>32</v>
      </c>
      <c r="D143" s="128" t="str">
        <f>INDEX(BoardDataBusConfig!C$14:C$21, MATCH("DDR_PHY_DX0DQMAP1_0", BoardDataBusConfig!B$14:B$21,0),1)</f>
        <v>0x00008271</v>
      </c>
      <c r="E143" s="127" t="s">
        <v>1412</v>
      </c>
    </row>
    <row r="144" spans="1:5" x14ac:dyDescent="0.3">
      <c r="A144" s="127" t="s">
        <v>1392</v>
      </c>
      <c r="B144" s="127" t="s">
        <v>1398</v>
      </c>
      <c r="C144" s="403">
        <v>32</v>
      </c>
      <c r="D144" s="128" t="str">
        <f>INDEX(BoardDataBusConfig!C$14:C$21, MATCH("DDR_PHY_DX1DQMAP0_0", BoardDataBusConfig!B$14:B$21,0),1)</f>
        <v>0x00075632</v>
      </c>
      <c r="E144" s="127" t="s">
        <v>1413</v>
      </c>
    </row>
    <row r="145" spans="1:5" x14ac:dyDescent="0.3">
      <c r="A145" s="127" t="s">
        <v>1392</v>
      </c>
      <c r="B145" s="127" t="s">
        <v>1399</v>
      </c>
      <c r="C145" s="403">
        <v>32</v>
      </c>
      <c r="D145" s="128" t="str">
        <f>INDEX(BoardDataBusConfig!C$14:C$21, MATCH("DDR_PHY_DX1DQMAP1_0", BoardDataBusConfig!B$14:B$21,0),1)</f>
        <v>0x00008104</v>
      </c>
      <c r="E145" s="127" t="s">
        <v>1414</v>
      </c>
    </row>
    <row r="146" spans="1:5" x14ac:dyDescent="0.3">
      <c r="A146" s="127" t="s">
        <v>1392</v>
      </c>
      <c r="B146" s="127" t="s">
        <v>1400</v>
      </c>
      <c r="C146" s="403">
        <v>32</v>
      </c>
      <c r="D146" s="128" t="str">
        <f>INDEX(BoardDataBusConfig!C$14:C$21, MATCH("DDR_PHY_DX2DQMAP0_0", BoardDataBusConfig!B$14:B$21,0),1)</f>
        <v>0x00064732</v>
      </c>
      <c r="E146" s="127" t="s">
        <v>1415</v>
      </c>
    </row>
    <row r="147" spans="1:5" x14ac:dyDescent="0.3">
      <c r="A147" s="127" t="s">
        <v>1392</v>
      </c>
      <c r="B147" s="127" t="s">
        <v>1401</v>
      </c>
      <c r="C147" s="403">
        <v>32</v>
      </c>
      <c r="D147" s="128" t="str">
        <f>INDEX(BoardDataBusConfig!C$14:C$21, MATCH("DDR_PHY_DX2DQMAP1_0", BoardDataBusConfig!B$14:B$21,0),1)</f>
        <v>0x00008015</v>
      </c>
      <c r="E147" s="127" t="s">
        <v>1416</v>
      </c>
    </row>
    <row r="148" spans="1:5" x14ac:dyDescent="0.3">
      <c r="A148" s="127" t="s">
        <v>1392</v>
      </c>
      <c r="B148" s="127" t="s">
        <v>1402</v>
      </c>
      <c r="C148" s="403">
        <v>32</v>
      </c>
      <c r="D148" s="128" t="str">
        <f>INDEX(BoardDataBusConfig!C$14:C$21, MATCH("DDR_PHY_DX3DQMAP0_0", BoardDataBusConfig!B$14:B$21,0),1)</f>
        <v>0x00012574</v>
      </c>
      <c r="E148" s="127" t="s">
        <v>1417</v>
      </c>
    </row>
    <row r="149" spans="1:5" x14ac:dyDescent="0.3">
      <c r="A149" s="127" t="s">
        <v>1392</v>
      </c>
      <c r="B149" s="127" t="s">
        <v>1403</v>
      </c>
      <c r="C149" s="403">
        <v>32</v>
      </c>
      <c r="D149" s="128" t="str">
        <f>INDEX(BoardDataBusConfig!C$14:C$21, MATCH("DDR_PHY_DX3DQMAP1_0", BoardDataBusConfig!B$14:B$21,0),1)</f>
        <v>0x00008360</v>
      </c>
      <c r="E149" s="127" t="s">
        <v>1418</v>
      </c>
    </row>
    <row r="150" spans="1:5" x14ac:dyDescent="0.3">
      <c r="A150" s="127" t="s">
        <v>1392</v>
      </c>
      <c r="B150" s="127" t="s">
        <v>1404</v>
      </c>
      <c r="C150" s="403">
        <v>32</v>
      </c>
      <c r="D150" s="128" t="str">
        <f>INDEX(BoardDataBusConfig!C$24:C$25, MATCH("DDR_PHY_CATR0_0", BoardDataBusConfig!B$24:B$25,0),1)</f>
        <v>0x00141032</v>
      </c>
      <c r="E150" s="127" t="s">
        <v>1419</v>
      </c>
    </row>
    <row r="151" spans="1:5" x14ac:dyDescent="0.3">
      <c r="A151" s="127" t="s">
        <v>1392</v>
      </c>
      <c r="B151" s="127" t="s">
        <v>1405</v>
      </c>
      <c r="C151" s="403">
        <v>32</v>
      </c>
      <c r="D151" s="128" t="str">
        <f>INDEX(BoardDataBusConfig!C$24:C$25, MATCH("DDR_PHY_CATR1_0", BoardDataBusConfig!B$24:B$25,0),1)</f>
        <v>0x0013AAAA</v>
      </c>
      <c r="E151" s="127" t="s">
        <v>1420</v>
      </c>
    </row>
    <row r="153" spans="1:5" x14ac:dyDescent="0.3">
      <c r="A153" s="127" t="s">
        <v>1393</v>
      </c>
      <c r="B153" s="127" t="s">
        <v>1406</v>
      </c>
      <c r="C153" s="403">
        <v>32</v>
      </c>
      <c r="D153" s="129" t="s">
        <v>2041</v>
      </c>
      <c r="E153" s="127" t="s">
        <v>1768</v>
      </c>
    </row>
    <row r="154" spans="1:5" x14ac:dyDescent="0.3">
      <c r="A154" s="127" t="s">
        <v>1392</v>
      </c>
      <c r="B154" s="127" t="s">
        <v>1407</v>
      </c>
      <c r="C154" s="403">
        <v>32</v>
      </c>
      <c r="D154" s="128" t="str">
        <f>'Register Configuration'!J309</f>
        <v>0x87001E00</v>
      </c>
      <c r="E154" s="127" t="s">
        <v>1421</v>
      </c>
    </row>
    <row r="155" spans="1:5" x14ac:dyDescent="0.3">
      <c r="A155" s="127" t="s">
        <v>1392</v>
      </c>
      <c r="B155" s="127" t="s">
        <v>1408</v>
      </c>
      <c r="C155" s="403">
        <v>32</v>
      </c>
      <c r="D155" s="128" t="str">
        <f>'Register Configuration'!J316</f>
        <v>0x00F0D879</v>
      </c>
      <c r="E155" s="127" t="s">
        <v>1857</v>
      </c>
    </row>
    <row r="156" spans="1:5" x14ac:dyDescent="0.3">
      <c r="A156" s="127" t="s">
        <v>1392</v>
      </c>
      <c r="B156" s="127" t="s">
        <v>1409</v>
      </c>
      <c r="C156" s="403">
        <v>32</v>
      </c>
      <c r="D156" s="128" t="str">
        <f>'Register Configuration'!J325</f>
        <v>0x050A1080</v>
      </c>
      <c r="E156" s="127" t="s">
        <v>1422</v>
      </c>
    </row>
    <row r="158" spans="1:5" x14ac:dyDescent="0.3">
      <c r="A158" s="127" t="s">
        <v>1267</v>
      </c>
    </row>
    <row r="159" spans="1:5" x14ac:dyDescent="0.3">
      <c r="A159" s="127" t="s">
        <v>1310</v>
      </c>
      <c r="B159" s="127" t="s">
        <v>1423</v>
      </c>
      <c r="C159" s="403">
        <v>32</v>
      </c>
      <c r="D159" s="128" t="str">
        <f>'Register Configuration'!J350</f>
        <v>0x64032010</v>
      </c>
      <c r="E159" s="127" t="s">
        <v>1425</v>
      </c>
    </row>
    <row r="160" spans="1:5" x14ac:dyDescent="0.3">
      <c r="A160" s="127" t="s">
        <v>1310</v>
      </c>
      <c r="B160" s="127" t="s">
        <v>1424</v>
      </c>
      <c r="C160" s="403">
        <v>32</v>
      </c>
      <c r="D160" s="128" t="str">
        <f>'Register Configuration'!J357</f>
        <v>0x4E201C20</v>
      </c>
      <c r="E160" s="127" t="s">
        <v>1849</v>
      </c>
    </row>
    <row r="162" spans="1:5" x14ac:dyDescent="0.3">
      <c r="A162" s="127" t="s">
        <v>1268</v>
      </c>
    </row>
    <row r="163" spans="1:5" x14ac:dyDescent="0.3">
      <c r="A163" s="127" t="s">
        <v>1310</v>
      </c>
      <c r="B163" s="127" t="s">
        <v>1426</v>
      </c>
      <c r="C163" s="403">
        <v>32</v>
      </c>
      <c r="D163" s="128" t="str">
        <f>'Register Configuration'!K362</f>
        <v>0x001C0000</v>
      </c>
      <c r="E163" s="127" t="s">
        <v>1428</v>
      </c>
    </row>
    <row r="164" spans="1:5" x14ac:dyDescent="0.3">
      <c r="A164" s="127" t="s">
        <v>1310</v>
      </c>
      <c r="B164" s="127" t="s">
        <v>1427</v>
      </c>
      <c r="C164" s="403">
        <v>32</v>
      </c>
      <c r="D164" s="128" t="str">
        <f>'Register Configuration'!K362</f>
        <v>0x001C0000</v>
      </c>
      <c r="E164" s="127" t="s">
        <v>1429</v>
      </c>
    </row>
    <row r="166" spans="1:5" x14ac:dyDescent="0.3">
      <c r="A166" s="127" t="s">
        <v>1269</v>
      </c>
    </row>
    <row r="167" spans="1:5" x14ac:dyDescent="0.3">
      <c r="A167" s="127" t="s">
        <v>1310</v>
      </c>
      <c r="B167" s="127" t="s">
        <v>1430</v>
      </c>
      <c r="C167" s="403">
        <v>32</v>
      </c>
      <c r="D167" s="128" t="str">
        <f>'Register Configuration'!J377</f>
        <v>0x008C2C58</v>
      </c>
      <c r="E167" s="127" t="s">
        <v>1431</v>
      </c>
    </row>
    <row r="169" spans="1:5" x14ac:dyDescent="0.3">
      <c r="A169" s="127" t="s">
        <v>1479</v>
      </c>
    </row>
    <row r="170" spans="1:5" x14ac:dyDescent="0.3">
      <c r="A170" s="127" t="s">
        <v>1310</v>
      </c>
      <c r="B170" s="127" t="s">
        <v>1432</v>
      </c>
      <c r="C170" s="403">
        <v>32</v>
      </c>
      <c r="D170" s="128" t="str">
        <f>'Register Configuration'!J592</f>
        <v>0x0001B9BB</v>
      </c>
      <c r="E170" s="127" t="s">
        <v>1894</v>
      </c>
    </row>
    <row r="171" spans="1:5" x14ac:dyDescent="0.3">
      <c r="A171" s="127" t="s">
        <v>1310</v>
      </c>
      <c r="B171" s="127" t="s">
        <v>1433</v>
      </c>
      <c r="C171" s="403">
        <v>32</v>
      </c>
      <c r="D171" s="128" t="str">
        <f>'Register Configuration'!J599</f>
        <v>0x0001B9BB</v>
      </c>
      <c r="E171" s="127" t="s">
        <v>1895</v>
      </c>
    </row>
    <row r="173" spans="1:5" x14ac:dyDescent="0.3">
      <c r="A173" s="127" t="s">
        <v>1270</v>
      </c>
    </row>
    <row r="174" spans="1:5" x14ac:dyDescent="0.3">
      <c r="A174" s="127" t="s">
        <v>1310</v>
      </c>
      <c r="B174" s="127" t="s">
        <v>1434</v>
      </c>
      <c r="C174" s="403">
        <v>32</v>
      </c>
      <c r="D174" s="127" t="s">
        <v>1435</v>
      </c>
      <c r="E174" s="127" t="s">
        <v>1437</v>
      </c>
    </row>
    <row r="175" spans="1:5" x14ac:dyDescent="0.3">
      <c r="A175" s="127" t="s">
        <v>1310</v>
      </c>
      <c r="B175" s="127" t="s">
        <v>1434</v>
      </c>
      <c r="C175" s="403">
        <v>32</v>
      </c>
      <c r="D175" s="127" t="s">
        <v>1436</v>
      </c>
      <c r="E175" s="127" t="s">
        <v>1437</v>
      </c>
    </row>
    <row r="177" spans="1:5" x14ac:dyDescent="0.3">
      <c r="A177" s="127" t="s">
        <v>1265</v>
      </c>
    </row>
    <row r="178" spans="1:5" x14ac:dyDescent="0.3">
      <c r="A178" s="127" t="s">
        <v>1271</v>
      </c>
    </row>
    <row r="179" spans="1:5" x14ac:dyDescent="0.3">
      <c r="A179" s="127" t="s">
        <v>1265</v>
      </c>
    </row>
    <row r="181" spans="1:5" x14ac:dyDescent="0.3">
      <c r="A181" s="129" t="str">
        <f>IF('Register Configuration'!F19 = 2,"", "#") &amp; "memory set"</f>
        <v>memory set</v>
      </c>
      <c r="B181" s="127" t="s">
        <v>1438</v>
      </c>
      <c r="C181" s="403">
        <v>32</v>
      </c>
      <c r="D181" s="128" t="str">
        <f>'Register Configuration'!J297</f>
        <v>0x0000040D</v>
      </c>
      <c r="E181" s="127" t="s">
        <v>1454</v>
      </c>
    </row>
    <row r="183" spans="1:5" x14ac:dyDescent="0.3">
      <c r="A183" s="127" t="str">
        <f>IF('Register Configuration'!F19 = 2,"", "#") &amp; "memory set"</f>
        <v>memory set</v>
      </c>
      <c r="B183" s="127" t="s">
        <v>1439</v>
      </c>
      <c r="C183" s="403">
        <v>32</v>
      </c>
      <c r="D183" s="128" t="str">
        <f>BoardDataBusConfig!C52</f>
        <v>0x000F0009</v>
      </c>
      <c r="E183" s="127" t="s">
        <v>1770</v>
      </c>
    </row>
    <row r="184" spans="1:5" x14ac:dyDescent="0.3">
      <c r="A184" s="127" t="str">
        <f>IF('Register Configuration'!F19 = 2,"", "#") &amp; "memory set"</f>
        <v>memory set</v>
      </c>
      <c r="B184" s="127" t="s">
        <v>1440</v>
      </c>
      <c r="C184" s="403">
        <v>32</v>
      </c>
      <c r="D184" s="128" t="str">
        <f>INDEX(BoardDataBusConfig!C$38:C$45, MATCH("DDR_PHY_DX0DQMAP0_1", BoardDataBusConfig!B$38:B$45,0),1)</f>
        <v>0x00003465</v>
      </c>
      <c r="E184" s="127" t="s">
        <v>1455</v>
      </c>
    </row>
    <row r="185" spans="1:5" x14ac:dyDescent="0.3">
      <c r="A185" s="127" t="str">
        <f>IF('Register Configuration'!F19 = 2,"", "#") &amp; "memory set"</f>
        <v>memory set</v>
      </c>
      <c r="B185" s="127" t="s">
        <v>1441</v>
      </c>
      <c r="C185" s="403">
        <v>32</v>
      </c>
      <c r="D185" s="128" t="str">
        <f>INDEX(BoardDataBusConfig!C$38:C$45, MATCH("DDR_PHY_DX0DQMAP1_1", BoardDataBusConfig!B$38:B$45,0),1)</f>
        <v>0x00008271</v>
      </c>
      <c r="E185" s="127" t="s">
        <v>1456</v>
      </c>
    </row>
    <row r="186" spans="1:5" x14ac:dyDescent="0.3">
      <c r="A186" s="127" t="str">
        <f>IF('Register Configuration'!F19 = 2,"", "#") &amp; "memory set"</f>
        <v>memory set</v>
      </c>
      <c r="B186" s="127" t="s">
        <v>1442</v>
      </c>
      <c r="C186" s="403">
        <v>32</v>
      </c>
      <c r="D186" s="128" t="str">
        <f>INDEX(BoardDataBusConfig!C$38:C$45, MATCH("DDR_PHY_DX1DQMAP0_1", BoardDataBusConfig!B$38:B$45,0),1)</f>
        <v>0x00075632</v>
      </c>
      <c r="E186" s="127" t="s">
        <v>1457</v>
      </c>
    </row>
    <row r="187" spans="1:5" x14ac:dyDescent="0.3">
      <c r="A187" s="127" t="str">
        <f>IF('Register Configuration'!F19 = 2,"", "#") &amp; "memory set"</f>
        <v>memory set</v>
      </c>
      <c r="B187" s="127" t="s">
        <v>1443</v>
      </c>
      <c r="C187" s="403">
        <v>32</v>
      </c>
      <c r="D187" s="128" t="str">
        <f>INDEX(BoardDataBusConfig!C$38:C$45, MATCH("DDR_PHY_DX1DQMAP1_1", BoardDataBusConfig!B$38:B$45,0),1)</f>
        <v>0x00008104</v>
      </c>
      <c r="E187" s="127" t="s">
        <v>1458</v>
      </c>
    </row>
    <row r="188" spans="1:5" x14ac:dyDescent="0.3">
      <c r="A188" s="127" t="str">
        <f>IF('Register Configuration'!F19 = 2,"", "#") &amp; "memory set"</f>
        <v>memory set</v>
      </c>
      <c r="B188" s="127" t="s">
        <v>1444</v>
      </c>
      <c r="C188" s="403">
        <v>32</v>
      </c>
      <c r="D188" s="128" t="str">
        <f>INDEX(BoardDataBusConfig!C$38:C$45, MATCH("DDR_PHY_DX2DQMAP0_1", BoardDataBusConfig!B$38:B$45,0),1)</f>
        <v>0x00064732</v>
      </c>
      <c r="E188" s="127" t="s">
        <v>1459</v>
      </c>
    </row>
    <row r="189" spans="1:5" x14ac:dyDescent="0.3">
      <c r="A189" s="127" t="str">
        <f>IF('Register Configuration'!F19 = 2,"", "#") &amp; "memory set"</f>
        <v>memory set</v>
      </c>
      <c r="B189" s="127" t="s">
        <v>1445</v>
      </c>
      <c r="C189" s="403">
        <v>32</v>
      </c>
      <c r="D189" s="128" t="str">
        <f>INDEX(BoardDataBusConfig!C$38:C$45, MATCH("DDR_PHY_DX2DQMAP1_1", BoardDataBusConfig!B$38:B$45,0),1)</f>
        <v>0x00008015</v>
      </c>
      <c r="E189" s="127" t="s">
        <v>1460</v>
      </c>
    </row>
    <row r="190" spans="1:5" x14ac:dyDescent="0.3">
      <c r="A190" s="127" t="str">
        <f>IF('Register Configuration'!F19 = 2,"", "#") &amp; "memory set"</f>
        <v>memory set</v>
      </c>
      <c r="B190" s="127" t="s">
        <v>1446</v>
      </c>
      <c r="C190" s="403">
        <v>32</v>
      </c>
      <c r="D190" s="128" t="str">
        <f>INDEX(BoardDataBusConfig!C$38:C$45, MATCH("DDR_PHY_DX3DQMAP0_1", BoardDataBusConfig!B$38:B$45,0),1)</f>
        <v>0x00012574</v>
      </c>
      <c r="E190" s="127" t="s">
        <v>1461</v>
      </c>
    </row>
    <row r="191" spans="1:5" x14ac:dyDescent="0.3">
      <c r="A191" s="127" t="str">
        <f>IF('Register Configuration'!F19 = 2,"", "#") &amp; "memory set"</f>
        <v>memory set</v>
      </c>
      <c r="B191" s="127" t="s">
        <v>1447</v>
      </c>
      <c r="C191" s="403">
        <v>32</v>
      </c>
      <c r="D191" s="128" t="str">
        <f>INDEX(BoardDataBusConfig!C$38:C$45, MATCH("DDR_PHY_DX3DQMAP1_1", BoardDataBusConfig!B$38:B$45,0),1)</f>
        <v>0x00008360</v>
      </c>
      <c r="E191" s="127" t="s">
        <v>1462</v>
      </c>
    </row>
    <row r="192" spans="1:5" x14ac:dyDescent="0.3">
      <c r="A192" s="127" t="str">
        <f>IF('Register Configuration'!F19 = 2,"", "#") &amp; "memory set"</f>
        <v>memory set</v>
      </c>
      <c r="B192" s="127" t="s">
        <v>1448</v>
      </c>
      <c r="C192" s="403">
        <v>32</v>
      </c>
      <c r="D192" s="128" t="str">
        <f>INDEX(BoardDataBusConfig!C$48:C$49, MATCH("DDR_PHY_CATR0_1", BoardDataBusConfig!B$48:B$49,0),1)</f>
        <v>0x00141032</v>
      </c>
      <c r="E192" s="127" t="s">
        <v>1463</v>
      </c>
    </row>
    <row r="193" spans="1:5" x14ac:dyDescent="0.3">
      <c r="A193" s="127" t="str">
        <f>IF('Register Configuration'!F19 = 2,"", "#") &amp; "memory set"</f>
        <v>memory set</v>
      </c>
      <c r="B193" s="127" t="s">
        <v>1449</v>
      </c>
      <c r="C193" s="403">
        <v>32</v>
      </c>
      <c r="D193" s="128" t="str">
        <f>INDEX(BoardDataBusConfig!C$48:C$49, MATCH("DDR_PHY_CATR1_1", BoardDataBusConfig!B$48:B$49,0),1)</f>
        <v>0x0013AAAA</v>
      </c>
      <c r="E193" s="127" t="s">
        <v>1464</v>
      </c>
    </row>
    <row r="195" spans="1:5" x14ac:dyDescent="0.3">
      <c r="A195" s="127" t="str">
        <f>IF('Register Configuration'!F19 = 2,"", "#") &amp; "memory setbit"</f>
        <v>memory setbit</v>
      </c>
      <c r="B195" s="127" t="s">
        <v>1453</v>
      </c>
      <c r="C195" s="403">
        <v>32</v>
      </c>
      <c r="D195" s="129" t="s">
        <v>2041</v>
      </c>
      <c r="E195" s="127" t="s">
        <v>1771</v>
      </c>
    </row>
    <row r="196" spans="1:5" x14ac:dyDescent="0.3">
      <c r="A196" s="127" t="str">
        <f>IF('Register Configuration'!F19 = 2,"", "#") &amp; "memory set"</f>
        <v>memory set</v>
      </c>
      <c r="B196" s="127" t="s">
        <v>1450</v>
      </c>
      <c r="C196" s="403">
        <v>32</v>
      </c>
      <c r="D196" s="128" t="str">
        <f>'Register Configuration'!J309</f>
        <v>0x87001E00</v>
      </c>
      <c r="E196" s="127" t="s">
        <v>1465</v>
      </c>
    </row>
    <row r="197" spans="1:5" x14ac:dyDescent="0.3">
      <c r="A197" s="127" t="str">
        <f>IF('Register Configuration'!F19 = 2,"", "#") &amp; "memory set"</f>
        <v>memory set</v>
      </c>
      <c r="B197" s="127" t="s">
        <v>1451</v>
      </c>
      <c r="C197" s="403">
        <v>32</v>
      </c>
      <c r="D197" s="128" t="str">
        <f>'Register Configuration'!J316</f>
        <v>0x00F0D879</v>
      </c>
      <c r="E197" s="127" t="s">
        <v>1858</v>
      </c>
    </row>
    <row r="198" spans="1:5" x14ac:dyDescent="0.3">
      <c r="A198" s="127" t="str">
        <f>IF('Register Configuration'!F19 = 2,"", "#") &amp; "memory set"</f>
        <v>memory set</v>
      </c>
      <c r="B198" s="127" t="s">
        <v>1452</v>
      </c>
      <c r="C198" s="403">
        <v>32</v>
      </c>
      <c r="D198" s="128" t="str">
        <f>'Register Configuration'!J325</f>
        <v>0x050A1080</v>
      </c>
      <c r="E198" s="127" t="s">
        <v>1466</v>
      </c>
    </row>
    <row r="200" spans="1:5" x14ac:dyDescent="0.3">
      <c r="A200" s="127" t="s">
        <v>1267</v>
      </c>
    </row>
    <row r="201" spans="1:5" x14ac:dyDescent="0.3">
      <c r="A201" s="127" t="str">
        <f>IF('Register Configuration'!F19 = 2,"", "#") &amp; "memory set"</f>
        <v>memory set</v>
      </c>
      <c r="B201" s="127" t="s">
        <v>1467</v>
      </c>
      <c r="C201" s="403">
        <v>32</v>
      </c>
      <c r="D201" s="128" t="str">
        <f>'Register Configuration'!J350</f>
        <v>0x64032010</v>
      </c>
      <c r="E201" s="127" t="s">
        <v>1469</v>
      </c>
    </row>
    <row r="202" spans="1:5" x14ac:dyDescent="0.3">
      <c r="A202" s="127" t="str">
        <f>IF('Register Configuration'!F19 = 2,"", "#") &amp; "memory set"</f>
        <v>memory set</v>
      </c>
      <c r="B202" s="127" t="s">
        <v>1468</v>
      </c>
      <c r="C202" s="403">
        <v>32</v>
      </c>
      <c r="D202" s="128" t="str">
        <f>'Register Configuration'!J357</f>
        <v>0x4E201C20</v>
      </c>
      <c r="E202" s="127" t="s">
        <v>1850</v>
      </c>
    </row>
    <row r="204" spans="1:5" x14ac:dyDescent="0.3">
      <c r="A204" s="127" t="s">
        <v>1268</v>
      </c>
    </row>
    <row r="205" spans="1:5" x14ac:dyDescent="0.3">
      <c r="A205" s="127" t="str">
        <f>IF('Register Configuration'!F19 = 2,"", "#") &amp; "memory set"</f>
        <v>memory set</v>
      </c>
      <c r="B205" s="127" t="s">
        <v>1470</v>
      </c>
      <c r="C205" s="403">
        <v>32</v>
      </c>
      <c r="D205" s="128" t="str">
        <f>'Register Configuration'!K362</f>
        <v>0x001C0000</v>
      </c>
      <c r="E205" s="127" t="s">
        <v>1472</v>
      </c>
    </row>
    <row r="206" spans="1:5" x14ac:dyDescent="0.3">
      <c r="A206" s="127" t="str">
        <f>IF('Register Configuration'!F19 = 2,"", "#") &amp; "memory set"</f>
        <v>memory set</v>
      </c>
      <c r="B206" s="127" t="s">
        <v>1471</v>
      </c>
      <c r="C206" s="403">
        <v>32</v>
      </c>
      <c r="D206" s="128" t="str">
        <f>'Register Configuration'!K362</f>
        <v>0x001C0000</v>
      </c>
      <c r="E206" s="127" t="s">
        <v>1473</v>
      </c>
    </row>
    <row r="208" spans="1:5" x14ac:dyDescent="0.3">
      <c r="A208" s="127" t="s">
        <v>1269</v>
      </c>
    </row>
    <row r="209" spans="1:5" x14ac:dyDescent="0.3">
      <c r="A209" s="127" t="str">
        <f>IF('Register Configuration'!F19 = 2,"", "#") &amp; "memory set"</f>
        <v>memory set</v>
      </c>
      <c r="B209" s="127" t="s">
        <v>1474</v>
      </c>
      <c r="C209" s="403">
        <v>32</v>
      </c>
      <c r="D209" s="128" t="str">
        <f>'Register Configuration'!J377</f>
        <v>0x008C2C58</v>
      </c>
      <c r="E209" s="127" t="s">
        <v>1475</v>
      </c>
    </row>
    <row r="211" spans="1:5" x14ac:dyDescent="0.3">
      <c r="A211" s="127" t="s">
        <v>1476</v>
      </c>
    </row>
    <row r="212" spans="1:5" x14ac:dyDescent="0.3">
      <c r="A212" s="127" t="str">
        <f>IF('Register Configuration'!F19 = 2,"", "#") &amp; "memory set"</f>
        <v>memory set</v>
      </c>
      <c r="B212" s="127" t="s">
        <v>1477</v>
      </c>
      <c r="C212" s="403">
        <v>32</v>
      </c>
      <c r="D212" s="128" t="str">
        <f>'Register Configuration'!J592</f>
        <v>0x0001B9BB</v>
      </c>
      <c r="E212" s="127" t="s">
        <v>1892</v>
      </c>
    </row>
    <row r="213" spans="1:5" x14ac:dyDescent="0.3">
      <c r="A213" s="127" t="str">
        <f>IF('Register Configuration'!F19 = 2,"", "#") &amp; "memory set"</f>
        <v>memory set</v>
      </c>
      <c r="B213" s="127" t="s">
        <v>1478</v>
      </c>
      <c r="C213" s="403">
        <v>32</v>
      </c>
      <c r="D213" s="128" t="str">
        <f>'Register Configuration'!J599</f>
        <v>0x0001B9BB</v>
      </c>
      <c r="E213" s="127" t="s">
        <v>1893</v>
      </c>
    </row>
    <row r="215" spans="1:5" x14ac:dyDescent="0.3">
      <c r="A215" s="127" t="s">
        <v>1270</v>
      </c>
    </row>
    <row r="216" spans="1:5" x14ac:dyDescent="0.3">
      <c r="A216" s="127" t="str">
        <f>IF('Register Configuration'!F19 = 2,"", "#") &amp; "memory set"</f>
        <v>memory set</v>
      </c>
      <c r="B216" s="127" t="s">
        <v>1480</v>
      </c>
      <c r="C216" s="403">
        <v>32</v>
      </c>
      <c r="D216" s="127" t="s">
        <v>1435</v>
      </c>
      <c r="E216" s="127" t="s">
        <v>1481</v>
      </c>
    </row>
    <row r="217" spans="1:5" x14ac:dyDescent="0.3">
      <c r="A217" s="127" t="str">
        <f>IF('Register Configuration'!F19 = 2,"", "#") &amp; "memory set"</f>
        <v>memory set</v>
      </c>
      <c r="B217" s="127" t="s">
        <v>1480</v>
      </c>
      <c r="C217" s="403">
        <v>32</v>
      </c>
      <c r="D217" s="127" t="s">
        <v>1436</v>
      </c>
      <c r="E217" s="127" t="s">
        <v>1481</v>
      </c>
    </row>
    <row r="219" spans="1:5" x14ac:dyDescent="0.3">
      <c r="A219" s="127" t="s">
        <v>1272</v>
      </c>
    </row>
    <row r="220" spans="1:5" x14ac:dyDescent="0.3">
      <c r="A220" s="127" t="s">
        <v>1273</v>
      </c>
    </row>
    <row r="221" spans="1:5" x14ac:dyDescent="0.3">
      <c r="A221" s="127" t="s">
        <v>1310</v>
      </c>
      <c r="B221" s="127" t="s">
        <v>1482</v>
      </c>
      <c r="C221" s="403">
        <v>32</v>
      </c>
      <c r="D221" s="128" t="str">
        <f>'Register Configuration'!J391</f>
        <v>0x54</v>
      </c>
      <c r="E221" s="127" t="s">
        <v>1773</v>
      </c>
    </row>
    <row r="222" spans="1:5" x14ac:dyDescent="0.3">
      <c r="A222" s="127" t="s">
        <v>1310</v>
      </c>
      <c r="B222" s="127" t="s">
        <v>1483</v>
      </c>
      <c r="C222" s="403">
        <v>32</v>
      </c>
      <c r="D222" s="128" t="str">
        <f>'Register Configuration'!J398</f>
        <v>0x2D</v>
      </c>
      <c r="E222" s="127" t="s">
        <v>1772</v>
      </c>
    </row>
    <row r="223" spans="1:5" x14ac:dyDescent="0.3">
      <c r="A223" s="127" t="s">
        <v>1310</v>
      </c>
      <c r="B223" s="127" t="s">
        <v>1484</v>
      </c>
      <c r="C223" s="403">
        <v>32</v>
      </c>
      <c r="D223" s="128" t="str">
        <f>'Register Configuration'!J404</f>
        <v>0xF1</v>
      </c>
      <c r="E223" s="127" t="s">
        <v>1774</v>
      </c>
    </row>
    <row r="224" spans="1:5" x14ac:dyDescent="0.3">
      <c r="A224" s="127" t="s">
        <v>1310</v>
      </c>
      <c r="B224" s="127" t="s">
        <v>1485</v>
      </c>
      <c r="C224" s="403">
        <v>32</v>
      </c>
      <c r="D224" s="128" t="str">
        <f>'Register Configuration'!J410</f>
        <v>0x54</v>
      </c>
      <c r="E224" s="127" t="s">
        <v>1775</v>
      </c>
    </row>
    <row r="225" spans="1:5" x14ac:dyDescent="0.3">
      <c r="A225" s="127" t="s">
        <v>1310</v>
      </c>
      <c r="B225" s="127" t="s">
        <v>1487</v>
      </c>
      <c r="C225" s="403">
        <v>32</v>
      </c>
      <c r="D225" s="128" t="str">
        <f>'Register Configuration'!J423</f>
        <v>0x16</v>
      </c>
      <c r="E225" s="127" t="s">
        <v>1490</v>
      </c>
    </row>
    <row r="226" spans="1:5" x14ac:dyDescent="0.3">
      <c r="A226" s="127" t="s">
        <v>1310</v>
      </c>
      <c r="B226" s="127" t="s">
        <v>1488</v>
      </c>
      <c r="C226" s="403">
        <v>32</v>
      </c>
      <c r="D226" s="128" t="str">
        <f>'Factory use only DCD'!C300</f>
        <v>0x48</v>
      </c>
      <c r="E226" s="127" t="s">
        <v>1491</v>
      </c>
    </row>
    <row r="227" spans="1:5" x14ac:dyDescent="0.3">
      <c r="A227" s="127" t="s">
        <v>1310</v>
      </c>
      <c r="B227" s="127" t="s">
        <v>1489</v>
      </c>
      <c r="C227" s="403">
        <v>32</v>
      </c>
      <c r="D227" s="128" t="str">
        <f>'Factory use only DCD'!C301</f>
        <v>0x48</v>
      </c>
      <c r="E227" s="127" t="s">
        <v>1492</v>
      </c>
    </row>
    <row r="229" spans="1:5" x14ac:dyDescent="0.3">
      <c r="A229" s="127" t="s">
        <v>1274</v>
      </c>
    </row>
    <row r="230" spans="1:5" x14ac:dyDescent="0.3">
      <c r="A230" s="127" t="s">
        <v>1275</v>
      </c>
    </row>
    <row r="231" spans="1:5" x14ac:dyDescent="0.3">
      <c r="A231" s="127" t="s">
        <v>1310</v>
      </c>
      <c r="B231" s="127" t="s">
        <v>1493</v>
      </c>
      <c r="C231" s="403">
        <v>32</v>
      </c>
      <c r="D231" s="128" t="str">
        <f>'Register Configuration'!J429</f>
        <v>0x1044220C</v>
      </c>
      <c r="E231" s="127" t="s">
        <v>1499</v>
      </c>
    </row>
    <row r="232" spans="1:5" x14ac:dyDescent="0.3">
      <c r="A232" s="127" t="s">
        <v>1310</v>
      </c>
      <c r="B232" s="127" t="s">
        <v>1494</v>
      </c>
      <c r="C232" s="403">
        <v>32</v>
      </c>
      <c r="D232" s="128" t="str">
        <f>'Register Configuration'!J435</f>
        <v>0x28400417</v>
      </c>
      <c r="E232" s="127" t="s">
        <v>1500</v>
      </c>
    </row>
    <row r="233" spans="1:5" x14ac:dyDescent="0.3">
      <c r="A233" s="127" t="s">
        <v>1310</v>
      </c>
      <c r="B233" s="127" t="s">
        <v>1495</v>
      </c>
      <c r="C233" s="403">
        <v>32</v>
      </c>
      <c r="D233" s="128" t="str">
        <f>'Register Configuration'!J440</f>
        <v>0x006CA1CC</v>
      </c>
      <c r="E233" s="127" t="s">
        <v>1501</v>
      </c>
    </row>
    <row r="234" spans="1:5" x14ac:dyDescent="0.3">
      <c r="A234" s="127" t="s">
        <v>1310</v>
      </c>
      <c r="B234" s="127" t="s">
        <v>1496</v>
      </c>
      <c r="C234" s="403">
        <v>32</v>
      </c>
      <c r="D234" s="128" t="str">
        <f>'Register Configuration'!J447</f>
        <v>0x01800602</v>
      </c>
      <c r="E234" s="127" t="s">
        <v>2172</v>
      </c>
    </row>
    <row r="235" spans="1:5" x14ac:dyDescent="0.3">
      <c r="A235" s="127" t="s">
        <v>1310</v>
      </c>
      <c r="B235" s="127" t="s">
        <v>1497</v>
      </c>
      <c r="C235" s="403">
        <v>32</v>
      </c>
      <c r="D235" s="128" t="str">
        <f>'Register Configuration'!J453</f>
        <v>0x01C02B0F</v>
      </c>
      <c r="E235" s="127" t="s">
        <v>1502</v>
      </c>
    </row>
    <row r="236" spans="1:5" x14ac:dyDescent="0.3">
      <c r="A236" s="127" t="s">
        <v>1310</v>
      </c>
      <c r="B236" s="127" t="s">
        <v>1498</v>
      </c>
      <c r="C236" s="403">
        <v>32</v>
      </c>
      <c r="D236" s="128" t="str">
        <f>'Register Configuration'!J458</f>
        <v>0x21651D11</v>
      </c>
      <c r="E236" s="127" t="s">
        <v>1503</v>
      </c>
    </row>
    <row r="238" spans="1:5" x14ac:dyDescent="0.3">
      <c r="A238" s="127" t="s">
        <v>1267</v>
      </c>
    </row>
    <row r="239" spans="1:5" x14ac:dyDescent="0.3">
      <c r="A239" s="127" t="s">
        <v>1310</v>
      </c>
      <c r="B239" s="127" t="s">
        <v>2125</v>
      </c>
      <c r="C239" s="403">
        <v>32</v>
      </c>
      <c r="D239" s="128" t="str">
        <f>'Register Configuration'!J463</f>
        <v>0x000A3DEF</v>
      </c>
      <c r="E239" s="127" t="s">
        <v>2124</v>
      </c>
    </row>
    <row r="240" spans="1:5" x14ac:dyDescent="0.3">
      <c r="A240" s="127" t="s">
        <v>1310</v>
      </c>
      <c r="B240" s="127" t="s">
        <v>1504</v>
      </c>
      <c r="C240" s="403">
        <v>32</v>
      </c>
      <c r="D240" s="128" t="str">
        <f>'Register Configuration'!K468</f>
        <v>0x0030D400</v>
      </c>
      <c r="E240" s="127" t="s">
        <v>1859</v>
      </c>
    </row>
    <row r="241" spans="1:5" x14ac:dyDescent="0.3">
      <c r="A241" s="127" t="s">
        <v>1310</v>
      </c>
      <c r="B241" s="127" t="s">
        <v>1505</v>
      </c>
      <c r="C241" s="403">
        <v>32</v>
      </c>
      <c r="D241" s="128" t="str">
        <f>'Register Configuration'!K471</f>
        <v>0x00000C80</v>
      </c>
      <c r="E241" s="127" t="s">
        <v>1860</v>
      </c>
    </row>
    <row r="242" spans="1:5" x14ac:dyDescent="0.3">
      <c r="A242" s="127" t="s">
        <v>1310</v>
      </c>
      <c r="B242" s="127" t="s">
        <v>1506</v>
      </c>
      <c r="C242" s="403">
        <v>32</v>
      </c>
      <c r="D242" s="128" t="str">
        <f>'Register Configuration'!K474</f>
        <v>0x0004E200</v>
      </c>
      <c r="E242" s="127" t="s">
        <v>1861</v>
      </c>
    </row>
    <row r="243" spans="1:5" x14ac:dyDescent="0.3">
      <c r="A243" s="127" t="s">
        <v>1310</v>
      </c>
      <c r="B243" s="127" t="s">
        <v>1507</v>
      </c>
      <c r="C243" s="403">
        <v>32</v>
      </c>
      <c r="D243" s="128" t="str">
        <f>'Register Configuration'!K477</f>
        <v>0x03300640</v>
      </c>
      <c r="E243" s="127" t="s">
        <v>1862</v>
      </c>
    </row>
    <row r="245" spans="1:5" x14ac:dyDescent="0.3">
      <c r="A245" s="127" t="s">
        <v>1276</v>
      </c>
    </row>
    <row r="246" spans="1:5" x14ac:dyDescent="0.3">
      <c r="A246" s="127" t="s">
        <v>1277</v>
      </c>
    </row>
    <row r="247" spans="1:5" x14ac:dyDescent="0.3">
      <c r="A247" s="127" t="s">
        <v>1310</v>
      </c>
      <c r="B247" s="127" t="s">
        <v>1508</v>
      </c>
      <c r="C247" s="403">
        <v>32</v>
      </c>
      <c r="D247" s="127" t="s">
        <v>821</v>
      </c>
      <c r="E247" s="127" t="s">
        <v>1510</v>
      </c>
    </row>
    <row r="248" spans="1:5" x14ac:dyDescent="0.3">
      <c r="A248" s="127" t="s">
        <v>1310</v>
      </c>
      <c r="B248" s="127" t="s">
        <v>1509</v>
      </c>
      <c r="C248" s="403">
        <v>32</v>
      </c>
      <c r="D248" s="127" t="s">
        <v>992</v>
      </c>
      <c r="E248" s="127" t="s">
        <v>1511</v>
      </c>
    </row>
    <row r="249" spans="1:5" x14ac:dyDescent="0.3">
      <c r="A249" s="127" t="s">
        <v>1310</v>
      </c>
      <c r="B249" s="127" t="s">
        <v>1508</v>
      </c>
      <c r="C249" s="403">
        <v>32</v>
      </c>
      <c r="D249" s="127" t="s">
        <v>992</v>
      </c>
      <c r="E249" s="127" t="s">
        <v>1512</v>
      </c>
    </row>
    <row r="250" spans="1:5" x14ac:dyDescent="0.3">
      <c r="A250" s="127" t="s">
        <v>1310</v>
      </c>
      <c r="B250" s="127" t="s">
        <v>1509</v>
      </c>
      <c r="C250" s="403">
        <v>32</v>
      </c>
      <c r="D250" s="127" t="s">
        <v>992</v>
      </c>
      <c r="E250" s="127" t="s">
        <v>1513</v>
      </c>
    </row>
    <row r="252" spans="1:5" x14ac:dyDescent="0.3">
      <c r="A252" s="127" t="s">
        <v>1278</v>
      </c>
    </row>
    <row r="253" spans="1:5" x14ac:dyDescent="0.3">
      <c r="A253" s="127" t="s">
        <v>1279</v>
      </c>
    </row>
    <row r="254" spans="1:5" x14ac:dyDescent="0.3">
      <c r="A254" s="127" t="s">
        <v>1310</v>
      </c>
      <c r="B254" s="127" t="s">
        <v>1514</v>
      </c>
      <c r="C254" s="403">
        <v>32</v>
      </c>
      <c r="D254" s="128" t="str">
        <f>'Register Configuration'!K482</f>
        <v>0x30070800</v>
      </c>
      <c r="E254" s="127" t="s">
        <v>1516</v>
      </c>
    </row>
    <row r="255" spans="1:5" x14ac:dyDescent="0.3">
      <c r="A255" s="127" t="s">
        <v>1310</v>
      </c>
      <c r="B255" s="127" t="s">
        <v>1515</v>
      </c>
      <c r="C255" s="403">
        <v>32</v>
      </c>
      <c r="D255" s="128" t="str">
        <f>'Register Configuration'!J494</f>
        <v>0x09000000</v>
      </c>
      <c r="E255" s="127" t="s">
        <v>1517</v>
      </c>
    </row>
    <row r="257" spans="1:5" x14ac:dyDescent="0.3">
      <c r="A257" s="127" t="s">
        <v>1282</v>
      </c>
    </row>
    <row r="258" spans="1:5" x14ac:dyDescent="0.3">
      <c r="A258" s="127" t="s">
        <v>1310</v>
      </c>
      <c r="B258" s="127" t="s">
        <v>1518</v>
      </c>
      <c r="C258" s="403">
        <v>32</v>
      </c>
      <c r="D258" s="128" t="str">
        <f>'Register Configuration'!J499</f>
        <v>0x44000000</v>
      </c>
      <c r="E258" s="127" t="s">
        <v>1519</v>
      </c>
    </row>
    <row r="260" spans="1:5" x14ac:dyDescent="0.3">
      <c r="A260" s="127" t="s">
        <v>1283</v>
      </c>
    </row>
    <row r="261" spans="1:5" x14ac:dyDescent="0.3">
      <c r="A261" s="127" t="s">
        <v>1310</v>
      </c>
      <c r="B261" s="127" t="s">
        <v>1520</v>
      </c>
      <c r="C261" s="403">
        <v>32</v>
      </c>
      <c r="D261" s="128" t="str">
        <f>'Register Configuration'!J516</f>
        <v>0xF0032008</v>
      </c>
      <c r="E261" s="127" t="s">
        <v>1522</v>
      </c>
    </row>
    <row r="262" spans="1:5" x14ac:dyDescent="0.3">
      <c r="A262" s="127" t="s">
        <v>1310</v>
      </c>
      <c r="B262" s="127" t="s">
        <v>1521</v>
      </c>
      <c r="C262" s="403">
        <v>32</v>
      </c>
      <c r="D262" s="128" t="str">
        <f>'Register Configuration'!J525</f>
        <v>0x07F001AB</v>
      </c>
      <c r="E262" s="127" t="s">
        <v>1523</v>
      </c>
    </row>
    <row r="264" spans="1:5" x14ac:dyDescent="0.3">
      <c r="A264" s="127" t="s">
        <v>1284</v>
      </c>
    </row>
    <row r="265" spans="1:5" x14ac:dyDescent="0.3">
      <c r="A265" s="127" t="s">
        <v>1285</v>
      </c>
    </row>
    <row r="266" spans="1:5" x14ac:dyDescent="0.3">
      <c r="A266" s="127" t="s">
        <v>1393</v>
      </c>
      <c r="B266" s="127" t="s">
        <v>1524</v>
      </c>
      <c r="C266" s="403">
        <v>32</v>
      </c>
      <c r="D266" s="127" t="s">
        <v>1486</v>
      </c>
      <c r="E266" s="127" t="s">
        <v>1525</v>
      </c>
    </row>
    <row r="267" spans="1:5" x14ac:dyDescent="0.3">
      <c r="A267" s="127" t="s">
        <v>1392</v>
      </c>
      <c r="B267" s="127" t="s">
        <v>1526</v>
      </c>
      <c r="C267" s="403">
        <v>32</v>
      </c>
      <c r="D267" s="127" t="s">
        <v>1014</v>
      </c>
      <c r="E267" s="127" t="s">
        <v>1527</v>
      </c>
    </row>
    <row r="269" spans="1:5" x14ac:dyDescent="0.3">
      <c r="A269" s="127" t="s">
        <v>1284</v>
      </c>
    </row>
    <row r="270" spans="1:5" x14ac:dyDescent="0.3">
      <c r="A270" s="127" t="s">
        <v>1310</v>
      </c>
      <c r="B270" s="127" t="s">
        <v>1528</v>
      </c>
      <c r="C270" s="403">
        <v>32</v>
      </c>
      <c r="D270" s="127" t="s">
        <v>1016</v>
      </c>
      <c r="E270" s="127" t="s">
        <v>1536</v>
      </c>
    </row>
    <row r="271" spans="1:5" x14ac:dyDescent="0.3">
      <c r="A271" s="127" t="s">
        <v>1310</v>
      </c>
      <c r="B271" s="127" t="s">
        <v>1529</v>
      </c>
      <c r="C271" s="403">
        <v>32</v>
      </c>
      <c r="D271" s="127" t="s">
        <v>1016</v>
      </c>
      <c r="E271" s="127" t="s">
        <v>1537</v>
      </c>
    </row>
    <row r="272" spans="1:5" x14ac:dyDescent="0.3">
      <c r="A272" s="127" t="s">
        <v>1310</v>
      </c>
      <c r="B272" s="127" t="s">
        <v>1530</v>
      </c>
      <c r="C272" s="403">
        <v>32</v>
      </c>
      <c r="D272" s="127" t="s">
        <v>1016</v>
      </c>
      <c r="E272" s="127" t="s">
        <v>1538</v>
      </c>
    </row>
    <row r="273" spans="1:5" x14ac:dyDescent="0.3">
      <c r="A273" s="127" t="s">
        <v>1310</v>
      </c>
      <c r="B273" s="127" t="s">
        <v>1531</v>
      </c>
      <c r="C273" s="403">
        <v>32</v>
      </c>
      <c r="D273" s="127" t="s">
        <v>1016</v>
      </c>
      <c r="E273" s="127" t="s">
        <v>1539</v>
      </c>
    </row>
    <row r="274" spans="1:5" x14ac:dyDescent="0.3">
      <c r="A274" s="127" t="s">
        <v>1310</v>
      </c>
      <c r="B274" s="127" t="s">
        <v>1532</v>
      </c>
      <c r="C274" s="403">
        <v>32</v>
      </c>
      <c r="D274" s="127" t="s">
        <v>1021</v>
      </c>
      <c r="E274" s="127" t="s">
        <v>1540</v>
      </c>
    </row>
    <row r="275" spans="1:5" x14ac:dyDescent="0.3">
      <c r="A275" s="127" t="s">
        <v>1310</v>
      </c>
      <c r="B275" s="127" t="s">
        <v>1533</v>
      </c>
      <c r="C275" s="403">
        <v>32</v>
      </c>
      <c r="D275" s="127" t="s">
        <v>1021</v>
      </c>
      <c r="E275" s="127" t="s">
        <v>1541</v>
      </c>
    </row>
    <row r="276" spans="1:5" x14ac:dyDescent="0.3">
      <c r="A276" s="127" t="s">
        <v>1310</v>
      </c>
      <c r="B276" s="127" t="s">
        <v>1534</v>
      </c>
      <c r="C276" s="403">
        <v>32</v>
      </c>
      <c r="D276" s="127" t="s">
        <v>1021</v>
      </c>
      <c r="E276" s="127" t="s">
        <v>1542</v>
      </c>
    </row>
    <row r="277" spans="1:5" x14ac:dyDescent="0.3">
      <c r="A277" s="127" t="s">
        <v>1310</v>
      </c>
      <c r="B277" s="127" t="s">
        <v>1535</v>
      </c>
      <c r="C277" s="403">
        <v>32</v>
      </c>
      <c r="D277" s="127" t="s">
        <v>1021</v>
      </c>
      <c r="E277" s="127" t="s">
        <v>1543</v>
      </c>
    </row>
    <row r="279" spans="1:5" x14ac:dyDescent="0.3">
      <c r="A279" s="127" t="s">
        <v>1286</v>
      </c>
    </row>
    <row r="280" spans="1:5" x14ac:dyDescent="0.3">
      <c r="A280" s="127" t="s">
        <v>1287</v>
      </c>
    </row>
    <row r="281" spans="1:5" x14ac:dyDescent="0.3">
      <c r="A281" s="127" t="s">
        <v>1310</v>
      </c>
      <c r="B281" s="127" t="s">
        <v>1544</v>
      </c>
      <c r="C281" s="403">
        <v>32</v>
      </c>
      <c r="D281" s="128" t="str">
        <f>'Register Configuration'!J536</f>
        <v>0x001C1600</v>
      </c>
      <c r="E281" s="127" t="s">
        <v>1546</v>
      </c>
    </row>
    <row r="282" spans="1:5" x14ac:dyDescent="0.3">
      <c r="A282" s="127" t="s">
        <v>1310</v>
      </c>
      <c r="B282" s="127" t="s">
        <v>2017</v>
      </c>
      <c r="C282" s="403">
        <v>32</v>
      </c>
      <c r="D282" s="128" t="str">
        <f>'Register Configuration'!J336</f>
        <v>0x001900B1</v>
      </c>
      <c r="E282" s="127" t="s">
        <v>2015</v>
      </c>
    </row>
    <row r="283" spans="1:5" x14ac:dyDescent="0.3">
      <c r="A283" s="127" t="s">
        <v>1310</v>
      </c>
      <c r="B283" s="127" t="s">
        <v>1545</v>
      </c>
      <c r="C283" s="403">
        <v>32</v>
      </c>
      <c r="D283" s="128" t="str">
        <f>'Register Configuration'!J549</f>
        <v>0x79000000</v>
      </c>
      <c r="E283" s="127" t="s">
        <v>1547</v>
      </c>
    </row>
    <row r="285" spans="1:5" x14ac:dyDescent="0.3">
      <c r="A285" s="127" t="s">
        <v>1288</v>
      </c>
    </row>
    <row r="286" spans="1:5" x14ac:dyDescent="0.3">
      <c r="A286" s="127" t="s">
        <v>1548</v>
      </c>
      <c r="B286" s="127" t="s">
        <v>1549</v>
      </c>
      <c r="C286" s="403">
        <v>32</v>
      </c>
      <c r="D286" s="127" t="s">
        <v>785</v>
      </c>
      <c r="E286" s="127" t="s">
        <v>1550</v>
      </c>
    </row>
    <row r="288" spans="1:5" x14ac:dyDescent="0.3">
      <c r="A288" s="127" t="s">
        <v>1272</v>
      </c>
    </row>
    <row r="289" spans="1:5" x14ac:dyDescent="0.3">
      <c r="A289" s="127" t="s">
        <v>1273</v>
      </c>
    </row>
    <row r="290" spans="1:5" x14ac:dyDescent="0.3">
      <c r="A290" s="127" t="str">
        <f>IF('Register Configuration'!F19 = 2,"", "#") &amp; "memory set"</f>
        <v>memory set</v>
      </c>
      <c r="B290" s="127" t="s">
        <v>1551</v>
      </c>
      <c r="C290" s="403">
        <v>32</v>
      </c>
      <c r="D290" s="128" t="str">
        <f>'Register Configuration'!J391</f>
        <v>0x54</v>
      </c>
      <c r="E290" s="127" t="s">
        <v>1776</v>
      </c>
    </row>
    <row r="291" spans="1:5" x14ac:dyDescent="0.3">
      <c r="A291" s="127" t="str">
        <f>IF('Register Configuration'!F19 = 2,"", "#") &amp; "memory set"</f>
        <v>memory set</v>
      </c>
      <c r="B291" s="127" t="s">
        <v>1552</v>
      </c>
      <c r="C291" s="403">
        <v>32</v>
      </c>
      <c r="D291" s="128" t="str">
        <f>'Register Configuration'!J398</f>
        <v>0x2D</v>
      </c>
      <c r="E291" s="127" t="s">
        <v>1777</v>
      </c>
    </row>
    <row r="292" spans="1:5" x14ac:dyDescent="0.3">
      <c r="A292" s="127" t="str">
        <f>IF('Register Configuration'!F19 = 2,"", "#") &amp; "memory set"</f>
        <v>memory set</v>
      </c>
      <c r="B292" s="127" t="s">
        <v>1553</v>
      </c>
      <c r="C292" s="403">
        <v>32</v>
      </c>
      <c r="D292" s="128" t="str">
        <f>'Register Configuration'!J404</f>
        <v>0xF1</v>
      </c>
      <c r="E292" s="127" t="s">
        <v>1778</v>
      </c>
    </row>
    <row r="293" spans="1:5" x14ac:dyDescent="0.3">
      <c r="A293" s="127" t="str">
        <f>IF('Register Configuration'!F19 = 2,"", "#") &amp; "memory set"</f>
        <v>memory set</v>
      </c>
      <c r="B293" s="127" t="s">
        <v>1554</v>
      </c>
      <c r="C293" s="403">
        <v>32</v>
      </c>
      <c r="D293" s="128" t="str">
        <f>'Register Configuration'!J410</f>
        <v>0x54</v>
      </c>
      <c r="E293" s="127" t="s">
        <v>1779</v>
      </c>
    </row>
    <row r="294" spans="1:5" x14ac:dyDescent="0.3">
      <c r="A294" s="127" t="str">
        <f>IF('Register Configuration'!F19 = 2,"", "#") &amp; "memory set"</f>
        <v>memory set</v>
      </c>
      <c r="B294" s="127" t="s">
        <v>1555</v>
      </c>
      <c r="C294" s="403">
        <v>32</v>
      </c>
      <c r="D294" s="128" t="str">
        <f>'Register Configuration'!J423</f>
        <v>0x16</v>
      </c>
      <c r="E294" s="127" t="s">
        <v>1558</v>
      </c>
    </row>
    <row r="295" spans="1:5" x14ac:dyDescent="0.3">
      <c r="A295" s="127" t="str">
        <f>IF('Register Configuration'!F19 = 2,"", "#") &amp; "memory set"</f>
        <v>memory set</v>
      </c>
      <c r="B295" s="127" t="s">
        <v>1556</v>
      </c>
      <c r="C295" s="403">
        <v>32</v>
      </c>
      <c r="D295" s="128" t="str">
        <f>'Factory use only DCD'!C362</f>
        <v>0x48</v>
      </c>
      <c r="E295" s="127" t="s">
        <v>1559</v>
      </c>
    </row>
    <row r="296" spans="1:5" x14ac:dyDescent="0.3">
      <c r="A296" s="127" t="str">
        <f>IF('Register Configuration'!F19 = 2,"", "#") &amp; "memory set"</f>
        <v>memory set</v>
      </c>
      <c r="B296" s="127" t="s">
        <v>1557</v>
      </c>
      <c r="C296" s="403">
        <v>32</v>
      </c>
      <c r="D296" s="128" t="str">
        <f>'Factory use only DCD'!C363</f>
        <v>0x48</v>
      </c>
      <c r="E296" s="127" t="s">
        <v>1560</v>
      </c>
    </row>
    <row r="298" spans="1:5" x14ac:dyDescent="0.3">
      <c r="A298" s="127" t="s">
        <v>1274</v>
      </c>
    </row>
    <row r="299" spans="1:5" x14ac:dyDescent="0.3">
      <c r="A299" s="127" t="s">
        <v>1275</v>
      </c>
    </row>
    <row r="300" spans="1:5" x14ac:dyDescent="0.3">
      <c r="A300" s="127" t="str">
        <f>IF('Register Configuration'!F19 = 2,"", "#") &amp; "memory set"</f>
        <v>memory set</v>
      </c>
      <c r="B300" s="127" t="s">
        <v>1561</v>
      </c>
      <c r="C300" s="403">
        <v>32</v>
      </c>
      <c r="D300" s="128" t="str">
        <f>'Register Configuration'!J429</f>
        <v>0x1044220C</v>
      </c>
      <c r="E300" s="127" t="s">
        <v>1567</v>
      </c>
    </row>
    <row r="301" spans="1:5" x14ac:dyDescent="0.3">
      <c r="A301" s="127" t="str">
        <f>IF('Register Configuration'!F19 = 2,"", "#") &amp; "memory set"</f>
        <v>memory set</v>
      </c>
      <c r="B301" s="127" t="s">
        <v>1562</v>
      </c>
      <c r="C301" s="403">
        <v>32</v>
      </c>
      <c r="D301" s="128" t="str">
        <f>'Register Configuration'!J435</f>
        <v>0x28400417</v>
      </c>
      <c r="E301" s="127" t="s">
        <v>1568</v>
      </c>
    </row>
    <row r="302" spans="1:5" x14ac:dyDescent="0.3">
      <c r="A302" s="127" t="str">
        <f>IF('Register Configuration'!F19 = 2,"", "#") &amp; "memory set"</f>
        <v>memory set</v>
      </c>
      <c r="B302" s="127" t="s">
        <v>1563</v>
      </c>
      <c r="C302" s="403">
        <v>32</v>
      </c>
      <c r="D302" s="128" t="str">
        <f>'Register Configuration'!J440</f>
        <v>0x006CA1CC</v>
      </c>
      <c r="E302" s="127" t="s">
        <v>1569</v>
      </c>
    </row>
    <row r="303" spans="1:5" x14ac:dyDescent="0.3">
      <c r="A303" s="127" t="str">
        <f>IF('Register Configuration'!F19 = 2,"", "#") &amp; "memory set"</f>
        <v>memory set</v>
      </c>
      <c r="B303" s="127" t="s">
        <v>1564</v>
      </c>
      <c r="C303" s="403">
        <v>32</v>
      </c>
      <c r="D303" s="128" t="str">
        <f>'Register Configuration'!J447</f>
        <v>0x01800602</v>
      </c>
      <c r="E303" s="127" t="s">
        <v>2173</v>
      </c>
    </row>
    <row r="304" spans="1:5" x14ac:dyDescent="0.3">
      <c r="A304" s="127" t="str">
        <f>IF('Register Configuration'!F19 = 2,"", "#") &amp; "memory set"</f>
        <v>memory set</v>
      </c>
      <c r="B304" s="127" t="s">
        <v>1565</v>
      </c>
      <c r="C304" s="403">
        <v>32</v>
      </c>
      <c r="D304" s="128" t="str">
        <f>'Register Configuration'!J453</f>
        <v>0x01C02B0F</v>
      </c>
      <c r="E304" s="127" t="s">
        <v>1570</v>
      </c>
    </row>
    <row r="305" spans="1:5" x14ac:dyDescent="0.3">
      <c r="A305" s="127" t="str">
        <f>IF('Register Configuration'!F19 = 2,"", "#") &amp; "memory set"</f>
        <v>memory set</v>
      </c>
      <c r="B305" s="127" t="s">
        <v>1566</v>
      </c>
      <c r="C305" s="403">
        <v>32</v>
      </c>
      <c r="D305" s="128" t="str">
        <f>'Register Configuration'!J458</f>
        <v>0x21651D11</v>
      </c>
      <c r="E305" s="127" t="s">
        <v>1571</v>
      </c>
    </row>
    <row r="307" spans="1:5" x14ac:dyDescent="0.3">
      <c r="A307" s="127" t="s">
        <v>1267</v>
      </c>
    </row>
    <row r="308" spans="1:5" x14ac:dyDescent="0.3">
      <c r="A308" s="127" t="str">
        <f>IF('Register Configuration'!F19 = 2,"", "#") &amp; "memory set"</f>
        <v>memory set</v>
      </c>
      <c r="B308" s="127" t="s">
        <v>2126</v>
      </c>
      <c r="C308" s="403">
        <v>32</v>
      </c>
      <c r="D308" s="128" t="str">
        <f>'Register Configuration'!J463</f>
        <v>0x000A3DEF</v>
      </c>
      <c r="E308" s="127" t="s">
        <v>2127</v>
      </c>
    </row>
    <row r="309" spans="1:5" x14ac:dyDescent="0.3">
      <c r="A309" s="127" t="str">
        <f>IF('Register Configuration'!F19 = 2,"", "#") &amp; "memory set"</f>
        <v>memory set</v>
      </c>
      <c r="B309" s="127" t="s">
        <v>1572</v>
      </c>
      <c r="C309" s="403">
        <v>32</v>
      </c>
      <c r="D309" s="128" t="str">
        <f>'Register Configuration'!K468</f>
        <v>0x0030D400</v>
      </c>
      <c r="E309" s="127" t="s">
        <v>1863</v>
      </c>
    </row>
    <row r="310" spans="1:5" x14ac:dyDescent="0.3">
      <c r="A310" s="127" t="str">
        <f>IF('Register Configuration'!F19 = 2,"", "#") &amp; "memory set"</f>
        <v>memory set</v>
      </c>
      <c r="B310" s="127" t="s">
        <v>1573</v>
      </c>
      <c r="C310" s="403">
        <v>32</v>
      </c>
      <c r="D310" s="128" t="str">
        <f>'Register Configuration'!K471</f>
        <v>0x00000C80</v>
      </c>
      <c r="E310" s="127" t="s">
        <v>1576</v>
      </c>
    </row>
    <row r="311" spans="1:5" x14ac:dyDescent="0.3">
      <c r="A311" s="127" t="str">
        <f>IF('Register Configuration'!F19 = 2,"", "#") &amp; "memory set"</f>
        <v>memory set</v>
      </c>
      <c r="B311" s="127" t="s">
        <v>1574</v>
      </c>
      <c r="C311" s="403">
        <v>32</v>
      </c>
      <c r="D311" s="128" t="str">
        <f>'Register Configuration'!K474</f>
        <v>0x0004E200</v>
      </c>
      <c r="E311" s="127" t="s">
        <v>1864</v>
      </c>
    </row>
    <row r="312" spans="1:5" x14ac:dyDescent="0.3">
      <c r="A312" s="127" t="str">
        <f>IF('Register Configuration'!F19 = 2,"", "#") &amp; "memory set"</f>
        <v>memory set</v>
      </c>
      <c r="B312" s="127" t="s">
        <v>1575</v>
      </c>
      <c r="C312" s="403">
        <v>32</v>
      </c>
      <c r="D312" s="128" t="str">
        <f>'Register Configuration'!K477</f>
        <v>0x03300640</v>
      </c>
      <c r="E312" s="127" t="s">
        <v>1865</v>
      </c>
    </row>
    <row r="314" spans="1:5" x14ac:dyDescent="0.3">
      <c r="A314" s="127" t="s">
        <v>1276</v>
      </c>
    </row>
    <row r="315" spans="1:5" x14ac:dyDescent="0.3">
      <c r="A315" s="127" t="s">
        <v>1277</v>
      </c>
    </row>
    <row r="316" spans="1:5" x14ac:dyDescent="0.3">
      <c r="A316" s="127" t="str">
        <f>IF('Register Configuration'!F19 = 2,"", "#") &amp; "memory set"</f>
        <v>memory set</v>
      </c>
      <c r="B316" s="127" t="s">
        <v>1577</v>
      </c>
      <c r="C316" s="403">
        <v>32</v>
      </c>
      <c r="D316" s="127" t="s">
        <v>821</v>
      </c>
      <c r="E316" s="127" t="s">
        <v>1579</v>
      </c>
    </row>
    <row r="317" spans="1:5" x14ac:dyDescent="0.3">
      <c r="A317" s="127" t="str">
        <f>IF('Register Configuration'!F19 = 2,"", "#") &amp; "memory set"</f>
        <v>memory set</v>
      </c>
      <c r="B317" s="127" t="s">
        <v>1578</v>
      </c>
      <c r="C317" s="403">
        <v>32</v>
      </c>
      <c r="D317" s="127" t="s">
        <v>992</v>
      </c>
      <c r="E317" s="127" t="s">
        <v>1580</v>
      </c>
    </row>
    <row r="318" spans="1:5" x14ac:dyDescent="0.3">
      <c r="A318" s="127" t="str">
        <f>IF('Register Configuration'!F19 = 2,"", "#") &amp; "memory set"</f>
        <v>memory set</v>
      </c>
      <c r="B318" s="127" t="s">
        <v>1577</v>
      </c>
      <c r="C318" s="403">
        <v>32</v>
      </c>
      <c r="D318" s="127" t="s">
        <v>992</v>
      </c>
      <c r="E318" s="127" t="s">
        <v>1581</v>
      </c>
    </row>
    <row r="319" spans="1:5" x14ac:dyDescent="0.3">
      <c r="A319" s="127" t="str">
        <f>IF('Register Configuration'!F19 = 2,"", "#") &amp; "memory set"</f>
        <v>memory set</v>
      </c>
      <c r="B319" s="127" t="s">
        <v>1578</v>
      </c>
      <c r="C319" s="403">
        <v>32</v>
      </c>
      <c r="D319" s="127" t="s">
        <v>992</v>
      </c>
      <c r="E319" s="127" t="s">
        <v>1582</v>
      </c>
    </row>
    <row r="321" spans="1:5" x14ac:dyDescent="0.3">
      <c r="A321" s="127" t="s">
        <v>1280</v>
      </c>
    </row>
    <row r="322" spans="1:5" x14ac:dyDescent="0.3">
      <c r="A322" s="127" t="s">
        <v>1281</v>
      </c>
    </row>
    <row r="323" spans="1:5" x14ac:dyDescent="0.3">
      <c r="A323" s="127" t="str">
        <f>IF('Register Configuration'!F19 = 2,"", "#") &amp; "memory set"</f>
        <v>memory set</v>
      </c>
      <c r="B323" s="127" t="s">
        <v>1583</v>
      </c>
      <c r="C323" s="403">
        <v>32</v>
      </c>
      <c r="D323" s="128" t="str">
        <f>'Register Configuration'!K482</f>
        <v>0x30070800</v>
      </c>
      <c r="E323" s="127" t="s">
        <v>1585</v>
      </c>
    </row>
    <row r="324" spans="1:5" x14ac:dyDescent="0.3">
      <c r="A324" s="127" t="str">
        <f>IF('Register Configuration'!F19 = 2,"", "#") &amp; "memory set"</f>
        <v>memory set</v>
      </c>
      <c r="B324" s="127" t="s">
        <v>1584</v>
      </c>
      <c r="C324" s="403">
        <v>32</v>
      </c>
      <c r="D324" s="128" t="str">
        <f>'Register Configuration'!J494</f>
        <v>0x09000000</v>
      </c>
      <c r="E324" s="127" t="s">
        <v>1586</v>
      </c>
    </row>
    <row r="326" spans="1:5" x14ac:dyDescent="0.3">
      <c r="A326" s="127" t="s">
        <v>1282</v>
      </c>
    </row>
    <row r="327" spans="1:5" x14ac:dyDescent="0.3">
      <c r="A327" s="127" t="str">
        <f>IF('Register Configuration'!F19 = 2,"", "#") &amp; "memory set"</f>
        <v>memory set</v>
      </c>
      <c r="B327" s="127" t="s">
        <v>1587</v>
      </c>
      <c r="C327" s="403">
        <v>32</v>
      </c>
      <c r="D327" s="128" t="str">
        <f>'Register Configuration'!J499</f>
        <v>0x44000000</v>
      </c>
      <c r="E327" s="127" t="s">
        <v>1588</v>
      </c>
    </row>
    <row r="329" spans="1:5" x14ac:dyDescent="0.3">
      <c r="A329" s="127" t="s">
        <v>1283</v>
      </c>
    </row>
    <row r="330" spans="1:5" x14ac:dyDescent="0.3">
      <c r="A330" s="127" t="str">
        <f>IF('Register Configuration'!F19 = 2,"", "#") &amp; "memory set"</f>
        <v>memory set</v>
      </c>
      <c r="B330" s="127" t="s">
        <v>1589</v>
      </c>
      <c r="C330" s="403">
        <v>32</v>
      </c>
      <c r="D330" s="128" t="str">
        <f>'Register Configuration'!J516</f>
        <v>0xF0032008</v>
      </c>
      <c r="E330" s="127" t="s">
        <v>1591</v>
      </c>
    </row>
    <row r="331" spans="1:5" x14ac:dyDescent="0.3">
      <c r="A331" s="127" t="str">
        <f>IF('Register Configuration'!F19 = 2,"", "#") &amp; "memory set"</f>
        <v>memory set</v>
      </c>
      <c r="B331" s="127" t="s">
        <v>1590</v>
      </c>
      <c r="C331" s="403">
        <v>32</v>
      </c>
      <c r="D331" s="128" t="str">
        <f>'Register Configuration'!J525</f>
        <v>0x07F001AB</v>
      </c>
      <c r="E331" s="127" t="s">
        <v>1592</v>
      </c>
    </row>
    <row r="333" spans="1:5" x14ac:dyDescent="0.3">
      <c r="A333" s="127" t="s">
        <v>1284</v>
      </c>
    </row>
    <row r="334" spans="1:5" x14ac:dyDescent="0.3">
      <c r="A334" s="127" t="s">
        <v>1285</v>
      </c>
    </row>
    <row r="335" spans="1:5" x14ac:dyDescent="0.3">
      <c r="A335" s="127" t="str">
        <f>IF('Register Configuration'!F19 = 2,"", "#") &amp; "memory setbit"</f>
        <v>memory setbit</v>
      </c>
      <c r="B335" s="127" t="s">
        <v>1593</v>
      </c>
      <c r="C335" s="403">
        <v>32</v>
      </c>
      <c r="D335" s="127" t="s">
        <v>1486</v>
      </c>
      <c r="E335" s="127" t="s">
        <v>1595</v>
      </c>
    </row>
    <row r="336" spans="1:5" x14ac:dyDescent="0.3">
      <c r="A336" s="127" t="str">
        <f>IF('Register Configuration'!F19 = 2,"", "#") &amp; "memory set"</f>
        <v>memory set</v>
      </c>
      <c r="B336" s="127" t="s">
        <v>1594</v>
      </c>
      <c r="C336" s="403">
        <v>32</v>
      </c>
      <c r="D336" s="127" t="s">
        <v>1014</v>
      </c>
      <c r="E336" s="127" t="s">
        <v>1596</v>
      </c>
    </row>
    <row r="338" spans="1:5" x14ac:dyDescent="0.3">
      <c r="A338" s="127" t="s">
        <v>1284</v>
      </c>
    </row>
    <row r="339" spans="1:5" x14ac:dyDescent="0.3">
      <c r="A339" s="127" t="str">
        <f>IF('Register Configuration'!F19 = 2,"", "#") &amp; "memory set"</f>
        <v>memory set</v>
      </c>
      <c r="B339" s="127" t="s">
        <v>1597</v>
      </c>
      <c r="C339" s="403">
        <v>32</v>
      </c>
      <c r="D339" s="127" t="s">
        <v>1016</v>
      </c>
      <c r="E339" s="127" t="s">
        <v>1605</v>
      </c>
    </row>
    <row r="340" spans="1:5" x14ac:dyDescent="0.3">
      <c r="A340" s="127" t="str">
        <f>IF('Register Configuration'!F19 = 2,"", "#") &amp; "memory set"</f>
        <v>memory set</v>
      </c>
      <c r="B340" s="127" t="s">
        <v>1598</v>
      </c>
      <c r="C340" s="403">
        <v>32</v>
      </c>
      <c r="D340" s="127" t="s">
        <v>1016</v>
      </c>
      <c r="E340" s="127" t="s">
        <v>1606</v>
      </c>
    </row>
    <row r="341" spans="1:5" x14ac:dyDescent="0.3">
      <c r="A341" s="127" t="str">
        <f>IF('Register Configuration'!F19 = 2,"", "#") &amp; "memory set"</f>
        <v>memory set</v>
      </c>
      <c r="B341" s="127" t="s">
        <v>1599</v>
      </c>
      <c r="C341" s="403">
        <v>32</v>
      </c>
      <c r="D341" s="127" t="s">
        <v>1016</v>
      </c>
      <c r="E341" s="127" t="s">
        <v>1607</v>
      </c>
    </row>
    <row r="342" spans="1:5" x14ac:dyDescent="0.3">
      <c r="A342" s="127" t="str">
        <f>IF('Register Configuration'!F19 = 2,"", "#") &amp; "memory set"</f>
        <v>memory set</v>
      </c>
      <c r="B342" s="127" t="s">
        <v>1600</v>
      </c>
      <c r="C342" s="403">
        <v>32</v>
      </c>
      <c r="D342" s="127" t="s">
        <v>1016</v>
      </c>
      <c r="E342" s="127" t="s">
        <v>1608</v>
      </c>
    </row>
    <row r="343" spans="1:5" x14ac:dyDescent="0.3">
      <c r="A343" s="127" t="str">
        <f>IF('Register Configuration'!F19 = 2,"", "#") &amp; "memory set"</f>
        <v>memory set</v>
      </c>
      <c r="B343" s="127" t="s">
        <v>1601</v>
      </c>
      <c r="C343" s="403">
        <v>32</v>
      </c>
      <c r="D343" s="127" t="s">
        <v>1021</v>
      </c>
      <c r="E343" s="127" t="s">
        <v>1609</v>
      </c>
    </row>
    <row r="344" spans="1:5" x14ac:dyDescent="0.3">
      <c r="A344" s="127" t="str">
        <f>IF('Register Configuration'!F19 = 2,"", "#") &amp; "memory set"</f>
        <v>memory set</v>
      </c>
      <c r="B344" s="127" t="s">
        <v>1602</v>
      </c>
      <c r="C344" s="403">
        <v>32</v>
      </c>
      <c r="D344" s="127" t="s">
        <v>1021</v>
      </c>
      <c r="E344" s="127" t="s">
        <v>1610</v>
      </c>
    </row>
    <row r="345" spans="1:5" x14ac:dyDescent="0.3">
      <c r="A345" s="127" t="str">
        <f>IF('Register Configuration'!F19 = 2,"", "#") &amp; "memory set"</f>
        <v>memory set</v>
      </c>
      <c r="B345" s="127" t="s">
        <v>1603</v>
      </c>
      <c r="C345" s="403">
        <v>32</v>
      </c>
      <c r="D345" s="127" t="s">
        <v>1021</v>
      </c>
      <c r="E345" s="127" t="s">
        <v>1611</v>
      </c>
    </row>
    <row r="346" spans="1:5" x14ac:dyDescent="0.3">
      <c r="A346" s="127" t="str">
        <f>IF('Register Configuration'!F19 = 2,"", "#") &amp; "memory set"</f>
        <v>memory set</v>
      </c>
      <c r="B346" s="127" t="s">
        <v>1604</v>
      </c>
      <c r="C346" s="403">
        <v>32</v>
      </c>
      <c r="D346" s="127" t="s">
        <v>1021</v>
      </c>
      <c r="E346" s="127" t="s">
        <v>1612</v>
      </c>
    </row>
    <row r="348" spans="1:5" x14ac:dyDescent="0.3">
      <c r="A348" s="127" t="s">
        <v>1286</v>
      </c>
    </row>
    <row r="349" spans="1:5" x14ac:dyDescent="0.3">
      <c r="A349" s="127" t="s">
        <v>1287</v>
      </c>
    </row>
    <row r="350" spans="1:5" x14ac:dyDescent="0.3">
      <c r="A350" s="127" t="str">
        <f>IF('Register Configuration'!F19 = 2,"", "#") &amp; "memory set"</f>
        <v>memory set</v>
      </c>
      <c r="B350" s="127" t="s">
        <v>1613</v>
      </c>
      <c r="C350" s="403">
        <v>32</v>
      </c>
      <c r="D350" s="128" t="str">
        <f>'Register Configuration'!J536</f>
        <v>0x001C1600</v>
      </c>
      <c r="E350" s="127" t="s">
        <v>1615</v>
      </c>
    </row>
    <row r="351" spans="1:5" x14ac:dyDescent="0.3">
      <c r="A351" s="127" t="str">
        <f>IF('Register Configuration'!F19 = 2,"", "#") &amp; "memory set"</f>
        <v>memory set</v>
      </c>
      <c r="B351" s="127" t="s">
        <v>2018</v>
      </c>
      <c r="C351" s="403">
        <v>32</v>
      </c>
      <c r="D351" s="128" t="str">
        <f>'Register Configuration'!J336</f>
        <v>0x001900B1</v>
      </c>
      <c r="E351" s="127" t="s">
        <v>2016</v>
      </c>
    </row>
    <row r="352" spans="1:5" x14ac:dyDescent="0.3">
      <c r="A352" s="127" t="str">
        <f>IF('Register Configuration'!F19 = 2,"", "#") &amp; "memory set"</f>
        <v>memory set</v>
      </c>
      <c r="B352" s="127" t="s">
        <v>1614</v>
      </c>
      <c r="C352" s="403">
        <v>32</v>
      </c>
      <c r="D352" s="128" t="str">
        <f>'Register Configuration'!J549</f>
        <v>0x79000000</v>
      </c>
      <c r="E352" s="127" t="s">
        <v>1616</v>
      </c>
    </row>
    <row r="354" spans="1:5" x14ac:dyDescent="0.3">
      <c r="A354" s="127" t="s">
        <v>1265</v>
      </c>
    </row>
    <row r="355" spans="1:5" x14ac:dyDescent="0.3">
      <c r="A355" s="127" t="s">
        <v>1289</v>
      </c>
    </row>
    <row r="356" spans="1:5" x14ac:dyDescent="0.3">
      <c r="A356" s="127" t="s">
        <v>1265</v>
      </c>
    </row>
    <row r="357" spans="1:5" x14ac:dyDescent="0.3">
      <c r="A357" s="127" t="s">
        <v>1288</v>
      </c>
    </row>
    <row r="358" spans="1:5" x14ac:dyDescent="0.3">
      <c r="A358" s="127" t="str">
        <f>IF('Register Configuration'!F19 = 2,"", "#") &amp; "memory chkbit1"</f>
        <v>memory chkbit1</v>
      </c>
      <c r="B358" s="127" t="s">
        <v>1617</v>
      </c>
      <c r="C358" s="403">
        <v>32</v>
      </c>
      <c r="D358" s="127" t="s">
        <v>785</v>
      </c>
      <c r="E358" s="127" t="s">
        <v>1618</v>
      </c>
    </row>
    <row r="360" spans="1:5" x14ac:dyDescent="0.3">
      <c r="A360" s="127" t="s">
        <v>1290</v>
      </c>
    </row>
    <row r="361" spans="1:5" x14ac:dyDescent="0.3">
      <c r="A361" s="127" t="s">
        <v>1310</v>
      </c>
      <c r="B361" s="127" t="s">
        <v>1434</v>
      </c>
      <c r="C361" s="403">
        <v>32</v>
      </c>
      <c r="D361" s="127" t="s">
        <v>1619</v>
      </c>
      <c r="E361" s="127" t="s">
        <v>1437</v>
      </c>
    </row>
    <row r="362" spans="1:5" x14ac:dyDescent="0.3">
      <c r="A362" s="127" t="s">
        <v>1310</v>
      </c>
      <c r="B362" s="127" t="s">
        <v>1434</v>
      </c>
      <c r="C362" s="403">
        <v>32</v>
      </c>
      <c r="D362" s="127" t="s">
        <v>1620</v>
      </c>
      <c r="E362" s="127" t="s">
        <v>1437</v>
      </c>
    </row>
    <row r="363" spans="1:5" x14ac:dyDescent="0.3">
      <c r="A363" s="127" t="s">
        <v>1288</v>
      </c>
    </row>
    <row r="364" spans="1:5" x14ac:dyDescent="0.3">
      <c r="A364" s="127" t="s">
        <v>1548</v>
      </c>
      <c r="B364" s="127" t="s">
        <v>1549</v>
      </c>
      <c r="C364" s="403">
        <v>32</v>
      </c>
      <c r="D364" s="127" t="s">
        <v>785</v>
      </c>
      <c r="E364" s="127" t="s">
        <v>1550</v>
      </c>
    </row>
    <row r="366" spans="1:5" x14ac:dyDescent="0.3">
      <c r="A366" s="127" t="str">
        <f>IF('Register Configuration'!F19 = 2,"", "#") &amp; "memory set"</f>
        <v>memory set</v>
      </c>
      <c r="B366" s="127" t="s">
        <v>1480</v>
      </c>
      <c r="C366" s="403">
        <v>32</v>
      </c>
      <c r="D366" s="127" t="s">
        <v>1619</v>
      </c>
      <c r="E366" s="127" t="s">
        <v>1481</v>
      </c>
    </row>
    <row r="367" spans="1:5" x14ac:dyDescent="0.3">
      <c r="A367" s="127" t="str">
        <f>IF('Register Configuration'!F19 = 2,"", "#") &amp; "memory set"</f>
        <v>memory set</v>
      </c>
      <c r="B367" s="127" t="s">
        <v>1480</v>
      </c>
      <c r="C367" s="403">
        <v>32</v>
      </c>
      <c r="D367" s="127" t="s">
        <v>1620</v>
      </c>
      <c r="E367" s="127" t="s">
        <v>1481</v>
      </c>
    </row>
    <row r="368" spans="1:5" x14ac:dyDescent="0.3">
      <c r="A368" s="127" t="s">
        <v>1288</v>
      </c>
    </row>
    <row r="369" spans="1:5" x14ac:dyDescent="0.3">
      <c r="A369" s="127" t="str">
        <f>IF('Register Configuration'!F19 = 2,"", "#") &amp; "memory chkbit1"</f>
        <v>memory chkbit1</v>
      </c>
      <c r="B369" s="127" t="s">
        <v>1617</v>
      </c>
      <c r="C369" s="403">
        <v>32</v>
      </c>
      <c r="D369" s="127" t="s">
        <v>785</v>
      </c>
      <c r="E369" s="127" t="s">
        <v>1618</v>
      </c>
    </row>
    <row r="371" spans="1:5" x14ac:dyDescent="0.3">
      <c r="A371" s="127" t="s">
        <v>2199</v>
      </c>
    </row>
    <row r="372" spans="1:5" x14ac:dyDescent="0.3">
      <c r="A372" s="127" t="s">
        <v>1291</v>
      </c>
    </row>
    <row r="373" spans="1:5" x14ac:dyDescent="0.3">
      <c r="A373" s="127" t="s">
        <v>1292</v>
      </c>
    </row>
    <row r="374" spans="1:5" x14ac:dyDescent="0.3">
      <c r="A374" s="127" t="s">
        <v>1310</v>
      </c>
      <c r="B374" s="127" t="s">
        <v>1434</v>
      </c>
      <c r="C374" s="403">
        <v>32</v>
      </c>
      <c r="D374" s="127" t="s">
        <v>1621</v>
      </c>
      <c r="E374" s="127" t="s">
        <v>1437</v>
      </c>
    </row>
    <row r="375" spans="1:5" x14ac:dyDescent="0.3">
      <c r="A375" s="127" t="s">
        <v>1310</v>
      </c>
      <c r="B375" s="127" t="s">
        <v>1434</v>
      </c>
      <c r="C375" s="403">
        <v>32</v>
      </c>
      <c r="D375" s="127" t="s">
        <v>1622</v>
      </c>
      <c r="E375" s="127" t="s">
        <v>1437</v>
      </c>
    </row>
    <row r="376" spans="1:5" x14ac:dyDescent="0.3">
      <c r="A376" s="127" t="s">
        <v>1288</v>
      </c>
    </row>
    <row r="377" spans="1:5" x14ac:dyDescent="0.3">
      <c r="A377" s="127" t="s">
        <v>1548</v>
      </c>
      <c r="B377" s="127" t="s">
        <v>1549</v>
      </c>
      <c r="C377" s="403">
        <v>32</v>
      </c>
      <c r="D377" s="127" t="s">
        <v>785</v>
      </c>
      <c r="E377" s="127" t="s">
        <v>1550</v>
      </c>
    </row>
    <row r="379" spans="1:5" x14ac:dyDescent="0.3">
      <c r="A379" s="127" t="str">
        <f>IF('Register Configuration'!F19 = 2,"", "#") &amp; "memory set"</f>
        <v>memory set</v>
      </c>
      <c r="B379" s="127" t="s">
        <v>1480</v>
      </c>
      <c r="C379" s="403">
        <v>32</v>
      </c>
      <c r="D379" s="127" t="s">
        <v>1621</v>
      </c>
      <c r="E379" s="127" t="s">
        <v>1481</v>
      </c>
    </row>
    <row r="380" spans="1:5" x14ac:dyDescent="0.3">
      <c r="A380" s="127" t="str">
        <f>IF('Register Configuration'!F19 = 2,"", "#") &amp; "memory set"</f>
        <v>memory set</v>
      </c>
      <c r="B380" s="127" t="s">
        <v>1480</v>
      </c>
      <c r="C380" s="403">
        <v>32</v>
      </c>
      <c r="D380" s="127" t="s">
        <v>1622</v>
      </c>
      <c r="E380" s="127" t="s">
        <v>1481</v>
      </c>
    </row>
    <row r="381" spans="1:5" x14ac:dyDescent="0.3">
      <c r="A381" s="127" t="s">
        <v>1288</v>
      </c>
    </row>
    <row r="382" spans="1:5" x14ac:dyDescent="0.3">
      <c r="A382" s="127" t="str">
        <f>IF('Register Configuration'!F19 = 2,"", "#") &amp; "memory chkbit1"</f>
        <v>memory chkbit1</v>
      </c>
      <c r="B382" s="127" t="s">
        <v>1617</v>
      </c>
      <c r="C382" s="403">
        <v>32</v>
      </c>
      <c r="D382" s="127" t="s">
        <v>785</v>
      </c>
      <c r="E382" s="127" t="s">
        <v>1618</v>
      </c>
    </row>
    <row r="384" spans="1:5" x14ac:dyDescent="0.3">
      <c r="A384" s="127" t="s">
        <v>1293</v>
      </c>
    </row>
    <row r="385" spans="1:5" x14ac:dyDescent="0.3">
      <c r="A385" s="127" t="s">
        <v>1623</v>
      </c>
      <c r="B385" s="127" t="s">
        <v>1624</v>
      </c>
      <c r="C385" s="403">
        <v>32</v>
      </c>
      <c r="D385" s="127" t="s">
        <v>821</v>
      </c>
      <c r="E385" s="127" t="s">
        <v>1625</v>
      </c>
    </row>
    <row r="386" spans="1:5" x14ac:dyDescent="0.3">
      <c r="A386" s="127" t="s">
        <v>1393</v>
      </c>
      <c r="B386" s="127" t="s">
        <v>1526</v>
      </c>
      <c r="C386" s="403">
        <v>32</v>
      </c>
      <c r="D386" s="127" t="s">
        <v>821</v>
      </c>
      <c r="E386" s="127" t="s">
        <v>1626</v>
      </c>
    </row>
    <row r="387" spans="1:5" x14ac:dyDescent="0.3">
      <c r="A387" s="127" t="s">
        <v>1294</v>
      </c>
    </row>
    <row r="388" spans="1:5" x14ac:dyDescent="0.3">
      <c r="A388" s="127" t="s">
        <v>1548</v>
      </c>
      <c r="B388" s="127" t="s">
        <v>1627</v>
      </c>
      <c r="C388" s="403">
        <v>32</v>
      </c>
      <c r="D388" s="127" t="s">
        <v>1225</v>
      </c>
      <c r="E388" s="127" t="s">
        <v>1628</v>
      </c>
    </row>
    <row r="389" spans="1:5" x14ac:dyDescent="0.3">
      <c r="A389" s="127" t="s">
        <v>1393</v>
      </c>
      <c r="B389" s="127" t="s">
        <v>1406</v>
      </c>
      <c r="C389" s="403">
        <v>32</v>
      </c>
      <c r="D389" s="127" t="s">
        <v>1114</v>
      </c>
      <c r="E389" s="127" t="s">
        <v>1629</v>
      </c>
    </row>
    <row r="390" spans="1:5" x14ac:dyDescent="0.3">
      <c r="A390" s="127" t="s">
        <v>1310</v>
      </c>
      <c r="B390" s="127" t="s">
        <v>1630</v>
      </c>
      <c r="C390" s="403">
        <v>32</v>
      </c>
      <c r="D390" s="127" t="s">
        <v>1120</v>
      </c>
      <c r="E390" s="127" t="s">
        <v>1633</v>
      </c>
    </row>
    <row r="391" spans="1:5" x14ac:dyDescent="0.3">
      <c r="A391" s="127" t="s">
        <v>1310</v>
      </c>
      <c r="B391" s="127" t="s">
        <v>1631</v>
      </c>
      <c r="C391" s="403">
        <v>32</v>
      </c>
      <c r="D391" s="127" t="s">
        <v>1121</v>
      </c>
      <c r="E391" s="127" t="s">
        <v>1634</v>
      </c>
    </row>
    <row r="392" spans="1:5" x14ac:dyDescent="0.3">
      <c r="A392" s="127" t="s">
        <v>1310</v>
      </c>
      <c r="B392" s="127" t="s">
        <v>1632</v>
      </c>
      <c r="C392" s="403">
        <v>32</v>
      </c>
      <c r="D392" s="127" t="s">
        <v>1122</v>
      </c>
      <c r="E392" s="127" t="s">
        <v>1635</v>
      </c>
    </row>
    <row r="394" spans="1:5" x14ac:dyDescent="0.3">
      <c r="A394" s="127" t="s">
        <v>1295</v>
      </c>
    </row>
    <row r="395" spans="1:5" x14ac:dyDescent="0.3">
      <c r="A395" s="127" t="str">
        <f>IF('Register Configuration'!F19 = 2,"", "#") &amp; "memory clrbit"</f>
        <v>memory clrbit</v>
      </c>
      <c r="B395" s="127" t="s">
        <v>1636</v>
      </c>
      <c r="C395" s="403">
        <v>32</v>
      </c>
      <c r="D395" s="127" t="s">
        <v>821</v>
      </c>
      <c r="E395" s="127" t="s">
        <v>1637</v>
      </c>
    </row>
    <row r="396" spans="1:5" x14ac:dyDescent="0.3">
      <c r="A396" s="127" t="str">
        <f>IF('Register Configuration'!F19 = 2,"", "#") &amp; "memory setbit"</f>
        <v>memory setbit</v>
      </c>
      <c r="B396" s="127" t="s">
        <v>1594</v>
      </c>
      <c r="C396" s="403">
        <v>32</v>
      </c>
      <c r="D396" s="127" t="s">
        <v>821</v>
      </c>
      <c r="E396" s="127" t="s">
        <v>1638</v>
      </c>
    </row>
    <row r="397" spans="1:5" x14ac:dyDescent="0.3">
      <c r="A397" s="127" t="s">
        <v>1294</v>
      </c>
    </row>
    <row r="398" spans="1:5" x14ac:dyDescent="0.3">
      <c r="A398" s="127" t="str">
        <f>IF('Register Configuration'!F19 = 2,"", "#") &amp; "memory chkbit1"</f>
        <v>memory chkbit1</v>
      </c>
      <c r="B398" s="127" t="s">
        <v>1639</v>
      </c>
      <c r="C398" s="403">
        <v>32</v>
      </c>
      <c r="D398" s="127" t="s">
        <v>1225</v>
      </c>
      <c r="E398" s="127" t="s">
        <v>1640</v>
      </c>
    </row>
    <row r="399" spans="1:5" x14ac:dyDescent="0.3">
      <c r="A399" s="127" t="str">
        <f>IF('Register Configuration'!F19 = 2,"", "#") &amp; "memory setbit"</f>
        <v>memory setbit</v>
      </c>
      <c r="B399" s="127" t="s">
        <v>1453</v>
      </c>
      <c r="C399" s="403">
        <v>32</v>
      </c>
      <c r="D399" s="127" t="s">
        <v>1114</v>
      </c>
      <c r="E399" s="127" t="s">
        <v>1641</v>
      </c>
    </row>
    <row r="400" spans="1:5" x14ac:dyDescent="0.3">
      <c r="A400" s="127" t="str">
        <f>IF('Register Configuration'!F19 = 2,"", "#") &amp; "memory set"</f>
        <v>memory set</v>
      </c>
      <c r="B400" s="127" t="s">
        <v>1642</v>
      </c>
      <c r="C400" s="403">
        <v>32</v>
      </c>
      <c r="D400" s="127" t="s">
        <v>1120</v>
      </c>
      <c r="E400" s="127" t="s">
        <v>1633</v>
      </c>
    </row>
    <row r="401" spans="1:5" x14ac:dyDescent="0.3">
      <c r="A401" s="127" t="str">
        <f>IF('Register Configuration'!F19 = 2,"", "#") &amp; "memory set"</f>
        <v>memory set</v>
      </c>
      <c r="B401" s="127" t="s">
        <v>1643</v>
      </c>
      <c r="C401" s="403">
        <v>32</v>
      </c>
      <c r="D401" s="127" t="s">
        <v>1121</v>
      </c>
      <c r="E401" s="127" t="s">
        <v>1634</v>
      </c>
    </row>
    <row r="402" spans="1:5" x14ac:dyDescent="0.3">
      <c r="A402" s="127" t="str">
        <f>IF('Register Configuration'!F19 = 2,"", "#") &amp; "memory set"</f>
        <v>memory set</v>
      </c>
      <c r="B402" s="127" t="s">
        <v>1644</v>
      </c>
      <c r="C402" s="403">
        <v>32</v>
      </c>
      <c r="D402" s="127" t="s">
        <v>1122</v>
      </c>
      <c r="E402" s="127" t="s">
        <v>1635</v>
      </c>
    </row>
    <row r="404" spans="1:5" x14ac:dyDescent="0.3">
      <c r="A404" s="127" t="s">
        <v>1296</v>
      </c>
    </row>
    <row r="405" spans="1:5" x14ac:dyDescent="0.3">
      <c r="A405" s="127" t="s">
        <v>2201</v>
      </c>
    </row>
    <row r="406" spans="1:5" x14ac:dyDescent="0.3">
      <c r="A406" s="127" t="s">
        <v>1297</v>
      </c>
    </row>
    <row r="407" spans="1:5" x14ac:dyDescent="0.3">
      <c r="A407" s="127" t="s">
        <v>1310</v>
      </c>
      <c r="B407" s="127" t="s">
        <v>1645</v>
      </c>
      <c r="C407" s="403">
        <v>32</v>
      </c>
      <c r="D407" s="128" t="str">
        <f>'Register Configuration'!J575</f>
        <v>0x000031C7</v>
      </c>
      <c r="E407" s="127" t="s">
        <v>1780</v>
      </c>
    </row>
    <row r="408" spans="1:5" x14ac:dyDescent="0.3">
      <c r="A408" s="127" t="s">
        <v>1310</v>
      </c>
      <c r="B408" s="127" t="s">
        <v>1646</v>
      </c>
      <c r="C408" s="403">
        <v>32</v>
      </c>
      <c r="D408" s="128" t="str">
        <f>'Register Configuration'!J567</f>
        <v>0x00030236</v>
      </c>
      <c r="E408" s="127" t="s">
        <v>1781</v>
      </c>
    </row>
    <row r="410" spans="1:5" x14ac:dyDescent="0.3">
      <c r="A410" s="127" t="s">
        <v>1298</v>
      </c>
    </row>
    <row r="411" spans="1:5" x14ac:dyDescent="0.3">
      <c r="A411" s="127" t="s">
        <v>1310</v>
      </c>
      <c r="B411" s="127" t="s">
        <v>1434</v>
      </c>
      <c r="C411" s="403">
        <v>32</v>
      </c>
      <c r="D411" s="127" t="s">
        <v>1647</v>
      </c>
      <c r="E411" s="127" t="s">
        <v>1437</v>
      </c>
    </row>
    <row r="412" spans="1:5" x14ac:dyDescent="0.3">
      <c r="A412" s="127" t="s">
        <v>1310</v>
      </c>
      <c r="B412" s="127" t="s">
        <v>1434</v>
      </c>
      <c r="C412" s="403">
        <v>32</v>
      </c>
      <c r="D412" s="127" t="s">
        <v>1648</v>
      </c>
      <c r="E412" s="127" t="s">
        <v>1437</v>
      </c>
    </row>
    <row r="413" spans="1:5" x14ac:dyDescent="0.3">
      <c r="A413" s="127" t="s">
        <v>1548</v>
      </c>
      <c r="B413" s="127" t="s">
        <v>1549</v>
      </c>
      <c r="C413" s="403">
        <v>32</v>
      </c>
      <c r="D413" s="127" t="s">
        <v>785</v>
      </c>
      <c r="E413" s="127" t="s">
        <v>1550</v>
      </c>
    </row>
    <row r="415" spans="1:5" x14ac:dyDescent="0.3">
      <c r="A415" s="127" t="str">
        <f>IF('Register Configuration'!F19 = 2,"", "#") &amp; "memory set"</f>
        <v>memory set</v>
      </c>
      <c r="B415" s="127" t="s">
        <v>1649</v>
      </c>
      <c r="C415" s="403">
        <v>32</v>
      </c>
      <c r="D415" s="128" t="str">
        <f>'Register Configuration'!J575</f>
        <v>0x000031C7</v>
      </c>
      <c r="E415" s="127" t="s">
        <v>1782</v>
      </c>
    </row>
    <row r="416" spans="1:5" x14ac:dyDescent="0.3">
      <c r="A416" s="127" t="str">
        <f>IF('Register Configuration'!F19 = 2,"", "#") &amp; "memory set"</f>
        <v>memory set</v>
      </c>
      <c r="B416" s="127" t="s">
        <v>1650</v>
      </c>
      <c r="C416" s="403">
        <v>32</v>
      </c>
      <c r="D416" s="128" t="str">
        <f>'Register Configuration'!J567</f>
        <v>0x00030236</v>
      </c>
      <c r="E416" s="127" t="s">
        <v>1783</v>
      </c>
    </row>
    <row r="418" spans="1:5" x14ac:dyDescent="0.3">
      <c r="A418" s="127" t="s">
        <v>1298</v>
      </c>
    </row>
    <row r="419" spans="1:5" x14ac:dyDescent="0.3">
      <c r="A419" s="127" t="str">
        <f>IF('Register Configuration'!F19 = 2,"", "#") &amp; "memory set"</f>
        <v>memory set</v>
      </c>
      <c r="B419" s="127" t="s">
        <v>1480</v>
      </c>
      <c r="C419" s="403">
        <v>32</v>
      </c>
      <c r="D419" s="127" t="s">
        <v>1647</v>
      </c>
      <c r="E419" s="127" t="s">
        <v>1481</v>
      </c>
    </row>
    <row r="420" spans="1:5" x14ac:dyDescent="0.3">
      <c r="A420" s="127" t="str">
        <f>IF('Register Configuration'!F19 = 2,"", "#") &amp; "memory set"</f>
        <v>memory set</v>
      </c>
      <c r="B420" s="127" t="s">
        <v>1480</v>
      </c>
      <c r="C420" s="403">
        <v>32</v>
      </c>
      <c r="D420" s="127" t="s">
        <v>1648</v>
      </c>
      <c r="E420" s="127" t="s">
        <v>1481</v>
      </c>
    </row>
    <row r="421" spans="1:5" x14ac:dyDescent="0.3">
      <c r="A421" s="127" t="str">
        <f>IF('Register Configuration'!F19 = 2,"", "#") &amp; "memory chkbit1"</f>
        <v>memory chkbit1</v>
      </c>
      <c r="B421" s="127" t="s">
        <v>1617</v>
      </c>
      <c r="C421" s="403">
        <v>32</v>
      </c>
      <c r="D421" s="127" t="s">
        <v>785</v>
      </c>
      <c r="E421" s="127" t="s">
        <v>1618</v>
      </c>
    </row>
    <row r="423" spans="1:5" x14ac:dyDescent="0.3">
      <c r="A423" s="127" t="s">
        <v>1299</v>
      </c>
    </row>
    <row r="424" spans="1:5" x14ac:dyDescent="0.3">
      <c r="A424" s="127" t="s">
        <v>2202</v>
      </c>
    </row>
    <row r="425" spans="1:5" x14ac:dyDescent="0.3">
      <c r="A425" s="127" t="s">
        <v>1310</v>
      </c>
      <c r="B425" s="127" t="s">
        <v>1651</v>
      </c>
      <c r="C425" s="403">
        <v>32</v>
      </c>
      <c r="D425" s="128" t="str">
        <f>'Register Configuration'!J555</f>
        <v>0x012240B3</v>
      </c>
      <c r="E425" s="127" t="s">
        <v>1652</v>
      </c>
    </row>
    <row r="426" spans="1:5" x14ac:dyDescent="0.3">
      <c r="A426" s="127" t="s">
        <v>1300</v>
      </c>
    </row>
    <row r="427" spans="1:5" x14ac:dyDescent="0.3">
      <c r="A427" s="127" t="s">
        <v>1310</v>
      </c>
      <c r="B427" s="127" t="s">
        <v>1434</v>
      </c>
      <c r="C427" s="403">
        <v>32</v>
      </c>
      <c r="D427" s="127" t="s">
        <v>1653</v>
      </c>
      <c r="E427" s="127" t="s">
        <v>1437</v>
      </c>
    </row>
    <row r="428" spans="1:5" x14ac:dyDescent="0.3">
      <c r="A428" s="127" t="s">
        <v>1310</v>
      </c>
      <c r="B428" s="127" t="s">
        <v>1434</v>
      </c>
      <c r="C428" s="403">
        <v>32</v>
      </c>
      <c r="D428" s="127" t="s">
        <v>1654</v>
      </c>
      <c r="E428" s="127" t="s">
        <v>1437</v>
      </c>
    </row>
    <row r="429" spans="1:5" x14ac:dyDescent="0.3">
      <c r="A429" s="127" t="s">
        <v>1548</v>
      </c>
      <c r="B429" s="127" t="s">
        <v>1549</v>
      </c>
      <c r="C429" s="403">
        <v>32</v>
      </c>
      <c r="D429" s="127" t="s">
        <v>785</v>
      </c>
      <c r="E429" s="127" t="s">
        <v>1550</v>
      </c>
    </row>
    <row r="431" spans="1:5" x14ac:dyDescent="0.3">
      <c r="A431" s="127" t="str">
        <f>IF('Register Configuration'!F19 = 2,"", "#") &amp; "memory set"</f>
        <v>memory set</v>
      </c>
      <c r="B431" s="127" t="s">
        <v>1655</v>
      </c>
      <c r="C431" s="403">
        <v>32</v>
      </c>
      <c r="D431" s="128" t="str">
        <f>'Register Configuration'!J555</f>
        <v>0x012240B3</v>
      </c>
      <c r="E431" s="127" t="s">
        <v>1656</v>
      </c>
    </row>
    <row r="432" spans="1:5" x14ac:dyDescent="0.3">
      <c r="A432" s="127" t="s">
        <v>1300</v>
      </c>
    </row>
    <row r="433" spans="1:5" x14ac:dyDescent="0.3">
      <c r="A433" s="127" t="str">
        <f>IF('Register Configuration'!F19 = 2,"", "#") &amp; "memory set"</f>
        <v>memory set</v>
      </c>
      <c r="B433" s="127" t="s">
        <v>1480</v>
      </c>
      <c r="C433" s="403">
        <v>32</v>
      </c>
      <c r="D433" s="127" t="s">
        <v>1653</v>
      </c>
      <c r="E433" s="127" t="s">
        <v>1481</v>
      </c>
    </row>
    <row r="434" spans="1:5" x14ac:dyDescent="0.3">
      <c r="A434" s="127" t="str">
        <f>IF('Register Configuration'!F19 = 2,"", "#") &amp; "memory set"</f>
        <v>memory set</v>
      </c>
      <c r="B434" s="127" t="s">
        <v>1480</v>
      </c>
      <c r="C434" s="403">
        <v>32</v>
      </c>
      <c r="D434" s="127" t="s">
        <v>1654</v>
      </c>
      <c r="E434" s="127" t="s">
        <v>1481</v>
      </c>
    </row>
    <row r="435" spans="1:5" x14ac:dyDescent="0.3">
      <c r="A435" s="127" t="str">
        <f>IF('Register Configuration'!F19 = 2,"", "#") &amp; "memory chkbit1"</f>
        <v>memory chkbit1</v>
      </c>
      <c r="B435" s="127" t="s">
        <v>1617</v>
      </c>
      <c r="C435" s="403">
        <v>32</v>
      </c>
      <c r="D435" s="127" t="s">
        <v>785</v>
      </c>
      <c r="E435" s="127" t="s">
        <v>1618</v>
      </c>
    </row>
    <row r="437" spans="1:5" x14ac:dyDescent="0.3">
      <c r="A437" s="127" t="s">
        <v>1657</v>
      </c>
    </row>
    <row r="438" spans="1:5" x14ac:dyDescent="0.3">
      <c r="A438" s="127" t="s">
        <v>1310</v>
      </c>
      <c r="B438" s="127" t="s">
        <v>1651</v>
      </c>
      <c r="C438" s="403">
        <v>32</v>
      </c>
      <c r="D438" s="128" t="str">
        <f>'Register Configuration'!K555</f>
        <v>0x01224000</v>
      </c>
    </row>
    <row r="439" spans="1:5" x14ac:dyDescent="0.3">
      <c r="A439" s="127" t="s">
        <v>1301</v>
      </c>
    </row>
    <row r="440" spans="1:5" x14ac:dyDescent="0.3">
      <c r="A440" s="127" t="s">
        <v>1302</v>
      </c>
    </row>
    <row r="441" spans="1:5" x14ac:dyDescent="0.3">
      <c r="A441" s="127" t="s">
        <v>1303</v>
      </c>
    </row>
    <row r="442" spans="1:5" x14ac:dyDescent="0.3">
      <c r="A442" s="127" t="s">
        <v>1310</v>
      </c>
      <c r="B442" s="127" t="s">
        <v>1434</v>
      </c>
      <c r="C442" s="403">
        <v>32</v>
      </c>
      <c r="D442" s="127" t="s">
        <v>1154</v>
      </c>
      <c r="E442" s="127" t="s">
        <v>1437</v>
      </c>
    </row>
    <row r="443" spans="1:5" x14ac:dyDescent="0.3">
      <c r="A443" s="127" t="s">
        <v>1310</v>
      </c>
      <c r="B443" s="127" t="s">
        <v>1434</v>
      </c>
      <c r="C443" s="403">
        <v>32</v>
      </c>
      <c r="D443" s="127" t="s">
        <v>1155</v>
      </c>
      <c r="E443" s="127" t="s">
        <v>1437</v>
      </c>
    </row>
    <row r="444" spans="1:5" x14ac:dyDescent="0.3">
      <c r="A444" s="127" t="s">
        <v>1548</v>
      </c>
      <c r="B444" s="127" t="s">
        <v>1549</v>
      </c>
      <c r="C444" s="403">
        <v>32</v>
      </c>
      <c r="D444" s="127" t="s">
        <v>785</v>
      </c>
      <c r="E444" s="127" t="s">
        <v>1550</v>
      </c>
    </row>
    <row r="446" spans="1:5" x14ac:dyDescent="0.3">
      <c r="A446" s="127" t="str">
        <f>IF('Register Configuration'!F19 = 2,"", "#") &amp; "memory set"</f>
        <v>memory set</v>
      </c>
      <c r="B446" s="127" t="s">
        <v>1655</v>
      </c>
      <c r="C446" s="403">
        <v>32</v>
      </c>
      <c r="D446" s="128" t="str">
        <f>'Register Configuration'!K555</f>
        <v>0x01224000</v>
      </c>
    </row>
    <row r="447" spans="1:5" x14ac:dyDescent="0.3">
      <c r="A447" s="127" t="s">
        <v>1301</v>
      </c>
    </row>
    <row r="448" spans="1:5" x14ac:dyDescent="0.3">
      <c r="A448" s="127" t="s">
        <v>1302</v>
      </c>
    </row>
    <row r="449" spans="1:11" x14ac:dyDescent="0.3">
      <c r="A449" s="127" t="s">
        <v>1303</v>
      </c>
    </row>
    <row r="450" spans="1:11" x14ac:dyDescent="0.3">
      <c r="A450" s="127" t="str">
        <f>IF('Register Configuration'!F19 = 2,"", "#") &amp; "memory set"</f>
        <v>memory set</v>
      </c>
      <c r="B450" s="127" t="s">
        <v>1480</v>
      </c>
      <c r="C450" s="403">
        <v>32</v>
      </c>
      <c r="D450" s="127" t="s">
        <v>1154</v>
      </c>
      <c r="E450" s="127" t="s">
        <v>1481</v>
      </c>
    </row>
    <row r="451" spans="1:11" x14ac:dyDescent="0.3">
      <c r="A451" s="127" t="str">
        <f>IF('Register Configuration'!F19 = 2,"", "#") &amp; "memory set"</f>
        <v>memory set</v>
      </c>
      <c r="B451" s="127" t="s">
        <v>1480</v>
      </c>
      <c r="C451" s="403">
        <v>32</v>
      </c>
      <c r="D451" s="127" t="s">
        <v>1155</v>
      </c>
      <c r="E451" s="127" t="s">
        <v>1481</v>
      </c>
    </row>
    <row r="452" spans="1:11" x14ac:dyDescent="0.3">
      <c r="A452" s="127" t="str">
        <f>IF('Register Configuration'!F19 = 2,"", "#") &amp; "memory chkbit1"</f>
        <v>memory chkbit1</v>
      </c>
      <c r="B452" s="127" t="s">
        <v>1617</v>
      </c>
      <c r="C452" s="403">
        <v>32</v>
      </c>
      <c r="D452" s="127" t="s">
        <v>785</v>
      </c>
      <c r="E452" s="127" t="s">
        <v>1618</v>
      </c>
    </row>
    <row r="453" spans="1:11" s="127" customFormat="1" x14ac:dyDescent="0.3">
      <c r="C453" s="403"/>
    </row>
    <row r="454" spans="1:11" x14ac:dyDescent="0.3">
      <c r="A454" s="128" t="str">
        <f>IF('Register Configuration'!L31= "enable",  "# run rdbi deskew training", "")</f>
        <v># run rdbi deskew training</v>
      </c>
      <c r="B454" s="128"/>
      <c r="I454"/>
      <c r="J454"/>
      <c r="K454"/>
    </row>
    <row r="455" spans="1:11" x14ac:dyDescent="0.3">
      <c r="A455" s="128" t="str">
        <f>IF('Register Configuration'!L31= "enable",  "RDBI_bit_deskew 0 ", "")</f>
        <v xml:space="preserve">RDBI_bit_deskew 0 </v>
      </c>
      <c r="B455" s="128"/>
      <c r="I455"/>
      <c r="J455"/>
      <c r="K455"/>
    </row>
    <row r="456" spans="1:11" x14ac:dyDescent="0.3">
      <c r="A456" s="128" t="str">
        <f>IF('Register Configuration'!L31= "enable",  IF('Register Configuration'!F19=2, "RDBI_bit_deskew 1 ", "#RDBI_bit_deskew 1"), "")</f>
        <v xml:space="preserve">RDBI_bit_deskew 1 </v>
      </c>
      <c r="B456" s="128"/>
      <c r="I456"/>
      <c r="J456"/>
      <c r="K456"/>
    </row>
    <row r="458" spans="1:11" x14ac:dyDescent="0.3">
      <c r="A458" s="127" t="s">
        <v>2218</v>
      </c>
    </row>
    <row r="459" spans="1:11" x14ac:dyDescent="0.3">
      <c r="A459" s="127" t="s">
        <v>2228</v>
      </c>
    </row>
    <row r="460" spans="1:11" x14ac:dyDescent="0.3">
      <c r="A460" s="127" t="s">
        <v>2229</v>
      </c>
    </row>
    <row r="462" spans="1:11" x14ac:dyDescent="0.3">
      <c r="A462" s="127" t="s">
        <v>1310</v>
      </c>
      <c r="B462" s="127" t="s">
        <v>2210</v>
      </c>
      <c r="C462" s="403">
        <v>32</v>
      </c>
      <c r="D462" s="127" t="s">
        <v>2206</v>
      </c>
      <c r="E462" s="127" t="s">
        <v>2208</v>
      </c>
    </row>
    <row r="463" spans="1:11" x14ac:dyDescent="0.3">
      <c r="A463" s="127" t="str">
        <f>IF('Register Configuration'!F19 = 2,"", "#") &amp; "memory set"</f>
        <v>memory set</v>
      </c>
      <c r="B463" s="127" t="s">
        <v>2211</v>
      </c>
      <c r="C463" s="403">
        <v>32</v>
      </c>
      <c r="D463" s="127" t="s">
        <v>2206</v>
      </c>
      <c r="E463" s="127" t="s">
        <v>2209</v>
      </c>
    </row>
    <row r="465" spans="1:5" x14ac:dyDescent="0.3">
      <c r="A465" s="127" t="s">
        <v>1304</v>
      </c>
    </row>
    <row r="466" spans="1:5" x14ac:dyDescent="0.3">
      <c r="A466" s="127" t="s">
        <v>1623</v>
      </c>
      <c r="B466" s="127" t="s">
        <v>1406</v>
      </c>
      <c r="C466" s="403">
        <v>32</v>
      </c>
      <c r="D466" s="127" t="s">
        <v>1114</v>
      </c>
      <c r="E466" s="127" t="s">
        <v>1658</v>
      </c>
    </row>
    <row r="467" spans="1:5" x14ac:dyDescent="0.3">
      <c r="A467" s="127" t="str">
        <f>IF('Register Configuration'!F19 = 2,"", "#") &amp; "memory clrbit"</f>
        <v>memory clrbit</v>
      </c>
      <c r="B467" s="127" t="s">
        <v>1453</v>
      </c>
      <c r="C467" s="403">
        <v>32</v>
      </c>
      <c r="D467" s="127" t="s">
        <v>1114</v>
      </c>
      <c r="E467" s="127" t="s">
        <v>1659</v>
      </c>
    </row>
    <row r="469" spans="1:5" x14ac:dyDescent="0.3">
      <c r="A469" s="127" t="s">
        <v>1305</v>
      </c>
    </row>
    <row r="470" spans="1:5" x14ac:dyDescent="0.3">
      <c r="A470" s="127" t="s">
        <v>1306</v>
      </c>
    </row>
    <row r="471" spans="1:5" x14ac:dyDescent="0.3">
      <c r="A471" s="127" t="s">
        <v>1305</v>
      </c>
    </row>
    <row r="472" spans="1:5" x14ac:dyDescent="0.3">
      <c r="A472" s="127" t="s">
        <v>1623</v>
      </c>
      <c r="B472" s="127" t="s">
        <v>1660</v>
      </c>
      <c r="C472" s="403">
        <v>32</v>
      </c>
      <c r="D472" s="127" t="s">
        <v>1167</v>
      </c>
      <c r="E472" s="127" t="s">
        <v>1668</v>
      </c>
    </row>
    <row r="473" spans="1:5" x14ac:dyDescent="0.3">
      <c r="A473" s="127" t="s">
        <v>1623</v>
      </c>
      <c r="B473" s="127" t="s">
        <v>1661</v>
      </c>
      <c r="C473" s="403">
        <v>32</v>
      </c>
      <c r="D473" s="127" t="s">
        <v>1167</v>
      </c>
      <c r="E473" s="127" t="s">
        <v>1669</v>
      </c>
    </row>
    <row r="474" spans="1:5" x14ac:dyDescent="0.3">
      <c r="A474" s="127" t="s">
        <v>1623</v>
      </c>
      <c r="B474" s="127" t="s">
        <v>1662</v>
      </c>
      <c r="C474" s="403">
        <v>32</v>
      </c>
      <c r="D474" s="127" t="s">
        <v>1167</v>
      </c>
      <c r="E474" s="127" t="s">
        <v>1670</v>
      </c>
    </row>
    <row r="475" spans="1:5" x14ac:dyDescent="0.3">
      <c r="A475" s="127" t="s">
        <v>1623</v>
      </c>
      <c r="B475" s="127" t="s">
        <v>1663</v>
      </c>
      <c r="C475" s="403">
        <v>32</v>
      </c>
      <c r="D475" s="127" t="s">
        <v>1167</v>
      </c>
      <c r="E475" s="127" t="s">
        <v>1671</v>
      </c>
    </row>
    <row r="476" spans="1:5" x14ac:dyDescent="0.3">
      <c r="A476" s="127" t="str">
        <f>IF('Register Configuration'!F19 = 2,"", "#") &amp; "memory clrbit"</f>
        <v>memory clrbit</v>
      </c>
      <c r="B476" s="127" t="s">
        <v>1664</v>
      </c>
      <c r="C476" s="403">
        <v>32</v>
      </c>
      <c r="D476" s="127" t="s">
        <v>1167</v>
      </c>
      <c r="E476" s="127" t="s">
        <v>1672</v>
      </c>
    </row>
    <row r="477" spans="1:5" x14ac:dyDescent="0.3">
      <c r="A477" s="127" t="str">
        <f>IF('Register Configuration'!F19 = 2,"", "#") &amp; "memory clrbit"</f>
        <v>memory clrbit</v>
      </c>
      <c r="B477" s="127" t="s">
        <v>1665</v>
      </c>
      <c r="C477" s="403">
        <v>32</v>
      </c>
      <c r="D477" s="127" t="s">
        <v>1167</v>
      </c>
      <c r="E477" s="127" t="s">
        <v>1673</v>
      </c>
    </row>
    <row r="478" spans="1:5" x14ac:dyDescent="0.3">
      <c r="A478" s="127" t="str">
        <f>IF('Register Configuration'!F19 = 2,"", "#") &amp; "memory clrbit"</f>
        <v>memory clrbit</v>
      </c>
      <c r="B478" s="127" t="s">
        <v>1666</v>
      </c>
      <c r="C478" s="403">
        <v>32</v>
      </c>
      <c r="D478" s="127" t="s">
        <v>1167</v>
      </c>
      <c r="E478" s="127" t="s">
        <v>1674</v>
      </c>
    </row>
    <row r="479" spans="1:5" x14ac:dyDescent="0.3">
      <c r="A479" s="127" t="str">
        <f>IF('Register Configuration'!F19 = 2,"", "#") &amp; "memory clrbit"</f>
        <v>memory clrbit</v>
      </c>
      <c r="B479" s="127" t="s">
        <v>1667</v>
      </c>
      <c r="C479" s="403">
        <v>32</v>
      </c>
      <c r="D479" s="127" t="s">
        <v>1167</v>
      </c>
      <c r="E479" s="127" t="s">
        <v>1675</v>
      </c>
    </row>
    <row r="481" spans="1:5" x14ac:dyDescent="0.3">
      <c r="A481" s="127" t="s">
        <v>1307</v>
      </c>
    </row>
    <row r="482" spans="1:5" x14ac:dyDescent="0.3">
      <c r="A482" s="127" t="s">
        <v>1310</v>
      </c>
      <c r="B482" s="127" t="s">
        <v>1624</v>
      </c>
      <c r="C482" s="403">
        <v>32</v>
      </c>
      <c r="D482" s="127" t="s">
        <v>1170</v>
      </c>
      <c r="E482" s="127" t="s">
        <v>1678</v>
      </c>
    </row>
    <row r="483" spans="1:5" x14ac:dyDescent="0.3">
      <c r="A483" s="127" t="s">
        <v>1310</v>
      </c>
      <c r="B483" s="127" t="s">
        <v>1676</v>
      </c>
      <c r="C483" s="403">
        <v>32</v>
      </c>
      <c r="D483" s="127" t="s">
        <v>1171</v>
      </c>
      <c r="E483" s="127" t="s">
        <v>1679</v>
      </c>
    </row>
    <row r="484" spans="1:5" x14ac:dyDescent="0.3">
      <c r="A484" s="127" t="s">
        <v>1310</v>
      </c>
      <c r="B484" s="127" t="s">
        <v>1677</v>
      </c>
      <c r="C484" s="403">
        <v>32</v>
      </c>
      <c r="D484" s="127" t="s">
        <v>1172</v>
      </c>
      <c r="E484" s="127" t="s">
        <v>1680</v>
      </c>
    </row>
    <row r="485" spans="1:5" x14ac:dyDescent="0.3">
      <c r="A485" s="127" t="s">
        <v>1308</v>
      </c>
    </row>
    <row r="486" spans="1:5" x14ac:dyDescent="0.3">
      <c r="A486" s="127" t="s">
        <v>1548</v>
      </c>
      <c r="B486" s="127" t="s">
        <v>1681</v>
      </c>
      <c r="C486" s="403">
        <v>32</v>
      </c>
      <c r="D486" s="127" t="s">
        <v>785</v>
      </c>
      <c r="E486" s="127" t="s">
        <v>1682</v>
      </c>
    </row>
    <row r="488" spans="1:5" x14ac:dyDescent="0.3">
      <c r="A488" s="127" t="str">
        <f>IF('Register Configuration'!F19 = 2,"", "#") &amp; "memory set"</f>
        <v>memory set</v>
      </c>
      <c r="B488" s="127" t="s">
        <v>1636</v>
      </c>
      <c r="C488" s="403">
        <v>32</v>
      </c>
      <c r="D488" s="127" t="s">
        <v>1170</v>
      </c>
      <c r="E488" s="127" t="s">
        <v>1685</v>
      </c>
    </row>
    <row r="489" spans="1:5" x14ac:dyDescent="0.3">
      <c r="A489" s="127" t="str">
        <f>IF('Register Configuration'!F19 = 2,"", "#") &amp; "memory set"</f>
        <v>memory set</v>
      </c>
      <c r="B489" s="127" t="s">
        <v>1683</v>
      </c>
      <c r="C489" s="403">
        <v>32</v>
      </c>
      <c r="D489" s="127" t="s">
        <v>1171</v>
      </c>
      <c r="E489" s="127" t="s">
        <v>1686</v>
      </c>
    </row>
    <row r="490" spans="1:5" x14ac:dyDescent="0.3">
      <c r="A490" s="127" t="str">
        <f>IF('Register Configuration'!F19 = 2,"", "#") &amp; "memory set"</f>
        <v>memory set</v>
      </c>
      <c r="B490" s="127" t="s">
        <v>1684</v>
      </c>
      <c r="C490" s="403">
        <v>32</v>
      </c>
      <c r="D490" s="127" t="s">
        <v>1172</v>
      </c>
      <c r="E490" s="127" t="s">
        <v>1687</v>
      </c>
    </row>
    <row r="492" spans="1:5" x14ac:dyDescent="0.3">
      <c r="A492" s="127" t="s">
        <v>2022</v>
      </c>
    </row>
    <row r="493" spans="1:5" x14ac:dyDescent="0.3">
      <c r="A493" s="127" t="s">
        <v>1310</v>
      </c>
      <c r="B493" s="127" t="s">
        <v>2020</v>
      </c>
      <c r="C493" s="403">
        <v>32</v>
      </c>
      <c r="D493" s="127" t="s">
        <v>1145</v>
      </c>
    </row>
    <row r="494" spans="1:5" x14ac:dyDescent="0.3">
      <c r="A494" s="127" t="str">
        <f>IF('Register Configuration'!F19 = 2,"", "#") &amp; "memory set"</f>
        <v>memory set</v>
      </c>
      <c r="B494" s="127" t="s">
        <v>2021</v>
      </c>
      <c r="C494" s="403">
        <v>32</v>
      </c>
      <c r="D494" s="127" t="s">
        <v>1145</v>
      </c>
    </row>
    <row r="496" spans="1:5" x14ac:dyDescent="0.3">
      <c r="A496" s="127" t="s">
        <v>1309</v>
      </c>
    </row>
    <row r="497" spans="1:5" x14ac:dyDescent="0.3">
      <c r="A497" s="127" t="s">
        <v>1623</v>
      </c>
      <c r="B497" s="127" t="s">
        <v>1526</v>
      </c>
      <c r="C497" s="403">
        <v>32</v>
      </c>
      <c r="D497" s="127" t="s">
        <v>821</v>
      </c>
      <c r="E497" s="127" t="s">
        <v>1688</v>
      </c>
    </row>
    <row r="498" spans="1:5" x14ac:dyDescent="0.3">
      <c r="A498" s="127" t="str">
        <f>IF('Register Configuration'!F19 = 2,"", "#") &amp; "memory clrbit"</f>
        <v>memory clrbit</v>
      </c>
      <c r="B498" s="127" t="s">
        <v>1594</v>
      </c>
      <c r="C498" s="403">
        <v>32</v>
      </c>
      <c r="D498" s="127" t="s">
        <v>821</v>
      </c>
      <c r="E498" s="127" t="s">
        <v>1689</v>
      </c>
    </row>
    <row r="500" spans="1:5" x14ac:dyDescent="0.3">
      <c r="A500" s="127" t="s">
        <v>1308</v>
      </c>
    </row>
    <row r="501" spans="1:5" x14ac:dyDescent="0.3">
      <c r="A501" s="127" t="str">
        <f>IF('Register Configuration'!F19 = 2,"", "#") &amp; "memory chkbit1"</f>
        <v>memory chkbit1</v>
      </c>
      <c r="B501" s="127" t="s">
        <v>1690</v>
      </c>
      <c r="C501" s="403">
        <v>32</v>
      </c>
      <c r="D501" s="127" t="s">
        <v>785</v>
      </c>
      <c r="E501" s="127" t="s">
        <v>1691</v>
      </c>
    </row>
    <row r="503" spans="1:5" x14ac:dyDescent="0.3">
      <c r="A503" s="128" t="str">
        <f>IF('Register Configuration'!F19 = 2,"", "# Following are needed when configuring for one DRC")</f>
        <v/>
      </c>
      <c r="B503" s="128"/>
      <c r="C503" s="128"/>
      <c r="D503" s="128"/>
      <c r="E503" s="128"/>
    </row>
    <row r="504" spans="1:5" x14ac:dyDescent="0.3">
      <c r="A504" s="128" t="str">
        <f>IF('Register Configuration'!F19 = 2,"", "memory set")</f>
        <v/>
      </c>
      <c r="B504" s="128" t="str">
        <f>IF('Register Configuration'!F19 = 2,"", "0x5C400000")</f>
        <v/>
      </c>
      <c r="C504" s="494" t="str">
        <f>IF('Register Configuration'!F19 = 2,"", "32")</f>
        <v/>
      </c>
      <c r="D504" s="495" t="str">
        <f>IF('Register Configuration'!F19 = 2,"", "3")</f>
        <v/>
      </c>
    </row>
    <row r="505" spans="1:5" x14ac:dyDescent="0.3">
      <c r="A505" s="128" t="str">
        <f>IF('Register Configuration'!F19 = 2,"", "memory set")</f>
        <v/>
      </c>
      <c r="B505" s="128" t="str">
        <f>IF('Register Configuration'!F19 = 2,"", "0x5C410000")</f>
        <v/>
      </c>
      <c r="C505" s="494" t="str">
        <f>IF('Register Configuration'!F19 = 2,"", "32")</f>
        <v/>
      </c>
      <c r="D505" s="495" t="str">
        <f>IF('Register Configuration'!F19 = 2,"", "3")</f>
        <v/>
      </c>
    </row>
    <row r="506" spans="1:5" x14ac:dyDescent="0.3">
      <c r="A506" s="128" t="str">
        <f>IF('Register Configuration'!F19 = 2,"", "memory set")</f>
        <v/>
      </c>
      <c r="B506" s="128" t="str">
        <f>IF('Register Configuration'!F19 = 2,"", "0x5C420000")</f>
        <v/>
      </c>
      <c r="C506" s="494" t="str">
        <f>IF('Register Configuration'!F19 = 2,"", "32")</f>
        <v/>
      </c>
      <c r="D506" s="495" t="str">
        <f>IF('Register Configuration'!F19 = 2,"", "3")</f>
        <v/>
      </c>
    </row>
    <row r="507" spans="1:5" x14ac:dyDescent="0.3">
      <c r="A507" s="128" t="str">
        <f>IF('Register Configuration'!F19 = 2,"", "memory set")</f>
        <v/>
      </c>
      <c r="B507" s="128" t="str">
        <f>IF('Register Configuration'!F19 = 2,"", "0x5C430000")</f>
        <v/>
      </c>
      <c r="C507" s="494" t="str">
        <f>IF('Register Configuration'!F19 = 2,"", "32")</f>
        <v/>
      </c>
      <c r="D507" s="495" t="str">
        <f>IF('Register Configuration'!F19 = 2,"", "3")</f>
        <v/>
      </c>
    </row>
    <row r="508" spans="1:5" x14ac:dyDescent="0.3">
      <c r="A508" s="128" t="str">
        <f>IF('Register Configuration'!F19 = 2,"", "memory set")</f>
        <v/>
      </c>
      <c r="B508" s="128" t="str">
        <f>IF('Register Configuration'!F19 = 2,"", "0x5C500000")</f>
        <v/>
      </c>
      <c r="C508" s="494" t="str">
        <f>IF('Register Configuration'!F19 = 2,"", "32")</f>
        <v/>
      </c>
      <c r="D508" s="495" t="str">
        <f>IF('Register Configuration'!F19 = 2,"", "3")</f>
        <v/>
      </c>
    </row>
    <row r="509" spans="1:5" x14ac:dyDescent="0.3">
      <c r="A509" s="128" t="str">
        <f>IF('Register Configuration'!F19 = 2,"", "memory set")</f>
        <v/>
      </c>
      <c r="B509" s="128" t="str">
        <f>IF('Register Configuration'!F19 = 2,"", "0x5C510000")</f>
        <v/>
      </c>
      <c r="C509" s="494" t="str">
        <f>IF('Register Configuration'!F19 = 2,"", "32")</f>
        <v/>
      </c>
      <c r="D509" s="495" t="str">
        <f>IF('Register Configuration'!F19 = 2,"", "3")</f>
        <v/>
      </c>
    </row>
    <row r="510" spans="1:5" x14ac:dyDescent="0.3">
      <c r="A510" s="128" t="str">
        <f>IF('Register Configuration'!F19 = 2,"", "memory set")</f>
        <v/>
      </c>
      <c r="B510" s="128" t="str">
        <f>IF('Register Configuration'!F19 = 2,"", "0x5C520000")</f>
        <v/>
      </c>
      <c r="C510" s="494" t="str">
        <f>IF('Register Configuration'!F19 = 2,"", "32")</f>
        <v/>
      </c>
      <c r="D510" s="495" t="str">
        <f>IF('Register Configuration'!F19 = 2,"", "3")</f>
        <v/>
      </c>
    </row>
    <row r="511" spans="1:5" x14ac:dyDescent="0.3">
      <c r="A511" s="128" t="str">
        <f>IF('Register Configuration'!F19 = 2,"", "memory set")</f>
        <v/>
      </c>
      <c r="B511" s="128" t="str">
        <f>IF('Register Configuration'!F19 = 2,"", "0x5C530000")</f>
        <v/>
      </c>
      <c r="C511" s="494" t="str">
        <f>IF('Register Configuration'!F19 = 2,"", "32")</f>
        <v/>
      </c>
      <c r="D511" s="495" t="str">
        <f>IF('Register Configuration'!F19 = 2,"", "3")</f>
        <v/>
      </c>
    </row>
    <row r="512" spans="1:5" x14ac:dyDescent="0.3">
      <c r="A512" s="128" t="str">
        <f>IF('Register Configuration'!F19 = 2,"", "memory set")</f>
        <v/>
      </c>
      <c r="B512" s="128" t="str">
        <f>IF('Register Configuration'!F19 = 2,"", "0x5C600000")</f>
        <v/>
      </c>
      <c r="C512" s="494" t="str">
        <f>IF('Register Configuration'!F19 = 2,"", "32")</f>
        <v/>
      </c>
      <c r="D512" s="495" t="str">
        <f>IF('Register Configuration'!F19 = 2,"", "3")</f>
        <v/>
      </c>
    </row>
    <row r="513" spans="1:4" x14ac:dyDescent="0.3">
      <c r="A513" s="128" t="str">
        <f>IF('Register Configuration'!F19 = 2,"", "memory set")</f>
        <v/>
      </c>
      <c r="B513" s="128" t="str">
        <f>IF('Register Configuration'!F19 = 2,"", "0x5C610000")</f>
        <v/>
      </c>
      <c r="C513" s="494" t="str">
        <f>IF('Register Configuration'!F19 = 2,"", "32")</f>
        <v/>
      </c>
      <c r="D513" s="495" t="str">
        <f>IF('Register Configuration'!F19 = 2,"", "3")</f>
        <v/>
      </c>
    </row>
    <row r="514" spans="1:4" x14ac:dyDescent="0.3">
      <c r="A514" s="128" t="str">
        <f>IF('Register Configuration'!F19 = 2,"", "memory set")</f>
        <v/>
      </c>
      <c r="B514" s="128" t="str">
        <f>IF('Register Configuration'!F19 = 2,"", "0x5C620000")</f>
        <v/>
      </c>
      <c r="C514" s="494" t="str">
        <f>IF('Register Configuration'!F19 = 2,"", "32")</f>
        <v/>
      </c>
      <c r="D514" s="495" t="str">
        <f>IF('Register Configuration'!F19 = 2,"", "3")</f>
        <v/>
      </c>
    </row>
    <row r="515" spans="1:4" x14ac:dyDescent="0.3">
      <c r="A515" s="128" t="str">
        <f>IF('Register Configuration'!F19 = 2,"", "memory set")</f>
        <v/>
      </c>
      <c r="B515" s="128" t="str">
        <f>IF('Register Configuration'!F19 = 2,"", "0x5C630000")</f>
        <v/>
      </c>
      <c r="C515" s="494" t="str">
        <f>IF('Register Configuration'!F19 = 2,"", "32")</f>
        <v/>
      </c>
      <c r="D515" s="495" t="str">
        <f>IF('Register Configuration'!F19 = 2,"", "3")</f>
        <v/>
      </c>
    </row>
    <row r="516" spans="1:4" x14ac:dyDescent="0.3">
      <c r="A516" s="128" t="str">
        <f>IF('Register Configuration'!F19 = 2,"", "memory set")</f>
        <v/>
      </c>
      <c r="B516" s="128" t="str">
        <f>IF('Register Configuration'!F19 = 2,"", "0x5C700000")</f>
        <v/>
      </c>
      <c r="C516" s="494" t="str">
        <f>IF('Register Configuration'!F19 = 2,"", "32")</f>
        <v/>
      </c>
      <c r="D516" s="495" t="str">
        <f>IF('Register Configuration'!F19 = 2,"", "3")</f>
        <v/>
      </c>
    </row>
    <row r="517" spans="1:4" x14ac:dyDescent="0.3">
      <c r="A517" s="128" t="str">
        <f>IF('Register Configuration'!F19 = 2,"", "memory set")</f>
        <v/>
      </c>
      <c r="B517" s="128" t="str">
        <f>IF('Register Configuration'!F19 = 2,"", "0x5C710000")</f>
        <v/>
      </c>
      <c r="C517" s="494" t="str">
        <f>IF('Register Configuration'!F19 = 2,"", "32")</f>
        <v/>
      </c>
      <c r="D517" s="495" t="str">
        <f>IF('Register Configuration'!F19 = 2,"", "3")</f>
        <v/>
      </c>
    </row>
    <row r="518" spans="1:4" x14ac:dyDescent="0.3">
      <c r="A518" s="128" t="str">
        <f>IF('Register Configuration'!F19 = 2,"", "memory set")</f>
        <v/>
      </c>
      <c r="B518" s="128" t="str">
        <f>IF('Register Configuration'!F19 = 2,"", "0x5C720000")</f>
        <v/>
      </c>
      <c r="C518" s="494" t="str">
        <f>IF('Register Configuration'!F19 = 2,"", "32")</f>
        <v/>
      </c>
      <c r="D518" s="495" t="str">
        <f>IF('Register Configuration'!F19 = 2,"", "3")</f>
        <v/>
      </c>
    </row>
    <row r="519" spans="1:4" x14ac:dyDescent="0.3">
      <c r="A519" s="128" t="str">
        <f>IF('Register Configuration'!F19 = 2,"", "memory set")</f>
        <v/>
      </c>
      <c r="B519" s="128" t="str">
        <f>IF('Register Configuration'!F19 = 2,"", "0x5C730000")</f>
        <v/>
      </c>
      <c r="C519" s="494" t="str">
        <f>IF('Register Configuration'!F19 = 2,"", "32")</f>
        <v/>
      </c>
      <c r="D519" s="495" t="str">
        <f>IF('Register Configuration'!F19 = 2,"", "3")</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How To Use</vt:lpstr>
      <vt:lpstr>Revision History</vt:lpstr>
      <vt:lpstr>Register Configuration</vt:lpstr>
      <vt:lpstr>BoardDataBusConfig</vt:lpstr>
      <vt:lpstr>DCD CFG file CBT</vt:lpstr>
      <vt:lpstr>DDR Stress Test Script CBT</vt:lpstr>
      <vt:lpstr>Factory use only DCD</vt:lpstr>
      <vt:lpstr>Factory use only stress test</vt:lpstr>
      <vt:lpstr>BusWidth</vt:lpstr>
      <vt:lpstr>DDRTypes</vt:lpstr>
      <vt:lpstr>ENABLED</vt:lpstr>
      <vt:lpstr>'Register Configuration'!Print_Area</vt:lpstr>
      <vt:lpstr>RowBankInterleavingOption</vt:lpstr>
      <vt:lpstr>WDQS</vt:lpstr>
    </vt:vector>
  </TitlesOfParts>
  <Company>Freescale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ra7694</dc:creator>
  <cp:lastModifiedBy>Michael J Kjar</cp:lastModifiedBy>
  <cp:lastPrinted>2009-11-19T19:37:47Z</cp:lastPrinted>
  <dcterms:created xsi:type="dcterms:W3CDTF">2008-07-23T13:35:02Z</dcterms:created>
  <dcterms:modified xsi:type="dcterms:W3CDTF">2021-02-08T17:28:29Z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