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ic365-my.sharepoint.com/personal/rshan6_uic_edu/Documents/"/>
    </mc:Choice>
  </mc:AlternateContent>
  <xr:revisionPtr revIDLastSave="0" documentId="8_{4D1D5CA2-3788-B04B-B785-E071C26DFF03}" xr6:coauthVersionLast="47" xr6:coauthVersionMax="47" xr10:uidLastSave="{00000000-0000-0000-0000-000000000000}"/>
  <bookViews>
    <workbookView xWindow="560" yWindow="700" windowWidth="26460" windowHeight="15760" xr2:uid="{00000000-000D-0000-FFFF-FFFF00000000}"/>
  </bookViews>
  <sheets>
    <sheet name="HistoricalData1" sheetId="1" r:id="rId1"/>
    <sheet name="WACC" sheetId="2" r:id="rId2"/>
    <sheet name="Assumptions&amp;Inputs" sheetId="3" r:id="rId3"/>
    <sheet name="DCF Forecast" sheetId="6" r:id="rId4"/>
    <sheet name="Enterprise Value Comparison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6" l="1"/>
  <c r="G23" i="6"/>
  <c r="G22" i="6"/>
  <c r="C20" i="6"/>
  <c r="C17" i="6"/>
  <c r="C18" i="6" s="1"/>
  <c r="D17" i="6"/>
  <c r="B18" i="2"/>
  <c r="B15" i="2"/>
  <c r="B17" i="2"/>
  <c r="B20" i="2"/>
  <c r="B5" i="2"/>
  <c r="B9" i="2" l="1"/>
  <c r="C16" i="6"/>
  <c r="B16" i="6"/>
  <c r="D12" i="6"/>
  <c r="C12" i="6"/>
  <c r="C7" i="6"/>
  <c r="B3" i="7"/>
  <c r="B13" i="2"/>
  <c r="D7" i="6"/>
  <c r="E7" i="6"/>
  <c r="G2" i="6"/>
  <c r="B6" i="6" l="1"/>
  <c r="B8" i="6" s="1"/>
  <c r="J13" i="6"/>
  <c r="J4" i="6"/>
  <c r="J6" i="6"/>
  <c r="J7" i="6"/>
  <c r="J8" i="6"/>
  <c r="J9" i="6"/>
  <c r="J10" i="6"/>
  <c r="J11" i="6"/>
  <c r="J3" i="6"/>
  <c r="C2" i="6" s="1"/>
  <c r="B2" i="3"/>
  <c r="B4" i="6"/>
  <c r="B7" i="2"/>
  <c r="D27" i="1"/>
  <c r="C27" i="1"/>
  <c r="B27" i="1"/>
  <c r="E27" i="1" s="1"/>
  <c r="B9" i="3" s="1"/>
  <c r="D26" i="1"/>
  <c r="E26" i="1" s="1"/>
  <c r="B8" i="3" s="1"/>
  <c r="C26" i="1"/>
  <c r="B26" i="1"/>
  <c r="D25" i="1"/>
  <c r="C25" i="1"/>
  <c r="B25" i="1"/>
  <c r="E25" i="1" s="1"/>
  <c r="B7" i="3" s="1"/>
  <c r="D24" i="1"/>
  <c r="C24" i="1"/>
  <c r="B24" i="1"/>
  <c r="E24" i="1" s="1"/>
  <c r="B6" i="3" s="1"/>
  <c r="D23" i="1"/>
  <c r="C23" i="1"/>
  <c r="B23" i="1"/>
  <c r="E23" i="1" s="1"/>
  <c r="B5" i="3" s="1"/>
  <c r="D22" i="1"/>
  <c r="C22" i="1"/>
  <c r="B22" i="1"/>
  <c r="E22" i="1" s="1"/>
  <c r="B4" i="3" s="1"/>
  <c r="J5" i="6" s="1"/>
  <c r="C5" i="6" s="1"/>
  <c r="D21" i="1"/>
  <c r="D6" i="1"/>
  <c r="C6" i="1"/>
  <c r="C21" i="1" s="1"/>
  <c r="B6" i="1"/>
  <c r="B21" i="1" s="1"/>
  <c r="E21" i="1" s="1"/>
  <c r="B3" i="3" s="1"/>
  <c r="F2" i="1"/>
  <c r="C3" i="6" l="1"/>
  <c r="C13" i="6"/>
  <c r="D2" i="6"/>
  <c r="C4" i="6"/>
  <c r="C11" i="6"/>
  <c r="B10" i="6"/>
  <c r="B18" i="6" s="1"/>
  <c r="B11" i="3"/>
  <c r="J12" i="6" s="1"/>
  <c r="E20" i="6" s="1"/>
  <c r="F20" i="6" l="1"/>
  <c r="G20" i="6"/>
  <c r="G21" i="6" s="1"/>
  <c r="D20" i="6"/>
  <c r="C21" i="6"/>
  <c r="D5" i="6"/>
  <c r="E2" i="6"/>
  <c r="D11" i="6"/>
  <c r="E12" i="6" s="1"/>
  <c r="F7" i="6" s="1"/>
  <c r="D4" i="6"/>
  <c r="D13" i="6"/>
  <c r="D3" i="6"/>
  <c r="C15" i="6"/>
  <c r="C14" i="6"/>
  <c r="C6" i="6"/>
  <c r="C8" i="6" s="1"/>
  <c r="C10" i="6" s="1"/>
  <c r="D14" i="6" l="1"/>
  <c r="D15" i="6"/>
  <c r="E13" i="6"/>
  <c r="E5" i="6"/>
  <c r="F2" i="6"/>
  <c r="E11" i="6"/>
  <c r="F12" i="6" s="1"/>
  <c r="G7" i="6" s="1"/>
  <c r="E3" i="6"/>
  <c r="D6" i="6"/>
  <c r="D8" i="6" s="1"/>
  <c r="D10" i="6" s="1"/>
  <c r="E4" i="6"/>
  <c r="E15" i="6" l="1"/>
  <c r="E14" i="6"/>
  <c r="F13" i="6"/>
  <c r="F5" i="6"/>
  <c r="F11" i="6"/>
  <c r="G12" i="6" s="1"/>
  <c r="F3" i="6"/>
  <c r="F4" i="6"/>
  <c r="F6" i="6" s="1"/>
  <c r="D16" i="6"/>
  <c r="D18" i="6" s="1"/>
  <c r="D21" i="6" s="1"/>
  <c r="E6" i="6"/>
  <c r="E8" i="6" s="1"/>
  <c r="E10" i="6" s="1"/>
  <c r="E16" i="6"/>
  <c r="F15" i="6" l="1"/>
  <c r="F14" i="6"/>
  <c r="G13" i="6"/>
  <c r="G5" i="6"/>
  <c r="G3" i="6"/>
  <c r="G11" i="6"/>
  <c r="G4" i="6"/>
  <c r="F16" i="6"/>
  <c r="F8" i="6"/>
  <c r="F10" i="6" s="1"/>
  <c r="F17" i="6"/>
  <c r="E17" i="6"/>
  <c r="E18" i="6" s="1"/>
  <c r="E21" i="6" s="1"/>
  <c r="G15" i="6" l="1"/>
  <c r="G14" i="6"/>
  <c r="G6" i="6"/>
  <c r="F18" i="6"/>
  <c r="F21" i="6" s="1"/>
  <c r="G16" i="6"/>
  <c r="G17" i="6" s="1"/>
  <c r="G8" i="6"/>
  <c r="G10" i="6" s="1"/>
  <c r="G18" i="6" l="1"/>
  <c r="B2" i="7" l="1"/>
  <c r="B4" i="7" s="1"/>
</calcChain>
</file>

<file path=xl/sharedStrings.xml><?xml version="1.0" encoding="utf-8"?>
<sst xmlns="http://schemas.openxmlformats.org/spreadsheetml/2006/main" count="102" uniqueCount="77">
  <si>
    <t>Year</t>
  </si>
  <si>
    <t>2022 in millions</t>
  </si>
  <si>
    <t>2023 in millions</t>
  </si>
  <si>
    <t>2024 in millions</t>
  </si>
  <si>
    <t>Revenue CAGR (2022-2024)</t>
  </si>
  <si>
    <t>Info from Income Statement</t>
  </si>
  <si>
    <t>Revenue</t>
  </si>
  <si>
    <t>Cost of Good Sold</t>
  </si>
  <si>
    <t>Gross Profit</t>
  </si>
  <si>
    <t>Operating Expense</t>
  </si>
  <si>
    <t>Depreciation &amp; Amortization</t>
  </si>
  <si>
    <t>Info from Investing CF</t>
  </si>
  <si>
    <t>CapEx</t>
  </si>
  <si>
    <t>Info from Balance Sheet</t>
  </si>
  <si>
    <t>Accounts Recievable</t>
  </si>
  <si>
    <t>Accounts Payable</t>
  </si>
  <si>
    <t>Inventory</t>
  </si>
  <si>
    <t>Info from Taxes</t>
  </si>
  <si>
    <t>Income Tax Expense</t>
  </si>
  <si>
    <t>Pre-tax Income</t>
  </si>
  <si>
    <t xml:space="preserve">Calculated </t>
  </si>
  <si>
    <t>Gross Margin</t>
  </si>
  <si>
    <t>Average Operating Expense to Revenue Ratio</t>
  </si>
  <si>
    <t>Average Capital Expenditure to Revenue Ratio</t>
  </si>
  <si>
    <t>Tax Rate</t>
  </si>
  <si>
    <t>Accounts Recievable to Sales Ratio</t>
  </si>
  <si>
    <t>Inventory to COGS Ratio</t>
  </si>
  <si>
    <t>Accounts Payable to COGS Ratio</t>
  </si>
  <si>
    <t xml:space="preserve">Risk Free Rate </t>
  </si>
  <si>
    <t>Equity Beta</t>
  </si>
  <si>
    <t>Equity Risk Premium</t>
  </si>
  <si>
    <t>Cost Of Equity (CE)</t>
  </si>
  <si>
    <t>Pre-Tax Cost of Debt (Rd)</t>
  </si>
  <si>
    <t>After-Tax Cost of Debt (Cd)</t>
  </si>
  <si>
    <t>Share Price</t>
  </si>
  <si>
    <t>Shares Outstanding (in millions)</t>
  </si>
  <si>
    <t>Market Of Equity (in millions) (e)</t>
  </si>
  <si>
    <t>Market of Debt (in millions) (d)</t>
  </si>
  <si>
    <t>wE</t>
  </si>
  <si>
    <t>wD</t>
  </si>
  <si>
    <t>WACC</t>
  </si>
  <si>
    <t>Assumptions</t>
  </si>
  <si>
    <t>Values</t>
  </si>
  <si>
    <t>Revenue CAGR</t>
  </si>
  <si>
    <t>Avg Gross Margin</t>
  </si>
  <si>
    <t>Avg Operating Expense to Revenue Ratio</t>
  </si>
  <si>
    <t>Avg CapEx to Revenue Ratio</t>
  </si>
  <si>
    <t>Avg Tax Rate</t>
  </si>
  <si>
    <t>Terminal Growth Rate (g)</t>
  </si>
  <si>
    <t>Depreciation Rate</t>
  </si>
  <si>
    <t>Years</t>
  </si>
  <si>
    <t>2024 (Base Year) (in millions)</t>
  </si>
  <si>
    <t>2025 (in millions)</t>
  </si>
  <si>
    <t>2026 (in millions)</t>
  </si>
  <si>
    <t>2027 (in millions)</t>
  </si>
  <si>
    <t>2028 (in millions)</t>
  </si>
  <si>
    <t>2029 (in millions)</t>
  </si>
  <si>
    <t>COGS</t>
  </si>
  <si>
    <t>Net PP&amp;E</t>
  </si>
  <si>
    <t>Depreciation</t>
  </si>
  <si>
    <t>EBIT</t>
  </si>
  <si>
    <t>NOPAT</t>
  </si>
  <si>
    <t>Change in NWC</t>
  </si>
  <si>
    <t>Free Cash Flow (FCF)</t>
  </si>
  <si>
    <t>Terminal Value</t>
  </si>
  <si>
    <t>Discount Factor</t>
  </si>
  <si>
    <t>Accounts Receivable</t>
  </si>
  <si>
    <t>Net Working Capital</t>
  </si>
  <si>
    <t>PV of FCF</t>
  </si>
  <si>
    <t>PV of Terminal Value</t>
  </si>
  <si>
    <t>Enterprise Value (sum PVs)</t>
  </si>
  <si>
    <t xml:space="preserve">3-Year Averages </t>
  </si>
  <si>
    <t>EBITDA</t>
  </si>
  <si>
    <t>Market Price for Enterprise Value</t>
  </si>
  <si>
    <t>Enterprise Value (DCF Calculated)</t>
  </si>
  <si>
    <t>Values in Millions</t>
  </si>
  <si>
    <t>Differences between market and predicted calculated 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</si>
</sst>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rgb="FF000000"/>
      <name val="-webkit-standard"/>
    </font>
    <font>
      <sz val="14"/>
      <color theme="1"/>
      <name val="Aptos Narrow"/>
      <family val="2"/>
      <scheme val="minor"/>
    </font>
    <font>
      <sz val="14"/>
      <color theme="1"/>
      <name val="Aptos Narrow (Body)"/>
    </font>
    <font>
      <sz val="14"/>
      <color theme="1"/>
      <name val="Arial Nova"/>
    </font>
    <font>
      <sz val="14"/>
      <color rgb="FF000000"/>
      <name val="Arial Nova"/>
    </font>
    <font>
      <sz val="16"/>
      <color theme="1"/>
      <name val="Aptos Narrow"/>
      <family val="2"/>
      <scheme val="minor"/>
    </font>
    <font>
      <sz val="16"/>
      <color theme="1"/>
      <name val="Aptos Narrow (Bod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3" fillId="2" borderId="0" xfId="0" applyFont="1" applyFill="1"/>
    <xf numFmtId="3" fontId="3" fillId="2" borderId="0" xfId="0" applyNumberFormat="1" applyFont="1" applyFill="1"/>
    <xf numFmtId="164" fontId="2" fillId="0" borderId="0" xfId="2" applyNumberFormat="1" applyFont="1"/>
    <xf numFmtId="10" fontId="3" fillId="0" borderId="0" xfId="0" applyNumberFormat="1" applyFont="1"/>
    <xf numFmtId="0" fontId="4" fillId="0" borderId="0" xfId="0" applyFont="1"/>
    <xf numFmtId="10" fontId="3" fillId="2" borderId="0" xfId="0" applyNumberFormat="1" applyFont="1" applyFill="1"/>
    <xf numFmtId="10" fontId="3" fillId="0" borderId="0" xfId="2" applyNumberFormat="1" applyFont="1"/>
    <xf numFmtId="4" fontId="3" fillId="2" borderId="0" xfId="0" applyNumberFormat="1" applyFont="1" applyFill="1"/>
    <xf numFmtId="9" fontId="3" fillId="2" borderId="0" xfId="2" applyFont="1" applyFill="1"/>
    <xf numFmtId="164" fontId="3" fillId="0" borderId="0" xfId="2" applyNumberFormat="1" applyFont="1"/>
    <xf numFmtId="164" fontId="3" fillId="0" borderId="0" xfId="0" applyNumberFormat="1" applyFont="1"/>
    <xf numFmtId="0" fontId="5" fillId="2" borderId="0" xfId="0" applyFont="1" applyFill="1"/>
    <xf numFmtId="0" fontId="5" fillId="0" borderId="0" xfId="0" applyFont="1"/>
    <xf numFmtId="3" fontId="5" fillId="0" borderId="0" xfId="0" applyNumberFormat="1" applyFont="1"/>
    <xf numFmtId="165" fontId="5" fillId="0" borderId="0" xfId="1" applyNumberFormat="1" applyFont="1"/>
    <xf numFmtId="165" fontId="5" fillId="0" borderId="0" xfId="0" applyNumberFormat="1" applyFont="1"/>
    <xf numFmtId="3" fontId="6" fillId="0" borderId="0" xfId="0" applyNumberFormat="1" applyFont="1"/>
    <xf numFmtId="9" fontId="5" fillId="0" borderId="0" xfId="2" applyFont="1"/>
    <xf numFmtId="9" fontId="5" fillId="0" borderId="0" xfId="0" applyNumberFormat="1" applyFont="1"/>
    <xf numFmtId="165" fontId="3" fillId="2" borderId="0" xfId="0" applyNumberFormat="1" applyFont="1" applyFill="1"/>
    <xf numFmtId="165" fontId="3" fillId="0" borderId="0" xfId="1" applyNumberFormat="1" applyFont="1"/>
    <xf numFmtId="165" fontId="3" fillId="0" borderId="0" xfId="0" applyNumberFormat="1" applyFont="1"/>
    <xf numFmtId="0" fontId="7" fillId="2" borderId="0" xfId="0" applyFont="1" applyFill="1"/>
    <xf numFmtId="0" fontId="7" fillId="0" borderId="0" xfId="0" applyFont="1"/>
    <xf numFmtId="165" fontId="7" fillId="0" borderId="0" xfId="1" applyNumberFormat="1" applyFont="1"/>
    <xf numFmtId="0" fontId="8" fillId="0" borderId="0" xfId="0" applyFont="1"/>
    <xf numFmtId="3" fontId="7" fillId="0" borderId="0" xfId="0" applyNumberFormat="1" applyFont="1"/>
    <xf numFmtId="9" fontId="7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="82" workbookViewId="0">
      <selection activeCell="D8" sqref="D8"/>
    </sheetView>
  </sheetViews>
  <sheetFormatPr baseColWidth="10" defaultRowHeight="19"/>
  <cols>
    <col min="1" max="1" width="51.1640625" style="2" customWidth="1"/>
    <col min="2" max="2" width="19.5" style="2" customWidth="1"/>
    <col min="3" max="3" width="18.5" style="2" customWidth="1"/>
    <col min="4" max="4" width="20.33203125" style="2" customWidth="1"/>
    <col min="5" max="5" width="22" style="2" customWidth="1"/>
    <col min="6" max="6" width="33.1640625" style="2" customWidth="1"/>
    <col min="7" max="7" width="20.83203125" style="2" customWidth="1"/>
    <col min="8" max="8" width="10.83203125" style="2" customWidth="1"/>
    <col min="9" max="16384" width="10.83203125" style="2"/>
  </cols>
  <sheetData>
    <row r="1" spans="1:7" ht="25" customHeight="1">
      <c r="A1" s="4" t="s">
        <v>0</v>
      </c>
      <c r="B1" s="4" t="s">
        <v>1</v>
      </c>
      <c r="C1" s="4" t="s">
        <v>2</v>
      </c>
      <c r="D1" s="4" t="s">
        <v>3</v>
      </c>
      <c r="E1" s="8"/>
      <c r="F1" s="4" t="s">
        <v>4</v>
      </c>
    </row>
    <row r="2" spans="1:7" ht="25" customHeight="1">
      <c r="B2" s="3"/>
      <c r="C2" s="3"/>
      <c r="D2" s="3"/>
      <c r="F2" s="13">
        <f>(D4/B4)^(1/2)-1</f>
        <v>0.12664812726482455</v>
      </c>
      <c r="G2" s="6"/>
    </row>
    <row r="3" spans="1:7" ht="25" customHeight="1">
      <c r="A3" s="4" t="s">
        <v>5</v>
      </c>
      <c r="B3" s="5"/>
      <c r="C3" s="5"/>
      <c r="D3" s="5"/>
    </row>
    <row r="4" spans="1:7" ht="25" customHeight="1">
      <c r="A4" s="2" t="s">
        <v>6</v>
      </c>
      <c r="B4" s="3">
        <v>44955</v>
      </c>
      <c r="C4" s="3">
        <v>53717</v>
      </c>
      <c r="D4" s="3">
        <v>57063</v>
      </c>
    </row>
    <row r="5" spans="1:7" ht="25" customHeight="1">
      <c r="A5" s="2" t="s">
        <v>7</v>
      </c>
      <c r="B5" s="3">
        <v>31769</v>
      </c>
      <c r="C5" s="3">
        <v>35716</v>
      </c>
      <c r="D5" s="3">
        <v>37534</v>
      </c>
    </row>
    <row r="6" spans="1:7" ht="25" customHeight="1">
      <c r="A6" s="2" t="s">
        <v>8</v>
      </c>
      <c r="B6" s="3">
        <f>B4-B5</f>
        <v>13186</v>
      </c>
      <c r="C6" s="3">
        <f>C4-C5</f>
        <v>18001</v>
      </c>
      <c r="D6" s="3">
        <f>D4-D5</f>
        <v>19529</v>
      </c>
    </row>
    <row r="7" spans="1:7" ht="25" customHeight="1">
      <c r="A7" s="2" t="s">
        <v>9</v>
      </c>
      <c r="B7" s="3">
        <v>6463</v>
      </c>
      <c r="C7" s="3">
        <v>7841</v>
      </c>
      <c r="D7" s="3">
        <v>8818</v>
      </c>
    </row>
    <row r="8" spans="1:7" ht="25" customHeight="1">
      <c r="A8" s="2" t="s">
        <v>10</v>
      </c>
      <c r="B8" s="3">
        <v>2456</v>
      </c>
      <c r="C8" s="3">
        <v>2671</v>
      </c>
      <c r="D8" s="3">
        <v>2928</v>
      </c>
    </row>
    <row r="9" spans="1:7" ht="25" customHeight="1">
      <c r="A9" s="4" t="s">
        <v>11</v>
      </c>
      <c r="B9" s="12"/>
      <c r="C9" s="12"/>
      <c r="D9" s="12"/>
    </row>
    <row r="10" spans="1:7" ht="25" customHeight="1">
      <c r="A10" s="2" t="s">
        <v>12</v>
      </c>
      <c r="B10" s="3">
        <v>4819</v>
      </c>
      <c r="C10" s="3">
        <v>7171</v>
      </c>
      <c r="D10" s="3">
        <v>5615</v>
      </c>
    </row>
    <row r="11" spans="1:7" ht="25" customHeight="1">
      <c r="A11" s="4" t="s">
        <v>13</v>
      </c>
      <c r="B11" s="5"/>
      <c r="C11" s="5"/>
      <c r="D11" s="5"/>
    </row>
    <row r="12" spans="1:7" ht="25" customHeight="1">
      <c r="A12" s="2" t="s">
        <v>14</v>
      </c>
      <c r="B12" s="3">
        <v>1801</v>
      </c>
      <c r="C12" s="3">
        <v>1898</v>
      </c>
      <c r="D12" s="3">
        <v>2163</v>
      </c>
    </row>
    <row r="13" spans="1:7" ht="25" customHeight="1">
      <c r="A13" s="2" t="s">
        <v>15</v>
      </c>
      <c r="B13" s="3">
        <v>3395</v>
      </c>
      <c r="C13" s="3">
        <v>3835</v>
      </c>
      <c r="D13" s="3">
        <v>4193</v>
      </c>
    </row>
    <row r="14" spans="1:7" ht="25" customHeight="1">
      <c r="A14" s="2" t="s">
        <v>16</v>
      </c>
      <c r="B14" s="3">
        <v>1109</v>
      </c>
      <c r="C14" s="3">
        <v>1561</v>
      </c>
      <c r="D14" s="3">
        <v>1572</v>
      </c>
    </row>
    <row r="15" spans="1:7" ht="25" customHeight="1">
      <c r="A15" s="4" t="s">
        <v>17</v>
      </c>
      <c r="B15" s="4"/>
      <c r="C15" s="4"/>
      <c r="D15" s="4"/>
    </row>
    <row r="16" spans="1:7" ht="25" customHeight="1">
      <c r="A16" s="2" t="s">
        <v>18</v>
      </c>
      <c r="B16" s="3">
        <v>253</v>
      </c>
      <c r="C16" s="3">
        <v>769</v>
      </c>
      <c r="D16" s="3">
        <v>1019</v>
      </c>
    </row>
    <row r="17" spans="1:5" ht="25" customHeight="1">
      <c r="A17" s="2" t="s">
        <v>19</v>
      </c>
      <c r="B17" s="3">
        <v>990</v>
      </c>
      <c r="C17" s="3">
        <v>3387</v>
      </c>
      <c r="D17" s="3">
        <v>4168</v>
      </c>
    </row>
    <row r="18" spans="1:5" ht="25" customHeight="1">
      <c r="A18" s="4"/>
      <c r="B18" s="4"/>
      <c r="C18" s="4"/>
      <c r="D18" s="4"/>
    </row>
    <row r="19" spans="1:5" ht="25" customHeight="1">
      <c r="B19" s="6"/>
      <c r="D19" s="1"/>
    </row>
    <row r="20" spans="1:5" ht="25" customHeight="1">
      <c r="A20" s="4" t="s">
        <v>20</v>
      </c>
      <c r="B20" s="4"/>
      <c r="C20" s="4"/>
      <c r="D20" s="4"/>
      <c r="E20" s="4" t="s">
        <v>71</v>
      </c>
    </row>
    <row r="21" spans="1:5" ht="25" customHeight="1">
      <c r="A21" s="2" t="s">
        <v>21</v>
      </c>
      <c r="B21" s="6">
        <f>B6/B4*100%</f>
        <v>0.2933155377599822</v>
      </c>
      <c r="C21" s="6">
        <f>C6/C4*100%</f>
        <v>0.33510806634771118</v>
      </c>
      <c r="D21" s="6">
        <f>D6/D4*100%</f>
        <v>0.34223577449485654</v>
      </c>
      <c r="E21" s="14">
        <f t="shared" ref="E21:E27" si="0">AVERAGE(B21:D21)</f>
        <v>0.32355312620084997</v>
      </c>
    </row>
    <row r="22" spans="1:5" ht="25" customHeight="1">
      <c r="A22" s="2" t="s">
        <v>22</v>
      </c>
      <c r="B22" s="13">
        <f>B7/B4</f>
        <v>0.14376598821043265</v>
      </c>
      <c r="C22" s="13">
        <f>C7/C4</f>
        <v>0.14596868775248059</v>
      </c>
      <c r="D22" s="13">
        <f>D7/D4</f>
        <v>0.15453095701242486</v>
      </c>
      <c r="E22" s="14">
        <f t="shared" si="0"/>
        <v>0.1480885443251127</v>
      </c>
    </row>
    <row r="23" spans="1:5" ht="25" customHeight="1">
      <c r="A23" s="2" t="s">
        <v>23</v>
      </c>
      <c r="B23" s="13">
        <f>B10/B4*100%</f>
        <v>0.10719608497386275</v>
      </c>
      <c r="C23" s="13">
        <f>C10/C4*100%</f>
        <v>0.13349591377031481</v>
      </c>
      <c r="D23" s="13">
        <f>D10/D4*100%</f>
        <v>9.8400014019592377E-2</v>
      </c>
      <c r="E23" s="14">
        <f t="shared" si="0"/>
        <v>0.11303067092125664</v>
      </c>
    </row>
    <row r="24" spans="1:5" ht="25" customHeight="1">
      <c r="A24" s="2" t="s">
        <v>24</v>
      </c>
      <c r="B24" s="13">
        <f>B16/B17</f>
        <v>0.25555555555555554</v>
      </c>
      <c r="C24" s="13">
        <f>C16/C17</f>
        <v>0.22704458222615884</v>
      </c>
      <c r="D24" s="13">
        <f>D16/D17</f>
        <v>0.24448176583493283</v>
      </c>
      <c r="E24" s="14">
        <f t="shared" si="0"/>
        <v>0.24236063453888243</v>
      </c>
    </row>
    <row r="25" spans="1:5" ht="25" customHeight="1">
      <c r="A25" s="2" t="s">
        <v>25</v>
      </c>
      <c r="B25" s="13">
        <f>B12/B4</f>
        <v>4.0062284506728954E-2</v>
      </c>
      <c r="C25" s="13">
        <f>C12/C4</f>
        <v>3.5333320922612953E-2</v>
      </c>
      <c r="D25" s="13">
        <f>D12/D4</f>
        <v>3.7905472898375481E-2</v>
      </c>
      <c r="E25" s="14">
        <f t="shared" si="0"/>
        <v>3.7767026109239127E-2</v>
      </c>
    </row>
    <row r="26" spans="1:5" ht="25" customHeight="1">
      <c r="A26" s="2" t="s">
        <v>26</v>
      </c>
      <c r="B26" s="13">
        <f>B14/B5</f>
        <v>3.4908243885548806E-2</v>
      </c>
      <c r="C26" s="13">
        <f>C14/C5</f>
        <v>4.3705902116698399E-2</v>
      </c>
      <c r="D26" s="13">
        <f>D14/D5</f>
        <v>4.1882026962220917E-2</v>
      </c>
      <c r="E26" s="14">
        <f t="shared" si="0"/>
        <v>4.0165390988156038E-2</v>
      </c>
    </row>
    <row r="27" spans="1:5" ht="25" customHeight="1">
      <c r="A27" s="2" t="s">
        <v>27</v>
      </c>
      <c r="B27" s="13">
        <f>B13/B5</f>
        <v>0.1068651830400705</v>
      </c>
      <c r="C27" s="13">
        <f>C13/C5</f>
        <v>0.10737484600739164</v>
      </c>
      <c r="D27" s="13">
        <f>D13/D5</f>
        <v>0.11171204774337934</v>
      </c>
      <c r="E27" s="14">
        <f t="shared" si="0"/>
        <v>0.10865069226361383</v>
      </c>
    </row>
    <row r="28" spans="1:5" ht="25" customHeight="1"/>
    <row r="29" spans="1:5" ht="25" customHeight="1"/>
    <row r="30" spans="1:5" ht="25" customHeight="1"/>
    <row r="31" spans="1:5" ht="25" customHeight="1"/>
    <row r="32" spans="1:5" ht="25" customHeight="1"/>
    <row r="33" s="2" customFormat="1" ht="25" customHeight="1"/>
    <row r="34" s="2" customFormat="1" ht="25" customHeight="1"/>
    <row r="35" s="2" customFormat="1" ht="25" customHeight="1"/>
    <row r="36" s="2" customFormat="1" ht="25" customHeight="1"/>
    <row r="37" s="2" customFormat="1" ht="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C11" sqref="C11"/>
    </sheetView>
  </sheetViews>
  <sheetFormatPr baseColWidth="10" defaultRowHeight="16"/>
  <cols>
    <col min="1" max="1" width="38.83203125" customWidth="1"/>
    <col min="2" max="4" width="30.1640625" customWidth="1"/>
    <col min="5" max="6" width="17" customWidth="1"/>
  </cols>
  <sheetData>
    <row r="1" spans="1:2" ht="17" customHeight="1"/>
    <row r="2" spans="1:2" ht="17" customHeight="1">
      <c r="A2" s="2" t="s">
        <v>28</v>
      </c>
      <c r="B2" s="7">
        <v>4.36E-2</v>
      </c>
    </row>
    <row r="3" spans="1:2" ht="17" customHeight="1">
      <c r="A3" s="8" t="s">
        <v>29</v>
      </c>
      <c r="B3" s="2">
        <v>1.4</v>
      </c>
    </row>
    <row r="4" spans="1:2" ht="17" customHeight="1">
      <c r="A4" s="2" t="s">
        <v>30</v>
      </c>
      <c r="B4" s="7">
        <v>4.3299999999999998E-2</v>
      </c>
    </row>
    <row r="5" spans="1:2" ht="17" customHeight="1">
      <c r="A5" s="4" t="s">
        <v>31</v>
      </c>
      <c r="B5" s="9">
        <f>B2+B3*B4</f>
        <v>0.10421999999999999</v>
      </c>
    </row>
    <row r="6" spans="1:2" ht="17" customHeight="1">
      <c r="A6" s="2"/>
      <c r="B6" s="2"/>
    </row>
    <row r="7" spans="1:2" ht="17" customHeight="1">
      <c r="A7" s="2" t="s">
        <v>32</v>
      </c>
      <c r="B7" s="10">
        <f>1629/30158</f>
        <v>5.4015518270442334E-2</v>
      </c>
    </row>
    <row r="8" spans="1:2" ht="17" customHeight="1">
      <c r="A8" s="2" t="s">
        <v>24</v>
      </c>
      <c r="B8" s="7">
        <v>0.24199999999999999</v>
      </c>
    </row>
    <row r="9" spans="1:2" ht="17" customHeight="1">
      <c r="A9" s="4" t="s">
        <v>33</v>
      </c>
      <c r="B9" s="9">
        <f>B7*(1-B8)</f>
        <v>4.0943762848995292E-2</v>
      </c>
    </row>
    <row r="10" spans="1:2" ht="17" customHeight="1">
      <c r="A10" s="2"/>
      <c r="B10" s="2"/>
    </row>
    <row r="11" spans="1:2" ht="17" customHeight="1">
      <c r="A11" s="2" t="s">
        <v>34</v>
      </c>
      <c r="B11" s="2">
        <v>97.1</v>
      </c>
    </row>
    <row r="12" spans="1:2" ht="17" customHeight="1">
      <c r="A12" s="2" t="s">
        <v>35</v>
      </c>
      <c r="B12" s="2">
        <v>333</v>
      </c>
    </row>
    <row r="13" spans="1:2" ht="17" customHeight="1">
      <c r="A13" s="4" t="s">
        <v>36</v>
      </c>
      <c r="B13" s="11">
        <f>B11*B12</f>
        <v>32334.3</v>
      </c>
    </row>
    <row r="14" spans="1:2" ht="17" customHeight="1">
      <c r="A14" s="2"/>
      <c r="B14" s="2"/>
    </row>
    <row r="15" spans="1:2" ht="17" customHeight="1">
      <c r="A15" s="4" t="s">
        <v>37</v>
      </c>
      <c r="B15" s="4">
        <f>3265+24398</f>
        <v>27663</v>
      </c>
    </row>
    <row r="16" spans="1:2" ht="17" customHeight="1">
      <c r="A16" s="2"/>
      <c r="B16" s="2"/>
    </row>
    <row r="17" spans="1:2" ht="17" customHeight="1">
      <c r="A17" s="4" t="s">
        <v>38</v>
      </c>
      <c r="B17" s="12">
        <f>B13/(B13+B15)</f>
        <v>0.53892925181633167</v>
      </c>
    </row>
    <row r="18" spans="1:2" ht="17" customHeight="1">
      <c r="A18" s="4" t="s">
        <v>39</v>
      </c>
      <c r="B18" s="12">
        <f>B15/(B15+B13)</f>
        <v>0.46107074818366822</v>
      </c>
    </row>
    <row r="19" spans="1:2" ht="17" customHeight="1">
      <c r="A19" s="2"/>
      <c r="B19" s="2"/>
    </row>
    <row r="20" spans="1:2" ht="17" customHeight="1">
      <c r="A20" s="4" t="s">
        <v>40</v>
      </c>
      <c r="B20" s="9">
        <f>(B17*B5)+(B18*B9)</f>
        <v>7.5045177994539025E-2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B4" sqref="B4"/>
    </sheetView>
  </sheetViews>
  <sheetFormatPr baseColWidth="10" defaultRowHeight="19"/>
  <cols>
    <col min="1" max="1" width="41.83203125" style="2" customWidth="1"/>
    <col min="2" max="3" width="28.5" style="2" customWidth="1"/>
    <col min="4" max="4" width="10.83203125" style="2" customWidth="1"/>
    <col min="5" max="16384" width="10.83203125" style="2"/>
  </cols>
  <sheetData>
    <row r="1" spans="1:2" ht="18" customHeight="1">
      <c r="A1" s="4" t="s">
        <v>41</v>
      </c>
      <c r="B1" s="4" t="s">
        <v>42</v>
      </c>
    </row>
    <row r="2" spans="1:2" ht="18" customHeight="1">
      <c r="A2" s="2" t="s">
        <v>43</v>
      </c>
      <c r="B2" s="14">
        <f>HistoricalData1!F2</f>
        <v>0.12664812726482455</v>
      </c>
    </row>
    <row r="3" spans="1:2" ht="18" customHeight="1">
      <c r="A3" s="2" t="s">
        <v>44</v>
      </c>
      <c r="B3" s="14">
        <f>HistoricalData1!E21</f>
        <v>0.32355312620084997</v>
      </c>
    </row>
    <row r="4" spans="1:2" ht="18" customHeight="1">
      <c r="A4" s="2" t="s">
        <v>45</v>
      </c>
      <c r="B4" s="14">
        <f>HistoricalData1!E22</f>
        <v>0.1480885443251127</v>
      </c>
    </row>
    <row r="5" spans="1:2" ht="18" customHeight="1">
      <c r="A5" s="2" t="s">
        <v>46</v>
      </c>
      <c r="B5" s="14">
        <f>HistoricalData1!E23</f>
        <v>0.11303067092125664</v>
      </c>
    </row>
    <row r="6" spans="1:2" ht="18" customHeight="1">
      <c r="A6" s="2" t="s">
        <v>47</v>
      </c>
      <c r="B6" s="14">
        <f>HistoricalData1!E24</f>
        <v>0.24236063453888243</v>
      </c>
    </row>
    <row r="7" spans="1:2" ht="18" customHeight="1">
      <c r="A7" s="2" t="s">
        <v>25</v>
      </c>
      <c r="B7" s="14">
        <f>HistoricalData1!E25</f>
        <v>3.7767026109239127E-2</v>
      </c>
    </row>
    <row r="8" spans="1:2" ht="18" customHeight="1">
      <c r="A8" s="2" t="s">
        <v>26</v>
      </c>
      <c r="B8" s="14">
        <f>HistoricalData1!E26</f>
        <v>4.0165390988156038E-2</v>
      </c>
    </row>
    <row r="9" spans="1:2" ht="18" customHeight="1">
      <c r="A9" s="2" t="s">
        <v>27</v>
      </c>
      <c r="B9" s="14">
        <f>HistoricalData1!E27</f>
        <v>0.10865069226361383</v>
      </c>
    </row>
    <row r="10" spans="1:2" ht="18" customHeight="1">
      <c r="A10" s="2" t="s">
        <v>48</v>
      </c>
      <c r="B10" s="14">
        <v>0.04</v>
      </c>
    </row>
    <row r="11" spans="1:2" ht="18" customHeight="1">
      <c r="A11" s="2" t="s">
        <v>40</v>
      </c>
      <c r="B11" s="14">
        <f>WACC!B20</f>
        <v>7.5045177994539025E-2</v>
      </c>
    </row>
    <row r="12" spans="1:2" ht="18" customHeight="1">
      <c r="A12" s="2" t="s">
        <v>49</v>
      </c>
      <c r="B12" s="14">
        <v>0.1</v>
      </c>
    </row>
    <row r="13" spans="1:2" ht="18" customHeight="1"/>
    <row r="14" spans="1:2" ht="18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6AE2-8F81-CB43-9DAF-AB21E20B713E}">
  <dimension ref="A1:J24"/>
  <sheetViews>
    <sheetView zoomScale="65" workbookViewId="0">
      <selection activeCell="B24" sqref="B24"/>
    </sheetView>
  </sheetViews>
  <sheetFormatPr baseColWidth="10" defaultColWidth="28.33203125" defaultRowHeight="31" customHeight="1"/>
  <cols>
    <col min="1" max="1" width="28.33203125" style="2"/>
    <col min="2" max="2" width="33.5" style="2" customWidth="1"/>
    <col min="3" max="7" width="28.33203125" style="2"/>
    <col min="8" max="8" width="22.33203125" style="2" customWidth="1"/>
    <col min="9" max="16384" width="28.33203125" style="2"/>
  </cols>
  <sheetData>
    <row r="1" spans="1:10" ht="31" customHeight="1">
      <c r="A1" s="15" t="s">
        <v>50</v>
      </c>
      <c r="B1" s="15" t="s">
        <v>51</v>
      </c>
      <c r="C1" s="15" t="s">
        <v>52</v>
      </c>
      <c r="D1" s="15" t="s">
        <v>53</v>
      </c>
      <c r="E1" s="15" t="s">
        <v>54</v>
      </c>
      <c r="F1" s="15" t="s">
        <v>55</v>
      </c>
      <c r="G1" s="15" t="s">
        <v>56</v>
      </c>
      <c r="I1" s="4"/>
      <c r="J1" s="4"/>
    </row>
    <row r="2" spans="1:10" ht="31" customHeight="1">
      <c r="A2" s="16" t="s">
        <v>6</v>
      </c>
      <c r="B2" s="17">
        <v>57063</v>
      </c>
      <c r="C2" s="17">
        <f>B2*(1+J3)</f>
        <v>64289.922086112681</v>
      </c>
      <c r="D2" s="17">
        <f>C2*(1+J3)</f>
        <v>72432.120320320333</v>
      </c>
      <c r="E2" s="17">
        <f>D2*(1+J3)</f>
        <v>81605.512712709344</v>
      </c>
      <c r="F2" s="17">
        <f>E2*(1+J3)</f>
        <v>91940.698072259809</v>
      </c>
      <c r="G2" s="17">
        <f>F2*(1+J3)</f>
        <v>103584.81530253218</v>
      </c>
      <c r="I2" s="4" t="s">
        <v>41</v>
      </c>
      <c r="J2" s="4" t="s">
        <v>42</v>
      </c>
    </row>
    <row r="3" spans="1:10" ht="31" customHeight="1">
      <c r="A3" s="16" t="s">
        <v>57</v>
      </c>
      <c r="B3" s="17">
        <v>37534</v>
      </c>
      <c r="C3" s="18">
        <f>C2*(1-J4)</f>
        <v>43488.716811941857</v>
      </c>
      <c r="D3" s="18">
        <f>D2*(1-J4)</f>
        <v>48996.481353324576</v>
      </c>
      <c r="E3" s="18">
        <f>E2*(1-J4)</f>
        <v>55201.793959289033</v>
      </c>
      <c r="F3" s="18">
        <f>F2*(1-J4)</f>
        <v>62192.99778589169</v>
      </c>
      <c r="G3" s="18">
        <f>G2*(1-J4)</f>
        <v>70069.624484460248</v>
      </c>
      <c r="I3" s="2" t="s">
        <v>43</v>
      </c>
      <c r="J3" s="14">
        <f>'Assumptions&amp;Inputs'!B2</f>
        <v>0.12664812726482455</v>
      </c>
    </row>
    <row r="4" spans="1:10" ht="31" customHeight="1">
      <c r="A4" s="16" t="s">
        <v>8</v>
      </c>
      <c r="B4" s="17">
        <f>B2-B3</f>
        <v>19529</v>
      </c>
      <c r="C4" s="18">
        <f>C2*J4</f>
        <v>20801.205274170828</v>
      </c>
      <c r="D4" s="18">
        <f>D2*J4</f>
        <v>23435.638966995753</v>
      </c>
      <c r="E4" s="18">
        <f>E2*32.4%</f>
        <v>26440.186118917827</v>
      </c>
      <c r="F4" s="18">
        <f>F2*32.4%</f>
        <v>29788.78617541218</v>
      </c>
      <c r="G4" s="18">
        <f>G2*32.4%</f>
        <v>33561.480158020429</v>
      </c>
      <c r="I4" s="2" t="s">
        <v>44</v>
      </c>
      <c r="J4" s="14">
        <f>'Assumptions&amp;Inputs'!B3</f>
        <v>0.32355312620084997</v>
      </c>
    </row>
    <row r="5" spans="1:10" ht="31" customHeight="1">
      <c r="A5" s="16" t="s">
        <v>9</v>
      </c>
      <c r="B5" s="17">
        <v>8818</v>
      </c>
      <c r="C5" s="18">
        <f>C2*J5</f>
        <v>9520.6009765073395</v>
      </c>
      <c r="D5" s="18">
        <f>D2*J5</f>
        <v>10726.367260617653</v>
      </c>
      <c r="E5" s="18">
        <f>E2*J5</f>
        <v>12084.841586529607</v>
      </c>
      <c r="F5" s="18">
        <f>F2*J5</f>
        <v>13615.36414175565</v>
      </c>
      <c r="G5" s="18">
        <f>G2*J5</f>
        <v>15339.724512337649</v>
      </c>
      <c r="I5" s="2" t="s">
        <v>45</v>
      </c>
      <c r="J5" s="14">
        <f>'Assumptions&amp;Inputs'!B4</f>
        <v>0.1480885443251127</v>
      </c>
    </row>
    <row r="6" spans="1:10" ht="31" customHeight="1">
      <c r="A6" s="2" t="s">
        <v>72</v>
      </c>
      <c r="B6" s="3">
        <f>B4-B5</f>
        <v>10711</v>
      </c>
      <c r="C6" s="3">
        <f>C4-C5</f>
        <v>11280.604297663489</v>
      </c>
      <c r="D6" s="3">
        <f t="shared" ref="D6:G6" si="0">D4-D5</f>
        <v>12709.2717063781</v>
      </c>
      <c r="E6" s="3">
        <f t="shared" si="0"/>
        <v>14355.344532388221</v>
      </c>
      <c r="F6" s="3">
        <f t="shared" si="0"/>
        <v>16173.42203365653</v>
      </c>
      <c r="G6" s="3">
        <f t="shared" si="0"/>
        <v>18221.755645682781</v>
      </c>
      <c r="I6" s="2" t="s">
        <v>46</v>
      </c>
      <c r="J6" s="14">
        <f>'Assumptions&amp;Inputs'!B5</f>
        <v>0.11303067092125664</v>
      </c>
    </row>
    <row r="7" spans="1:10" ht="31" customHeight="1">
      <c r="A7" s="16" t="s">
        <v>59</v>
      </c>
      <c r="B7" s="20">
        <v>2773</v>
      </c>
      <c r="C7" s="18">
        <f>B12*$J13</f>
        <v>4290.8</v>
      </c>
      <c r="D7" s="18">
        <f t="shared" ref="D7:G7" si="1">C12*$J13</f>
        <v>4575</v>
      </c>
      <c r="E7" s="18">
        <f t="shared" si="1"/>
        <v>4872.5933026868634</v>
      </c>
      <c r="F7" s="18">
        <f t="shared" si="1"/>
        <v>5233.7984182923628</v>
      </c>
      <c r="G7" s="18">
        <f t="shared" si="1"/>
        <v>5668.9316733027445</v>
      </c>
      <c r="I7" s="2" t="s">
        <v>47</v>
      </c>
      <c r="J7" s="14">
        <f>'Assumptions&amp;Inputs'!B6</f>
        <v>0.24236063453888243</v>
      </c>
    </row>
    <row r="8" spans="1:10" ht="31" customHeight="1">
      <c r="A8" s="4" t="s">
        <v>60</v>
      </c>
      <c r="B8" s="5">
        <f>B6-B7</f>
        <v>7938</v>
      </c>
      <c r="C8" s="23">
        <f>C6-C7</f>
        <v>6989.8042976634888</v>
      </c>
      <c r="D8" s="23">
        <f t="shared" ref="D8:G8" si="2">D6-D7</f>
        <v>8134.2717063781001</v>
      </c>
      <c r="E8" s="23">
        <f t="shared" si="2"/>
        <v>9482.7512297013564</v>
      </c>
      <c r="F8" s="23">
        <f t="shared" si="2"/>
        <v>10939.623615364168</v>
      </c>
      <c r="G8" s="23">
        <f t="shared" si="2"/>
        <v>12552.823972380036</v>
      </c>
      <c r="I8" s="2" t="s">
        <v>25</v>
      </c>
      <c r="J8" s="14">
        <f>'Assumptions&amp;Inputs'!B7</f>
        <v>3.7767026109239127E-2</v>
      </c>
    </row>
    <row r="9" spans="1:10" ht="31" customHeight="1">
      <c r="A9" s="2" t="s">
        <v>24</v>
      </c>
      <c r="B9" s="22">
        <v>0.24460000000000001</v>
      </c>
      <c r="C9" s="21">
        <v>0.24199999999999999</v>
      </c>
      <c r="D9" s="21">
        <v>0.24199999999999999</v>
      </c>
      <c r="E9" s="21">
        <v>0.24199999999999999</v>
      </c>
      <c r="F9" s="21">
        <v>0.24199999999999999</v>
      </c>
      <c r="G9" s="21">
        <v>0.24199999999999999</v>
      </c>
      <c r="I9" s="2" t="s">
        <v>26</v>
      </c>
      <c r="J9" s="14">
        <f>'Assumptions&amp;Inputs'!B8</f>
        <v>4.0165390988156038E-2</v>
      </c>
    </row>
    <row r="10" spans="1:10" ht="31" customHeight="1">
      <c r="A10" s="2" t="s">
        <v>61</v>
      </c>
      <c r="B10" s="24">
        <f>B8*(1-B9)</f>
        <v>5996.3651999999993</v>
      </c>
      <c r="C10" s="24">
        <f>C8*(1-C9)</f>
        <v>5298.2716576289249</v>
      </c>
      <c r="D10" s="24">
        <f t="shared" ref="D10:G10" si="3">D8*(1-D9)</f>
        <v>6165.7779534346</v>
      </c>
      <c r="E10" s="24">
        <f t="shared" si="3"/>
        <v>7187.9254321136286</v>
      </c>
      <c r="F10" s="24">
        <f t="shared" si="3"/>
        <v>8292.2347004460389</v>
      </c>
      <c r="G10" s="24">
        <f t="shared" si="3"/>
        <v>9515.040571064068</v>
      </c>
      <c r="I10" s="2" t="s">
        <v>27</v>
      </c>
      <c r="J10" s="14">
        <f>'Assumptions&amp;Inputs'!B9</f>
        <v>0.10865069226361383</v>
      </c>
    </row>
    <row r="11" spans="1:10" ht="31" customHeight="1">
      <c r="A11" s="2" t="s">
        <v>12</v>
      </c>
      <c r="B11" s="17">
        <v>5615</v>
      </c>
      <c r="C11" s="18">
        <f>C2*$J6</f>
        <v>7266.7330268686319</v>
      </c>
      <c r="D11" s="18">
        <f t="shared" ref="D11:G11" si="4">D2*$J6</f>
        <v>8187.051156054994</v>
      </c>
      <c r="E11" s="18">
        <f t="shared" si="4"/>
        <v>9223.925852790675</v>
      </c>
      <c r="F11" s="18">
        <f t="shared" si="4"/>
        <v>10392.118788076214</v>
      </c>
      <c r="G11" s="18">
        <f t="shared" si="4"/>
        <v>11708.261170899665</v>
      </c>
      <c r="I11" s="2" t="s">
        <v>48</v>
      </c>
      <c r="J11" s="14">
        <f>'Assumptions&amp;Inputs'!B10</f>
        <v>0.04</v>
      </c>
    </row>
    <row r="12" spans="1:10" ht="31" customHeight="1">
      <c r="A12" s="2" t="s">
        <v>58</v>
      </c>
      <c r="B12" s="17">
        <v>42908</v>
      </c>
      <c r="C12" s="17">
        <f>B12+B11-B7</f>
        <v>45750</v>
      </c>
      <c r="D12" s="17">
        <f>C12+C11-C7</f>
        <v>48725.933026868632</v>
      </c>
      <c r="E12" s="17">
        <f>D12+D11-D7</f>
        <v>52337.984182923625</v>
      </c>
      <c r="F12" s="17">
        <f>E12+E11-E7</f>
        <v>56689.316733027437</v>
      </c>
      <c r="G12" s="17">
        <f>F12+F11-F7</f>
        <v>61847.637102811284</v>
      </c>
      <c r="I12" s="2" t="s">
        <v>40</v>
      </c>
      <c r="J12" s="14">
        <f>'Assumptions&amp;Inputs'!B11</f>
        <v>7.5045177994539025E-2</v>
      </c>
    </row>
    <row r="13" spans="1:10" ht="31" customHeight="1">
      <c r="A13" s="2" t="s">
        <v>66</v>
      </c>
      <c r="B13" s="17">
        <v>2163</v>
      </c>
      <c r="C13" s="17">
        <f>C2*$J8</f>
        <v>2428.0391659871671</v>
      </c>
      <c r="D13" s="17">
        <f t="shared" ref="D13:G13" si="5">D2*$J8</f>
        <v>2735.545779285088</v>
      </c>
      <c r="E13" s="17">
        <f t="shared" si="5"/>
        <v>3081.9975292787394</v>
      </c>
      <c r="F13" s="17">
        <f t="shared" si="5"/>
        <v>3472.3267445967076</v>
      </c>
      <c r="G13" s="17">
        <f t="shared" si="5"/>
        <v>3912.0904240514456</v>
      </c>
      <c r="I13" s="2" t="s">
        <v>49</v>
      </c>
      <c r="J13" s="14">
        <f>'Assumptions&amp;Inputs'!B12</f>
        <v>0.1</v>
      </c>
    </row>
    <row r="14" spans="1:10" ht="31" customHeight="1">
      <c r="A14" s="2" t="s">
        <v>16</v>
      </c>
      <c r="B14" s="17">
        <v>1572</v>
      </c>
      <c r="C14" s="19">
        <f>C3*$J9</f>
        <v>1746.7413143248395</v>
      </c>
      <c r="D14" s="19">
        <f t="shared" ref="D14:G14" si="6">D3*$J9</f>
        <v>1967.9628306001782</v>
      </c>
      <c r="E14" s="19">
        <f t="shared" si="6"/>
        <v>2217.2016376224742</v>
      </c>
      <c r="F14" s="19">
        <f t="shared" si="6"/>
        <v>2498.0060727958626</v>
      </c>
      <c r="G14" s="19">
        <f t="shared" si="6"/>
        <v>2814.3738638116174</v>
      </c>
    </row>
    <row r="15" spans="1:10" ht="31" customHeight="1">
      <c r="A15" s="2" t="s">
        <v>15</v>
      </c>
      <c r="B15" s="17">
        <v>4193</v>
      </c>
      <c r="C15" s="19">
        <f>C3*$J10</f>
        <v>4725.0791872737436</v>
      </c>
      <c r="D15" s="19">
        <f t="shared" ref="D15:G15" si="7">D3*$J10</f>
        <v>5323.5016175199617</v>
      </c>
      <c r="E15" s="19">
        <f t="shared" si="7"/>
        <v>5997.7131278701299</v>
      </c>
      <c r="F15" s="19">
        <f t="shared" si="7"/>
        <v>6757.3122633865341</v>
      </c>
      <c r="G15" s="19">
        <f t="shared" si="7"/>
        <v>7613.1132068880715</v>
      </c>
    </row>
    <row r="16" spans="1:10" ht="31" customHeight="1">
      <c r="A16" s="2" t="s">
        <v>67</v>
      </c>
      <c r="B16" s="3">
        <f>B13+B14-B15</f>
        <v>-458</v>
      </c>
      <c r="C16" s="3">
        <f>C13+C14-C15</f>
        <v>-550.29870696173657</v>
      </c>
      <c r="D16" s="3">
        <f>D13+D14-D15</f>
        <v>-619.99300763469546</v>
      </c>
      <c r="E16" s="3">
        <f t="shared" ref="E16:G16" si="8">E13+E14-E15</f>
        <v>-698.51396096891676</v>
      </c>
      <c r="F16" s="3">
        <f t="shared" si="8"/>
        <v>-786.97944599396396</v>
      </c>
      <c r="G16" s="3">
        <f t="shared" si="8"/>
        <v>-886.64891902500858</v>
      </c>
    </row>
    <row r="17" spans="1:7" ht="31" customHeight="1">
      <c r="A17" s="2" t="s">
        <v>62</v>
      </c>
      <c r="B17" s="2">
        <v>82</v>
      </c>
      <c r="C17" s="3">
        <f>C16-B16</f>
        <v>-92.298706961736571</v>
      </c>
      <c r="D17" s="3">
        <f>D16-C16</f>
        <v>-69.694300672958889</v>
      </c>
      <c r="E17" s="3">
        <f>E16-D16</f>
        <v>-78.520953334221304</v>
      </c>
      <c r="F17" s="3">
        <f>F16-E16</f>
        <v>-88.465485025047201</v>
      </c>
      <c r="G17" s="3">
        <f>G16-F16</f>
        <v>-99.669473031044618</v>
      </c>
    </row>
    <row r="18" spans="1:7" ht="31" customHeight="1">
      <c r="A18" s="4" t="s">
        <v>63</v>
      </c>
      <c r="B18" s="23">
        <f>B10+B7-B11-B17</f>
        <v>3072.3652000000002</v>
      </c>
      <c r="C18" s="23">
        <f>C10+C7-C11-C17</f>
        <v>2414.6373377220298</v>
      </c>
      <c r="D18" s="23">
        <f t="shared" ref="D18:G18" si="9">D10+D7-D11-D17</f>
        <v>2623.4210980525659</v>
      </c>
      <c r="E18" s="23">
        <f t="shared" si="9"/>
        <v>2915.1138353440374</v>
      </c>
      <c r="F18" s="23">
        <f t="shared" si="9"/>
        <v>3222.3798156872354</v>
      </c>
      <c r="G18" s="23">
        <f t="shared" si="9"/>
        <v>3575.3805464981924</v>
      </c>
    </row>
    <row r="20" spans="1:7" ht="31" customHeight="1">
      <c r="A20" s="2" t="s">
        <v>65</v>
      </c>
      <c r="B20" s="2">
        <v>1</v>
      </c>
      <c r="C20" s="16">
        <f>1/(1+$J12)^1</f>
        <v>0.93019346579040219</v>
      </c>
      <c r="D20" s="16">
        <f>1/(1+$J12)^2</f>
        <v>0.86525988379916019</v>
      </c>
      <c r="E20" s="16">
        <f>1/(1+$J12)^3</f>
        <v>0.80485909012054158</v>
      </c>
      <c r="F20" s="16">
        <f>1/(1+$J12)^4</f>
        <v>0.74867466651213621</v>
      </c>
      <c r="G20" s="16">
        <f>1/(1+$J12)^5</f>
        <v>0.69641228279239753</v>
      </c>
    </row>
    <row r="21" spans="1:7" ht="31" customHeight="1">
      <c r="A21" s="2" t="s">
        <v>68</v>
      </c>
      <c r="C21" s="25">
        <f>C20*C18</f>
        <v>2246.0798738025646</v>
      </c>
      <c r="D21" s="25">
        <f>D20*D18</f>
        <v>2269.9410344572284</v>
      </c>
      <c r="E21" s="25">
        <f>E20*E18</f>
        <v>2346.2558691128042</v>
      </c>
      <c r="F21" s="25">
        <f>F20*F18</f>
        <v>2412.5141338850799</v>
      </c>
      <c r="G21" s="25">
        <f>G20*G18</f>
        <v>2489.9389282383358</v>
      </c>
    </row>
    <row r="22" spans="1:7" ht="31" customHeight="1">
      <c r="A22" s="2" t="s">
        <v>64</v>
      </c>
      <c r="C22" s="25"/>
      <c r="D22" s="25"/>
      <c r="E22" s="25"/>
      <c r="F22" s="25"/>
      <c r="G22" s="25">
        <f>G18*(1+J11)/(J12-J11)</f>
        <v>106102.92146147882</v>
      </c>
    </row>
    <row r="23" spans="1:7" ht="31" customHeight="1">
      <c r="A23" s="2" t="s">
        <v>69</v>
      </c>
      <c r="C23" s="25"/>
      <c r="D23" s="25"/>
      <c r="E23" s="25"/>
      <c r="F23" s="25"/>
      <c r="G23" s="25">
        <f>G22*G20</f>
        <v>73891.377745930935</v>
      </c>
    </row>
    <row r="24" spans="1:7" ht="31" customHeight="1">
      <c r="A24" s="2" t="s">
        <v>70</v>
      </c>
      <c r="B24" s="25">
        <f>SUM(C21:G21)+G23</f>
        <v>85656.107585426944</v>
      </c>
    </row>
  </sheetData>
  <pageMargins left="0.7" right="0.7" top="0.75" bottom="0.75" header="0.3" footer="0.3"/>
  <ignoredErrors>
    <ignoredError sqref="D7:G7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AE22-DF73-964D-AFFB-3ADAA98AFCD8}">
  <dimension ref="A1:B5"/>
  <sheetViews>
    <sheetView workbookViewId="0">
      <selection activeCell="A5" sqref="A5"/>
    </sheetView>
  </sheetViews>
  <sheetFormatPr baseColWidth="10" defaultRowHeight="31" customHeight="1"/>
  <cols>
    <col min="1" max="1" width="68" style="27" customWidth="1"/>
    <col min="2" max="2" width="42" style="27" customWidth="1"/>
    <col min="3" max="6" width="21.5" style="27" customWidth="1"/>
    <col min="7" max="16384" width="10.83203125" style="27"/>
  </cols>
  <sheetData>
    <row r="1" spans="1:2" ht="31" customHeight="1">
      <c r="A1" s="26"/>
      <c r="B1" s="26" t="s">
        <v>75</v>
      </c>
    </row>
    <row r="2" spans="1:2" ht="31" customHeight="1">
      <c r="A2" s="27" t="s">
        <v>74</v>
      </c>
      <c r="B2" s="28">
        <f>'DCF Forecast'!B24</f>
        <v>85656.107585426944</v>
      </c>
    </row>
    <row r="3" spans="1:2" ht="31" customHeight="1">
      <c r="A3" s="29" t="s">
        <v>73</v>
      </c>
      <c r="B3" s="30">
        <f>WACC!B13+WACC!B15</f>
        <v>59997.3</v>
      </c>
    </row>
    <row r="4" spans="1:2" ht="31" customHeight="1">
      <c r="A4" s="27" t="s">
        <v>76</v>
      </c>
      <c r="B4" s="31">
        <f>(B2-B3)/B3</f>
        <v>0.4276660380621618</v>
      </c>
    </row>
    <row r="5" spans="1:2" ht="31" customHeight="1">
      <c r="A5" s="26"/>
      <c r="B5" s="26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202cd47-7a56-4baa-99e3-e3b71a7c77dd}" enabled="0" method="" siteId="{e202cd47-7a56-4baa-99e3-e3b71a7c77d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HistoricalData1</vt:lpstr>
      <vt:lpstr>WACC</vt:lpstr>
      <vt:lpstr>Assumptions&amp;Inputs</vt:lpstr>
      <vt:lpstr>DCF Forecast</vt:lpstr>
      <vt:lpstr>Enterprise Value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Shankar, Rishabb</dc:creator>
  <cp:lastModifiedBy>Shankar, Rishabb</cp:lastModifiedBy>
  <dcterms:created xsi:type="dcterms:W3CDTF">2025-05-06T19:18:10Z</dcterms:created>
  <dcterms:modified xsi:type="dcterms:W3CDTF">2025-05-22T19:45:47Z</dcterms:modified>
</cp:coreProperties>
</file>